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omments3.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paola corpoguajira\PLAN DE ACCIÓN\INFORME DE GESTIÓN 2021\INFORME 30 DE JUNIO\"/>
    </mc:Choice>
  </mc:AlternateContent>
  <bookViews>
    <workbookView xWindow="0" yWindow="0" windowWidth="20490" windowHeight="7050" tabRatio="647" activeTab="1"/>
  </bookViews>
  <sheets>
    <sheet name="Datos Generales" sheetId="38" r:id="rId1"/>
    <sheet name="Anexo 1 Matriz Inf Gestión" sheetId="34" r:id="rId2"/>
    <sheet name="Hoja1" sheetId="41" state="hidden" r:id="rId3"/>
    <sheet name="Anexo 2 Protocolo Inf Gestión" sheetId="35" r:id="rId4"/>
    <sheet name="Informe Ingresos" sheetId="36" state="hidden" r:id="rId5"/>
    <sheet name="PROTOCOLO INGRESOS" sheetId="39" state="hidden" r:id="rId6"/>
    <sheet name="INGRESOS" sheetId="44" r:id="rId7"/>
    <sheet name="Hoja3" sheetId="43" r:id="rId8"/>
    <sheet name="informe Gastos" sheetId="37" r:id="rId9"/>
    <sheet name="Hoja2" sheetId="40" r:id="rId10"/>
    <sheet name="Anexo 3 Matriz IMG" sheetId="19" r:id="rId11"/>
    <sheet name="1POMCAS" sheetId="1" r:id="rId12"/>
    <sheet name="2PORH" sheetId="2" r:id="rId13"/>
    <sheet name="3PSMV" sheetId="3" r:id="rId14"/>
    <sheet name="4UsoAguas" sheetId="4" r:id="rId15"/>
    <sheet name="5PUEAA" sheetId="5" r:id="rId16"/>
    <sheet name="6POMCASejec" sheetId="6" r:id="rId17"/>
    <sheet name="7Clima" sheetId="8" r:id="rId18"/>
    <sheet name="8Suelo" sheetId="9" r:id="rId19"/>
    <sheet name="9RUNAP" sheetId="10" r:id="rId20"/>
    <sheet name="10Paramos" sheetId="11" r:id="rId21"/>
    <sheet name="11Forest" sheetId="12" r:id="rId22"/>
    <sheet name="12PlanesAP" sheetId="13" r:id="rId23"/>
    <sheet name="13Amenaz" sheetId="14" r:id="rId24"/>
    <sheet name="14Invasor" sheetId="15" r:id="rId25"/>
    <sheet name="15Restaura" sheetId="16" r:id="rId26"/>
    <sheet name="16MIZC" sheetId="17" r:id="rId27"/>
    <sheet name="17PGIRS" sheetId="18" r:id="rId28"/>
    <sheet name="18Sector" sheetId="20" r:id="rId29"/>
    <sheet name="19GAU" sheetId="21" r:id="rId30"/>
    <sheet name="20Negoc" sheetId="22" r:id="rId31"/>
    <sheet name="21TiempoT" sheetId="23" r:id="rId32"/>
    <sheet name="22Autor" sheetId="24" r:id="rId33"/>
    <sheet name="23Sanc" sheetId="25" r:id="rId34"/>
    <sheet name="24POT" sheetId="26" r:id="rId35"/>
    <sheet name="25Redes" sheetId="27" r:id="rId36"/>
    <sheet name="26SIAC" sheetId="28" r:id="rId37"/>
    <sheet name="27Educa" sheetId="29" r:id="rId38"/>
    <sheet name="Observa" sheetId="32" r:id="rId39"/>
    <sheet name="Formulas" sheetId="33" r:id="rId40"/>
  </sheets>
  <externalReferences>
    <externalReference r:id="rId41"/>
    <externalReference r:id="rId42"/>
    <externalReference r:id="rId43"/>
    <externalReference r:id="rId44"/>
  </externalReferences>
  <definedNames>
    <definedName name="_xlnm._FilterDatabase" localSheetId="13" hidden="1">'3PSMV'!$E$6:$E$75</definedName>
    <definedName name="_xlnm._FilterDatabase" localSheetId="4" hidden="1">'Informe Ingresos'!$A$6:$XES$320</definedName>
    <definedName name="_xlnm._FilterDatabase" localSheetId="6" hidden="1">INGRESOS!$A$6:$XER$672</definedName>
    <definedName name="_Toc467769469" localSheetId="12">'2PORH'!#REF!</definedName>
    <definedName name="_Toc467769470" localSheetId="13">'3PSMV'!#REF!</definedName>
    <definedName name="_Toc467769471" localSheetId="14">'4UsoAguas'!#REF!</definedName>
    <definedName name="_Toc467769472" localSheetId="15">'5PUEAA'!#REF!</definedName>
    <definedName name="_Toc467769473" localSheetId="16">'6POMCASejec'!#REF!</definedName>
    <definedName name="_Toc467769474" localSheetId="17">'7Clima'!#REF!</definedName>
    <definedName name="_Toc467769475" localSheetId="18">'8Suelo'!#REF!</definedName>
    <definedName name="_Toc467769476" localSheetId="19">'9RUNAP'!$B$6</definedName>
    <definedName name="_Toc467769477" localSheetId="20">'10Paramos'!#REF!</definedName>
    <definedName name="_Toc467769478" localSheetId="21">'11Forest'!#REF!</definedName>
    <definedName name="_Toc467769479" localSheetId="22">'12PlanesAP'!#REF!</definedName>
    <definedName name="_Toc467769480" localSheetId="23">'13Amenaz'!#REF!</definedName>
    <definedName name="_Toc467769481" localSheetId="24">'14Invasor'!#REF!</definedName>
    <definedName name="_Toc467769482" localSheetId="25">'15Restaura'!#REF!</definedName>
    <definedName name="_Toc467769483" localSheetId="26">'16MIZC'!#REF!</definedName>
    <definedName name="_Toc467769484" localSheetId="27">'17PGIRS'!#REF!</definedName>
    <definedName name="_Toc467769485" localSheetId="28">'18Sector'!#REF!</definedName>
    <definedName name="_Toc467769486" localSheetId="29">'19GAU'!#REF!</definedName>
    <definedName name="_Toc467769487" localSheetId="30">'20Negoc'!#REF!</definedName>
    <definedName name="_Toc467769488" localSheetId="31">'21TiempoT'!#REF!</definedName>
    <definedName name="_Toc467769489" localSheetId="32">'22Autor'!#REF!</definedName>
    <definedName name="_Toc467769490" localSheetId="33">'23Sanc'!#REF!</definedName>
    <definedName name="_Toc467769491" localSheetId="34">'24POT'!#REF!</definedName>
    <definedName name="_Toc467769492" localSheetId="35">'25Redes'!#REF!</definedName>
    <definedName name="_Toc467769493" localSheetId="36">'26SIAC'!#REF!</definedName>
    <definedName name="_Toc467769494" localSheetId="37">'27Educa'!#REF!</definedName>
    <definedName name="_xlnm.Print_Area" localSheetId="1">'Anexo 1 Matriz Inf Gestión'!$A$3:$AB$205</definedName>
    <definedName name="_xlnm.Print_Area" localSheetId="3">'Anexo 2 Protocolo Inf Gestión'!$A$1:$B$26</definedName>
    <definedName name="_xlnm.Print_Area" localSheetId="8">'informe Gastos'!#REF!</definedName>
    <definedName name="_xlnm.Print_Area" localSheetId="4">'Informe Ingresos'!#REF!</definedName>
    <definedName name="_xlnm.Print_Area" localSheetId="6">INGRESOS!#REF!</definedName>
    <definedName name="Lista_CAR" localSheetId="6">'[1]Datos Generales'!$H$5:$H$37</definedName>
    <definedName name="Lista_CAR">'Datos Generales'!$H$5:$H$37</definedName>
    <definedName name="REPORTE" comment="SI SE REPORTA" localSheetId="6">[1]Formulas!$F$33:$F$34</definedName>
    <definedName name="REPORTE" comment="SI SE REPORTA">Formulas!$F$33:$F$34</definedName>
    <definedName name="SI" comment="OPCION SI O NO" localSheetId="6">[1]Formulas!$D$33:$D$34</definedName>
    <definedName name="SI" comment="OPCION SI O NO">Formulas!$D$33:$D$34</definedName>
    <definedName name="Vigencias">'Datos Generales'!$H$39:$H$46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9" l="1"/>
  <c r="K12" i="28"/>
  <c r="E12" i="28"/>
  <c r="E12" i="27"/>
  <c r="E11" i="26"/>
  <c r="E12" i="25"/>
  <c r="E12" i="24"/>
  <c r="E12" i="23"/>
  <c r="E12" i="22"/>
  <c r="E12" i="21"/>
  <c r="E12" i="20"/>
  <c r="E12" i="18"/>
  <c r="E12" i="16"/>
  <c r="E12" i="14"/>
  <c r="K12" i="14"/>
  <c r="E12" i="13"/>
  <c r="E12" i="8"/>
  <c r="I12" i="6"/>
  <c r="E12" i="6"/>
  <c r="E12" i="5"/>
  <c r="E12" i="2"/>
  <c r="K12" i="1"/>
  <c r="E12" i="1"/>
  <c r="Y196" i="34" l="1"/>
  <c r="Y159" i="34"/>
  <c r="Y144" i="34"/>
  <c r="Y131" i="34"/>
  <c r="Y114" i="34"/>
  <c r="Y105" i="34"/>
  <c r="Y90" i="34"/>
  <c r="Y75" i="34"/>
  <c r="Y67" i="34"/>
  <c r="Y56" i="34"/>
  <c r="Y40" i="34"/>
  <c r="Y32" i="34" l="1"/>
  <c r="Y19" i="34"/>
  <c r="Y9" i="34"/>
  <c r="N53" i="34"/>
  <c r="N54" i="34"/>
  <c r="O54" i="34" s="1"/>
  <c r="N55" i="34"/>
  <c r="N56" i="34"/>
  <c r="O56" i="34" s="1"/>
  <c r="N57" i="34"/>
  <c r="N58" i="34"/>
  <c r="O58" i="34" s="1"/>
  <c r="N59" i="34"/>
  <c r="N60" i="34"/>
  <c r="O60" i="34" s="1"/>
  <c r="N61" i="34"/>
  <c r="N62" i="34"/>
  <c r="O62" i="34" s="1"/>
  <c r="N63" i="34"/>
  <c r="O63" i="34" s="1"/>
  <c r="N64" i="34"/>
  <c r="O64" i="34" s="1"/>
  <c r="N65" i="34"/>
  <c r="O65" i="34" s="1"/>
  <c r="N66" i="34"/>
  <c r="O66" i="34" s="1"/>
  <c r="N67" i="34"/>
  <c r="O67" i="34" s="1"/>
  <c r="N71" i="34"/>
  <c r="O71" i="34" s="1"/>
  <c r="N72" i="34"/>
  <c r="O72" i="34" s="1"/>
  <c r="N73" i="34"/>
  <c r="O73" i="34" s="1"/>
  <c r="N74" i="34"/>
  <c r="O74" i="34" s="1"/>
  <c r="N75" i="34"/>
  <c r="O75" i="34" s="1"/>
  <c r="N77" i="34"/>
  <c r="O77" i="34" s="1"/>
  <c r="N79" i="34"/>
  <c r="O79" i="34" s="1"/>
  <c r="N80" i="34"/>
  <c r="O80" i="34" s="1"/>
  <c r="N81" i="34"/>
  <c r="O81" i="34" s="1"/>
  <c r="N82" i="34"/>
  <c r="O82" i="34" s="1"/>
  <c r="N83" i="34"/>
  <c r="O83" i="34" s="1"/>
  <c r="N84" i="34"/>
  <c r="O84" i="34" s="1"/>
  <c r="N85" i="34"/>
  <c r="O85" i="34" s="1"/>
  <c r="N88" i="34"/>
  <c r="O88" i="34" s="1"/>
  <c r="N89" i="34"/>
  <c r="O89" i="34" s="1"/>
  <c r="N90" i="34"/>
  <c r="O90" i="34" s="1"/>
  <c r="N94" i="34"/>
  <c r="O94" i="34" s="1"/>
  <c r="N95" i="34"/>
  <c r="O95" i="34" s="1"/>
  <c r="N96" i="34"/>
  <c r="O96" i="34" s="1"/>
  <c r="N97" i="34"/>
  <c r="O97" i="34" s="1"/>
  <c r="N99" i="34"/>
  <c r="O99" i="34" s="1"/>
  <c r="N100" i="34"/>
  <c r="O100" i="34" s="1"/>
  <c r="N101" i="34"/>
  <c r="O101" i="34" s="1"/>
  <c r="N102" i="34"/>
  <c r="O102" i="34" s="1"/>
  <c r="N103" i="34"/>
  <c r="O103" i="34" s="1"/>
  <c r="N104" i="34"/>
  <c r="O104" i="34" s="1"/>
  <c r="N105" i="34"/>
  <c r="O105" i="34" s="1"/>
  <c r="N106" i="34"/>
  <c r="O106" i="34" s="1"/>
  <c r="N107" i="34"/>
  <c r="O107" i="34" s="1"/>
  <c r="N108" i="34"/>
  <c r="O108" i="34" s="1"/>
  <c r="N109" i="34"/>
  <c r="O109" i="34" s="1"/>
  <c r="N110" i="34"/>
  <c r="O110" i="34" s="1"/>
  <c r="N111" i="34"/>
  <c r="O111" i="34" s="1"/>
  <c r="N112" i="34"/>
  <c r="O112" i="34" s="1"/>
  <c r="N113" i="34"/>
  <c r="O113" i="34" s="1"/>
  <c r="N114" i="34"/>
  <c r="O114" i="34" s="1"/>
  <c r="N115" i="34"/>
  <c r="O115" i="34" s="1"/>
  <c r="N116" i="34"/>
  <c r="O116" i="34" s="1"/>
  <c r="N117" i="34"/>
  <c r="O117" i="34" s="1"/>
  <c r="N118" i="34"/>
  <c r="O118" i="34" s="1"/>
  <c r="N119" i="34"/>
  <c r="O119" i="34" s="1"/>
  <c r="N120" i="34"/>
  <c r="O120" i="34" s="1"/>
  <c r="N121" i="34"/>
  <c r="O121" i="34" s="1"/>
  <c r="N122" i="34"/>
  <c r="O122" i="34" s="1"/>
  <c r="N123" i="34"/>
  <c r="O123" i="34" s="1"/>
  <c r="N124" i="34"/>
  <c r="O124" i="34" s="1"/>
  <c r="N125" i="34"/>
  <c r="O125" i="34" s="1"/>
  <c r="N126" i="34"/>
  <c r="O126" i="34" s="1"/>
  <c r="N127" i="34"/>
  <c r="O127" i="34" s="1"/>
  <c r="N128" i="34"/>
  <c r="O128" i="34" s="1"/>
  <c r="N129" i="34"/>
  <c r="O129" i="34" s="1"/>
  <c r="N131" i="34"/>
  <c r="O131" i="34" s="1"/>
  <c r="N132" i="34"/>
  <c r="O132" i="34" s="1"/>
  <c r="N133" i="34"/>
  <c r="O133" i="34" s="1"/>
  <c r="N134" i="34"/>
  <c r="O134" i="34" s="1"/>
  <c r="N135" i="34"/>
  <c r="O135" i="34" s="1"/>
  <c r="N136" i="34"/>
  <c r="O136" i="34" s="1"/>
  <c r="N137" i="34"/>
  <c r="O137" i="34" s="1"/>
  <c r="N138" i="34"/>
  <c r="O138" i="34" s="1"/>
  <c r="N139" i="34"/>
  <c r="O139" i="34" s="1"/>
  <c r="N140" i="34"/>
  <c r="O140" i="34" s="1"/>
  <c r="N141" i="34"/>
  <c r="O141" i="34" s="1"/>
  <c r="N143" i="34"/>
  <c r="O143" i="34" s="1"/>
  <c r="N144" i="34"/>
  <c r="O144" i="34" s="1"/>
  <c r="N145" i="34"/>
  <c r="O145" i="34" s="1"/>
  <c r="N146" i="34"/>
  <c r="O146" i="34" s="1"/>
  <c r="N147" i="34"/>
  <c r="O147" i="34" s="1"/>
  <c r="N148" i="34"/>
  <c r="O148" i="34" s="1"/>
  <c r="N149" i="34"/>
  <c r="O149" i="34" s="1"/>
  <c r="N150" i="34"/>
  <c r="O150" i="34" s="1"/>
  <c r="N151" i="34"/>
  <c r="O151" i="34" s="1"/>
  <c r="N152" i="34"/>
  <c r="O152" i="34" s="1"/>
  <c r="N153" i="34"/>
  <c r="O153" i="34" s="1"/>
  <c r="N154" i="34"/>
  <c r="O154" i="34" s="1"/>
  <c r="N155" i="34"/>
  <c r="O155" i="34" s="1"/>
  <c r="N156" i="34"/>
  <c r="O156" i="34" s="1"/>
  <c r="N157" i="34"/>
  <c r="O157" i="34" s="1"/>
  <c r="N158" i="34"/>
  <c r="O158" i="34" s="1"/>
  <c r="N159" i="34"/>
  <c r="O159" i="34" s="1"/>
  <c r="N160" i="34"/>
  <c r="O160" i="34" s="1"/>
  <c r="N161" i="34"/>
  <c r="O161" i="34" s="1"/>
  <c r="N162" i="34"/>
  <c r="O162" i="34" s="1"/>
  <c r="N163" i="34"/>
  <c r="O163" i="34" s="1"/>
  <c r="N164" i="34"/>
  <c r="O164" i="34" s="1"/>
  <c r="N165" i="34"/>
  <c r="O165" i="34" s="1"/>
  <c r="N166" i="34"/>
  <c r="O166" i="34" s="1"/>
  <c r="N167" i="34"/>
  <c r="O167" i="34" s="1"/>
  <c r="N168" i="34"/>
  <c r="O168" i="34" s="1"/>
  <c r="N169" i="34"/>
  <c r="O169" i="34" s="1"/>
  <c r="N170" i="34"/>
  <c r="O170" i="34" s="1"/>
  <c r="N171" i="34"/>
  <c r="O171" i="34" s="1"/>
  <c r="N172" i="34"/>
  <c r="O172" i="34" s="1"/>
  <c r="N173" i="34"/>
  <c r="O173" i="34" s="1"/>
  <c r="N174" i="34"/>
  <c r="O174" i="34" s="1"/>
  <c r="N175" i="34"/>
  <c r="O175" i="34" s="1"/>
  <c r="N176" i="34"/>
  <c r="O176" i="34" s="1"/>
  <c r="N177" i="34"/>
  <c r="O177" i="34" s="1"/>
  <c r="N179" i="34"/>
  <c r="O179" i="34" s="1"/>
  <c r="N180" i="34"/>
  <c r="O180" i="34" s="1"/>
  <c r="N181" i="34"/>
  <c r="O181" i="34" s="1"/>
  <c r="N182" i="34"/>
  <c r="O182" i="34" s="1"/>
  <c r="N183" i="34"/>
  <c r="O183" i="34" s="1"/>
  <c r="N184" i="34"/>
  <c r="O184" i="34" s="1"/>
  <c r="N185" i="34"/>
  <c r="O185" i="34" s="1"/>
  <c r="N186" i="34"/>
  <c r="O186" i="34" s="1"/>
  <c r="N187" i="34"/>
  <c r="O187" i="34" s="1"/>
  <c r="N192" i="34"/>
  <c r="O192" i="34" s="1"/>
  <c r="N194" i="34"/>
  <c r="O194" i="34" s="1"/>
  <c r="N196" i="34"/>
  <c r="O196" i="34" s="1"/>
  <c r="N197" i="34"/>
  <c r="O197" i="34" s="1"/>
  <c r="N198" i="34"/>
  <c r="O198" i="34" s="1"/>
  <c r="N199" i="34"/>
  <c r="O199" i="34" s="1"/>
  <c r="N200" i="34"/>
  <c r="O200" i="34" s="1"/>
  <c r="N201" i="34"/>
  <c r="O201" i="34" s="1"/>
  <c r="N202" i="34"/>
  <c r="O202" i="34" s="1"/>
  <c r="N203" i="34"/>
  <c r="O203" i="34" s="1"/>
  <c r="O53" i="34"/>
  <c r="O55" i="34"/>
  <c r="O57" i="34"/>
  <c r="O59" i="34"/>
  <c r="O61" i="34"/>
  <c r="N51" i="34"/>
  <c r="O51" i="34" s="1"/>
  <c r="N52" i="34"/>
  <c r="O52" i="34" s="1"/>
  <c r="N43" i="34"/>
  <c r="O43" i="34" s="1"/>
  <c r="N44" i="34"/>
  <c r="O44" i="34" s="1"/>
  <c r="N47" i="34"/>
  <c r="O47" i="34"/>
  <c r="N42" i="34"/>
  <c r="O42" i="34" s="1"/>
  <c r="O41" i="34"/>
  <c r="N41" i="34"/>
  <c r="N34" i="34"/>
  <c r="O34" i="34" s="1"/>
  <c r="N35" i="34"/>
  <c r="O35" i="34" s="1"/>
  <c r="N36" i="34"/>
  <c r="O36" i="34" s="1"/>
  <c r="N37" i="34"/>
  <c r="O37" i="34" s="1"/>
  <c r="N38" i="34"/>
  <c r="O38" i="34" s="1"/>
  <c r="N33" i="34"/>
  <c r="O33" i="34" s="1"/>
  <c r="N21" i="34"/>
  <c r="N22" i="34"/>
  <c r="N23" i="34"/>
  <c r="N24" i="34"/>
  <c r="N25" i="34"/>
  <c r="N26" i="34"/>
  <c r="N27" i="34"/>
  <c r="N28" i="34"/>
  <c r="N29" i="34"/>
  <c r="N30" i="34"/>
  <c r="P130" i="34"/>
  <c r="P129" i="34"/>
  <c r="P128" i="34"/>
  <c r="P126" i="34"/>
  <c r="P125" i="34"/>
  <c r="P124" i="34"/>
  <c r="P120" i="34"/>
  <c r="P123" i="34"/>
  <c r="P122" i="34"/>
  <c r="P121" i="34"/>
  <c r="P119" i="34"/>
  <c r="P118" i="34"/>
  <c r="P117" i="34"/>
  <c r="P116" i="34"/>
  <c r="P127" i="34"/>
  <c r="P115" i="34"/>
  <c r="P142" i="34"/>
  <c r="P141" i="34"/>
  <c r="P140" i="34"/>
  <c r="P139" i="34"/>
  <c r="P132" i="34"/>
  <c r="P138" i="34"/>
  <c r="P137" i="34"/>
  <c r="P136" i="34"/>
  <c r="P135" i="34"/>
  <c r="P134" i="34"/>
  <c r="P133" i="34"/>
  <c r="P177" i="34" l="1"/>
  <c r="P176" i="34"/>
  <c r="P175" i="34"/>
  <c r="P173" i="34"/>
  <c r="P172" i="34"/>
  <c r="P171" i="34"/>
  <c r="P170" i="34"/>
  <c r="P169" i="34"/>
  <c r="P168" i="34"/>
  <c r="P167" i="34"/>
  <c r="P165" i="34"/>
  <c r="P164" i="34"/>
  <c r="P163" i="34"/>
  <c r="P162" i="34"/>
  <c r="P161" i="34"/>
  <c r="P174" i="34"/>
  <c r="P160" i="34"/>
  <c r="P158" i="34" l="1"/>
  <c r="P157" i="34"/>
  <c r="P156" i="34"/>
  <c r="P155" i="34"/>
  <c r="P154" i="34"/>
  <c r="P153" i="34"/>
  <c r="P152" i="34"/>
  <c r="P151" i="34"/>
  <c r="P150" i="34"/>
  <c r="P149" i="34"/>
  <c r="P148" i="34"/>
  <c r="P147" i="34"/>
  <c r="P146" i="34"/>
  <c r="P145" i="34"/>
  <c r="Y180" i="34" l="1"/>
  <c r="Y113" i="34"/>
  <c r="Y8" i="34"/>
  <c r="Y39" i="34" l="1"/>
  <c r="Y179" i="34"/>
  <c r="Y66" i="34"/>
  <c r="Y143" i="34"/>
  <c r="Y204" i="34" l="1"/>
  <c r="Y50" i="37"/>
  <c r="T196" i="34"/>
  <c r="T180" i="34"/>
  <c r="T159" i="34"/>
  <c r="T144" i="34"/>
  <c r="T131" i="34"/>
  <c r="T114" i="34"/>
  <c r="T105" i="34"/>
  <c r="T90" i="34"/>
  <c r="T75" i="34"/>
  <c r="T67" i="34"/>
  <c r="T56" i="34"/>
  <c r="T40" i="34"/>
  <c r="T32" i="34"/>
  <c r="T19" i="34"/>
  <c r="T9" i="34"/>
  <c r="R32" i="34"/>
  <c r="Z32" i="34" s="1"/>
  <c r="AA32" i="34" s="1"/>
  <c r="R196" i="34"/>
  <c r="Z196" i="34" s="1"/>
  <c r="R180" i="34"/>
  <c r="R159" i="34"/>
  <c r="R144" i="34"/>
  <c r="Z144" i="34" s="1"/>
  <c r="R131" i="34"/>
  <c r="R114" i="34"/>
  <c r="R105" i="34"/>
  <c r="R90" i="34"/>
  <c r="R75" i="34"/>
  <c r="R67" i="34"/>
  <c r="Z67" i="34" s="1"/>
  <c r="R56" i="34"/>
  <c r="R40" i="34"/>
  <c r="Z40" i="34" s="1"/>
  <c r="R39" i="34"/>
  <c r="R19" i="34"/>
  <c r="R9" i="34"/>
  <c r="Q196" i="34"/>
  <c r="Q180" i="34"/>
  <c r="Q179" i="34" s="1"/>
  <c r="Q159" i="34"/>
  <c r="Q144" i="34"/>
  <c r="Q131" i="34"/>
  <c r="Q139" i="34" s="1"/>
  <c r="Q114" i="34"/>
  <c r="Q127" i="34" s="1"/>
  <c r="Q105" i="34"/>
  <c r="Q90" i="34"/>
  <c r="Q75" i="34"/>
  <c r="Q67" i="34"/>
  <c r="Q66" i="34" s="1"/>
  <c r="Q56" i="34"/>
  <c r="Q40" i="34"/>
  <c r="Q50" i="34" s="1"/>
  <c r="Q32" i="34"/>
  <c r="Q9" i="34"/>
  <c r="Q16" i="34" s="1"/>
  <c r="Q19" i="34"/>
  <c r="P192" i="34"/>
  <c r="P191" i="34"/>
  <c r="P190" i="34"/>
  <c r="P189" i="34"/>
  <c r="P188" i="34"/>
  <c r="Q52" i="34" l="1"/>
  <c r="R179" i="34"/>
  <c r="Q42" i="34"/>
  <c r="T8" i="34"/>
  <c r="Q119" i="34"/>
  <c r="Q113" i="34"/>
  <c r="Q54" i="34"/>
  <c r="T179" i="34"/>
  <c r="Q77" i="34"/>
  <c r="Q89" i="34"/>
  <c r="Q147" i="34"/>
  <c r="Q149" i="34"/>
  <c r="Q151" i="34"/>
  <c r="Q153" i="34"/>
  <c r="Q155" i="34"/>
  <c r="Q157" i="34"/>
  <c r="Q145" i="34"/>
  <c r="Q146" i="34"/>
  <c r="Q150" i="34"/>
  <c r="Q154" i="34"/>
  <c r="Q158" i="34"/>
  <c r="Q148" i="34"/>
  <c r="Q152" i="34"/>
  <c r="Q156" i="34"/>
  <c r="Q189" i="34"/>
  <c r="Q191" i="34"/>
  <c r="Q184" i="34"/>
  <c r="Q188" i="34"/>
  <c r="Q192" i="34"/>
  <c r="Q190" i="34"/>
  <c r="Z9" i="34"/>
  <c r="R16" i="34"/>
  <c r="Z56" i="34"/>
  <c r="AA56" i="34" s="1"/>
  <c r="S56" i="34"/>
  <c r="V56" i="34"/>
  <c r="R66" i="34"/>
  <c r="Z75" i="34"/>
  <c r="AA75" i="34" s="1"/>
  <c r="R89" i="34"/>
  <c r="S75" i="34"/>
  <c r="V75" i="34"/>
  <c r="U75" i="34"/>
  <c r="R77" i="34"/>
  <c r="R80" i="34"/>
  <c r="Z105" i="34"/>
  <c r="AA105" i="34" s="1"/>
  <c r="S105" i="34"/>
  <c r="V105" i="34"/>
  <c r="Z114" i="34"/>
  <c r="R133" i="34"/>
  <c r="R135" i="34"/>
  <c r="R137" i="34"/>
  <c r="R139" i="34"/>
  <c r="R141" i="34"/>
  <c r="R132" i="34"/>
  <c r="R117" i="34"/>
  <c r="R119" i="34"/>
  <c r="R121" i="34"/>
  <c r="R123" i="34"/>
  <c r="R125" i="34"/>
  <c r="R127" i="34"/>
  <c r="R129" i="34"/>
  <c r="R115" i="34"/>
  <c r="V114" i="34"/>
  <c r="U114" i="34"/>
  <c r="R136" i="34"/>
  <c r="R140" i="34"/>
  <c r="R116" i="34"/>
  <c r="R120" i="34"/>
  <c r="R124" i="34"/>
  <c r="R128" i="34"/>
  <c r="R134" i="34"/>
  <c r="R138" i="34"/>
  <c r="R142" i="34"/>
  <c r="R118" i="34"/>
  <c r="R122" i="34"/>
  <c r="R126" i="34"/>
  <c r="R130" i="34"/>
  <c r="S114" i="34"/>
  <c r="R143" i="34"/>
  <c r="V144" i="34"/>
  <c r="R146" i="34"/>
  <c r="R148" i="34"/>
  <c r="R150" i="34"/>
  <c r="R152" i="34"/>
  <c r="R154" i="34"/>
  <c r="R156" i="34"/>
  <c r="R158" i="34"/>
  <c r="S144" i="34"/>
  <c r="R147" i="34"/>
  <c r="R151" i="34"/>
  <c r="R155" i="34"/>
  <c r="R145" i="34"/>
  <c r="R149" i="34"/>
  <c r="R153" i="34"/>
  <c r="R157" i="34"/>
  <c r="S179" i="34"/>
  <c r="AA196" i="34"/>
  <c r="V196" i="34"/>
  <c r="R199" i="34"/>
  <c r="R201" i="34"/>
  <c r="R203" i="34"/>
  <c r="R200" i="34"/>
  <c r="R197" i="34"/>
  <c r="R198" i="34"/>
  <c r="R202" i="34"/>
  <c r="Q80" i="34"/>
  <c r="Q8" i="34"/>
  <c r="Q43" i="34"/>
  <c r="Q39" i="34"/>
  <c r="Q71" i="34"/>
  <c r="Q72" i="34"/>
  <c r="Q93" i="34"/>
  <c r="Q116" i="34"/>
  <c r="Q118" i="34"/>
  <c r="Q120" i="34"/>
  <c r="Q122" i="34"/>
  <c r="Q124" i="34"/>
  <c r="Q126" i="34"/>
  <c r="Q128" i="34"/>
  <c r="Q130" i="34"/>
  <c r="Q117" i="34"/>
  <c r="Q121" i="34"/>
  <c r="Q125" i="34"/>
  <c r="Q129" i="34"/>
  <c r="Q134" i="34"/>
  <c r="Q136" i="34"/>
  <c r="Q138" i="34"/>
  <c r="Q140" i="34"/>
  <c r="Q142" i="34"/>
  <c r="Q133" i="34"/>
  <c r="Q137" i="34"/>
  <c r="Q141" i="34"/>
  <c r="Q143" i="34"/>
  <c r="Q161" i="34"/>
  <c r="Q163" i="34"/>
  <c r="Q165" i="34"/>
  <c r="Q167" i="34"/>
  <c r="Q169" i="34"/>
  <c r="Q171" i="34"/>
  <c r="Q173" i="34"/>
  <c r="Q175" i="34"/>
  <c r="Q177" i="34"/>
  <c r="Q160" i="34"/>
  <c r="Q164" i="34"/>
  <c r="Q168" i="34"/>
  <c r="Q172" i="34"/>
  <c r="Q176" i="34"/>
  <c r="Q162" i="34"/>
  <c r="Q166" i="34"/>
  <c r="Q170" i="34"/>
  <c r="Q174" i="34"/>
  <c r="Q178" i="34"/>
  <c r="Q198" i="34"/>
  <c r="Q200" i="34"/>
  <c r="Q202" i="34"/>
  <c r="Q197" i="34"/>
  <c r="Q199" i="34"/>
  <c r="Q203" i="34"/>
  <c r="Q201" i="34"/>
  <c r="Z19" i="34"/>
  <c r="AA19" i="34" s="1"/>
  <c r="R42" i="34"/>
  <c r="R44" i="34"/>
  <c r="R54" i="34"/>
  <c r="R43" i="34"/>
  <c r="R47" i="34"/>
  <c r="R52" i="34"/>
  <c r="R50" i="34"/>
  <c r="AA67" i="34"/>
  <c r="V67" i="34"/>
  <c r="R72" i="34"/>
  <c r="S67" i="34"/>
  <c r="R71" i="34"/>
  <c r="Z90" i="34"/>
  <c r="V90" i="34"/>
  <c r="S90" i="34"/>
  <c r="R93" i="34"/>
  <c r="R113" i="34"/>
  <c r="Z131" i="34"/>
  <c r="AA131" i="34" s="1"/>
  <c r="V131" i="34"/>
  <c r="S131" i="34"/>
  <c r="Z159" i="34"/>
  <c r="AA159" i="34" s="1"/>
  <c r="R162" i="34"/>
  <c r="R164" i="34"/>
  <c r="R166" i="34"/>
  <c r="R168" i="34"/>
  <c r="R170" i="34"/>
  <c r="R172" i="34"/>
  <c r="R174" i="34"/>
  <c r="R176" i="34"/>
  <c r="R178" i="34"/>
  <c r="S159" i="34"/>
  <c r="V159" i="34"/>
  <c r="R161" i="34"/>
  <c r="R165" i="34"/>
  <c r="R169" i="34"/>
  <c r="R173" i="34"/>
  <c r="R177" i="34"/>
  <c r="R163" i="34"/>
  <c r="R167" i="34"/>
  <c r="R171" i="34"/>
  <c r="R175" i="34"/>
  <c r="R160" i="34"/>
  <c r="Z180" i="34"/>
  <c r="R184" i="34"/>
  <c r="R188" i="34"/>
  <c r="R190" i="34"/>
  <c r="R192" i="34"/>
  <c r="V180" i="34"/>
  <c r="R189" i="34"/>
  <c r="S180" i="34"/>
  <c r="R191" i="34"/>
  <c r="Q47" i="34"/>
  <c r="Q44" i="34"/>
  <c r="Q115" i="34"/>
  <c r="Q123" i="34"/>
  <c r="Q132" i="34"/>
  <c r="Q135" i="34"/>
  <c r="U67" i="34"/>
  <c r="T66" i="34"/>
  <c r="U105" i="34"/>
  <c r="U131" i="34"/>
  <c r="U159" i="34"/>
  <c r="U196" i="34"/>
  <c r="U56" i="34"/>
  <c r="U90" i="34"/>
  <c r="U144" i="34"/>
  <c r="U179" i="34"/>
  <c r="U180" i="34"/>
  <c r="T113" i="34"/>
  <c r="T143" i="34"/>
  <c r="T39" i="34"/>
  <c r="R8" i="34"/>
  <c r="P195" i="34"/>
  <c r="Q195" i="34" s="1"/>
  <c r="P194" i="34"/>
  <c r="Q194" i="34" s="1"/>
  <c r="P193" i="34"/>
  <c r="R193" i="34" s="1"/>
  <c r="V179" i="34" l="1"/>
  <c r="T204" i="34"/>
  <c r="U113" i="34"/>
  <c r="R194" i="34"/>
  <c r="Q204" i="34"/>
  <c r="R195" i="34"/>
  <c r="V143" i="34"/>
  <c r="S143" i="34"/>
  <c r="S66" i="34"/>
  <c r="V66" i="34"/>
  <c r="AA9" i="34"/>
  <c r="Z8" i="34"/>
  <c r="Q193" i="34"/>
  <c r="R204" i="34"/>
  <c r="S204" i="34" s="1"/>
  <c r="U143" i="34"/>
  <c r="U66" i="34"/>
  <c r="AA180" i="34"/>
  <c r="Z179" i="34"/>
  <c r="AA179" i="34" s="1"/>
  <c r="V113" i="34"/>
  <c r="S113" i="34"/>
  <c r="Z66" i="34"/>
  <c r="AA66" i="34" s="1"/>
  <c r="AA90" i="34"/>
  <c r="Z39" i="34"/>
  <c r="AA39" i="34" s="1"/>
  <c r="AA40" i="34"/>
  <c r="Z143" i="34"/>
  <c r="AA143" i="34" s="1"/>
  <c r="AA144" i="34"/>
  <c r="AA114" i="34"/>
  <c r="Z113" i="34"/>
  <c r="AA113" i="34" s="1"/>
  <c r="P187" i="34"/>
  <c r="P186" i="34"/>
  <c r="P185" i="34"/>
  <c r="P183" i="34"/>
  <c r="P182" i="34"/>
  <c r="P181" i="34"/>
  <c r="Q182" i="34" l="1"/>
  <c r="R182" i="34"/>
  <c r="R185" i="34"/>
  <c r="Q185" i="34"/>
  <c r="Q187" i="34"/>
  <c r="R187" i="34"/>
  <c r="Q181" i="34"/>
  <c r="R181" i="34"/>
  <c r="Q183" i="34"/>
  <c r="R183" i="34"/>
  <c r="Q186" i="34"/>
  <c r="R186" i="34"/>
  <c r="Z204" i="34"/>
  <c r="AA8" i="34"/>
  <c r="P88" i="34"/>
  <c r="P87" i="34"/>
  <c r="P86" i="34"/>
  <c r="P85" i="34"/>
  <c r="P84" i="34"/>
  <c r="P82" i="34"/>
  <c r="P81" i="34"/>
  <c r="P79" i="34"/>
  <c r="P78" i="34"/>
  <c r="P83" i="34"/>
  <c r="P76" i="34"/>
  <c r="Q83" i="34" l="1"/>
  <c r="R83" i="34"/>
  <c r="Q79" i="34"/>
  <c r="R79" i="34"/>
  <c r="R82" i="34"/>
  <c r="Q82" i="34"/>
  <c r="R85" i="34"/>
  <c r="Q85" i="34"/>
  <c r="Q87" i="34"/>
  <c r="R87" i="34"/>
  <c r="Q76" i="34"/>
  <c r="R76" i="34"/>
  <c r="Q78" i="34"/>
  <c r="R78" i="34"/>
  <c r="R81" i="34"/>
  <c r="Q81" i="34"/>
  <c r="R84" i="34"/>
  <c r="Q84" i="34"/>
  <c r="Q86" i="34"/>
  <c r="R86" i="34"/>
  <c r="R88" i="34"/>
  <c r="Q88" i="34"/>
  <c r="P111" i="34"/>
  <c r="P109" i="34"/>
  <c r="P108" i="34"/>
  <c r="P107" i="34"/>
  <c r="P106" i="34"/>
  <c r="P104" i="34"/>
  <c r="P92" i="34"/>
  <c r="P94" i="34"/>
  <c r="P95" i="34"/>
  <c r="P96" i="34"/>
  <c r="P97" i="34"/>
  <c r="P98" i="34"/>
  <c r="P101" i="34"/>
  <c r="P102" i="34"/>
  <c r="P91" i="34"/>
  <c r="P74" i="34"/>
  <c r="P73" i="34"/>
  <c r="P70" i="34"/>
  <c r="P69" i="34"/>
  <c r="P68" i="34"/>
  <c r="Q68" i="34" l="1"/>
  <c r="R68" i="34"/>
  <c r="R70" i="34"/>
  <c r="Q70" i="34"/>
  <c r="Q74" i="34"/>
  <c r="R74" i="34"/>
  <c r="R102" i="34"/>
  <c r="Q102" i="34"/>
  <c r="Q98" i="34"/>
  <c r="R98" i="34"/>
  <c r="Q96" i="34"/>
  <c r="R96" i="34"/>
  <c r="R94" i="34"/>
  <c r="Q94" i="34"/>
  <c r="Q104" i="34"/>
  <c r="R104" i="34"/>
  <c r="Q107" i="34"/>
  <c r="R107" i="34"/>
  <c r="Q109" i="34"/>
  <c r="R109" i="34"/>
  <c r="Q69" i="34"/>
  <c r="R69" i="34"/>
  <c r="R73" i="34"/>
  <c r="Q73" i="34"/>
  <c r="Q91" i="34"/>
  <c r="R91" i="34"/>
  <c r="Q101" i="34"/>
  <c r="R101" i="34"/>
  <c r="Q97" i="34"/>
  <c r="R97" i="34"/>
  <c r="R95" i="34"/>
  <c r="Q95" i="34"/>
  <c r="R92" i="34"/>
  <c r="Q92" i="34"/>
  <c r="Q106" i="34"/>
  <c r="R106" i="34"/>
  <c r="Q108" i="34"/>
  <c r="R108" i="34"/>
  <c r="R111" i="34"/>
  <c r="Q111" i="34"/>
  <c r="P55" i="34"/>
  <c r="R55" i="34" l="1"/>
  <c r="Q55" i="34"/>
  <c r="P65" i="34"/>
  <c r="P64" i="34"/>
  <c r="P63" i="34"/>
  <c r="P58" i="34"/>
  <c r="P57" i="34"/>
  <c r="P53" i="34"/>
  <c r="R53" i="34" l="1"/>
  <c r="Q53" i="34"/>
  <c r="R58" i="34"/>
  <c r="Q58" i="34"/>
  <c r="R64" i="34"/>
  <c r="Q64" i="34"/>
  <c r="Q57" i="34"/>
  <c r="R57" i="34"/>
  <c r="R63" i="34"/>
  <c r="Q63" i="34"/>
  <c r="Q65" i="34"/>
  <c r="R65" i="34"/>
  <c r="P51" i="34"/>
  <c r="P48" i="34"/>
  <c r="P46" i="34"/>
  <c r="P45" i="34"/>
  <c r="P49" i="34"/>
  <c r="P41" i="34"/>
  <c r="Q41" i="34" l="1"/>
  <c r="R41" i="34"/>
  <c r="R45" i="34"/>
  <c r="Q45" i="34"/>
  <c r="Q48" i="34"/>
  <c r="R48" i="34"/>
  <c r="Q49" i="34"/>
  <c r="R49" i="34"/>
  <c r="Q46" i="34"/>
  <c r="R46" i="34"/>
  <c r="R51" i="34"/>
  <c r="Q51" i="34"/>
  <c r="P38" i="34"/>
  <c r="P37" i="34"/>
  <c r="P36" i="34"/>
  <c r="P35" i="34"/>
  <c r="P34" i="34"/>
  <c r="P33" i="34"/>
  <c r="Q33" i="34" l="1"/>
  <c r="R33" i="34"/>
  <c r="Q35" i="34"/>
  <c r="R35" i="34"/>
  <c r="Q37" i="34"/>
  <c r="R37" i="34"/>
  <c r="R34" i="34"/>
  <c r="Q34" i="34"/>
  <c r="R36" i="34"/>
  <c r="Q36" i="34"/>
  <c r="R38" i="34"/>
  <c r="Q38" i="34"/>
  <c r="P31" i="34"/>
  <c r="P30" i="34"/>
  <c r="P29" i="34"/>
  <c r="P28" i="34"/>
  <c r="P27" i="34"/>
  <c r="P26" i="34"/>
  <c r="P25" i="34"/>
  <c r="P23" i="34"/>
  <c r="P21" i="34"/>
  <c r="P22" i="34"/>
  <c r="P24" i="34"/>
  <c r="P20" i="34"/>
  <c r="P18" i="34"/>
  <c r="P17" i="34"/>
  <c r="P15" i="34"/>
  <c r="P14" i="34"/>
  <c r="P13" i="34"/>
  <c r="P12" i="34"/>
  <c r="P11" i="34"/>
  <c r="P10" i="34"/>
  <c r="R10" i="34" l="1"/>
  <c r="Q10" i="34"/>
  <c r="Q12" i="34"/>
  <c r="R12" i="34"/>
  <c r="Q14" i="34"/>
  <c r="R14" i="34"/>
  <c r="R17" i="34"/>
  <c r="Q17" i="34"/>
  <c r="R20" i="34"/>
  <c r="Q20" i="34"/>
  <c r="R22" i="34"/>
  <c r="Q22" i="34"/>
  <c r="R23" i="34"/>
  <c r="Q23" i="34"/>
  <c r="R26" i="34"/>
  <c r="Q26" i="34"/>
  <c r="Q28" i="34"/>
  <c r="R28" i="34"/>
  <c r="R30" i="34"/>
  <c r="Q30" i="34"/>
  <c r="Q11" i="34"/>
  <c r="R11" i="34"/>
  <c r="R13" i="34"/>
  <c r="Q13" i="34"/>
  <c r="R15" i="34"/>
  <c r="Q15" i="34"/>
  <c r="Q18" i="34"/>
  <c r="R18" i="34"/>
  <c r="Q24" i="34"/>
  <c r="R24" i="34"/>
  <c r="Q21" i="34"/>
  <c r="R21" i="34"/>
  <c r="R25" i="34"/>
  <c r="Q25" i="34"/>
  <c r="Q27" i="34"/>
  <c r="R27" i="34"/>
  <c r="R29" i="34"/>
  <c r="Q29" i="34"/>
  <c r="R31" i="34"/>
  <c r="Q31" i="34"/>
  <c r="AB100" i="37"/>
  <c r="AA100" i="37"/>
  <c r="Z100" i="37"/>
  <c r="Y100" i="37"/>
  <c r="AB99" i="37"/>
  <c r="AA99" i="37"/>
  <c r="Z99" i="37"/>
  <c r="Y99" i="37"/>
  <c r="AB98" i="37"/>
  <c r="AA98" i="37"/>
  <c r="Z98" i="37"/>
  <c r="Y98" i="37"/>
  <c r="AB97" i="37"/>
  <c r="AA97" i="37"/>
  <c r="Z97" i="37"/>
  <c r="Y97" i="37"/>
  <c r="AB96" i="37"/>
  <c r="AA96" i="37"/>
  <c r="Z96" i="37"/>
  <c r="Y96" i="37"/>
  <c r="T95" i="37"/>
  <c r="S95" i="37"/>
  <c r="R95" i="37"/>
  <c r="Q95" i="37"/>
  <c r="P95" i="37"/>
  <c r="AB95" i="37" s="1"/>
  <c r="O95" i="37"/>
  <c r="AA95" i="37" s="1"/>
  <c r="N95" i="37"/>
  <c r="Z95" i="37" s="1"/>
  <c r="M95" i="37"/>
  <c r="Y95" i="37" s="1"/>
  <c r="T94" i="37"/>
  <c r="S94" i="37"/>
  <c r="R94" i="37"/>
  <c r="Q94" i="37"/>
  <c r="P94" i="37"/>
  <c r="AB94" i="37" s="1"/>
  <c r="O94" i="37"/>
  <c r="AA94" i="37" s="1"/>
  <c r="N94" i="37"/>
  <c r="Z94" i="37" s="1"/>
  <c r="M94" i="37"/>
  <c r="Y94" i="37" s="1"/>
  <c r="T93" i="37"/>
  <c r="S93" i="37"/>
  <c r="R93" i="37"/>
  <c r="Q93" i="37"/>
  <c r="P93" i="37"/>
  <c r="AB93" i="37" s="1"/>
  <c r="O93" i="37"/>
  <c r="AA93" i="37" s="1"/>
  <c r="N93" i="37"/>
  <c r="Z93" i="37" s="1"/>
  <c r="M93" i="37"/>
  <c r="Y93" i="37" s="1"/>
  <c r="AB92" i="37"/>
  <c r="AA92" i="37"/>
  <c r="Z92" i="37"/>
  <c r="Y92" i="37"/>
  <c r="T91" i="37"/>
  <c r="S91" i="37"/>
  <c r="R91" i="37"/>
  <c r="Q91" i="37"/>
  <c r="P91" i="37"/>
  <c r="AB91" i="37" s="1"/>
  <c r="O91" i="37"/>
  <c r="AA91" i="37" s="1"/>
  <c r="N91" i="37"/>
  <c r="Z91" i="37" s="1"/>
  <c r="M91" i="37"/>
  <c r="Y91" i="37" s="1"/>
  <c r="T90" i="37"/>
  <c r="S90" i="37"/>
  <c r="R90" i="37"/>
  <c r="Q90" i="37"/>
  <c r="P90" i="37"/>
  <c r="AB90" i="37" s="1"/>
  <c r="O90" i="37"/>
  <c r="AA90" i="37" s="1"/>
  <c r="N90" i="37"/>
  <c r="Z90" i="37" s="1"/>
  <c r="M90" i="37"/>
  <c r="Y90" i="37" s="1"/>
  <c r="T89" i="37"/>
  <c r="S89" i="37"/>
  <c r="R89" i="37"/>
  <c r="Q89" i="37"/>
  <c r="P89" i="37"/>
  <c r="AB89" i="37" s="1"/>
  <c r="O89" i="37"/>
  <c r="AA89" i="37" s="1"/>
  <c r="N89" i="37"/>
  <c r="Z89" i="37" s="1"/>
  <c r="M89" i="37"/>
  <c r="Y89" i="37" s="1"/>
  <c r="T88" i="37"/>
  <c r="S88" i="37"/>
  <c r="R88" i="37"/>
  <c r="Q88" i="37"/>
  <c r="P88" i="37"/>
  <c r="AB88" i="37" s="1"/>
  <c r="O88" i="37"/>
  <c r="AA88" i="37" s="1"/>
  <c r="N88" i="37"/>
  <c r="Z88" i="37" s="1"/>
  <c r="M88" i="37"/>
  <c r="Y88" i="37" s="1"/>
  <c r="AB87" i="37"/>
  <c r="AA87" i="37"/>
  <c r="Z87" i="37"/>
  <c r="Y87" i="37"/>
  <c r="T86" i="37"/>
  <c r="S86" i="37"/>
  <c r="R86" i="37"/>
  <c r="Q86" i="37"/>
  <c r="P86" i="37"/>
  <c r="AB86" i="37" s="1"/>
  <c r="O86" i="37"/>
  <c r="AA86" i="37" s="1"/>
  <c r="N86" i="37"/>
  <c r="Z86" i="37" s="1"/>
  <c r="M86" i="37"/>
  <c r="Y86" i="37" s="1"/>
  <c r="T85" i="37"/>
  <c r="S85" i="37"/>
  <c r="R85" i="37"/>
  <c r="Q85" i="37"/>
  <c r="P85" i="37"/>
  <c r="AB85" i="37" s="1"/>
  <c r="O85" i="37"/>
  <c r="AA85" i="37" s="1"/>
  <c r="N85" i="37"/>
  <c r="Z85" i="37" s="1"/>
  <c r="M85" i="37"/>
  <c r="Y85" i="37" s="1"/>
  <c r="T84" i="37"/>
  <c r="S84" i="37"/>
  <c r="R84" i="37"/>
  <c r="Q84" i="37"/>
  <c r="P84" i="37"/>
  <c r="AB84" i="37" s="1"/>
  <c r="O84" i="37"/>
  <c r="AA84" i="37" s="1"/>
  <c r="N84" i="37"/>
  <c r="Z84" i="37" s="1"/>
  <c r="M84" i="37"/>
  <c r="Y84" i="37" s="1"/>
  <c r="AB83" i="37"/>
  <c r="AA83" i="37"/>
  <c r="Z83" i="37"/>
  <c r="Y83" i="37"/>
  <c r="T82" i="37"/>
  <c r="S82" i="37"/>
  <c r="R82" i="37"/>
  <c r="Q82" i="37"/>
  <c r="P82" i="37"/>
  <c r="AB82" i="37" s="1"/>
  <c r="O82" i="37"/>
  <c r="AA82" i="37" s="1"/>
  <c r="N82" i="37"/>
  <c r="Z82" i="37" s="1"/>
  <c r="M82" i="37"/>
  <c r="Y82" i="37" s="1"/>
  <c r="T81" i="37"/>
  <c r="S81" i="37"/>
  <c r="R81" i="37"/>
  <c r="Q81" i="37"/>
  <c r="P81" i="37"/>
  <c r="AB81" i="37" s="1"/>
  <c r="O81" i="37"/>
  <c r="AA81" i="37" s="1"/>
  <c r="N81" i="37"/>
  <c r="Z81" i="37" s="1"/>
  <c r="M81" i="37"/>
  <c r="Y81" i="37" s="1"/>
  <c r="T80" i="37"/>
  <c r="S80" i="37"/>
  <c r="R80" i="37"/>
  <c r="Q80" i="37"/>
  <c r="P80" i="37"/>
  <c r="AB80" i="37" s="1"/>
  <c r="O80" i="37"/>
  <c r="AA80" i="37" s="1"/>
  <c r="N80" i="37"/>
  <c r="Z80" i="37" s="1"/>
  <c r="M80" i="37"/>
  <c r="Y80" i="37" s="1"/>
  <c r="T79" i="37"/>
  <c r="S79" i="37"/>
  <c r="R79" i="37"/>
  <c r="Q79" i="37"/>
  <c r="P79" i="37"/>
  <c r="AB79" i="37" s="1"/>
  <c r="O79" i="37"/>
  <c r="AA79" i="37" s="1"/>
  <c r="N79" i="37"/>
  <c r="Z79" i="37" s="1"/>
  <c r="M79" i="37"/>
  <c r="Y79" i="37" s="1"/>
  <c r="AB78" i="37"/>
  <c r="AA78" i="37"/>
  <c r="Z78" i="37"/>
  <c r="Y78" i="37"/>
  <c r="AB77" i="37"/>
  <c r="AA77" i="37"/>
  <c r="Z77" i="37"/>
  <c r="Y77" i="37"/>
  <c r="AB76" i="37"/>
  <c r="AA76" i="37"/>
  <c r="Z76" i="37"/>
  <c r="Y76" i="37"/>
  <c r="AB75" i="37"/>
  <c r="AA75" i="37"/>
  <c r="Z75" i="37"/>
  <c r="Y75" i="37"/>
  <c r="AB74" i="37"/>
  <c r="AA74" i="37"/>
  <c r="Z74" i="37"/>
  <c r="Y74" i="37"/>
  <c r="AB73" i="37"/>
  <c r="AA73" i="37"/>
  <c r="Z73" i="37"/>
  <c r="Y73" i="37"/>
  <c r="AB72" i="37"/>
  <c r="AA72" i="37"/>
  <c r="Z72" i="37"/>
  <c r="Y72" i="37"/>
  <c r="AB71" i="37"/>
  <c r="AA71" i="37"/>
  <c r="Z71" i="37"/>
  <c r="Y71" i="37"/>
  <c r="AA70" i="37"/>
  <c r="Y70" i="37"/>
  <c r="Q70" i="37"/>
  <c r="P70" i="37"/>
  <c r="AB70" i="37" s="1"/>
  <c r="O70" i="37"/>
  <c r="N70" i="37"/>
  <c r="Z70" i="37" s="1"/>
  <c r="M70" i="37"/>
  <c r="Q69" i="37"/>
  <c r="Q68" i="37" s="1"/>
  <c r="Q50" i="37" s="1"/>
  <c r="O69" i="37"/>
  <c r="AA69" i="37" s="1"/>
  <c r="M69" i="37"/>
  <c r="Y69" i="37" s="1"/>
  <c r="AB67" i="37"/>
  <c r="AA67" i="37"/>
  <c r="Z67" i="37"/>
  <c r="Y67" i="37"/>
  <c r="AB66" i="37"/>
  <c r="AA66" i="37"/>
  <c r="Z66" i="37"/>
  <c r="Y66" i="37"/>
  <c r="AB65" i="37"/>
  <c r="AA65" i="37"/>
  <c r="Z65" i="37"/>
  <c r="Y65" i="37"/>
  <c r="AB64" i="37"/>
  <c r="AA64" i="37"/>
  <c r="Z64" i="37"/>
  <c r="Y64" i="37"/>
  <c r="AB63" i="37"/>
  <c r="AA63" i="37"/>
  <c r="Z63" i="37"/>
  <c r="Y63" i="37"/>
  <c r="AB62" i="37"/>
  <c r="AA62" i="37"/>
  <c r="Z62" i="37"/>
  <c r="Y62" i="37"/>
  <c r="AB61" i="37"/>
  <c r="AA61" i="37"/>
  <c r="Z61" i="37"/>
  <c r="Y61" i="37"/>
  <c r="AB60" i="37"/>
  <c r="AA60" i="37"/>
  <c r="Z60" i="37"/>
  <c r="Y60" i="37"/>
  <c r="AB59" i="37"/>
  <c r="AA59" i="37"/>
  <c r="Z59" i="37"/>
  <c r="Y59" i="37"/>
  <c r="AB58" i="37"/>
  <c r="AA58" i="37"/>
  <c r="Z58" i="37"/>
  <c r="Y58" i="37"/>
  <c r="AB57" i="37"/>
  <c r="AA57" i="37"/>
  <c r="Z57" i="37"/>
  <c r="Y57" i="37"/>
  <c r="AB56" i="37"/>
  <c r="AA56" i="37"/>
  <c r="Z56" i="37"/>
  <c r="Y56" i="37"/>
  <c r="AB55" i="37"/>
  <c r="AA55" i="37"/>
  <c r="Z55" i="37"/>
  <c r="Y55" i="37"/>
  <c r="AB54" i="37"/>
  <c r="AA54" i="37"/>
  <c r="Z54" i="37"/>
  <c r="Y54" i="37"/>
  <c r="AB53" i="37"/>
  <c r="AA53" i="37"/>
  <c r="Z53" i="37"/>
  <c r="Y53" i="37"/>
  <c r="AB52" i="37"/>
  <c r="AA52" i="37"/>
  <c r="Z52" i="37"/>
  <c r="Y52" i="37"/>
  <c r="AB51" i="37"/>
  <c r="AA51" i="37"/>
  <c r="Z51" i="37"/>
  <c r="Y51" i="37"/>
  <c r="T50" i="37"/>
  <c r="S50" i="37"/>
  <c r="R50" i="37"/>
  <c r="L50" i="37"/>
  <c r="K50" i="37"/>
  <c r="J50" i="37"/>
  <c r="I50" i="37"/>
  <c r="AB49" i="37"/>
  <c r="AA49" i="37"/>
  <c r="Z49" i="37"/>
  <c r="Y49" i="37"/>
  <c r="AB48" i="37"/>
  <c r="AA48" i="37"/>
  <c r="Z48" i="37"/>
  <c r="Y48" i="37"/>
  <c r="AB47" i="37"/>
  <c r="AA47" i="37"/>
  <c r="Z47" i="37"/>
  <c r="Y47" i="37"/>
  <c r="AB46" i="37"/>
  <c r="AA46" i="37"/>
  <c r="Z46" i="37"/>
  <c r="Y46" i="37"/>
  <c r="X45" i="37"/>
  <c r="W45" i="37"/>
  <c r="V45" i="37"/>
  <c r="U45" i="37"/>
  <c r="T45" i="37"/>
  <c r="S45" i="37"/>
  <c r="R45" i="37"/>
  <c r="Q45" i="37"/>
  <c r="P45" i="37"/>
  <c r="O45" i="37"/>
  <c r="N45" i="37"/>
  <c r="M45" i="37"/>
  <c r="L45" i="37"/>
  <c r="AB45" i="37" s="1"/>
  <c r="K45" i="37"/>
  <c r="AA45" i="37" s="1"/>
  <c r="J45" i="37"/>
  <c r="Z45" i="37" s="1"/>
  <c r="I45" i="37"/>
  <c r="Y45" i="37" s="1"/>
  <c r="AB44" i="37"/>
  <c r="AA44" i="37"/>
  <c r="Z44" i="37"/>
  <c r="Y44" i="37"/>
  <c r="AB43" i="37"/>
  <c r="AA43" i="37"/>
  <c r="Z43" i="37"/>
  <c r="Y43" i="37"/>
  <c r="AB42" i="37"/>
  <c r="AA42" i="37"/>
  <c r="Z42" i="37"/>
  <c r="Y42" i="37"/>
  <c r="X41" i="37"/>
  <c r="W41" i="37"/>
  <c r="V41" i="37"/>
  <c r="U41" i="37"/>
  <c r="T41" i="37"/>
  <c r="S41" i="37"/>
  <c r="R41" i="37"/>
  <c r="Q41" i="37"/>
  <c r="P41" i="37"/>
  <c r="O41" i="37"/>
  <c r="N41" i="37"/>
  <c r="M41" i="37"/>
  <c r="L41" i="37"/>
  <c r="AB41" i="37" s="1"/>
  <c r="K41" i="37"/>
  <c r="AA41" i="37" s="1"/>
  <c r="J41" i="37"/>
  <c r="Z41" i="37" s="1"/>
  <c r="I41" i="37"/>
  <c r="Y41" i="37" s="1"/>
  <c r="X40" i="37"/>
  <c r="W40" i="37"/>
  <c r="V40" i="37"/>
  <c r="U40" i="37"/>
  <c r="T40" i="37"/>
  <c r="S40" i="37"/>
  <c r="R40" i="37"/>
  <c r="Q40" i="37"/>
  <c r="P40" i="37"/>
  <c r="O40" i="37"/>
  <c r="N40" i="37"/>
  <c r="M40" i="37"/>
  <c r="L40" i="37"/>
  <c r="AB40" i="37" s="1"/>
  <c r="K40" i="37"/>
  <c r="AA40" i="37" s="1"/>
  <c r="J40" i="37"/>
  <c r="Z40" i="37" s="1"/>
  <c r="I40" i="37"/>
  <c r="Y40" i="37" s="1"/>
  <c r="AB39" i="37"/>
  <c r="AA39" i="37"/>
  <c r="Z39" i="37"/>
  <c r="Y39" i="37"/>
  <c r="AB38" i="37"/>
  <c r="AA38" i="37"/>
  <c r="Z38" i="37"/>
  <c r="Y38" i="37"/>
  <c r="AB37" i="37"/>
  <c r="AA37" i="37"/>
  <c r="Z37" i="37"/>
  <c r="Y37" i="37"/>
  <c r="X36" i="37"/>
  <c r="W36" i="37"/>
  <c r="V36" i="37"/>
  <c r="U36" i="37"/>
  <c r="T36" i="37"/>
  <c r="S36" i="37"/>
  <c r="R36" i="37"/>
  <c r="Q36" i="37"/>
  <c r="P36" i="37"/>
  <c r="O36" i="37"/>
  <c r="N36" i="37"/>
  <c r="M36" i="37"/>
  <c r="L36" i="37"/>
  <c r="AB36" i="37" s="1"/>
  <c r="K36" i="37"/>
  <c r="AA36" i="37" s="1"/>
  <c r="J36" i="37"/>
  <c r="Z36" i="37" s="1"/>
  <c r="I36" i="37"/>
  <c r="Y36" i="37" s="1"/>
  <c r="AB35" i="37"/>
  <c r="AA35" i="37"/>
  <c r="Z35" i="37"/>
  <c r="Y35" i="37"/>
  <c r="X34" i="37"/>
  <c r="W34" i="37"/>
  <c r="V34" i="37"/>
  <c r="U34" i="37"/>
  <c r="T34" i="37"/>
  <c r="S34" i="37"/>
  <c r="R34" i="37"/>
  <c r="Q34" i="37"/>
  <c r="P34" i="37"/>
  <c r="O34" i="37"/>
  <c r="N34" i="37"/>
  <c r="M34" i="37"/>
  <c r="L34" i="37"/>
  <c r="AB34" i="37" s="1"/>
  <c r="K34" i="37"/>
  <c r="AA34" i="37" s="1"/>
  <c r="J34" i="37"/>
  <c r="Z34" i="37" s="1"/>
  <c r="I34" i="37"/>
  <c r="Y34" i="37" s="1"/>
  <c r="AB33" i="37"/>
  <c r="AA33" i="37"/>
  <c r="Z33" i="37"/>
  <c r="Y33" i="37"/>
  <c r="X32" i="37"/>
  <c r="W32" i="37"/>
  <c r="V32" i="37"/>
  <c r="U32" i="37"/>
  <c r="T32" i="37"/>
  <c r="S32" i="37"/>
  <c r="R32" i="37"/>
  <c r="Q32" i="37"/>
  <c r="P32" i="37"/>
  <c r="O32" i="37"/>
  <c r="N32" i="37"/>
  <c r="M32" i="37"/>
  <c r="L32" i="37"/>
  <c r="AB32" i="37" s="1"/>
  <c r="K32" i="37"/>
  <c r="AA32" i="37" s="1"/>
  <c r="J32" i="37"/>
  <c r="Z32" i="37" s="1"/>
  <c r="I32" i="37"/>
  <c r="Y32" i="37" s="1"/>
  <c r="AB31" i="37"/>
  <c r="AA31" i="37"/>
  <c r="Z31" i="37"/>
  <c r="Y31" i="37"/>
  <c r="AB30" i="37"/>
  <c r="AA30" i="37"/>
  <c r="Z30" i="37"/>
  <c r="Y30" i="37"/>
  <c r="X29" i="37"/>
  <c r="W29" i="37"/>
  <c r="V29" i="37"/>
  <c r="U29" i="37"/>
  <c r="T29" i="37"/>
  <c r="S29" i="37"/>
  <c r="R29" i="37"/>
  <c r="Q29" i="37"/>
  <c r="P29" i="37"/>
  <c r="O29" i="37"/>
  <c r="N29" i="37"/>
  <c r="M29" i="37"/>
  <c r="L29" i="37"/>
  <c r="AB29" i="37" s="1"/>
  <c r="K29" i="37"/>
  <c r="AA29" i="37" s="1"/>
  <c r="J29" i="37"/>
  <c r="Z29" i="37" s="1"/>
  <c r="I29" i="37"/>
  <c r="Y29" i="37" s="1"/>
  <c r="X28" i="37"/>
  <c r="W28" i="37"/>
  <c r="V28" i="37"/>
  <c r="U28" i="37"/>
  <c r="T28" i="37"/>
  <c r="S28" i="37"/>
  <c r="R28" i="37"/>
  <c r="Q28" i="37"/>
  <c r="P28" i="37"/>
  <c r="O28" i="37"/>
  <c r="N28" i="37"/>
  <c r="M28" i="37"/>
  <c r="L28" i="37"/>
  <c r="AB28" i="37" s="1"/>
  <c r="K28" i="37"/>
  <c r="AA28" i="37" s="1"/>
  <c r="J28" i="37"/>
  <c r="Z28" i="37" s="1"/>
  <c r="I28" i="37"/>
  <c r="Y28" i="37" s="1"/>
  <c r="X27" i="37"/>
  <c r="W27" i="37"/>
  <c r="V27" i="37"/>
  <c r="U27" i="37"/>
  <c r="T27" i="37"/>
  <c r="S27" i="37"/>
  <c r="R27" i="37"/>
  <c r="Q27" i="37"/>
  <c r="P27" i="37"/>
  <c r="O27" i="37"/>
  <c r="N27" i="37"/>
  <c r="M27" i="37"/>
  <c r="L27" i="37"/>
  <c r="AB27" i="37" s="1"/>
  <c r="K27" i="37"/>
  <c r="AA27" i="37" s="1"/>
  <c r="J27" i="37"/>
  <c r="Z27" i="37" s="1"/>
  <c r="I27" i="37"/>
  <c r="Y27" i="37" s="1"/>
  <c r="AB26" i="37"/>
  <c r="AA26" i="37"/>
  <c r="Z26" i="37"/>
  <c r="Y26" i="37"/>
  <c r="AB25" i="37"/>
  <c r="AA25" i="37"/>
  <c r="Z25" i="37"/>
  <c r="Y25" i="37"/>
  <c r="X24" i="37"/>
  <c r="W24" i="37"/>
  <c r="V24" i="37"/>
  <c r="U24" i="37"/>
  <c r="T24" i="37"/>
  <c r="S24" i="37"/>
  <c r="R24" i="37"/>
  <c r="Q24" i="37"/>
  <c r="P24" i="37"/>
  <c r="O24" i="37"/>
  <c r="N24" i="37"/>
  <c r="M24" i="37"/>
  <c r="L24" i="37"/>
  <c r="AB24" i="37" s="1"/>
  <c r="K24" i="37"/>
  <c r="AA24" i="37" s="1"/>
  <c r="J24" i="37"/>
  <c r="Z24" i="37" s="1"/>
  <c r="I24" i="37"/>
  <c r="Y24" i="37" s="1"/>
  <c r="AB23" i="37"/>
  <c r="AA23" i="37"/>
  <c r="Z23" i="37"/>
  <c r="Y23" i="37"/>
  <c r="AB22" i="37"/>
  <c r="AA22" i="37"/>
  <c r="Z22" i="37"/>
  <c r="Y22" i="37"/>
  <c r="X21" i="37"/>
  <c r="W21" i="37"/>
  <c r="V21" i="37"/>
  <c r="U21" i="37"/>
  <c r="T21" i="37"/>
  <c r="S21" i="37"/>
  <c r="R21" i="37"/>
  <c r="Q21" i="37"/>
  <c r="P21" i="37"/>
  <c r="AB21" i="37" s="1"/>
  <c r="O21" i="37"/>
  <c r="AA21" i="37" s="1"/>
  <c r="N21" i="37"/>
  <c r="Z21" i="37" s="1"/>
  <c r="M21" i="37"/>
  <c r="Y21" i="37" s="1"/>
  <c r="X20" i="37"/>
  <c r="W20" i="37"/>
  <c r="V20" i="37"/>
  <c r="U20" i="37"/>
  <c r="T20" i="37"/>
  <c r="S20" i="37"/>
  <c r="R20" i="37"/>
  <c r="Q20" i="37"/>
  <c r="P20" i="37"/>
  <c r="O20" i="37"/>
  <c r="N20" i="37"/>
  <c r="M20" i="37"/>
  <c r="L20" i="37"/>
  <c r="AB20" i="37" s="1"/>
  <c r="K20" i="37"/>
  <c r="AA20" i="37" s="1"/>
  <c r="J20" i="37"/>
  <c r="Z20" i="37" s="1"/>
  <c r="I20" i="37"/>
  <c r="Y20" i="37" s="1"/>
  <c r="AB19" i="37"/>
  <c r="AA19" i="37"/>
  <c r="Z19" i="37"/>
  <c r="Y19" i="37"/>
  <c r="AB18" i="37"/>
  <c r="AA18" i="37"/>
  <c r="Z18" i="37"/>
  <c r="Y18" i="37"/>
  <c r="L17" i="37"/>
  <c r="AB17" i="37" s="1"/>
  <c r="K17" i="37"/>
  <c r="AA17" i="37" s="1"/>
  <c r="J17" i="37"/>
  <c r="Z17" i="37" s="1"/>
  <c r="I17" i="37"/>
  <c r="Y17" i="37" s="1"/>
  <c r="AB16" i="37"/>
  <c r="AA16" i="37"/>
  <c r="Z16" i="37"/>
  <c r="Y16" i="37"/>
  <c r="X15" i="37"/>
  <c r="W15" i="37"/>
  <c r="V15" i="37"/>
  <c r="U15" i="37"/>
  <c r="T15" i="37"/>
  <c r="S15" i="37"/>
  <c r="R15" i="37"/>
  <c r="Q15" i="37"/>
  <c r="P15" i="37"/>
  <c r="O15" i="37"/>
  <c r="N15" i="37"/>
  <c r="M15" i="37"/>
  <c r="L15" i="37"/>
  <c r="AB15" i="37" s="1"/>
  <c r="K15" i="37"/>
  <c r="AA15" i="37" s="1"/>
  <c r="J15" i="37"/>
  <c r="Z15" i="37" s="1"/>
  <c r="I15" i="37"/>
  <c r="Y15" i="37" s="1"/>
  <c r="AB14" i="37"/>
  <c r="AA14" i="37"/>
  <c r="Z14" i="37"/>
  <c r="Y14" i="37"/>
  <c r="AB13" i="37"/>
  <c r="AA13" i="37"/>
  <c r="Z13" i="37"/>
  <c r="Y13" i="37"/>
  <c r="X12" i="37"/>
  <c r="W12" i="37"/>
  <c r="V12" i="37"/>
  <c r="U12" i="37"/>
  <c r="T12" i="37"/>
  <c r="S12" i="37"/>
  <c r="R12" i="37"/>
  <c r="Q12" i="37"/>
  <c r="P12" i="37"/>
  <c r="O12" i="37"/>
  <c r="N12" i="37"/>
  <c r="M12" i="37"/>
  <c r="L12" i="37"/>
  <c r="AB12" i="37" s="1"/>
  <c r="K12" i="37"/>
  <c r="AA12" i="37" s="1"/>
  <c r="J12" i="37"/>
  <c r="Z12" i="37" s="1"/>
  <c r="I12" i="37"/>
  <c r="Y12" i="37" s="1"/>
  <c r="X11" i="37"/>
  <c r="W11" i="37"/>
  <c r="V11" i="37"/>
  <c r="U11" i="37"/>
  <c r="T11" i="37"/>
  <c r="S11" i="37"/>
  <c r="R11" i="37"/>
  <c r="Q11" i="37"/>
  <c r="P11" i="37"/>
  <c r="O11" i="37"/>
  <c r="N11" i="37"/>
  <c r="M11" i="37"/>
  <c r="L11" i="37"/>
  <c r="AB11" i="37" s="1"/>
  <c r="K11" i="37"/>
  <c r="AA11" i="37" s="1"/>
  <c r="J11" i="37"/>
  <c r="Z11" i="37" s="1"/>
  <c r="I11" i="37"/>
  <c r="Y11" i="37" s="1"/>
  <c r="X10" i="37"/>
  <c r="W10" i="37"/>
  <c r="V10" i="37"/>
  <c r="U10" i="37"/>
  <c r="T10" i="37"/>
  <c r="S10" i="37"/>
  <c r="R10" i="37"/>
  <c r="Q10" i="37"/>
  <c r="P10" i="37"/>
  <c r="O10" i="37"/>
  <c r="N10" i="37"/>
  <c r="M10" i="37"/>
  <c r="L10" i="37"/>
  <c r="AB10" i="37" s="1"/>
  <c r="K10" i="37"/>
  <c r="AA10" i="37" s="1"/>
  <c r="J10" i="37"/>
  <c r="Z10" i="37" s="1"/>
  <c r="I10" i="37"/>
  <c r="Y10" i="37" s="1"/>
  <c r="X9" i="37"/>
  <c r="W9" i="37"/>
  <c r="V9" i="37"/>
  <c r="U9" i="37"/>
  <c r="T9" i="37"/>
  <c r="S9" i="37"/>
  <c r="R9" i="37"/>
  <c r="Q9" i="37"/>
  <c r="P9" i="37"/>
  <c r="O9" i="37"/>
  <c r="N9" i="37"/>
  <c r="M9" i="37"/>
  <c r="L9" i="37"/>
  <c r="AB9" i="37" s="1"/>
  <c r="K9" i="37"/>
  <c r="AA9" i="37" s="1"/>
  <c r="J9" i="37"/>
  <c r="Z9" i="37" s="1"/>
  <c r="I9" i="37"/>
  <c r="Y9" i="37" s="1"/>
  <c r="AB8" i="37"/>
  <c r="AA8" i="37"/>
  <c r="Z8" i="37"/>
  <c r="Y8" i="37"/>
  <c r="AB7" i="37"/>
  <c r="AA7" i="37"/>
  <c r="Z7" i="37"/>
  <c r="Y7" i="37"/>
  <c r="X6" i="37"/>
  <c r="W6" i="37"/>
  <c r="V6" i="37"/>
  <c r="U6" i="37"/>
  <c r="T6" i="37"/>
  <c r="S6" i="37"/>
  <c r="R6" i="37"/>
  <c r="Q6" i="37"/>
  <c r="P6" i="37"/>
  <c r="O6" i="37"/>
  <c r="N6" i="37"/>
  <c r="M6" i="37"/>
  <c r="L6" i="37"/>
  <c r="AB6" i="37" s="1"/>
  <c r="K6" i="37"/>
  <c r="AA6" i="37" s="1"/>
  <c r="J6" i="37"/>
  <c r="Z6" i="37" s="1"/>
  <c r="I6" i="37"/>
  <c r="Y6" i="37" s="1"/>
  <c r="AB5" i="37"/>
  <c r="AA5" i="37"/>
  <c r="Z5" i="37"/>
  <c r="Y5" i="37"/>
  <c r="X4" i="37"/>
  <c r="W4" i="37"/>
  <c r="V4" i="37"/>
  <c r="U4" i="37"/>
  <c r="T4" i="37"/>
  <c r="S4" i="37"/>
  <c r="R4" i="37"/>
  <c r="Q4" i="37"/>
  <c r="P4" i="37"/>
  <c r="O4" i="37"/>
  <c r="N4" i="37"/>
  <c r="M4" i="37"/>
  <c r="L4" i="37"/>
  <c r="AB4" i="37" s="1"/>
  <c r="K4" i="37"/>
  <c r="AA4" i="37" s="1"/>
  <c r="J4" i="37"/>
  <c r="Z4" i="37" s="1"/>
  <c r="I4" i="37"/>
  <c r="Y4" i="37" s="1"/>
  <c r="O716" i="44"/>
  <c r="W716" i="44" s="1"/>
  <c r="O715" i="44"/>
  <c r="W715" i="44" s="1"/>
  <c r="O714" i="44"/>
  <c r="W714" i="44" s="1"/>
  <c r="O713" i="44"/>
  <c r="W713" i="44" s="1"/>
  <c r="O712" i="44"/>
  <c r="W712" i="44" s="1"/>
  <c r="V711" i="44"/>
  <c r="U711" i="44"/>
  <c r="T711" i="44"/>
  <c r="T710" i="44" s="1"/>
  <c r="R711" i="44"/>
  <c r="Q711" i="44"/>
  <c r="Q710" i="44" s="1"/>
  <c r="P711" i="44"/>
  <c r="N711" i="44"/>
  <c r="M711" i="44"/>
  <c r="M710" i="44" s="1"/>
  <c r="L711" i="44"/>
  <c r="U710" i="44"/>
  <c r="R710" i="44"/>
  <c r="P710" i="44"/>
  <c r="N710" i="44"/>
  <c r="L710" i="44"/>
  <c r="O709" i="44"/>
  <c r="W709" i="44" s="1"/>
  <c r="O708" i="44"/>
  <c r="W708" i="44" s="1"/>
  <c r="O707" i="44"/>
  <c r="W707" i="44" s="1"/>
  <c r="O706" i="44"/>
  <c r="W706" i="44" s="1"/>
  <c r="O705" i="44"/>
  <c r="W705" i="44" s="1"/>
  <c r="V704" i="44"/>
  <c r="U704" i="44"/>
  <c r="T704" i="44"/>
  <c r="T703" i="44" s="1"/>
  <c r="R704" i="44"/>
  <c r="Q704" i="44"/>
  <c r="Q703" i="44" s="1"/>
  <c r="P704" i="44"/>
  <c r="N704" i="44"/>
  <c r="M704" i="44"/>
  <c r="M703" i="44" s="1"/>
  <c r="L704" i="44"/>
  <c r="U703" i="44"/>
  <c r="R703" i="44"/>
  <c r="P703" i="44"/>
  <c r="N703" i="44"/>
  <c r="L703" i="44"/>
  <c r="O703" i="44" s="1"/>
  <c r="O702" i="44"/>
  <c r="W702" i="44" s="1"/>
  <c r="O701" i="44"/>
  <c r="W701" i="44" s="1"/>
  <c r="O700" i="44"/>
  <c r="W700" i="44" s="1"/>
  <c r="O699" i="44"/>
  <c r="W699" i="44" s="1"/>
  <c r="V698" i="44"/>
  <c r="U698" i="44"/>
  <c r="T698" i="44"/>
  <c r="R698" i="44"/>
  <c r="Q698" i="44"/>
  <c r="N698" i="44"/>
  <c r="N697" i="44" s="1"/>
  <c r="M698" i="44"/>
  <c r="L698" i="44"/>
  <c r="V697" i="44"/>
  <c r="U697" i="44"/>
  <c r="T697" i="44"/>
  <c r="R697" i="44"/>
  <c r="Q697" i="44"/>
  <c r="P697" i="44"/>
  <c r="M697" i="44"/>
  <c r="W696" i="44"/>
  <c r="O696" i="44"/>
  <c r="W695" i="44"/>
  <c r="O695" i="44"/>
  <c r="W694" i="44"/>
  <c r="O694" i="44"/>
  <c r="W693" i="44"/>
  <c r="O693" i="44"/>
  <c r="W692" i="44"/>
  <c r="O692" i="44"/>
  <c r="W691" i="44"/>
  <c r="O691" i="44"/>
  <c r="W690" i="44"/>
  <c r="O690" i="44"/>
  <c r="W689" i="44"/>
  <c r="O689" i="44"/>
  <c r="W688" i="44"/>
  <c r="O688" i="44"/>
  <c r="W687" i="44"/>
  <c r="O687" i="44"/>
  <c r="W686" i="44"/>
  <c r="O686" i="44"/>
  <c r="V685" i="44"/>
  <c r="U685" i="44"/>
  <c r="U684" i="44" s="1"/>
  <c r="T685" i="44"/>
  <c r="R685" i="44"/>
  <c r="R684" i="44" s="1"/>
  <c r="Q685" i="44"/>
  <c r="P685" i="44"/>
  <c r="P684" i="44" s="1"/>
  <c r="N685" i="44"/>
  <c r="N684" i="44" s="1"/>
  <c r="M685" i="44"/>
  <c r="L685" i="44"/>
  <c r="V684" i="44"/>
  <c r="T684" i="44"/>
  <c r="Q684" i="44"/>
  <c r="M684" i="44"/>
  <c r="W683" i="44"/>
  <c r="O683" i="44"/>
  <c r="W682" i="44"/>
  <c r="O682" i="44"/>
  <c r="W681" i="44"/>
  <c r="O681" i="44"/>
  <c r="W680" i="44"/>
  <c r="O680" i="44"/>
  <c r="W679" i="44"/>
  <c r="O679" i="44"/>
  <c r="W678" i="44"/>
  <c r="O678" i="44"/>
  <c r="W677" i="44"/>
  <c r="O677" i="44"/>
  <c r="W676" i="44"/>
  <c r="O676" i="44"/>
  <c r="W675" i="44"/>
  <c r="O675" i="44"/>
  <c r="W674" i="44"/>
  <c r="O674" i="44"/>
  <c r="W673" i="44"/>
  <c r="O673" i="44"/>
  <c r="W672" i="44"/>
  <c r="V672" i="44"/>
  <c r="U672" i="44"/>
  <c r="T672" i="44"/>
  <c r="R672" i="44"/>
  <c r="R659" i="44" s="1"/>
  <c r="Q672" i="44"/>
  <c r="P672" i="44"/>
  <c r="N672" i="44"/>
  <c r="M672" i="44"/>
  <c r="L672" i="44"/>
  <c r="O672" i="44" s="1"/>
  <c r="O671" i="44"/>
  <c r="W671" i="44" s="1"/>
  <c r="O670" i="44"/>
  <c r="W670" i="44" s="1"/>
  <c r="O669" i="44"/>
  <c r="W669" i="44" s="1"/>
  <c r="O668" i="44"/>
  <c r="W668" i="44" s="1"/>
  <c r="O667" i="44"/>
  <c r="W667" i="44" s="1"/>
  <c r="O666" i="44"/>
  <c r="W666" i="44" s="1"/>
  <c r="O665" i="44"/>
  <c r="W665" i="44" s="1"/>
  <c r="O664" i="44"/>
  <c r="W664" i="44" s="1"/>
  <c r="O663" i="44"/>
  <c r="W663" i="44" s="1"/>
  <c r="O662" i="44"/>
  <c r="W662" i="44" s="1"/>
  <c r="O661" i="44"/>
  <c r="W661" i="44" s="1"/>
  <c r="V660" i="44"/>
  <c r="U660" i="44"/>
  <c r="T660" i="44"/>
  <c r="T659" i="44" s="1"/>
  <c r="R660" i="44"/>
  <c r="Q660" i="44"/>
  <c r="Q659" i="44" s="1"/>
  <c r="P660" i="44"/>
  <c r="N660" i="44"/>
  <c r="M660" i="44"/>
  <c r="M659" i="44" s="1"/>
  <c r="L660" i="44"/>
  <c r="U659" i="44"/>
  <c r="P659" i="44"/>
  <c r="N659" i="44"/>
  <c r="L659" i="44"/>
  <c r="O659" i="44" s="1"/>
  <c r="O658" i="44"/>
  <c r="W658" i="44" s="1"/>
  <c r="O657" i="44"/>
  <c r="W657" i="44" s="1"/>
  <c r="O656" i="44"/>
  <c r="W656" i="44" s="1"/>
  <c r="O655" i="44"/>
  <c r="W655" i="44" s="1"/>
  <c r="O654" i="44"/>
  <c r="W654" i="44" s="1"/>
  <c r="O653" i="44"/>
  <c r="W653" i="44" s="1"/>
  <c r="O652" i="44"/>
  <c r="W652" i="44" s="1"/>
  <c r="O651" i="44"/>
  <c r="W651" i="44" s="1"/>
  <c r="O650" i="44"/>
  <c r="W650" i="44" s="1"/>
  <c r="O649" i="44"/>
  <c r="W649" i="44" s="1"/>
  <c r="O648" i="44"/>
  <c r="W648" i="44" s="1"/>
  <c r="V647" i="44"/>
  <c r="U647" i="44"/>
  <c r="T647" i="44"/>
  <c r="R647" i="44"/>
  <c r="Q647" i="44"/>
  <c r="P647" i="44"/>
  <c r="N647" i="44"/>
  <c r="M647" i="44"/>
  <c r="O647" i="44" s="1"/>
  <c r="L647" i="44"/>
  <c r="W646" i="44"/>
  <c r="O646" i="44"/>
  <c r="W645" i="44"/>
  <c r="O645" i="44"/>
  <c r="W644" i="44"/>
  <c r="O644" i="44"/>
  <c r="W643" i="44"/>
  <c r="O643" i="44"/>
  <c r="W642" i="44"/>
  <c r="O642" i="44"/>
  <c r="W641" i="44"/>
  <c r="O641" i="44"/>
  <c r="W640" i="44"/>
  <c r="O640" i="44"/>
  <c r="W639" i="44"/>
  <c r="O639" i="44"/>
  <c r="W638" i="44"/>
  <c r="O638" i="44"/>
  <c r="W637" i="44"/>
  <c r="O637" i="44"/>
  <c r="W636" i="44"/>
  <c r="O636" i="44"/>
  <c r="W635" i="44"/>
  <c r="V635" i="44"/>
  <c r="U635" i="44"/>
  <c r="T635" i="44"/>
  <c r="R635" i="44"/>
  <c r="R622" i="44" s="1"/>
  <c r="Q635" i="44"/>
  <c r="P635" i="44"/>
  <c r="N635" i="44"/>
  <c r="M635" i="44"/>
  <c r="L635" i="44"/>
  <c r="O635" i="44" s="1"/>
  <c r="O634" i="44"/>
  <c r="W634" i="44" s="1"/>
  <c r="O633" i="44"/>
  <c r="W633" i="44" s="1"/>
  <c r="O632" i="44"/>
  <c r="W632" i="44" s="1"/>
  <c r="O631" i="44"/>
  <c r="W631" i="44" s="1"/>
  <c r="O630" i="44"/>
  <c r="W630" i="44" s="1"/>
  <c r="O629" i="44"/>
  <c r="W629" i="44" s="1"/>
  <c r="O628" i="44"/>
  <c r="W628" i="44" s="1"/>
  <c r="O627" i="44"/>
  <c r="W627" i="44" s="1"/>
  <c r="O626" i="44"/>
  <c r="W626" i="44" s="1"/>
  <c r="O625" i="44"/>
  <c r="W625" i="44" s="1"/>
  <c r="O624" i="44"/>
  <c r="W624" i="44" s="1"/>
  <c r="V623" i="44"/>
  <c r="U623" i="44"/>
  <c r="T623" i="44"/>
  <c r="R623" i="44"/>
  <c r="Q623" i="44"/>
  <c r="P623" i="44"/>
  <c r="N623" i="44"/>
  <c r="M623" i="44"/>
  <c r="O623" i="44" s="1"/>
  <c r="L623" i="44"/>
  <c r="U622" i="44"/>
  <c r="P622" i="44"/>
  <c r="N622" i="44"/>
  <c r="M622" i="44"/>
  <c r="L622" i="44"/>
  <c r="W621" i="44"/>
  <c r="O621" i="44"/>
  <c r="W620" i="44"/>
  <c r="O620" i="44"/>
  <c r="W619" i="44"/>
  <c r="O619" i="44"/>
  <c r="W618" i="44"/>
  <c r="O618" i="44"/>
  <c r="W617" i="44"/>
  <c r="O617" i="44"/>
  <c r="W616" i="44"/>
  <c r="O616" i="44"/>
  <c r="W615" i="44"/>
  <c r="O615" i="44"/>
  <c r="W614" i="44"/>
  <c r="O614" i="44"/>
  <c r="W613" i="44"/>
  <c r="O613" i="44"/>
  <c r="W612" i="44"/>
  <c r="O612" i="44"/>
  <c r="W611" i="44"/>
  <c r="O611" i="44"/>
  <c r="V610" i="44"/>
  <c r="U610" i="44"/>
  <c r="T610" i="44"/>
  <c r="R610" i="44"/>
  <c r="Q610" i="44"/>
  <c r="P610" i="44"/>
  <c r="N610" i="44"/>
  <c r="M610" i="44"/>
  <c r="L610" i="44"/>
  <c r="O610" i="44" s="1"/>
  <c r="W610" i="44" s="1"/>
  <c r="O609" i="44"/>
  <c r="W609" i="44" s="1"/>
  <c r="O608" i="44"/>
  <c r="W608" i="44" s="1"/>
  <c r="O607" i="44"/>
  <c r="W607" i="44" s="1"/>
  <c r="O606" i="44"/>
  <c r="W606" i="44" s="1"/>
  <c r="O605" i="44"/>
  <c r="W605" i="44" s="1"/>
  <c r="O604" i="44"/>
  <c r="W604" i="44" s="1"/>
  <c r="O603" i="44"/>
  <c r="W603" i="44" s="1"/>
  <c r="O602" i="44"/>
  <c r="W602" i="44" s="1"/>
  <c r="O601" i="44"/>
  <c r="W601" i="44" s="1"/>
  <c r="O600" i="44"/>
  <c r="W600" i="44" s="1"/>
  <c r="O599" i="44"/>
  <c r="W599" i="44" s="1"/>
  <c r="V598" i="44"/>
  <c r="U598" i="44"/>
  <c r="T598" i="44"/>
  <c r="T597" i="44" s="1"/>
  <c r="R598" i="44"/>
  <c r="Q598" i="44"/>
  <c r="Q597" i="44" s="1"/>
  <c r="P598" i="44"/>
  <c r="N598" i="44"/>
  <c r="M598" i="44"/>
  <c r="M597" i="44" s="1"/>
  <c r="L598" i="44"/>
  <c r="U597" i="44"/>
  <c r="R597" i="44"/>
  <c r="P597" i="44"/>
  <c r="N597" i="44"/>
  <c r="L597" i="44"/>
  <c r="O597" i="44" s="1"/>
  <c r="O596" i="44"/>
  <c r="W596" i="44" s="1"/>
  <c r="O595" i="44"/>
  <c r="W595" i="44" s="1"/>
  <c r="O594" i="44"/>
  <c r="W594" i="44" s="1"/>
  <c r="O593" i="44"/>
  <c r="W593" i="44" s="1"/>
  <c r="O592" i="44"/>
  <c r="W592" i="44" s="1"/>
  <c r="O591" i="44"/>
  <c r="W591" i="44" s="1"/>
  <c r="O590" i="44"/>
  <c r="W590" i="44" s="1"/>
  <c r="O589" i="44"/>
  <c r="W589" i="44" s="1"/>
  <c r="O588" i="44"/>
  <c r="W588" i="44" s="1"/>
  <c r="O587" i="44"/>
  <c r="W587" i="44" s="1"/>
  <c r="O586" i="44"/>
  <c r="W586" i="44" s="1"/>
  <c r="V585" i="44"/>
  <c r="W585" i="44" s="1"/>
  <c r="U585" i="44"/>
  <c r="T585" i="44"/>
  <c r="R585" i="44"/>
  <c r="Q585" i="44"/>
  <c r="P585" i="44"/>
  <c r="N585" i="44"/>
  <c r="M585" i="44"/>
  <c r="O585" i="44" s="1"/>
  <c r="L585" i="44"/>
  <c r="W584" i="44"/>
  <c r="O584" i="44"/>
  <c r="W583" i="44"/>
  <c r="O583" i="44"/>
  <c r="W582" i="44"/>
  <c r="O582" i="44"/>
  <c r="W581" i="44"/>
  <c r="O581" i="44"/>
  <c r="W580" i="44"/>
  <c r="O580" i="44"/>
  <c r="W579" i="44"/>
  <c r="O579" i="44"/>
  <c r="W578" i="44"/>
  <c r="O578" i="44"/>
  <c r="W577" i="44"/>
  <c r="O577" i="44"/>
  <c r="W576" i="44"/>
  <c r="O576" i="44"/>
  <c r="W575" i="44"/>
  <c r="O575" i="44"/>
  <c r="W574" i="44"/>
  <c r="O574" i="44"/>
  <c r="V573" i="44"/>
  <c r="U573" i="44"/>
  <c r="U572" i="44" s="1"/>
  <c r="U571" i="44" s="1"/>
  <c r="U570" i="44" s="1"/>
  <c r="T573" i="44"/>
  <c r="R573" i="44"/>
  <c r="R572" i="44" s="1"/>
  <c r="R571" i="44" s="1"/>
  <c r="R570" i="44" s="1"/>
  <c r="Q573" i="44"/>
  <c r="P573" i="44"/>
  <c r="P572" i="44" s="1"/>
  <c r="P571" i="44" s="1"/>
  <c r="P570" i="44" s="1"/>
  <c r="N573" i="44"/>
  <c r="N572" i="44" s="1"/>
  <c r="N571" i="44" s="1"/>
  <c r="N570" i="44" s="1"/>
  <c r="M573" i="44"/>
  <c r="L573" i="44"/>
  <c r="O573" i="44" s="1"/>
  <c r="W573" i="44" s="1"/>
  <c r="V572" i="44"/>
  <c r="T572" i="44"/>
  <c r="Q572" i="44"/>
  <c r="M572" i="44"/>
  <c r="W569" i="44"/>
  <c r="O569" i="44"/>
  <c r="W568" i="44"/>
  <c r="O568" i="44"/>
  <c r="W567" i="44"/>
  <c r="O567" i="44"/>
  <c r="W566" i="44"/>
  <c r="O566" i="44"/>
  <c r="W565" i="44"/>
  <c r="O565" i="44"/>
  <c r="W564" i="44"/>
  <c r="O564" i="44"/>
  <c r="W563" i="44"/>
  <c r="O563" i="44"/>
  <c r="W562" i="44"/>
  <c r="O562" i="44"/>
  <c r="W561" i="44"/>
  <c r="O561" i="44"/>
  <c r="W560" i="44"/>
  <c r="O560" i="44"/>
  <c r="W559" i="44"/>
  <c r="O559" i="44"/>
  <c r="V558" i="44"/>
  <c r="U558" i="44"/>
  <c r="T558" i="44"/>
  <c r="R558" i="44"/>
  <c r="Q558" i="44"/>
  <c r="P558" i="44"/>
  <c r="N558" i="44"/>
  <c r="M558" i="44"/>
  <c r="L558" i="44"/>
  <c r="O558" i="44" s="1"/>
  <c r="W558" i="44" s="1"/>
  <c r="O557" i="44"/>
  <c r="W557" i="44" s="1"/>
  <c r="O556" i="44"/>
  <c r="W556" i="44" s="1"/>
  <c r="O555" i="44"/>
  <c r="W555" i="44" s="1"/>
  <c r="O554" i="44"/>
  <c r="W554" i="44" s="1"/>
  <c r="O553" i="44"/>
  <c r="W553" i="44" s="1"/>
  <c r="O552" i="44"/>
  <c r="W552" i="44" s="1"/>
  <c r="O551" i="44"/>
  <c r="W551" i="44" s="1"/>
  <c r="O550" i="44"/>
  <c r="W550" i="44" s="1"/>
  <c r="O549" i="44"/>
  <c r="W549" i="44" s="1"/>
  <c r="O548" i="44"/>
  <c r="W548" i="44" s="1"/>
  <c r="O547" i="44"/>
  <c r="W547" i="44" s="1"/>
  <c r="V546" i="44"/>
  <c r="W546" i="44" s="1"/>
  <c r="U546" i="44"/>
  <c r="T546" i="44"/>
  <c r="R546" i="44"/>
  <c r="Q546" i="44"/>
  <c r="P546" i="44"/>
  <c r="N546" i="44"/>
  <c r="M546" i="44"/>
  <c r="O546" i="44" s="1"/>
  <c r="L546" i="44"/>
  <c r="W545" i="44"/>
  <c r="O545" i="44"/>
  <c r="W544" i="44"/>
  <c r="O544" i="44"/>
  <c r="W543" i="44"/>
  <c r="O543" i="44"/>
  <c r="W542" i="44"/>
  <c r="O542" i="44"/>
  <c r="W541" i="44"/>
  <c r="O541" i="44"/>
  <c r="W540" i="44"/>
  <c r="O540" i="44"/>
  <c r="W539" i="44"/>
  <c r="O539" i="44"/>
  <c r="W538" i="44"/>
  <c r="O538" i="44"/>
  <c r="W537" i="44"/>
  <c r="O537" i="44"/>
  <c r="W536" i="44"/>
  <c r="O536" i="44"/>
  <c r="W535" i="44"/>
  <c r="O535" i="44"/>
  <c r="V534" i="44"/>
  <c r="U534" i="44"/>
  <c r="T534" i="44"/>
  <c r="R534" i="44"/>
  <c r="Q534" i="44"/>
  <c r="P534" i="44"/>
  <c r="N534" i="44"/>
  <c r="M534" i="44"/>
  <c r="L534" i="44"/>
  <c r="O534" i="44" s="1"/>
  <c r="W534" i="44" s="1"/>
  <c r="O533" i="44"/>
  <c r="W533" i="44" s="1"/>
  <c r="O532" i="44"/>
  <c r="W532" i="44" s="1"/>
  <c r="O531" i="44"/>
  <c r="W531" i="44" s="1"/>
  <c r="O530" i="44"/>
  <c r="W530" i="44" s="1"/>
  <c r="O529" i="44"/>
  <c r="W529" i="44" s="1"/>
  <c r="O528" i="44"/>
  <c r="W528" i="44" s="1"/>
  <c r="O527" i="44"/>
  <c r="W527" i="44" s="1"/>
  <c r="O526" i="44"/>
  <c r="W526" i="44" s="1"/>
  <c r="O525" i="44"/>
  <c r="W525" i="44" s="1"/>
  <c r="O524" i="44"/>
  <c r="W524" i="44" s="1"/>
  <c r="O523" i="44"/>
  <c r="W523" i="44" s="1"/>
  <c r="V522" i="44"/>
  <c r="U522" i="44"/>
  <c r="T522" i="44"/>
  <c r="R522" i="44"/>
  <c r="Q522" i="44"/>
  <c r="P522" i="44"/>
  <c r="N522" i="44"/>
  <c r="M522" i="44"/>
  <c r="O522" i="44" s="1"/>
  <c r="L522" i="44"/>
  <c r="W521" i="44"/>
  <c r="O521" i="44"/>
  <c r="W520" i="44"/>
  <c r="O520" i="44"/>
  <c r="W519" i="44"/>
  <c r="O519" i="44"/>
  <c r="W518" i="44"/>
  <c r="O518" i="44"/>
  <c r="W517" i="44"/>
  <c r="O517" i="44"/>
  <c r="W516" i="44"/>
  <c r="O516" i="44"/>
  <c r="W515" i="44"/>
  <c r="O515" i="44"/>
  <c r="W514" i="44"/>
  <c r="O514" i="44"/>
  <c r="W513" i="44"/>
  <c r="O513" i="44"/>
  <c r="W512" i="44"/>
  <c r="O512" i="44"/>
  <c r="W511" i="44"/>
  <c r="O511" i="44"/>
  <c r="V510" i="44"/>
  <c r="U510" i="44"/>
  <c r="T510" i="44"/>
  <c r="R510" i="44"/>
  <c r="Q510" i="44"/>
  <c r="P510" i="44"/>
  <c r="N510" i="44"/>
  <c r="M510" i="44"/>
  <c r="L510" i="44"/>
  <c r="O510" i="44" s="1"/>
  <c r="W510" i="44" s="1"/>
  <c r="O509" i="44"/>
  <c r="W509" i="44" s="1"/>
  <c r="O508" i="44"/>
  <c r="W508" i="44" s="1"/>
  <c r="O507" i="44"/>
  <c r="W507" i="44" s="1"/>
  <c r="O506" i="44"/>
  <c r="W506" i="44" s="1"/>
  <c r="O505" i="44"/>
  <c r="W505" i="44" s="1"/>
  <c r="O504" i="44"/>
  <c r="W504" i="44" s="1"/>
  <c r="O503" i="44"/>
  <c r="W503" i="44" s="1"/>
  <c r="O502" i="44"/>
  <c r="W502" i="44" s="1"/>
  <c r="O501" i="44"/>
  <c r="W501" i="44" s="1"/>
  <c r="O500" i="44"/>
  <c r="W500" i="44" s="1"/>
  <c r="O499" i="44"/>
  <c r="W499" i="44" s="1"/>
  <c r="V498" i="44"/>
  <c r="W498" i="44" s="1"/>
  <c r="U498" i="44"/>
  <c r="T498" i="44"/>
  <c r="R498" i="44"/>
  <c r="Q498" i="44"/>
  <c r="P498" i="44"/>
  <c r="N498" i="44"/>
  <c r="M498" i="44"/>
  <c r="O498" i="44" s="1"/>
  <c r="L498" i="44"/>
  <c r="W497" i="44"/>
  <c r="O497" i="44"/>
  <c r="W496" i="44"/>
  <c r="O496" i="44"/>
  <c r="W495" i="44"/>
  <c r="O495" i="44"/>
  <c r="W494" i="44"/>
  <c r="O494" i="44"/>
  <c r="W493" i="44"/>
  <c r="O493" i="44"/>
  <c r="W492" i="44"/>
  <c r="O492" i="44"/>
  <c r="W491" i="44"/>
  <c r="O491" i="44"/>
  <c r="W490" i="44"/>
  <c r="O490" i="44"/>
  <c r="W489" i="44"/>
  <c r="O489" i="44"/>
  <c r="W488" i="44"/>
  <c r="O488" i="44"/>
  <c r="W487" i="44"/>
  <c r="O487" i="44"/>
  <c r="V486" i="44"/>
  <c r="U486" i="44"/>
  <c r="U485" i="44" s="1"/>
  <c r="T486" i="44"/>
  <c r="R486" i="44"/>
  <c r="R485" i="44" s="1"/>
  <c r="R484" i="44" s="1"/>
  <c r="Q486" i="44"/>
  <c r="P486" i="44"/>
  <c r="P485" i="44" s="1"/>
  <c r="P484" i="44" s="1"/>
  <c r="N486" i="44"/>
  <c r="N485" i="44" s="1"/>
  <c r="M486" i="44"/>
  <c r="L486" i="44"/>
  <c r="O486" i="44" s="1"/>
  <c r="W486" i="44" s="1"/>
  <c r="V485" i="44"/>
  <c r="T485" i="44"/>
  <c r="T484" i="44" s="1"/>
  <c r="Q485" i="44"/>
  <c r="Q484" i="44" s="1"/>
  <c r="M485" i="44"/>
  <c r="M484" i="44" s="1"/>
  <c r="U484" i="44"/>
  <c r="N484" i="44"/>
  <c r="O483" i="44"/>
  <c r="W483" i="44" s="1"/>
  <c r="O482" i="44"/>
  <c r="W482" i="44" s="1"/>
  <c r="O481" i="44"/>
  <c r="W481" i="44" s="1"/>
  <c r="O480" i="44"/>
  <c r="W480" i="44" s="1"/>
  <c r="O479" i="44"/>
  <c r="W479" i="44" s="1"/>
  <c r="O478" i="44"/>
  <c r="W478" i="44" s="1"/>
  <c r="O477" i="44"/>
  <c r="W477" i="44" s="1"/>
  <c r="O476" i="44"/>
  <c r="W476" i="44" s="1"/>
  <c r="O475" i="44"/>
  <c r="W475" i="44" s="1"/>
  <c r="O474" i="44"/>
  <c r="W474" i="44" s="1"/>
  <c r="O473" i="44"/>
  <c r="W473" i="44" s="1"/>
  <c r="V472" i="44"/>
  <c r="U472" i="44"/>
  <c r="T472" i="44"/>
  <c r="R472" i="44"/>
  <c r="Q472" i="44"/>
  <c r="P472" i="44"/>
  <c r="N472" i="44"/>
  <c r="M472" i="44"/>
  <c r="O472" i="44" s="1"/>
  <c r="L472" i="44"/>
  <c r="W471" i="44"/>
  <c r="O471" i="44"/>
  <c r="W470" i="44"/>
  <c r="O470" i="44"/>
  <c r="W469" i="44"/>
  <c r="O469" i="44"/>
  <c r="W468" i="44"/>
  <c r="O468" i="44"/>
  <c r="W467" i="44"/>
  <c r="O467" i="44"/>
  <c r="W466" i="44"/>
  <c r="O466" i="44"/>
  <c r="W465" i="44"/>
  <c r="O465" i="44"/>
  <c r="W464" i="44"/>
  <c r="O464" i="44"/>
  <c r="W463" i="44"/>
  <c r="O463" i="44"/>
  <c r="W462" i="44"/>
  <c r="O462" i="44"/>
  <c r="W461" i="44"/>
  <c r="O461" i="44"/>
  <c r="W460" i="44"/>
  <c r="V460" i="44"/>
  <c r="U460" i="44"/>
  <c r="U423" i="44" s="1"/>
  <c r="U422" i="44" s="1"/>
  <c r="T460" i="44"/>
  <c r="R460" i="44"/>
  <c r="Q460" i="44"/>
  <c r="P460" i="44"/>
  <c r="P423" i="44" s="1"/>
  <c r="P422" i="44" s="1"/>
  <c r="N460" i="44"/>
  <c r="M460" i="44"/>
  <c r="L460" i="44"/>
  <c r="O460" i="44" s="1"/>
  <c r="O459" i="44"/>
  <c r="W459" i="44" s="1"/>
  <c r="O458" i="44"/>
  <c r="W458" i="44" s="1"/>
  <c r="O457" i="44"/>
  <c r="W457" i="44" s="1"/>
  <c r="O456" i="44"/>
  <c r="W456" i="44" s="1"/>
  <c r="O455" i="44"/>
  <c r="W455" i="44" s="1"/>
  <c r="O454" i="44"/>
  <c r="W454" i="44" s="1"/>
  <c r="O453" i="44"/>
  <c r="W453" i="44" s="1"/>
  <c r="O452" i="44"/>
  <c r="W452" i="44" s="1"/>
  <c r="O451" i="44"/>
  <c r="W451" i="44" s="1"/>
  <c r="O450" i="44"/>
  <c r="W450" i="44" s="1"/>
  <c r="O449" i="44"/>
  <c r="W449" i="44" s="1"/>
  <c r="V448" i="44"/>
  <c r="U448" i="44"/>
  <c r="T448" i="44"/>
  <c r="R448" i="44"/>
  <c r="Q448" i="44"/>
  <c r="P448" i="44"/>
  <c r="N448" i="44"/>
  <c r="M448" i="44"/>
  <c r="O448" i="44" s="1"/>
  <c r="L448" i="44"/>
  <c r="W447" i="44"/>
  <c r="O447" i="44"/>
  <c r="W446" i="44"/>
  <c r="O446" i="44"/>
  <c r="W445" i="44"/>
  <c r="O445" i="44"/>
  <c r="W444" i="44"/>
  <c r="O444" i="44"/>
  <c r="W443" i="44"/>
  <c r="O443" i="44"/>
  <c r="W442" i="44"/>
  <c r="O442" i="44"/>
  <c r="W441" i="44"/>
  <c r="O441" i="44"/>
  <c r="W440" i="44"/>
  <c r="O440" i="44"/>
  <c r="W439" i="44"/>
  <c r="O439" i="44"/>
  <c r="W438" i="44"/>
  <c r="O438" i="44"/>
  <c r="W437" i="44"/>
  <c r="O437" i="44"/>
  <c r="V436" i="44"/>
  <c r="U436" i="44"/>
  <c r="T436" i="44"/>
  <c r="R436" i="44"/>
  <c r="Q436" i="44"/>
  <c r="P436" i="44"/>
  <c r="N436" i="44"/>
  <c r="M436" i="44"/>
  <c r="L436" i="44"/>
  <c r="O435" i="44"/>
  <c r="W435" i="44" s="1"/>
  <c r="O434" i="44"/>
  <c r="W434" i="44" s="1"/>
  <c r="O433" i="44"/>
  <c r="W433" i="44" s="1"/>
  <c r="O432" i="44"/>
  <c r="W432" i="44" s="1"/>
  <c r="O431" i="44"/>
  <c r="W431" i="44" s="1"/>
  <c r="O430" i="44"/>
  <c r="W430" i="44" s="1"/>
  <c r="O429" i="44"/>
  <c r="W429" i="44" s="1"/>
  <c r="O428" i="44"/>
  <c r="W428" i="44" s="1"/>
  <c r="O427" i="44"/>
  <c r="W427" i="44" s="1"/>
  <c r="O426" i="44"/>
  <c r="W426" i="44" s="1"/>
  <c r="O425" i="44"/>
  <c r="W425" i="44" s="1"/>
  <c r="V424" i="44"/>
  <c r="U424" i="44"/>
  <c r="T424" i="44"/>
  <c r="T423" i="44" s="1"/>
  <c r="T422" i="44" s="1"/>
  <c r="R424" i="44"/>
  <c r="Q424" i="44"/>
  <c r="Q423" i="44" s="1"/>
  <c r="P424" i="44"/>
  <c r="N424" i="44"/>
  <c r="M424" i="44"/>
  <c r="M423" i="44" s="1"/>
  <c r="L424" i="44"/>
  <c r="R423" i="44"/>
  <c r="R422" i="44" s="1"/>
  <c r="N423" i="44"/>
  <c r="N422" i="44" s="1"/>
  <c r="Q422" i="44"/>
  <c r="M422" i="44"/>
  <c r="W421" i="44"/>
  <c r="O421" i="44"/>
  <c r="W420" i="44"/>
  <c r="O420" i="44"/>
  <c r="W419" i="44"/>
  <c r="O419" i="44"/>
  <c r="W418" i="44"/>
  <c r="O418" i="44"/>
  <c r="W417" i="44"/>
  <c r="O417" i="44"/>
  <c r="W416" i="44"/>
  <c r="O416" i="44"/>
  <c r="W415" i="44"/>
  <c r="O415" i="44"/>
  <c r="W414" i="44"/>
  <c r="O414" i="44"/>
  <c r="W413" i="44"/>
  <c r="O413" i="44"/>
  <c r="W412" i="44"/>
  <c r="O412" i="44"/>
  <c r="W411" i="44"/>
  <c r="O411" i="44"/>
  <c r="V410" i="44"/>
  <c r="U410" i="44"/>
  <c r="T410" i="44"/>
  <c r="R410" i="44"/>
  <c r="Q410" i="44"/>
  <c r="P410" i="44"/>
  <c r="N410" i="44"/>
  <c r="M410" i="44"/>
  <c r="L410" i="44"/>
  <c r="O410" i="44" s="1"/>
  <c r="W410" i="44" s="1"/>
  <c r="O409" i="44"/>
  <c r="W409" i="44" s="1"/>
  <c r="O408" i="44"/>
  <c r="W408" i="44" s="1"/>
  <c r="O407" i="44"/>
  <c r="W407" i="44" s="1"/>
  <c r="W406" i="44"/>
  <c r="O406" i="44"/>
  <c r="W405" i="44"/>
  <c r="O405" i="44"/>
  <c r="W404" i="44"/>
  <c r="O404" i="44"/>
  <c r="W403" i="44"/>
  <c r="O403" i="44"/>
  <c r="W402" i="44"/>
  <c r="O402" i="44"/>
  <c r="W401" i="44"/>
  <c r="O401" i="44"/>
  <c r="W400" i="44"/>
  <c r="O400" i="44"/>
  <c r="W399" i="44"/>
  <c r="O399" i="44"/>
  <c r="V398" i="44"/>
  <c r="U398" i="44"/>
  <c r="U397" i="44" s="1"/>
  <c r="T398" i="44"/>
  <c r="R398" i="44"/>
  <c r="R397" i="44" s="1"/>
  <c r="Q398" i="44"/>
  <c r="P398" i="44"/>
  <c r="P397" i="44" s="1"/>
  <c r="N398" i="44"/>
  <c r="N397" i="44" s="1"/>
  <c r="M398" i="44"/>
  <c r="L398" i="44"/>
  <c r="V397" i="44"/>
  <c r="T397" i="44"/>
  <c r="Q397" i="44"/>
  <c r="M397" i="44"/>
  <c r="W396" i="44"/>
  <c r="O396" i="44"/>
  <c r="W395" i="44"/>
  <c r="O395" i="44"/>
  <c r="W394" i="44"/>
  <c r="O394" i="44"/>
  <c r="W393" i="44"/>
  <c r="O393" i="44"/>
  <c r="W392" i="44"/>
  <c r="O392" i="44"/>
  <c r="W391" i="44"/>
  <c r="O391" i="44"/>
  <c r="W390" i="44"/>
  <c r="O390" i="44"/>
  <c r="W389" i="44"/>
  <c r="O389" i="44"/>
  <c r="W388" i="44"/>
  <c r="O388" i="44"/>
  <c r="W387" i="44"/>
  <c r="O387" i="44"/>
  <c r="W386" i="44"/>
  <c r="O386" i="44"/>
  <c r="W385" i="44"/>
  <c r="V385" i="44"/>
  <c r="U385" i="44"/>
  <c r="T385" i="44"/>
  <c r="R385" i="44"/>
  <c r="R372" i="44" s="1"/>
  <c r="Q385" i="44"/>
  <c r="P385" i="44"/>
  <c r="N385" i="44"/>
  <c r="M385" i="44"/>
  <c r="L385" i="44"/>
  <c r="O385" i="44" s="1"/>
  <c r="O384" i="44"/>
  <c r="W384" i="44" s="1"/>
  <c r="O383" i="44"/>
  <c r="W383" i="44" s="1"/>
  <c r="O382" i="44"/>
  <c r="W382" i="44" s="1"/>
  <c r="O381" i="44"/>
  <c r="W381" i="44" s="1"/>
  <c r="O380" i="44"/>
  <c r="W380" i="44" s="1"/>
  <c r="O379" i="44"/>
  <c r="W379" i="44" s="1"/>
  <c r="O378" i="44"/>
  <c r="W378" i="44" s="1"/>
  <c r="O377" i="44"/>
  <c r="W377" i="44" s="1"/>
  <c r="O376" i="44"/>
  <c r="W376" i="44" s="1"/>
  <c r="O375" i="44"/>
  <c r="W375" i="44" s="1"/>
  <c r="O374" i="44"/>
  <c r="W374" i="44" s="1"/>
  <c r="V373" i="44"/>
  <c r="U373" i="44"/>
  <c r="T373" i="44"/>
  <c r="T372" i="44" s="1"/>
  <c r="R373" i="44"/>
  <c r="Q373" i="44"/>
  <c r="Q372" i="44" s="1"/>
  <c r="P373" i="44"/>
  <c r="N373" i="44"/>
  <c r="M373" i="44"/>
  <c r="M372" i="44" s="1"/>
  <c r="L373" i="44"/>
  <c r="U372" i="44"/>
  <c r="P372" i="44"/>
  <c r="N372" i="44"/>
  <c r="L372" i="44"/>
  <c r="O372" i="44" s="1"/>
  <c r="O371" i="44"/>
  <c r="W371" i="44" s="1"/>
  <c r="O370" i="44"/>
  <c r="W370" i="44" s="1"/>
  <c r="O369" i="44"/>
  <c r="W369" i="44" s="1"/>
  <c r="O368" i="44"/>
  <c r="W368" i="44" s="1"/>
  <c r="O367" i="44"/>
  <c r="W367" i="44" s="1"/>
  <c r="O366" i="44"/>
  <c r="W366" i="44" s="1"/>
  <c r="O365" i="44"/>
  <c r="W365" i="44" s="1"/>
  <c r="O364" i="44"/>
  <c r="W364" i="44" s="1"/>
  <c r="O363" i="44"/>
  <c r="W363" i="44" s="1"/>
  <c r="O362" i="44"/>
  <c r="W362" i="44" s="1"/>
  <c r="O361" i="44"/>
  <c r="W361" i="44" s="1"/>
  <c r="V360" i="44"/>
  <c r="U360" i="44"/>
  <c r="T360" i="44"/>
  <c r="T347" i="44" s="1"/>
  <c r="R360" i="44"/>
  <c r="Q360" i="44"/>
  <c r="P360" i="44"/>
  <c r="N360" i="44"/>
  <c r="M360" i="44"/>
  <c r="O360" i="44" s="1"/>
  <c r="L360" i="44"/>
  <c r="W359" i="44"/>
  <c r="O359" i="44"/>
  <c r="W358" i="44"/>
  <c r="O358" i="44"/>
  <c r="W357" i="44"/>
  <c r="O357" i="44"/>
  <c r="W356" i="44"/>
  <c r="O356" i="44"/>
  <c r="W355" i="44"/>
  <c r="O355" i="44"/>
  <c r="W354" i="44"/>
  <c r="O354" i="44"/>
  <c r="W353" i="44"/>
  <c r="O353" i="44"/>
  <c r="W352" i="44"/>
  <c r="O352" i="44"/>
  <c r="W351" i="44"/>
  <c r="O351" i="44"/>
  <c r="W350" i="44"/>
  <c r="O350" i="44"/>
  <c r="W349" i="44"/>
  <c r="O349" i="44"/>
  <c r="V348" i="44"/>
  <c r="U348" i="44"/>
  <c r="U347" i="44" s="1"/>
  <c r="T348" i="44"/>
  <c r="R348" i="44"/>
  <c r="R347" i="44" s="1"/>
  <c r="R321" i="44" s="1"/>
  <c r="R320" i="44" s="1"/>
  <c r="Q348" i="44"/>
  <c r="P348" i="44"/>
  <c r="P347" i="44" s="1"/>
  <c r="N348" i="44"/>
  <c r="N347" i="44" s="1"/>
  <c r="M348" i="44"/>
  <c r="L348" i="44"/>
  <c r="V347" i="44"/>
  <c r="Q347" i="44"/>
  <c r="M347" i="44"/>
  <c r="W346" i="44"/>
  <c r="O346" i="44"/>
  <c r="W345" i="44"/>
  <c r="O345" i="44"/>
  <c r="W344" i="44"/>
  <c r="O344" i="44"/>
  <c r="W343" i="44"/>
  <c r="O343" i="44"/>
  <c r="W342" i="44"/>
  <c r="O342" i="44"/>
  <c r="W341" i="44"/>
  <c r="O341" i="44"/>
  <c r="W340" i="44"/>
  <c r="O340" i="44"/>
  <c r="W339" i="44"/>
  <c r="O339" i="44"/>
  <c r="W338" i="44"/>
  <c r="O338" i="44"/>
  <c r="W337" i="44"/>
  <c r="O337" i="44"/>
  <c r="W336" i="44"/>
  <c r="O336" i="44"/>
  <c r="V335" i="44"/>
  <c r="U335" i="44"/>
  <c r="T335" i="44"/>
  <c r="R335" i="44"/>
  <c r="Q335" i="44"/>
  <c r="P335" i="44"/>
  <c r="N335" i="44"/>
  <c r="M335" i="44"/>
  <c r="L335" i="44"/>
  <c r="O335" i="44" s="1"/>
  <c r="W335" i="44" s="1"/>
  <c r="O334" i="44"/>
  <c r="W334" i="44" s="1"/>
  <c r="O333" i="44"/>
  <c r="W333" i="44" s="1"/>
  <c r="O332" i="44"/>
  <c r="W332" i="44" s="1"/>
  <c r="O331" i="44"/>
  <c r="W331" i="44" s="1"/>
  <c r="O330" i="44"/>
  <c r="W330" i="44" s="1"/>
  <c r="O329" i="44"/>
  <c r="W329" i="44" s="1"/>
  <c r="O328" i="44"/>
  <c r="W328" i="44" s="1"/>
  <c r="O327" i="44"/>
  <c r="W327" i="44" s="1"/>
  <c r="O326" i="44"/>
  <c r="W326" i="44" s="1"/>
  <c r="O325" i="44"/>
  <c r="W325" i="44" s="1"/>
  <c r="O324" i="44"/>
  <c r="W324" i="44" s="1"/>
  <c r="O323" i="44"/>
  <c r="W323" i="44" s="1"/>
  <c r="V322" i="44"/>
  <c r="U322" i="44"/>
  <c r="T322" i="44"/>
  <c r="R322" i="44"/>
  <c r="Q322" i="44"/>
  <c r="P322" i="44"/>
  <c r="N322" i="44"/>
  <c r="M322" i="44"/>
  <c r="L322" i="44"/>
  <c r="U321" i="44"/>
  <c r="U320" i="44" s="1"/>
  <c r="P321" i="44"/>
  <c r="P320" i="44" s="1"/>
  <c r="N321" i="44"/>
  <c r="N320" i="44" s="1"/>
  <c r="U319" i="44"/>
  <c r="R319" i="44"/>
  <c r="P319" i="44"/>
  <c r="N319" i="44"/>
  <c r="O318" i="44"/>
  <c r="W318" i="44" s="1"/>
  <c r="O317" i="44"/>
  <c r="W317" i="44" s="1"/>
  <c r="O316" i="44"/>
  <c r="W316" i="44" s="1"/>
  <c r="O315" i="44"/>
  <c r="W315" i="44" s="1"/>
  <c r="O314" i="44"/>
  <c r="W314" i="44" s="1"/>
  <c r="O313" i="44"/>
  <c r="W313" i="44" s="1"/>
  <c r="O312" i="44"/>
  <c r="W312" i="44" s="1"/>
  <c r="O311" i="44"/>
  <c r="W311" i="44" s="1"/>
  <c r="O310" i="44"/>
  <c r="W310" i="44" s="1"/>
  <c r="O309" i="44"/>
  <c r="W309" i="44" s="1"/>
  <c r="O308" i="44"/>
  <c r="W308" i="44" s="1"/>
  <c r="V307" i="44"/>
  <c r="U307" i="44"/>
  <c r="T307" i="44"/>
  <c r="T306" i="44" s="1"/>
  <c r="R307" i="44"/>
  <c r="Q307" i="44"/>
  <c r="Q306" i="44" s="1"/>
  <c r="P307" i="44"/>
  <c r="N307" i="44"/>
  <c r="M307" i="44"/>
  <c r="M306" i="44" s="1"/>
  <c r="L307" i="44"/>
  <c r="U306" i="44"/>
  <c r="R306" i="44"/>
  <c r="P306" i="44"/>
  <c r="N306" i="44"/>
  <c r="L306" i="44"/>
  <c r="O305" i="44"/>
  <c r="W305" i="44" s="1"/>
  <c r="O304" i="44"/>
  <c r="W304" i="44" s="1"/>
  <c r="O303" i="44"/>
  <c r="W303" i="44" s="1"/>
  <c r="O302" i="44"/>
  <c r="W302" i="44" s="1"/>
  <c r="O301" i="44"/>
  <c r="W301" i="44" s="1"/>
  <c r="O300" i="44"/>
  <c r="W300" i="44" s="1"/>
  <c r="O299" i="44"/>
  <c r="W299" i="44" s="1"/>
  <c r="O298" i="44"/>
  <c r="W298" i="44" s="1"/>
  <c r="O297" i="44"/>
  <c r="W297" i="44" s="1"/>
  <c r="O296" i="44"/>
  <c r="W296" i="44" s="1"/>
  <c r="O295" i="44"/>
  <c r="W295" i="44" s="1"/>
  <c r="V294" i="44"/>
  <c r="U294" i="44"/>
  <c r="T294" i="44"/>
  <c r="T293" i="44" s="1"/>
  <c r="R294" i="44"/>
  <c r="Q294" i="44"/>
  <c r="Q293" i="44" s="1"/>
  <c r="P294" i="44"/>
  <c r="N294" i="44"/>
  <c r="M294" i="44"/>
  <c r="M293" i="44" s="1"/>
  <c r="L294" i="44"/>
  <c r="U293" i="44"/>
  <c r="U292" i="44" s="1"/>
  <c r="R293" i="44"/>
  <c r="R292" i="44" s="1"/>
  <c r="R291" i="44" s="1"/>
  <c r="P293" i="44"/>
  <c r="P292" i="44" s="1"/>
  <c r="N293" i="44"/>
  <c r="N292" i="44" s="1"/>
  <c r="N291" i="44" s="1"/>
  <c r="L293" i="44"/>
  <c r="T292" i="44"/>
  <c r="T291" i="44" s="1"/>
  <c r="Q292" i="44"/>
  <c r="Q291" i="44" s="1"/>
  <c r="M292" i="44"/>
  <c r="M291" i="44" s="1"/>
  <c r="U291" i="44"/>
  <c r="P291" i="44"/>
  <c r="O290" i="44"/>
  <c r="W290" i="44" s="1"/>
  <c r="O289" i="44"/>
  <c r="W289" i="44" s="1"/>
  <c r="O288" i="44"/>
  <c r="W288" i="44" s="1"/>
  <c r="O287" i="44"/>
  <c r="W287" i="44" s="1"/>
  <c r="O286" i="44"/>
  <c r="W286" i="44" s="1"/>
  <c r="O285" i="44"/>
  <c r="W285" i="44" s="1"/>
  <c r="O284" i="44"/>
  <c r="W284" i="44" s="1"/>
  <c r="O283" i="44"/>
  <c r="W283" i="44" s="1"/>
  <c r="O282" i="44"/>
  <c r="W282" i="44" s="1"/>
  <c r="O281" i="44"/>
  <c r="W281" i="44" s="1"/>
  <c r="O280" i="44"/>
  <c r="W280" i="44" s="1"/>
  <c r="V279" i="44"/>
  <c r="U279" i="44"/>
  <c r="T279" i="44"/>
  <c r="R279" i="44"/>
  <c r="Q279" i="44"/>
  <c r="P279" i="44"/>
  <c r="N279" i="44"/>
  <c r="M279" i="44"/>
  <c r="O279" i="44" s="1"/>
  <c r="L279" i="44"/>
  <c r="W278" i="44"/>
  <c r="O278" i="44"/>
  <c r="W277" i="44"/>
  <c r="O277" i="44"/>
  <c r="W276" i="44"/>
  <c r="O276" i="44"/>
  <c r="W275" i="44"/>
  <c r="O275" i="44"/>
  <c r="W274" i="44"/>
  <c r="O274" i="44"/>
  <c r="W273" i="44"/>
  <c r="O273" i="44"/>
  <c r="W272" i="44"/>
  <c r="O272" i="44"/>
  <c r="W271" i="44"/>
  <c r="O271" i="44"/>
  <c r="W270" i="44"/>
  <c r="O270" i="44"/>
  <c r="W269" i="44"/>
  <c r="O269" i="44"/>
  <c r="W268" i="44"/>
  <c r="O268" i="44"/>
  <c r="W267" i="44"/>
  <c r="V267" i="44"/>
  <c r="U267" i="44"/>
  <c r="T267" i="44"/>
  <c r="R267" i="44"/>
  <c r="R254" i="44" s="1"/>
  <c r="R253" i="44" s="1"/>
  <c r="Q267" i="44"/>
  <c r="P267" i="44"/>
  <c r="N267" i="44"/>
  <c r="M267" i="44"/>
  <c r="L267" i="44"/>
  <c r="O267" i="44" s="1"/>
  <c r="O266" i="44"/>
  <c r="W266" i="44" s="1"/>
  <c r="O265" i="44"/>
  <c r="W265" i="44" s="1"/>
  <c r="O264" i="44"/>
  <c r="W264" i="44" s="1"/>
  <c r="O263" i="44"/>
  <c r="W263" i="44" s="1"/>
  <c r="O262" i="44"/>
  <c r="W262" i="44" s="1"/>
  <c r="O261" i="44"/>
  <c r="W261" i="44" s="1"/>
  <c r="O260" i="44"/>
  <c r="W260" i="44" s="1"/>
  <c r="O259" i="44"/>
  <c r="W259" i="44" s="1"/>
  <c r="O258" i="44"/>
  <c r="W258" i="44" s="1"/>
  <c r="O257" i="44"/>
  <c r="W257" i="44" s="1"/>
  <c r="O256" i="44"/>
  <c r="W256" i="44" s="1"/>
  <c r="V255" i="44"/>
  <c r="U255" i="44"/>
  <c r="T255" i="44"/>
  <c r="R255" i="44"/>
  <c r="Q255" i="44"/>
  <c r="P255" i="44"/>
  <c r="N255" i="44"/>
  <c r="M255" i="44"/>
  <c r="L255" i="44"/>
  <c r="U254" i="44"/>
  <c r="U253" i="44" s="1"/>
  <c r="P254" i="44"/>
  <c r="P253" i="44" s="1"/>
  <c r="N254" i="44"/>
  <c r="N253" i="44" s="1"/>
  <c r="L254" i="44"/>
  <c r="W252" i="44"/>
  <c r="O252" i="44"/>
  <c r="W251" i="44"/>
  <c r="O251" i="44"/>
  <c r="W250" i="44"/>
  <c r="O250" i="44"/>
  <c r="W249" i="44"/>
  <c r="O249" i="44"/>
  <c r="W248" i="44"/>
  <c r="O248" i="44"/>
  <c r="W247" i="44"/>
  <c r="O247" i="44"/>
  <c r="W246" i="44"/>
  <c r="O246" i="44"/>
  <c r="W245" i="44"/>
  <c r="O245" i="44"/>
  <c r="W244" i="44"/>
  <c r="O244" i="44"/>
  <c r="W243" i="44"/>
  <c r="O243" i="44"/>
  <c r="W242" i="44"/>
  <c r="O242" i="44"/>
  <c r="V241" i="44"/>
  <c r="U241" i="44"/>
  <c r="U240" i="44" s="1"/>
  <c r="T241" i="44"/>
  <c r="R241" i="44"/>
  <c r="R240" i="44" s="1"/>
  <c r="R239" i="44" s="1"/>
  <c r="Q241" i="44"/>
  <c r="P241" i="44"/>
  <c r="P240" i="44" s="1"/>
  <c r="N241" i="44"/>
  <c r="N240" i="44" s="1"/>
  <c r="M241" i="44"/>
  <c r="L241" i="44"/>
  <c r="V240" i="44"/>
  <c r="T240" i="44"/>
  <c r="Q240" i="44"/>
  <c r="M240" i="44"/>
  <c r="U239" i="44"/>
  <c r="P239" i="44"/>
  <c r="N239" i="44"/>
  <c r="O238" i="44"/>
  <c r="W238" i="44" s="1"/>
  <c r="O237" i="44"/>
  <c r="W237" i="44" s="1"/>
  <c r="O236" i="44"/>
  <c r="W236" i="44" s="1"/>
  <c r="O235" i="44"/>
  <c r="W235" i="44" s="1"/>
  <c r="O234" i="44"/>
  <c r="W234" i="44" s="1"/>
  <c r="O233" i="44"/>
  <c r="W233" i="44" s="1"/>
  <c r="O232" i="44"/>
  <c r="W232" i="44" s="1"/>
  <c r="O231" i="44"/>
  <c r="W231" i="44" s="1"/>
  <c r="O230" i="44"/>
  <c r="W230" i="44" s="1"/>
  <c r="O229" i="44"/>
  <c r="W229" i="44" s="1"/>
  <c r="O228" i="44"/>
  <c r="W228" i="44" s="1"/>
  <c r="V227" i="44"/>
  <c r="U227" i="44"/>
  <c r="T227" i="44"/>
  <c r="T214" i="44" s="1"/>
  <c r="T213" i="44" s="1"/>
  <c r="R227" i="44"/>
  <c r="Q227" i="44"/>
  <c r="Q214" i="44" s="1"/>
  <c r="P227" i="44"/>
  <c r="N227" i="44"/>
  <c r="M227" i="44"/>
  <c r="O227" i="44" s="1"/>
  <c r="L227" i="44"/>
  <c r="W226" i="44"/>
  <c r="O226" i="44"/>
  <c r="W225" i="44"/>
  <c r="O225" i="44"/>
  <c r="W224" i="44"/>
  <c r="O224" i="44"/>
  <c r="W223" i="44"/>
  <c r="O223" i="44"/>
  <c r="W222" i="44"/>
  <c r="O222" i="44"/>
  <c r="W221" i="44"/>
  <c r="O221" i="44"/>
  <c r="W220" i="44"/>
  <c r="O220" i="44"/>
  <c r="W219" i="44"/>
  <c r="O219" i="44"/>
  <c r="W218" i="44"/>
  <c r="O218" i="44"/>
  <c r="W217" i="44"/>
  <c r="O217" i="44"/>
  <c r="W216" i="44"/>
  <c r="O216" i="44"/>
  <c r="V215" i="44"/>
  <c r="U215" i="44"/>
  <c r="U214" i="44" s="1"/>
  <c r="U213" i="44" s="1"/>
  <c r="T215" i="44"/>
  <c r="Q215" i="44"/>
  <c r="N215" i="44"/>
  <c r="M215" i="44"/>
  <c r="M214" i="44" s="1"/>
  <c r="L215" i="44"/>
  <c r="P214" i="44"/>
  <c r="P213" i="44" s="1"/>
  <c r="N214" i="44"/>
  <c r="N213" i="44" s="1"/>
  <c r="L214" i="44"/>
  <c r="Q213" i="44"/>
  <c r="M213" i="44"/>
  <c r="W212" i="44"/>
  <c r="O212" i="44"/>
  <c r="W211" i="44"/>
  <c r="O211" i="44"/>
  <c r="W210" i="44"/>
  <c r="O210" i="44"/>
  <c r="W209" i="44"/>
  <c r="O209" i="44"/>
  <c r="W208" i="44"/>
  <c r="O208" i="44"/>
  <c r="W207" i="44"/>
  <c r="O207" i="44"/>
  <c r="W206" i="44"/>
  <c r="O206" i="44"/>
  <c r="W205" i="44"/>
  <c r="O205" i="44"/>
  <c r="W204" i="44"/>
  <c r="O204" i="44"/>
  <c r="W203" i="44"/>
  <c r="O203" i="44"/>
  <c r="W202" i="44"/>
  <c r="O202" i="44"/>
  <c r="V201" i="44"/>
  <c r="U201" i="44"/>
  <c r="T201" i="44"/>
  <c r="R201" i="44"/>
  <c r="Q201" i="44"/>
  <c r="P201" i="44"/>
  <c r="N201" i="44"/>
  <c r="M201" i="44"/>
  <c r="L201" i="44"/>
  <c r="O201" i="44" s="1"/>
  <c r="W201" i="44" s="1"/>
  <c r="O200" i="44"/>
  <c r="W200" i="44" s="1"/>
  <c r="O199" i="44"/>
  <c r="W199" i="44" s="1"/>
  <c r="O198" i="44"/>
  <c r="W198" i="44" s="1"/>
  <c r="O197" i="44"/>
  <c r="W197" i="44" s="1"/>
  <c r="O196" i="44"/>
  <c r="W196" i="44" s="1"/>
  <c r="O195" i="44"/>
  <c r="W195" i="44" s="1"/>
  <c r="O194" i="44"/>
  <c r="W194" i="44" s="1"/>
  <c r="O193" i="44"/>
  <c r="W193" i="44" s="1"/>
  <c r="O192" i="44"/>
  <c r="W192" i="44" s="1"/>
  <c r="O191" i="44"/>
  <c r="W191" i="44" s="1"/>
  <c r="R190" i="44"/>
  <c r="O190" i="44"/>
  <c r="W190" i="44" s="1"/>
  <c r="V189" i="44"/>
  <c r="U189" i="44"/>
  <c r="T189" i="44"/>
  <c r="R189" i="44"/>
  <c r="Q189" i="44"/>
  <c r="P189" i="44"/>
  <c r="N189" i="44"/>
  <c r="M189" i="44"/>
  <c r="L189" i="44"/>
  <c r="O189" i="44" s="1"/>
  <c r="W189" i="44" s="1"/>
  <c r="O188" i="44"/>
  <c r="W188" i="44" s="1"/>
  <c r="O187" i="44"/>
  <c r="W187" i="44" s="1"/>
  <c r="O186" i="44"/>
  <c r="W186" i="44" s="1"/>
  <c r="O185" i="44"/>
  <c r="W185" i="44" s="1"/>
  <c r="O184" i="44"/>
  <c r="W184" i="44" s="1"/>
  <c r="O183" i="44"/>
  <c r="W183" i="44" s="1"/>
  <c r="O182" i="44"/>
  <c r="W182" i="44" s="1"/>
  <c r="O181" i="44"/>
  <c r="W181" i="44" s="1"/>
  <c r="O180" i="44"/>
  <c r="W180" i="44" s="1"/>
  <c r="O179" i="44"/>
  <c r="W179" i="44" s="1"/>
  <c r="O178" i="44"/>
  <c r="W178" i="44" s="1"/>
  <c r="V177" i="44"/>
  <c r="U177" i="44"/>
  <c r="T177" i="44"/>
  <c r="N177" i="44"/>
  <c r="M177" i="44"/>
  <c r="L177" i="44"/>
  <c r="O177" i="44" s="1"/>
  <c r="O176" i="44"/>
  <c r="W176" i="44" s="1"/>
  <c r="O175" i="44"/>
  <c r="W175" i="44" s="1"/>
  <c r="O174" i="44"/>
  <c r="W174" i="44" s="1"/>
  <c r="O173" i="44"/>
  <c r="W173" i="44" s="1"/>
  <c r="O172" i="44"/>
  <c r="W172" i="44" s="1"/>
  <c r="O171" i="44"/>
  <c r="W171" i="44" s="1"/>
  <c r="O170" i="44"/>
  <c r="W170" i="44" s="1"/>
  <c r="O169" i="44"/>
  <c r="W169" i="44" s="1"/>
  <c r="O168" i="44"/>
  <c r="W168" i="44" s="1"/>
  <c r="O167" i="44"/>
  <c r="W167" i="44" s="1"/>
  <c r="O166" i="44"/>
  <c r="W166" i="44" s="1"/>
  <c r="V165" i="44"/>
  <c r="U165" i="44"/>
  <c r="T165" i="44"/>
  <c r="T164" i="44" s="1"/>
  <c r="T78" i="44" s="1"/>
  <c r="Q165" i="44"/>
  <c r="N165" i="44"/>
  <c r="M165" i="44"/>
  <c r="M164" i="44" s="1"/>
  <c r="L165" i="44"/>
  <c r="U164" i="44"/>
  <c r="R164" i="44"/>
  <c r="Q164" i="44"/>
  <c r="P164" i="44"/>
  <c r="N164" i="44"/>
  <c r="L164" i="44"/>
  <c r="O163" i="44"/>
  <c r="W163" i="44" s="1"/>
  <c r="O162" i="44"/>
  <c r="W162" i="44" s="1"/>
  <c r="O161" i="44"/>
  <c r="W161" i="44" s="1"/>
  <c r="O160" i="44"/>
  <c r="W160" i="44" s="1"/>
  <c r="O159" i="44"/>
  <c r="W159" i="44" s="1"/>
  <c r="O158" i="44"/>
  <c r="W158" i="44" s="1"/>
  <c r="O157" i="44"/>
  <c r="W157" i="44" s="1"/>
  <c r="O156" i="44"/>
  <c r="W156" i="44" s="1"/>
  <c r="O155" i="44"/>
  <c r="W155" i="44" s="1"/>
  <c r="O154" i="44"/>
  <c r="W154" i="44" s="1"/>
  <c r="O153" i="44"/>
  <c r="W153" i="44" s="1"/>
  <c r="V152" i="44"/>
  <c r="U152" i="44"/>
  <c r="T152" i="44"/>
  <c r="R152" i="44"/>
  <c r="Q152" i="44"/>
  <c r="P152" i="44"/>
  <c r="N152" i="44"/>
  <c r="M152" i="44"/>
  <c r="O152" i="44" s="1"/>
  <c r="L152" i="44"/>
  <c r="W151" i="44"/>
  <c r="O151" i="44"/>
  <c r="W150" i="44"/>
  <c r="O150" i="44"/>
  <c r="W149" i="44"/>
  <c r="O149" i="44"/>
  <c r="W148" i="44"/>
  <c r="O148" i="44"/>
  <c r="W147" i="44"/>
  <c r="O147" i="44"/>
  <c r="W146" i="44"/>
  <c r="O146" i="44"/>
  <c r="W145" i="44"/>
  <c r="O145" i="44"/>
  <c r="W144" i="44"/>
  <c r="O144" i="44"/>
  <c r="W143" i="44"/>
  <c r="O143" i="44"/>
  <c r="W142" i="44"/>
  <c r="O142" i="44"/>
  <c r="W141" i="44"/>
  <c r="O141" i="44"/>
  <c r="V140" i="44"/>
  <c r="U140" i="44"/>
  <c r="T140" i="44"/>
  <c r="R140" i="44"/>
  <c r="Q140" i="44"/>
  <c r="P140" i="44"/>
  <c r="N140" i="44"/>
  <c r="M140" i="44"/>
  <c r="L140" i="44"/>
  <c r="O140" i="44" s="1"/>
  <c r="W140" i="44" s="1"/>
  <c r="O139" i="44"/>
  <c r="W139" i="44" s="1"/>
  <c r="O138" i="44"/>
  <c r="W138" i="44" s="1"/>
  <c r="O137" i="44"/>
  <c r="W137" i="44" s="1"/>
  <c r="O136" i="44"/>
  <c r="W136" i="44" s="1"/>
  <c r="O135" i="44"/>
  <c r="W135" i="44" s="1"/>
  <c r="O134" i="44"/>
  <c r="W134" i="44" s="1"/>
  <c r="O133" i="44"/>
  <c r="W133" i="44" s="1"/>
  <c r="O132" i="44"/>
  <c r="W132" i="44" s="1"/>
  <c r="O131" i="44"/>
  <c r="W131" i="44" s="1"/>
  <c r="O130" i="44"/>
  <c r="W130" i="44" s="1"/>
  <c r="O129" i="44"/>
  <c r="W129" i="44" s="1"/>
  <c r="V128" i="44"/>
  <c r="U128" i="44"/>
  <c r="T128" i="44"/>
  <c r="R128" i="44"/>
  <c r="Q128" i="44"/>
  <c r="Q79" i="44" s="1"/>
  <c r="Q78" i="44" s="1"/>
  <c r="P128" i="44"/>
  <c r="N128" i="44"/>
  <c r="M128" i="44"/>
  <c r="M79" i="44" s="1"/>
  <c r="L128" i="44"/>
  <c r="W127" i="44"/>
  <c r="O127" i="44"/>
  <c r="W126" i="44"/>
  <c r="O126" i="44"/>
  <c r="W125" i="44"/>
  <c r="O125" i="44"/>
  <c r="W124" i="44"/>
  <c r="O124" i="44"/>
  <c r="W123" i="44"/>
  <c r="O123" i="44"/>
  <c r="W122" i="44"/>
  <c r="O122" i="44"/>
  <c r="W121" i="44"/>
  <c r="O121" i="44"/>
  <c r="W120" i="44"/>
  <c r="O120" i="44"/>
  <c r="W119" i="44"/>
  <c r="O119" i="44"/>
  <c r="W118" i="44"/>
  <c r="O118" i="44"/>
  <c r="W117" i="44"/>
  <c r="O117" i="44"/>
  <c r="V116" i="44"/>
  <c r="U116" i="44"/>
  <c r="U79" i="44" s="1"/>
  <c r="U78" i="44" s="1"/>
  <c r="U37" i="44" s="1"/>
  <c r="T116" i="44"/>
  <c r="R116" i="44"/>
  <c r="Q116" i="44"/>
  <c r="P116" i="44"/>
  <c r="N116" i="44"/>
  <c r="M116" i="44"/>
  <c r="L116" i="44"/>
  <c r="O116" i="44" s="1"/>
  <c r="W116" i="44" s="1"/>
  <c r="O115" i="44"/>
  <c r="W115" i="44" s="1"/>
  <c r="O114" i="44"/>
  <c r="W114" i="44" s="1"/>
  <c r="O113" i="44"/>
  <c r="W113" i="44" s="1"/>
  <c r="O112" i="44"/>
  <c r="W112" i="44" s="1"/>
  <c r="O111" i="44"/>
  <c r="W111" i="44" s="1"/>
  <c r="O110" i="44"/>
  <c r="W110" i="44" s="1"/>
  <c r="O109" i="44"/>
  <c r="W109" i="44" s="1"/>
  <c r="O108" i="44"/>
  <c r="W108" i="44" s="1"/>
  <c r="O107" i="44"/>
  <c r="W107" i="44" s="1"/>
  <c r="O106" i="44"/>
  <c r="W106" i="44" s="1"/>
  <c r="O105" i="44"/>
  <c r="W105" i="44" s="1"/>
  <c r="V104" i="44"/>
  <c r="U104" i="44"/>
  <c r="T104" i="44"/>
  <c r="N104" i="44"/>
  <c r="M104" i="44"/>
  <c r="L104" i="44"/>
  <c r="O104" i="44" s="1"/>
  <c r="O103" i="44"/>
  <c r="W103" i="44" s="1"/>
  <c r="O102" i="44"/>
  <c r="W102" i="44" s="1"/>
  <c r="O101" i="44"/>
  <c r="W101" i="44" s="1"/>
  <c r="O100" i="44"/>
  <c r="W100" i="44" s="1"/>
  <c r="O99" i="44"/>
  <c r="W99" i="44" s="1"/>
  <c r="O98" i="44"/>
  <c r="W98" i="44" s="1"/>
  <c r="O97" i="44"/>
  <c r="W97" i="44" s="1"/>
  <c r="O96" i="44"/>
  <c r="W96" i="44" s="1"/>
  <c r="O95" i="44"/>
  <c r="W95" i="44" s="1"/>
  <c r="O94" i="44"/>
  <c r="W94" i="44" s="1"/>
  <c r="O93" i="44"/>
  <c r="W93" i="44" s="1"/>
  <c r="V92" i="44"/>
  <c r="W92" i="44" s="1"/>
  <c r="U92" i="44"/>
  <c r="T92" i="44"/>
  <c r="N92" i="44"/>
  <c r="M92" i="44"/>
  <c r="L92" i="44"/>
  <c r="O92" i="44" s="1"/>
  <c r="O91" i="44"/>
  <c r="W91" i="44" s="1"/>
  <c r="O90" i="44"/>
  <c r="W90" i="44" s="1"/>
  <c r="O89" i="44"/>
  <c r="W89" i="44" s="1"/>
  <c r="O88" i="44"/>
  <c r="W88" i="44" s="1"/>
  <c r="O87" i="44"/>
  <c r="W87" i="44" s="1"/>
  <c r="O86" i="44"/>
  <c r="W86" i="44" s="1"/>
  <c r="O85" i="44"/>
  <c r="W85" i="44" s="1"/>
  <c r="O84" i="44"/>
  <c r="W84" i="44" s="1"/>
  <c r="O83" i="44"/>
  <c r="W83" i="44" s="1"/>
  <c r="O82" i="44"/>
  <c r="W82" i="44" s="1"/>
  <c r="O81" i="44"/>
  <c r="W81" i="44" s="1"/>
  <c r="V80" i="44"/>
  <c r="U80" i="44"/>
  <c r="T80" i="44"/>
  <c r="N80" i="44"/>
  <c r="M80" i="44"/>
  <c r="L80" i="44"/>
  <c r="O80" i="44" s="1"/>
  <c r="V79" i="44"/>
  <c r="T79" i="44"/>
  <c r="S79" i="44"/>
  <c r="R79" i="44"/>
  <c r="P79" i="44"/>
  <c r="N79" i="44"/>
  <c r="L79" i="44"/>
  <c r="O79" i="44" s="1"/>
  <c r="S78" i="44"/>
  <c r="R78" i="44"/>
  <c r="P78" i="44"/>
  <c r="P37" i="44" s="1"/>
  <c r="N78" i="44"/>
  <c r="L78" i="44"/>
  <c r="O77" i="44"/>
  <c r="W77" i="44" s="1"/>
  <c r="O76" i="44"/>
  <c r="W76" i="44" s="1"/>
  <c r="O75" i="44"/>
  <c r="W75" i="44" s="1"/>
  <c r="O74" i="44"/>
  <c r="W74" i="44" s="1"/>
  <c r="O73" i="44"/>
  <c r="W73" i="44" s="1"/>
  <c r="O72" i="44"/>
  <c r="W72" i="44" s="1"/>
  <c r="O71" i="44"/>
  <c r="W71" i="44" s="1"/>
  <c r="O70" i="44"/>
  <c r="W70" i="44" s="1"/>
  <c r="O69" i="44"/>
  <c r="W69" i="44" s="1"/>
  <c r="O68" i="44"/>
  <c r="W68" i="44" s="1"/>
  <c r="O67" i="44"/>
  <c r="W67" i="44" s="1"/>
  <c r="V66" i="44"/>
  <c r="W66" i="44" s="1"/>
  <c r="U66" i="44"/>
  <c r="T66" i="44"/>
  <c r="R66" i="44"/>
  <c r="Q66" i="44"/>
  <c r="P66" i="44"/>
  <c r="N66" i="44"/>
  <c r="M66" i="44"/>
  <c r="O66" i="44" s="1"/>
  <c r="L66" i="44"/>
  <c r="W65" i="44"/>
  <c r="O65" i="44"/>
  <c r="W64" i="44"/>
  <c r="O64" i="44"/>
  <c r="W63" i="44"/>
  <c r="O63" i="44"/>
  <c r="W62" i="44"/>
  <c r="O62" i="44"/>
  <c r="W61" i="44"/>
  <c r="O61" i="44"/>
  <c r="W60" i="44"/>
  <c r="O60" i="44"/>
  <c r="W59" i="44"/>
  <c r="O59" i="44"/>
  <c r="W58" i="44"/>
  <c r="O58" i="44"/>
  <c r="W57" i="44"/>
  <c r="O57" i="44"/>
  <c r="W56" i="44"/>
  <c r="O56" i="44"/>
  <c r="W55" i="44"/>
  <c r="O55" i="44"/>
  <c r="V54" i="44"/>
  <c r="U54" i="44"/>
  <c r="T54" i="44"/>
  <c r="N54" i="44"/>
  <c r="M54" i="44"/>
  <c r="O54" i="44" s="1"/>
  <c r="W54" i="44" s="1"/>
  <c r="L54" i="44"/>
  <c r="W53" i="44"/>
  <c r="O53" i="44"/>
  <c r="W52" i="44"/>
  <c r="O52" i="44"/>
  <c r="W51" i="44"/>
  <c r="O51" i="44"/>
  <c r="W50" i="44"/>
  <c r="O50" i="44"/>
  <c r="W49" i="44"/>
  <c r="O49" i="44"/>
  <c r="W48" i="44"/>
  <c r="O48" i="44"/>
  <c r="W47" i="44"/>
  <c r="O47" i="44"/>
  <c r="W46" i="44"/>
  <c r="O46" i="44"/>
  <c r="W45" i="44"/>
  <c r="O45" i="44"/>
  <c r="W44" i="44"/>
  <c r="O44" i="44"/>
  <c r="W43" i="44"/>
  <c r="O43" i="44"/>
  <c r="W42" i="44"/>
  <c r="O42" i="44"/>
  <c r="V41" i="44"/>
  <c r="U41" i="44"/>
  <c r="T41" i="44"/>
  <c r="N41" i="44"/>
  <c r="M41" i="44"/>
  <c r="O41" i="44" s="1"/>
  <c r="W41" i="44" s="1"/>
  <c r="L41" i="44"/>
  <c r="U40" i="44"/>
  <c r="T40" i="44"/>
  <c r="N40" i="44"/>
  <c r="M40" i="44"/>
  <c r="O40" i="44" s="1"/>
  <c r="L40" i="44"/>
  <c r="U39" i="44"/>
  <c r="T39" i="44"/>
  <c r="S39" i="44"/>
  <c r="R39" i="44"/>
  <c r="Q39" i="44"/>
  <c r="P39" i="44"/>
  <c r="N39" i="44"/>
  <c r="M39" i="44"/>
  <c r="O39" i="44" s="1"/>
  <c r="L39" i="44"/>
  <c r="U38" i="44"/>
  <c r="T38" i="44"/>
  <c r="S38" i="44"/>
  <c r="R38" i="44"/>
  <c r="Q38" i="44"/>
  <c r="P38" i="44"/>
  <c r="N38" i="44"/>
  <c r="M38" i="44"/>
  <c r="O38" i="44" s="1"/>
  <c r="L38" i="44"/>
  <c r="S37" i="44"/>
  <c r="W36" i="44"/>
  <c r="O36" i="44"/>
  <c r="W35" i="44"/>
  <c r="O35" i="44"/>
  <c r="W34" i="44"/>
  <c r="O34" i="44"/>
  <c r="W33" i="44"/>
  <c r="O33" i="44"/>
  <c r="W32" i="44"/>
  <c r="O32" i="44"/>
  <c r="W31" i="44"/>
  <c r="O31" i="44"/>
  <c r="W30" i="44"/>
  <c r="O30" i="44"/>
  <c r="W29" i="44"/>
  <c r="O29" i="44"/>
  <c r="W28" i="44"/>
  <c r="O28" i="44"/>
  <c r="W27" i="44"/>
  <c r="O27" i="44"/>
  <c r="W26" i="44"/>
  <c r="O26" i="44"/>
  <c r="V25" i="44"/>
  <c r="U25" i="44"/>
  <c r="U12" i="44" s="1"/>
  <c r="U11" i="44" s="1"/>
  <c r="U10" i="44" s="1"/>
  <c r="U9" i="44" s="1"/>
  <c r="U8" i="44" s="1"/>
  <c r="U7" i="44" s="1"/>
  <c r="T25" i="44"/>
  <c r="R25" i="44"/>
  <c r="Q25" i="44"/>
  <c r="P25" i="44"/>
  <c r="P12" i="44" s="1"/>
  <c r="P11" i="44" s="1"/>
  <c r="P10" i="44" s="1"/>
  <c r="P9" i="44" s="1"/>
  <c r="P8" i="44" s="1"/>
  <c r="P7" i="44" s="1"/>
  <c r="N25" i="44"/>
  <c r="M25" i="44"/>
  <c r="L25" i="44"/>
  <c r="O25" i="44" s="1"/>
  <c r="W25" i="44" s="1"/>
  <c r="O24" i="44"/>
  <c r="W24" i="44" s="1"/>
  <c r="O23" i="44"/>
  <c r="W23" i="44" s="1"/>
  <c r="O22" i="44"/>
  <c r="W22" i="44" s="1"/>
  <c r="O21" i="44"/>
  <c r="W21" i="44" s="1"/>
  <c r="O20" i="44"/>
  <c r="W20" i="44" s="1"/>
  <c r="O19" i="44"/>
  <c r="W19" i="44" s="1"/>
  <c r="O18" i="44"/>
  <c r="W18" i="44" s="1"/>
  <c r="O17" i="44"/>
  <c r="W17" i="44" s="1"/>
  <c r="O16" i="44"/>
  <c r="W16" i="44" s="1"/>
  <c r="O15" i="44"/>
  <c r="W15" i="44" s="1"/>
  <c r="O14" i="44"/>
  <c r="W14" i="44" s="1"/>
  <c r="V13" i="44"/>
  <c r="U13" i="44"/>
  <c r="R13" i="44"/>
  <c r="R12" i="44" s="1"/>
  <c r="R11" i="44" s="1"/>
  <c r="R10" i="44" s="1"/>
  <c r="N13" i="44"/>
  <c r="N12" i="44" s="1"/>
  <c r="N11" i="44" s="1"/>
  <c r="N10" i="44" s="1"/>
  <c r="M13" i="44"/>
  <c r="L13" i="44"/>
  <c r="O13" i="44" s="1"/>
  <c r="V12" i="44"/>
  <c r="T12" i="44"/>
  <c r="T11" i="44" s="1"/>
  <c r="T10" i="44" s="1"/>
  <c r="Q12" i="44"/>
  <c r="Q11" i="44" s="1"/>
  <c r="Q10" i="44" s="1"/>
  <c r="M12" i="44"/>
  <c r="M11" i="44" s="1"/>
  <c r="M10" i="44" s="1"/>
  <c r="S9" i="44"/>
  <c r="S8" i="44"/>
  <c r="S7" i="44"/>
  <c r="V101" i="37" l="1"/>
  <c r="X101" i="37"/>
  <c r="J101" i="37"/>
  <c r="L101" i="37"/>
  <c r="S101" i="37"/>
  <c r="Q101" i="37"/>
  <c r="U101" i="37"/>
  <c r="W101" i="37"/>
  <c r="R101" i="37"/>
  <c r="T101" i="37"/>
  <c r="I101" i="37"/>
  <c r="K101" i="37"/>
  <c r="M68" i="37"/>
  <c r="O68" i="37"/>
  <c r="N69" i="37"/>
  <c r="P69" i="37"/>
  <c r="W128" i="44"/>
  <c r="W13" i="44"/>
  <c r="N37" i="44"/>
  <c r="N9" i="44" s="1"/>
  <c r="N8" i="44" s="1"/>
  <c r="N7" i="44" s="1"/>
  <c r="W79" i="44"/>
  <c r="W80" i="44"/>
  <c r="W104" i="44"/>
  <c r="M78" i="44"/>
  <c r="W152" i="44"/>
  <c r="O164" i="44"/>
  <c r="O128" i="44"/>
  <c r="O165" i="44"/>
  <c r="W165" i="44" s="1"/>
  <c r="W177" i="44"/>
  <c r="O215" i="44"/>
  <c r="W227" i="44"/>
  <c r="V214" i="44"/>
  <c r="Q239" i="44"/>
  <c r="Q37" i="44" s="1"/>
  <c r="Q9" i="44" s="1"/>
  <c r="V11" i="44"/>
  <c r="L12" i="44"/>
  <c r="V40" i="44"/>
  <c r="V164" i="44"/>
  <c r="O214" i="44"/>
  <c r="L213" i="44"/>
  <c r="O213" i="44" s="1"/>
  <c r="O241" i="44"/>
  <c r="W241" i="44" s="1"/>
  <c r="L240" i="44"/>
  <c r="M254" i="44"/>
  <c r="M253" i="44" s="1"/>
  <c r="M239" i="44" s="1"/>
  <c r="O255" i="44"/>
  <c r="W255" i="44" s="1"/>
  <c r="Q254" i="44"/>
  <c r="Q253" i="44" s="1"/>
  <c r="T254" i="44"/>
  <c r="T253" i="44" s="1"/>
  <c r="T239" i="44" s="1"/>
  <c r="T37" i="44" s="1"/>
  <c r="T9" i="44" s="1"/>
  <c r="V254" i="44"/>
  <c r="O293" i="44"/>
  <c r="L292" i="44"/>
  <c r="O307" i="44"/>
  <c r="W307" i="44"/>
  <c r="V306" i="44"/>
  <c r="O254" i="44"/>
  <c r="L253" i="44"/>
  <c r="O253" i="44" s="1"/>
  <c r="W279" i="44"/>
  <c r="O294" i="44"/>
  <c r="W294" i="44" s="1"/>
  <c r="V293" i="44"/>
  <c r="O306" i="44"/>
  <c r="M321" i="44"/>
  <c r="M320" i="44" s="1"/>
  <c r="O322" i="44"/>
  <c r="Q321" i="44"/>
  <c r="Q320" i="44" s="1"/>
  <c r="T321" i="44"/>
  <c r="T320" i="44" s="1"/>
  <c r="W322" i="44"/>
  <c r="O348" i="44"/>
  <c r="W348" i="44" s="1"/>
  <c r="L347" i="44"/>
  <c r="O373" i="44"/>
  <c r="W373" i="44" s="1"/>
  <c r="V372" i="44"/>
  <c r="W372" i="44" s="1"/>
  <c r="O424" i="44"/>
  <c r="W424" i="44" s="1"/>
  <c r="V423" i="44"/>
  <c r="O436" i="44"/>
  <c r="W436" i="44" s="1"/>
  <c r="L423" i="44"/>
  <c r="W472" i="44"/>
  <c r="W360" i="44"/>
  <c r="O398" i="44"/>
  <c r="W398" i="44" s="1"/>
  <c r="L397" i="44"/>
  <c r="O397" i="44" s="1"/>
  <c r="W397" i="44" s="1"/>
  <c r="W448" i="44"/>
  <c r="W522" i="44"/>
  <c r="M571" i="44"/>
  <c r="M570" i="44" s="1"/>
  <c r="W598" i="44"/>
  <c r="O598" i="44"/>
  <c r="W647" i="44"/>
  <c r="O685" i="44"/>
  <c r="W685" i="44" s="1"/>
  <c r="L684" i="44"/>
  <c r="O684" i="44" s="1"/>
  <c r="W684" i="44" s="1"/>
  <c r="O698" i="44"/>
  <c r="L697" i="44"/>
  <c r="O697" i="44" s="1"/>
  <c r="O711" i="44"/>
  <c r="W711" i="44"/>
  <c r="V710" i="44"/>
  <c r="V484" i="44"/>
  <c r="L485" i="44"/>
  <c r="L572" i="44"/>
  <c r="V597" i="44"/>
  <c r="W597" i="44" s="1"/>
  <c r="O622" i="44"/>
  <c r="Q622" i="44"/>
  <c r="Q571" i="44" s="1"/>
  <c r="Q570" i="44" s="1"/>
  <c r="T622" i="44"/>
  <c r="T571" i="44" s="1"/>
  <c r="T570" i="44" s="1"/>
  <c r="W623" i="44"/>
  <c r="V622" i="44"/>
  <c r="W622" i="44" s="1"/>
  <c r="O660" i="44"/>
  <c r="W660" i="44" s="1"/>
  <c r="V659" i="44"/>
  <c r="W659" i="44" s="1"/>
  <c r="W697" i="44"/>
  <c r="W698" i="44"/>
  <c r="O704" i="44"/>
  <c r="W704" i="44" s="1"/>
  <c r="V703" i="44"/>
  <c r="W703" i="44" s="1"/>
  <c r="O710" i="44"/>
  <c r="J50" i="34"/>
  <c r="G48" i="34"/>
  <c r="AB69" i="37" l="1"/>
  <c r="P68" i="37"/>
  <c r="O50" i="37"/>
  <c r="AA68" i="37"/>
  <c r="Z69" i="37"/>
  <c r="N68" i="37"/>
  <c r="M50" i="37"/>
  <c r="Y68" i="37"/>
  <c r="Q8" i="44"/>
  <c r="Q7" i="44" s="1"/>
  <c r="V571" i="44"/>
  <c r="O423" i="44"/>
  <c r="L422" i="44"/>
  <c r="O422" i="44" s="1"/>
  <c r="V422" i="44"/>
  <c r="W423" i="44"/>
  <c r="Q319" i="44"/>
  <c r="M319" i="44"/>
  <c r="W293" i="44"/>
  <c r="V292" i="44"/>
  <c r="L291" i="44"/>
  <c r="O291" i="44" s="1"/>
  <c r="O292" i="44"/>
  <c r="W254" i="44"/>
  <c r="V253" i="44"/>
  <c r="O240" i="44"/>
  <c r="W240" i="44" s="1"/>
  <c r="L239" i="44"/>
  <c r="O239" i="44" s="1"/>
  <c r="V39" i="44"/>
  <c r="W40" i="44"/>
  <c r="O12" i="44"/>
  <c r="W12" i="44" s="1"/>
  <c r="L11" i="44"/>
  <c r="W214" i="44"/>
  <c r="V213" i="44"/>
  <c r="W213" i="44" s="1"/>
  <c r="W215" i="44"/>
  <c r="R215" i="44"/>
  <c r="R214" i="44" s="1"/>
  <c r="R213" i="44" s="1"/>
  <c r="R37" i="44" s="1"/>
  <c r="R9" i="44" s="1"/>
  <c r="R8" i="44" s="1"/>
  <c r="R7" i="44" s="1"/>
  <c r="M37" i="44"/>
  <c r="M9" i="44" s="1"/>
  <c r="O78" i="44"/>
  <c r="O572" i="44"/>
  <c r="W572" i="44" s="1"/>
  <c r="L571" i="44"/>
  <c r="O485" i="44"/>
  <c r="W485" i="44" s="1"/>
  <c r="L484" i="44"/>
  <c r="O484" i="44" s="1"/>
  <c r="W484" i="44" s="1"/>
  <c r="W710" i="44"/>
  <c r="O347" i="44"/>
  <c r="W347" i="44" s="1"/>
  <c r="L321" i="44"/>
  <c r="V321" i="44"/>
  <c r="T319" i="44"/>
  <c r="T8" i="44" s="1"/>
  <c r="T7" i="44" s="1"/>
  <c r="W306" i="44"/>
  <c r="W164" i="44"/>
  <c r="V78" i="44"/>
  <c r="W78" i="44" s="1"/>
  <c r="V10" i="44"/>
  <c r="F18" i="25"/>
  <c r="Z68" i="37" l="1"/>
  <c r="N50" i="37"/>
  <c r="AB68" i="37"/>
  <c r="P50" i="37"/>
  <c r="M101" i="37"/>
  <c r="Y101" i="37" s="1"/>
  <c r="O101" i="37"/>
  <c r="AA101" i="37" s="1"/>
  <c r="AA50" i="37"/>
  <c r="V320" i="44"/>
  <c r="O571" i="44"/>
  <c r="L570" i="44"/>
  <c r="O570" i="44" s="1"/>
  <c r="O11" i="44"/>
  <c r="W11" i="44" s="1"/>
  <c r="L10" i="44"/>
  <c r="W253" i="44"/>
  <c r="V239" i="44"/>
  <c r="W239" i="44" s="1"/>
  <c r="W292" i="44"/>
  <c r="V291" i="44"/>
  <c r="W291" i="44" s="1"/>
  <c r="L37" i="44"/>
  <c r="O37" i="44" s="1"/>
  <c r="O321" i="44"/>
  <c r="W321" i="44" s="1"/>
  <c r="L320" i="44"/>
  <c r="M8" i="44"/>
  <c r="M7" i="44" s="1"/>
  <c r="V38" i="44"/>
  <c r="W39" i="44"/>
  <c r="W422" i="44"/>
  <c r="W571" i="44"/>
  <c r="V570" i="44"/>
  <c r="G69" i="34"/>
  <c r="N69" i="34" s="1"/>
  <c r="O69" i="34" s="1"/>
  <c r="F39" i="22"/>
  <c r="E39" i="22"/>
  <c r="H49" i="14"/>
  <c r="I49" i="14"/>
  <c r="J49" i="14"/>
  <c r="K49" i="14"/>
  <c r="P101" i="37" l="1"/>
  <c r="AB101" i="37" s="1"/>
  <c r="AB50" i="37"/>
  <c r="N101" i="37"/>
  <c r="Z101" i="37" s="1"/>
  <c r="Z50" i="37"/>
  <c r="L9" i="44"/>
  <c r="O10" i="44"/>
  <c r="W10" i="44" s="1"/>
  <c r="V319" i="44"/>
  <c r="W319" i="44" s="1"/>
  <c r="W570" i="44"/>
  <c r="V37" i="44"/>
  <c r="W38" i="44"/>
  <c r="O320" i="44"/>
  <c r="W320" i="44" s="1"/>
  <c r="L319" i="44"/>
  <c r="O319" i="44" s="1"/>
  <c r="D31" i="33"/>
  <c r="E29" i="33"/>
  <c r="D29" i="33"/>
  <c r="D26" i="33"/>
  <c r="D24" i="33"/>
  <c r="D39" i="22" s="1"/>
  <c r="E23" i="33"/>
  <c r="D23" i="33"/>
  <c r="D22" i="33"/>
  <c r="E20" i="33"/>
  <c r="D20" i="33"/>
  <c r="G15" i="33"/>
  <c r="H30" i="12" s="1"/>
  <c r="E15" i="33"/>
  <c r="F30" i="12" s="1"/>
  <c r="D5" i="33"/>
  <c r="D100" i="1" s="1"/>
  <c r="G42" i="29"/>
  <c r="F42" i="29"/>
  <c r="E42" i="29"/>
  <c r="D42" i="29"/>
  <c r="G41" i="29"/>
  <c r="F41" i="29"/>
  <c r="E41" i="29"/>
  <c r="G40" i="29"/>
  <c r="F40" i="29"/>
  <c r="E40" i="29"/>
  <c r="G39" i="29"/>
  <c r="F39" i="29"/>
  <c r="E39" i="29"/>
  <c r="G38" i="29"/>
  <c r="G37" i="29"/>
  <c r="F37" i="29"/>
  <c r="E37" i="29"/>
  <c r="G36" i="29"/>
  <c r="F36" i="29"/>
  <c r="E36" i="29"/>
  <c r="J30" i="29"/>
  <c r="I30" i="29"/>
  <c r="H30" i="29"/>
  <c r="G30" i="29"/>
  <c r="F24" i="29"/>
  <c r="I19" i="29"/>
  <c r="I18" i="29"/>
  <c r="I17" i="29"/>
  <c r="D12" i="29"/>
  <c r="D11" i="29"/>
  <c r="F10" i="29"/>
  <c r="D8" i="29"/>
  <c r="E4" i="29"/>
  <c r="A2" i="29"/>
  <c r="E30" i="28"/>
  <c r="F27" i="28"/>
  <c r="E27" i="28"/>
  <c r="G21" i="28"/>
  <c r="F21" i="28"/>
  <c r="E21" i="28"/>
  <c r="D12" i="28"/>
  <c r="D11" i="28"/>
  <c r="F10" i="28"/>
  <c r="D8" i="28"/>
  <c r="E4" i="28"/>
  <c r="A2" i="28"/>
  <c r="F81" i="27"/>
  <c r="E81" i="27"/>
  <c r="E80" i="27"/>
  <c r="E79" i="27"/>
  <c r="E75" i="27"/>
  <c r="E74" i="27"/>
  <c r="E73" i="27"/>
  <c r="H70" i="27"/>
  <c r="H69" i="27"/>
  <c r="G69" i="27"/>
  <c r="F69" i="27"/>
  <c r="E69" i="27"/>
  <c r="G68" i="27"/>
  <c r="F68" i="27"/>
  <c r="E68" i="27"/>
  <c r="H67" i="27"/>
  <c r="H66" i="27"/>
  <c r="H65" i="27"/>
  <c r="L60" i="27"/>
  <c r="K60" i="27"/>
  <c r="J60" i="27"/>
  <c r="I60" i="27"/>
  <c r="H60" i="27"/>
  <c r="G60" i="27"/>
  <c r="F60" i="27"/>
  <c r="E60" i="27"/>
  <c r="L59" i="27"/>
  <c r="K59" i="27"/>
  <c r="J59" i="27"/>
  <c r="I59" i="27"/>
  <c r="H59" i="27"/>
  <c r="G59" i="27"/>
  <c r="F59" i="27"/>
  <c r="E59" i="27"/>
  <c r="H48" i="27"/>
  <c r="H47" i="27"/>
  <c r="G47" i="27"/>
  <c r="F47" i="27"/>
  <c r="E47" i="27"/>
  <c r="G46" i="27"/>
  <c r="F46" i="27"/>
  <c r="E46" i="27"/>
  <c r="H45" i="27"/>
  <c r="H44" i="27"/>
  <c r="H43" i="27"/>
  <c r="N38" i="27"/>
  <c r="M38" i="27"/>
  <c r="L38" i="27"/>
  <c r="K38" i="27"/>
  <c r="J38" i="27"/>
  <c r="I38" i="27"/>
  <c r="H38" i="27"/>
  <c r="G38" i="27"/>
  <c r="F38" i="27"/>
  <c r="E38" i="27"/>
  <c r="N37" i="27"/>
  <c r="M37" i="27"/>
  <c r="L37" i="27"/>
  <c r="K37" i="27"/>
  <c r="J37" i="27"/>
  <c r="I37" i="27"/>
  <c r="H37" i="27"/>
  <c r="G37" i="27"/>
  <c r="F37" i="27"/>
  <c r="E37" i="27"/>
  <c r="E25" i="27"/>
  <c r="E24" i="27"/>
  <c r="E23" i="27"/>
  <c r="J20" i="27"/>
  <c r="I20" i="27"/>
  <c r="D12" i="27"/>
  <c r="D11" i="27"/>
  <c r="F10" i="27"/>
  <c r="D8" i="27"/>
  <c r="E4" i="27"/>
  <c r="A2" i="27"/>
  <c r="H17" i="26"/>
  <c r="G17" i="26"/>
  <c r="F17" i="26"/>
  <c r="E17" i="26"/>
  <c r="D11" i="26"/>
  <c r="D10" i="26"/>
  <c r="F9" i="26"/>
  <c r="D7" i="26"/>
  <c r="E4" i="26"/>
  <c r="A2" i="26"/>
  <c r="I21" i="25"/>
  <c r="H21" i="25"/>
  <c r="G21" i="25"/>
  <c r="F21" i="25"/>
  <c r="E21" i="25"/>
  <c r="I20" i="25"/>
  <c r="I19" i="25"/>
  <c r="I18" i="25"/>
  <c r="D12" i="25"/>
  <c r="D11" i="25"/>
  <c r="F10" i="25"/>
  <c r="D8" i="25"/>
  <c r="E4" i="25"/>
  <c r="A2" i="25"/>
  <c r="G122" i="24"/>
  <c r="F122" i="24"/>
  <c r="G121" i="24"/>
  <c r="E121" i="24"/>
  <c r="D121" i="24"/>
  <c r="G120" i="24"/>
  <c r="E120" i="24"/>
  <c r="D120" i="24"/>
  <c r="G119" i="24"/>
  <c r="E119" i="24"/>
  <c r="D119" i="24"/>
  <c r="G118" i="24"/>
  <c r="E118" i="24"/>
  <c r="D118" i="24"/>
  <c r="G117" i="24"/>
  <c r="E117" i="24"/>
  <c r="D117" i="24"/>
  <c r="I114" i="24"/>
  <c r="H114" i="24"/>
  <c r="G114" i="24"/>
  <c r="F114" i="24"/>
  <c r="E114" i="24"/>
  <c r="I113" i="24"/>
  <c r="I112" i="24"/>
  <c r="I101" i="24"/>
  <c r="H101" i="24"/>
  <c r="G101" i="24"/>
  <c r="F101" i="24"/>
  <c r="E101" i="24"/>
  <c r="I100" i="24"/>
  <c r="I99" i="24"/>
  <c r="I94" i="24"/>
  <c r="H94" i="24"/>
  <c r="G94" i="24"/>
  <c r="F94" i="24"/>
  <c r="E94" i="24"/>
  <c r="I93" i="24"/>
  <c r="I92" i="24"/>
  <c r="I83" i="24"/>
  <c r="H83" i="24"/>
  <c r="G83" i="24"/>
  <c r="F83" i="24"/>
  <c r="E83" i="24"/>
  <c r="I82" i="24"/>
  <c r="I81" i="24"/>
  <c r="I76" i="24"/>
  <c r="H76" i="24"/>
  <c r="G76" i="24"/>
  <c r="F76" i="24"/>
  <c r="E76" i="24"/>
  <c r="I75" i="24"/>
  <c r="I74" i="24"/>
  <c r="I62" i="24"/>
  <c r="H62" i="24"/>
  <c r="G62" i="24"/>
  <c r="F62" i="24"/>
  <c r="E62" i="24"/>
  <c r="I61" i="24"/>
  <c r="I60" i="24"/>
  <c r="I55" i="24"/>
  <c r="H55" i="24"/>
  <c r="G55" i="24"/>
  <c r="F55" i="24"/>
  <c r="E55" i="24"/>
  <c r="I54" i="24"/>
  <c r="I53" i="24"/>
  <c r="H41" i="24"/>
  <c r="G41" i="24"/>
  <c r="F41" i="24"/>
  <c r="E41" i="24"/>
  <c r="I24" i="24"/>
  <c r="H24" i="24"/>
  <c r="G24" i="24"/>
  <c r="F24" i="24"/>
  <c r="E24" i="24"/>
  <c r="I23" i="24"/>
  <c r="I22" i="24"/>
  <c r="D12" i="24"/>
  <c r="D11" i="24"/>
  <c r="F10" i="24"/>
  <c r="D8" i="24"/>
  <c r="E4" i="24"/>
  <c r="A2" i="24"/>
  <c r="G57" i="23"/>
  <c r="F57" i="23"/>
  <c r="E57" i="23"/>
  <c r="G56" i="23"/>
  <c r="E56" i="23"/>
  <c r="D56" i="23"/>
  <c r="G55" i="23"/>
  <c r="E55" i="23"/>
  <c r="D55" i="23"/>
  <c r="G54" i="23"/>
  <c r="E54" i="23"/>
  <c r="D54" i="23"/>
  <c r="G53" i="23"/>
  <c r="E53" i="23"/>
  <c r="D53" i="23"/>
  <c r="G52" i="23"/>
  <c r="E52" i="23"/>
  <c r="D52" i="23"/>
  <c r="I49" i="23"/>
  <c r="H49" i="23"/>
  <c r="G49" i="23"/>
  <c r="F49" i="23"/>
  <c r="E49" i="23"/>
  <c r="I48" i="23"/>
  <c r="I47" i="23"/>
  <c r="I42" i="23"/>
  <c r="H42" i="23"/>
  <c r="G42" i="23"/>
  <c r="F42" i="23"/>
  <c r="E42" i="23"/>
  <c r="I41" i="23"/>
  <c r="I40" i="23"/>
  <c r="I35" i="23"/>
  <c r="H35" i="23"/>
  <c r="G35" i="23"/>
  <c r="F35" i="23"/>
  <c r="E35" i="23"/>
  <c r="I34" i="23"/>
  <c r="I33" i="23"/>
  <c r="I28" i="23"/>
  <c r="H28" i="23"/>
  <c r="G28" i="23"/>
  <c r="F28" i="23"/>
  <c r="E28" i="23"/>
  <c r="I27" i="23"/>
  <c r="I26" i="23"/>
  <c r="I21" i="23"/>
  <c r="H21" i="23"/>
  <c r="G21" i="23"/>
  <c r="F21" i="23"/>
  <c r="E21" i="23"/>
  <c r="I20" i="23"/>
  <c r="I19" i="23"/>
  <c r="D12" i="23"/>
  <c r="D11" i="23"/>
  <c r="F10" i="23"/>
  <c r="D8" i="23"/>
  <c r="E4" i="23"/>
  <c r="A2" i="23"/>
  <c r="G38" i="22"/>
  <c r="F38" i="22"/>
  <c r="G37" i="22"/>
  <c r="F37" i="22"/>
  <c r="G36" i="22"/>
  <c r="F36" i="22"/>
  <c r="K30" i="22"/>
  <c r="J30" i="22"/>
  <c r="I30" i="22"/>
  <c r="H30" i="22"/>
  <c r="I19" i="22"/>
  <c r="I18" i="22"/>
  <c r="I17" i="22"/>
  <c r="D12" i="22"/>
  <c r="D11" i="22"/>
  <c r="F10" i="22"/>
  <c r="E4" i="22"/>
  <c r="A2" i="22"/>
  <c r="K59" i="21"/>
  <c r="J59" i="21"/>
  <c r="I59" i="21"/>
  <c r="H59" i="21"/>
  <c r="G59" i="21"/>
  <c r="K58" i="21"/>
  <c r="J58" i="21"/>
  <c r="K49" i="21"/>
  <c r="J49" i="21"/>
  <c r="K48" i="21"/>
  <c r="J48" i="21"/>
  <c r="K47" i="21"/>
  <c r="J47" i="21"/>
  <c r="K46" i="21"/>
  <c r="J46" i="21"/>
  <c r="K45" i="21"/>
  <c r="J45" i="21"/>
  <c r="K44" i="21"/>
  <c r="J44" i="21"/>
  <c r="I38" i="21"/>
  <c r="H38" i="21"/>
  <c r="I37" i="21"/>
  <c r="F37" i="21"/>
  <c r="I36" i="21"/>
  <c r="F36" i="21"/>
  <c r="I35" i="21"/>
  <c r="F35" i="21"/>
  <c r="I34" i="21"/>
  <c r="F34" i="21"/>
  <c r="I33" i="21"/>
  <c r="F33" i="21"/>
  <c r="I32" i="21"/>
  <c r="F32" i="21"/>
  <c r="I31" i="21"/>
  <c r="F31" i="21"/>
  <c r="I30" i="21"/>
  <c r="F30" i="21"/>
  <c r="I29" i="21"/>
  <c r="F29" i="21"/>
  <c r="I28" i="21"/>
  <c r="F28" i="21"/>
  <c r="I27" i="21"/>
  <c r="F27" i="21"/>
  <c r="I26" i="21"/>
  <c r="F26" i="21"/>
  <c r="I25" i="21"/>
  <c r="F25" i="21"/>
  <c r="I24" i="21"/>
  <c r="F24" i="21"/>
  <c r="I23" i="21"/>
  <c r="F23" i="21"/>
  <c r="I18" i="21"/>
  <c r="D12" i="21"/>
  <c r="D11" i="21"/>
  <c r="F10" i="21"/>
  <c r="D8" i="21"/>
  <c r="E4" i="21"/>
  <c r="A2" i="21"/>
  <c r="F53" i="20"/>
  <c r="E53" i="20"/>
  <c r="D53" i="20"/>
  <c r="F52" i="20"/>
  <c r="E52" i="20"/>
  <c r="F51" i="20"/>
  <c r="E51" i="20"/>
  <c r="F50" i="20"/>
  <c r="E50" i="20"/>
  <c r="F49" i="20"/>
  <c r="E49" i="20"/>
  <c r="F48" i="20"/>
  <c r="F47" i="20"/>
  <c r="F46" i="20"/>
  <c r="F45" i="20"/>
  <c r="F44" i="20"/>
  <c r="E44" i="20"/>
  <c r="F43" i="20"/>
  <c r="E43" i="20"/>
  <c r="J37" i="20"/>
  <c r="I37" i="20"/>
  <c r="H37" i="20"/>
  <c r="G37" i="20"/>
  <c r="I20" i="20"/>
  <c r="H20" i="20"/>
  <c r="G20" i="20"/>
  <c r="F20" i="20"/>
  <c r="E20" i="20"/>
  <c r="I19" i="20"/>
  <c r="I18" i="20"/>
  <c r="D12" i="20"/>
  <c r="D11" i="20"/>
  <c r="F10" i="20"/>
  <c r="D8" i="20"/>
  <c r="E4" i="20"/>
  <c r="A2" i="20"/>
  <c r="I22" i="18"/>
  <c r="H22" i="18"/>
  <c r="G22" i="18"/>
  <c r="F22" i="18"/>
  <c r="E22" i="18"/>
  <c r="I21" i="18"/>
  <c r="I20" i="18"/>
  <c r="D12" i="18"/>
  <c r="D11" i="18"/>
  <c r="F10" i="18"/>
  <c r="D8" i="18"/>
  <c r="E4" i="18"/>
  <c r="A2" i="18"/>
  <c r="I39" i="17"/>
  <c r="H39" i="17"/>
  <c r="I38" i="17"/>
  <c r="I34" i="17"/>
  <c r="I33" i="17"/>
  <c r="I28" i="17"/>
  <c r="I27" i="17"/>
  <c r="I26" i="17"/>
  <c r="I25" i="17"/>
  <c r="I24" i="17"/>
  <c r="I23" i="17"/>
  <c r="I22" i="17"/>
  <c r="I18" i="17"/>
  <c r="E12" i="17"/>
  <c r="D12" i="17"/>
  <c r="D11" i="17"/>
  <c r="F10" i="17"/>
  <c r="D8" i="17"/>
  <c r="E4" i="17"/>
  <c r="A2" i="17"/>
  <c r="J33" i="16"/>
  <c r="I33" i="16"/>
  <c r="H33" i="16"/>
  <c r="G33" i="16"/>
  <c r="F33" i="16"/>
  <c r="H22" i="16"/>
  <c r="G22" i="16"/>
  <c r="F22" i="16"/>
  <c r="E22" i="16"/>
  <c r="H21" i="16"/>
  <c r="G21" i="16"/>
  <c r="F21" i="16"/>
  <c r="E21" i="16"/>
  <c r="E18" i="16"/>
  <c r="D12" i="16"/>
  <c r="D11" i="16"/>
  <c r="F10" i="16"/>
  <c r="D8" i="16"/>
  <c r="E4" i="16"/>
  <c r="A2" i="16"/>
  <c r="K37" i="15"/>
  <c r="J37" i="15"/>
  <c r="I37" i="15"/>
  <c r="H37" i="15"/>
  <c r="J21" i="15"/>
  <c r="I21" i="15"/>
  <c r="H21" i="15"/>
  <c r="F21" i="15"/>
  <c r="E21" i="15"/>
  <c r="J20" i="15"/>
  <c r="G20" i="15"/>
  <c r="G21" i="15" s="1"/>
  <c r="J19" i="15"/>
  <c r="G19" i="15"/>
  <c r="K19" i="15" s="1"/>
  <c r="J18" i="15"/>
  <c r="G18" i="15"/>
  <c r="K18" i="15" s="1"/>
  <c r="K12" i="15"/>
  <c r="E12" i="15"/>
  <c r="D12" i="15"/>
  <c r="D11" i="15"/>
  <c r="F10" i="15"/>
  <c r="E4" i="15"/>
  <c r="A2" i="15"/>
  <c r="P22" i="14"/>
  <c r="O22" i="14"/>
  <c r="N22" i="14"/>
  <c r="M22" i="14"/>
  <c r="L22" i="14"/>
  <c r="K22" i="14"/>
  <c r="J22" i="14"/>
  <c r="I22" i="14"/>
  <c r="H22" i="14"/>
  <c r="G22" i="14"/>
  <c r="F22" i="14"/>
  <c r="E22" i="14"/>
  <c r="Q21" i="14"/>
  <c r="Q22" i="14" s="1"/>
  <c r="D8" i="14" s="1"/>
  <c r="Q20" i="14"/>
  <c r="Q19" i="14"/>
  <c r="I18" i="19"/>
  <c r="M18" i="19" s="1"/>
  <c r="D12" i="14"/>
  <c r="D11" i="14"/>
  <c r="F10" i="14"/>
  <c r="E4" i="14"/>
  <c r="A2" i="14"/>
  <c r="K148" i="13"/>
  <c r="J148" i="13"/>
  <c r="I148" i="13"/>
  <c r="H148" i="13"/>
  <c r="F20" i="13"/>
  <c r="E20" i="13"/>
  <c r="G19" i="13"/>
  <c r="G18" i="13"/>
  <c r="G20" i="13" s="1"/>
  <c r="D8" i="13" s="1"/>
  <c r="G17" i="13"/>
  <c r="D12" i="13"/>
  <c r="D11" i="13"/>
  <c r="F10" i="13"/>
  <c r="E4" i="13"/>
  <c r="A2" i="13"/>
  <c r="M46" i="12"/>
  <c r="M45" i="12"/>
  <c r="L45" i="12"/>
  <c r="K44" i="12"/>
  <c r="K43" i="12"/>
  <c r="K42" i="12"/>
  <c r="K41" i="12"/>
  <c r="M33" i="12"/>
  <c r="M32" i="12"/>
  <c r="M30" i="12"/>
  <c r="M34" i="12" s="1"/>
  <c r="M29" i="12"/>
  <c r="K29" i="12"/>
  <c r="M28" i="12"/>
  <c r="K28" i="12"/>
  <c r="M27" i="12"/>
  <c r="K27" i="12"/>
  <c r="M26" i="12"/>
  <c r="K26" i="12"/>
  <c r="M22" i="12"/>
  <c r="N21" i="12"/>
  <c r="N20" i="12"/>
  <c r="E20" i="12"/>
  <c r="I15" i="33" s="1"/>
  <c r="I25" i="12" s="1"/>
  <c r="M31" i="12" s="1"/>
  <c r="N19" i="12"/>
  <c r="N18" i="12"/>
  <c r="N17" i="12"/>
  <c r="D12" i="12"/>
  <c r="D11" i="12"/>
  <c r="F10" i="12"/>
  <c r="D8" i="12"/>
  <c r="C16" i="19" s="1"/>
  <c r="L16" i="19" s="1"/>
  <c r="E4" i="12"/>
  <c r="A2" i="12"/>
  <c r="J20" i="11"/>
  <c r="I20" i="11"/>
  <c r="H20" i="11"/>
  <c r="G20" i="11"/>
  <c r="F20" i="11"/>
  <c r="E20" i="11"/>
  <c r="J19" i="11"/>
  <c r="J18" i="11"/>
  <c r="D12" i="11"/>
  <c r="D11" i="11"/>
  <c r="F10" i="11"/>
  <c r="D8" i="11"/>
  <c r="E4" i="11"/>
  <c r="A2" i="11"/>
  <c r="I96" i="10"/>
  <c r="H96" i="10"/>
  <c r="G96" i="10"/>
  <c r="F96" i="10"/>
  <c r="E96" i="10"/>
  <c r="I95" i="10"/>
  <c r="H95" i="10"/>
  <c r="G95" i="10"/>
  <c r="F95" i="10"/>
  <c r="E95" i="10"/>
  <c r="I94" i="10"/>
  <c r="H94" i="10"/>
  <c r="G94" i="10"/>
  <c r="F94" i="10"/>
  <c r="E94" i="10"/>
  <c r="H69" i="10"/>
  <c r="G69" i="10"/>
  <c r="F69" i="10"/>
  <c r="E69" i="10"/>
  <c r="I63" i="10"/>
  <c r="H58" i="10"/>
  <c r="G58" i="10"/>
  <c r="F58" i="10"/>
  <c r="E58" i="10"/>
  <c r="I52" i="10"/>
  <c r="H46" i="10"/>
  <c r="G46" i="10"/>
  <c r="F46" i="10"/>
  <c r="E46" i="10"/>
  <c r="I40" i="10"/>
  <c r="H35" i="10"/>
  <c r="G35" i="10"/>
  <c r="F35" i="10"/>
  <c r="E35" i="10"/>
  <c r="I29" i="10"/>
  <c r="G24" i="10"/>
  <c r="F24" i="10"/>
  <c r="E24" i="10"/>
  <c r="G23" i="10"/>
  <c r="G22" i="10"/>
  <c r="G21" i="10"/>
  <c r="G20" i="10"/>
  <c r="G19" i="10"/>
  <c r="E13" i="10"/>
  <c r="I14" i="19" s="1"/>
  <c r="M14" i="19" s="1"/>
  <c r="D13" i="10"/>
  <c r="D12" i="10"/>
  <c r="F11" i="10"/>
  <c r="D9" i="10"/>
  <c r="E4" i="10"/>
  <c r="A2" i="10"/>
  <c r="J37" i="9"/>
  <c r="I37" i="9"/>
  <c r="H37" i="9"/>
  <c r="G37" i="9"/>
  <c r="F37" i="9"/>
  <c r="H19" i="9"/>
  <c r="G19" i="9"/>
  <c r="F19" i="9"/>
  <c r="E19" i="9"/>
  <c r="D12" i="9"/>
  <c r="D11" i="9"/>
  <c r="F10" i="9"/>
  <c r="D8" i="9"/>
  <c r="E4" i="9"/>
  <c r="A2" i="9"/>
  <c r="H19" i="8"/>
  <c r="G19" i="8"/>
  <c r="F19" i="8"/>
  <c r="D8" i="8" s="1"/>
  <c r="E19" i="8"/>
  <c r="D12" i="8"/>
  <c r="D11" i="8"/>
  <c r="F10" i="8"/>
  <c r="E4" i="8"/>
  <c r="A2" i="8"/>
  <c r="I52" i="6"/>
  <c r="H52" i="6"/>
  <c r="G52" i="6"/>
  <c r="F52" i="6"/>
  <c r="H27" i="6"/>
  <c r="G27" i="6"/>
  <c r="E27" i="6"/>
  <c r="H26" i="6"/>
  <c r="G26" i="6"/>
  <c r="F26" i="6"/>
  <c r="E26" i="6"/>
  <c r="H25" i="6"/>
  <c r="G25" i="6"/>
  <c r="F25" i="6"/>
  <c r="F27" i="6" s="1"/>
  <c r="E25" i="6"/>
  <c r="H24" i="6"/>
  <c r="G24" i="6"/>
  <c r="F24" i="6"/>
  <c r="E24" i="6"/>
  <c r="D12" i="6"/>
  <c r="D11" i="6"/>
  <c r="F10" i="6"/>
  <c r="D8" i="6"/>
  <c r="E4" i="6"/>
  <c r="A2" i="6"/>
  <c r="H22" i="5"/>
  <c r="G22" i="5"/>
  <c r="F22" i="5"/>
  <c r="E22" i="5"/>
  <c r="D12" i="5"/>
  <c r="D11" i="5"/>
  <c r="F10" i="5"/>
  <c r="D8" i="5"/>
  <c r="E4" i="5"/>
  <c r="A2" i="5"/>
  <c r="I23" i="4"/>
  <c r="H23" i="4"/>
  <c r="G23" i="4"/>
  <c r="F23" i="4"/>
  <c r="E23" i="4"/>
  <c r="I22" i="4"/>
  <c r="I21" i="4"/>
  <c r="D12" i="4"/>
  <c r="D11" i="4"/>
  <c r="F10" i="4"/>
  <c r="D8" i="4"/>
  <c r="E4" i="4"/>
  <c r="A2" i="4"/>
  <c r="H22" i="3"/>
  <c r="G22" i="3"/>
  <c r="F22" i="3"/>
  <c r="E22" i="3"/>
  <c r="E12" i="3"/>
  <c r="D12" i="3"/>
  <c r="D11" i="3"/>
  <c r="F10" i="3"/>
  <c r="D8" i="3"/>
  <c r="E4" i="3"/>
  <c r="A2" i="3"/>
  <c r="I23" i="2"/>
  <c r="H23" i="2"/>
  <c r="G23" i="2"/>
  <c r="F23" i="2"/>
  <c r="E23" i="2"/>
  <c r="I22" i="2"/>
  <c r="I21" i="2"/>
  <c r="D12" i="2"/>
  <c r="D11" i="2"/>
  <c r="F10" i="2"/>
  <c r="D8" i="2"/>
  <c r="E4" i="2"/>
  <c r="A2" i="2"/>
  <c r="J93" i="1"/>
  <c r="I93" i="1"/>
  <c r="H93" i="1"/>
  <c r="G93" i="1"/>
  <c r="F93" i="1"/>
  <c r="E93" i="1"/>
  <c r="D93" i="1"/>
  <c r="J92" i="1"/>
  <c r="I92" i="1"/>
  <c r="H92" i="1"/>
  <c r="G92" i="1"/>
  <c r="F92" i="1"/>
  <c r="E92" i="1"/>
  <c r="D92" i="1"/>
  <c r="J91" i="1"/>
  <c r="I91" i="1"/>
  <c r="H91" i="1"/>
  <c r="G91" i="1"/>
  <c r="F91" i="1"/>
  <c r="E91" i="1"/>
  <c r="D91" i="1"/>
  <c r="J90" i="1"/>
  <c r="I90" i="1"/>
  <c r="H90" i="1"/>
  <c r="G90" i="1"/>
  <c r="F90" i="1"/>
  <c r="E90" i="1"/>
  <c r="D90" i="1"/>
  <c r="J89" i="1"/>
  <c r="I89" i="1"/>
  <c r="H89" i="1"/>
  <c r="G89" i="1"/>
  <c r="F89" i="1"/>
  <c r="E89" i="1"/>
  <c r="D89" i="1"/>
  <c r="J88" i="1"/>
  <c r="I88" i="1"/>
  <c r="H88" i="1"/>
  <c r="G88" i="1"/>
  <c r="F88" i="1"/>
  <c r="E88" i="1"/>
  <c r="D88" i="1"/>
  <c r="J87" i="1"/>
  <c r="I87" i="1"/>
  <c r="H87" i="1"/>
  <c r="G87" i="1"/>
  <c r="F87" i="1"/>
  <c r="E87" i="1"/>
  <c r="D87" i="1"/>
  <c r="J86" i="1"/>
  <c r="I86" i="1"/>
  <c r="H86" i="1"/>
  <c r="G86" i="1"/>
  <c r="F86" i="1"/>
  <c r="E86" i="1"/>
  <c r="D86" i="1"/>
  <c r="J85" i="1"/>
  <c r="I85" i="1"/>
  <c r="H85" i="1"/>
  <c r="G85" i="1"/>
  <c r="F85" i="1"/>
  <c r="E85" i="1"/>
  <c r="D85" i="1"/>
  <c r="J84" i="1"/>
  <c r="I84" i="1"/>
  <c r="H84" i="1"/>
  <c r="G84" i="1"/>
  <c r="F84" i="1"/>
  <c r="E84" i="1"/>
  <c r="D84" i="1"/>
  <c r="J83" i="1"/>
  <c r="I83" i="1"/>
  <c r="H83" i="1"/>
  <c r="G83" i="1"/>
  <c r="F83" i="1"/>
  <c r="E83" i="1"/>
  <c r="D83" i="1"/>
  <c r="J82" i="1"/>
  <c r="I82" i="1"/>
  <c r="H82" i="1"/>
  <c r="G82" i="1"/>
  <c r="F82" i="1"/>
  <c r="E82" i="1"/>
  <c r="D82" i="1"/>
  <c r="J81" i="1"/>
  <c r="I81" i="1"/>
  <c r="H81" i="1"/>
  <c r="G81" i="1"/>
  <c r="F81" i="1"/>
  <c r="E81" i="1"/>
  <c r="D81" i="1"/>
  <c r="J80" i="1"/>
  <c r="I80" i="1"/>
  <c r="H80" i="1"/>
  <c r="G80" i="1"/>
  <c r="F80" i="1"/>
  <c r="E80" i="1"/>
  <c r="D80" i="1"/>
  <c r="F75" i="1"/>
  <c r="E75" i="1"/>
  <c r="D75" i="1"/>
  <c r="F74" i="1"/>
  <c r="E74" i="1"/>
  <c r="D74" i="1"/>
  <c r="F73" i="1"/>
  <c r="E73" i="1"/>
  <c r="D73" i="1"/>
  <c r="F72" i="1"/>
  <c r="E72" i="1"/>
  <c r="D72" i="1"/>
  <c r="F71" i="1"/>
  <c r="E71" i="1"/>
  <c r="D71" i="1"/>
  <c r="F70" i="1"/>
  <c r="E70" i="1"/>
  <c r="D70" i="1"/>
  <c r="F69" i="1"/>
  <c r="E69" i="1"/>
  <c r="D69" i="1"/>
  <c r="F68" i="1"/>
  <c r="E68" i="1"/>
  <c r="D68" i="1"/>
  <c r="F67" i="1"/>
  <c r="E67" i="1"/>
  <c r="D67" i="1"/>
  <c r="F66" i="1"/>
  <c r="E66" i="1"/>
  <c r="D66" i="1"/>
  <c r="F65" i="1"/>
  <c r="E65" i="1"/>
  <c r="D65" i="1"/>
  <c r="F64" i="1"/>
  <c r="E64" i="1"/>
  <c r="D64" i="1"/>
  <c r="F63" i="1"/>
  <c r="E63" i="1"/>
  <c r="D63" i="1"/>
  <c r="F62" i="1"/>
  <c r="E62" i="1"/>
  <c r="D62" i="1"/>
  <c r="D12" i="1"/>
  <c r="D11" i="1"/>
  <c r="F10" i="1"/>
  <c r="E4" i="1"/>
  <c r="A2" i="1"/>
  <c r="N32" i="19"/>
  <c r="L32" i="19"/>
  <c r="J32" i="19"/>
  <c r="I32" i="19"/>
  <c r="M32" i="19" s="1"/>
  <c r="H32" i="19"/>
  <c r="C32" i="19"/>
  <c r="L31" i="19"/>
  <c r="J31" i="19"/>
  <c r="N31" i="19" s="1"/>
  <c r="I31" i="19"/>
  <c r="M31" i="19" s="1"/>
  <c r="H31" i="19"/>
  <c r="C31" i="19"/>
  <c r="N30" i="19"/>
  <c r="L30" i="19"/>
  <c r="J30" i="19"/>
  <c r="I30" i="19"/>
  <c r="M30" i="19" s="1"/>
  <c r="H30" i="19"/>
  <c r="C30" i="19"/>
  <c r="L29" i="19"/>
  <c r="J29" i="19"/>
  <c r="N29" i="19" s="1"/>
  <c r="I29" i="19"/>
  <c r="M29" i="19" s="1"/>
  <c r="H29" i="19"/>
  <c r="C29" i="19"/>
  <c r="L28" i="19"/>
  <c r="J28" i="19"/>
  <c r="N28" i="19" s="1"/>
  <c r="I28" i="19"/>
  <c r="M28" i="19" s="1"/>
  <c r="H28" i="19"/>
  <c r="C28" i="19"/>
  <c r="N27" i="19"/>
  <c r="L27" i="19"/>
  <c r="J27" i="19"/>
  <c r="I27" i="19"/>
  <c r="M27" i="19" s="1"/>
  <c r="H27" i="19"/>
  <c r="C27" i="19"/>
  <c r="M26" i="19"/>
  <c r="L26" i="19"/>
  <c r="J26" i="19"/>
  <c r="N26" i="19" s="1"/>
  <c r="I26" i="19"/>
  <c r="H26" i="19"/>
  <c r="C26" i="19"/>
  <c r="J25" i="19"/>
  <c r="N25" i="19" s="1"/>
  <c r="I25" i="19"/>
  <c r="M25" i="19" s="1"/>
  <c r="H25" i="19"/>
  <c r="N24" i="19"/>
  <c r="L24" i="19"/>
  <c r="J24" i="19"/>
  <c r="I24" i="19"/>
  <c r="M24" i="19" s="1"/>
  <c r="H24" i="19"/>
  <c r="C24" i="19"/>
  <c r="N23" i="19"/>
  <c r="M23" i="19"/>
  <c r="L23" i="19"/>
  <c r="J23" i="19"/>
  <c r="I23" i="19"/>
  <c r="H23" i="19"/>
  <c r="C23" i="19"/>
  <c r="N22" i="19"/>
  <c r="L22" i="19"/>
  <c r="J22" i="19"/>
  <c r="I22" i="19"/>
  <c r="M22" i="19" s="1"/>
  <c r="H22" i="19"/>
  <c r="C22" i="19"/>
  <c r="L21" i="19"/>
  <c r="J21" i="19"/>
  <c r="N21" i="19" s="1"/>
  <c r="I21" i="19"/>
  <c r="M21" i="19" s="1"/>
  <c r="H21" i="19"/>
  <c r="C21" i="19"/>
  <c r="N20" i="19"/>
  <c r="M20" i="19"/>
  <c r="L20" i="19"/>
  <c r="J20" i="19"/>
  <c r="I20" i="19"/>
  <c r="H20" i="19"/>
  <c r="C20" i="19"/>
  <c r="N19" i="19"/>
  <c r="J19" i="19"/>
  <c r="I19" i="19"/>
  <c r="M19" i="19" s="1"/>
  <c r="H19" i="19"/>
  <c r="J18" i="19"/>
  <c r="N18" i="19" s="1"/>
  <c r="H18" i="19"/>
  <c r="J17" i="19"/>
  <c r="N17" i="19" s="1"/>
  <c r="I17" i="19"/>
  <c r="M17" i="19" s="1"/>
  <c r="H17" i="19"/>
  <c r="M16" i="19"/>
  <c r="J16" i="19"/>
  <c r="N16" i="19" s="1"/>
  <c r="I16" i="19"/>
  <c r="H16" i="19"/>
  <c r="M15" i="19"/>
  <c r="L15" i="19"/>
  <c r="J15" i="19"/>
  <c r="N15" i="19" s="1"/>
  <c r="I15" i="19"/>
  <c r="H15" i="19"/>
  <c r="C15" i="19"/>
  <c r="N14" i="19"/>
  <c r="L14" i="19"/>
  <c r="J14" i="19"/>
  <c r="H14" i="19"/>
  <c r="C14" i="19"/>
  <c r="M13" i="19"/>
  <c r="L13" i="19"/>
  <c r="J13" i="19"/>
  <c r="N13" i="19" s="1"/>
  <c r="I13" i="19"/>
  <c r="H13" i="19"/>
  <c r="C13" i="19"/>
  <c r="N12" i="19"/>
  <c r="J12" i="19"/>
  <c r="I12" i="19"/>
  <c r="M12" i="19" s="1"/>
  <c r="H12" i="19"/>
  <c r="L11" i="19"/>
  <c r="J11" i="19"/>
  <c r="N11" i="19" s="1"/>
  <c r="I11" i="19"/>
  <c r="M11" i="19" s="1"/>
  <c r="H11" i="19"/>
  <c r="C11" i="19"/>
  <c r="N10" i="19"/>
  <c r="L10" i="19"/>
  <c r="J10" i="19"/>
  <c r="I10" i="19"/>
  <c r="M10" i="19" s="1"/>
  <c r="H10" i="19"/>
  <c r="C10" i="19"/>
  <c r="M9" i="19"/>
  <c r="L9" i="19"/>
  <c r="J9" i="19"/>
  <c r="N9" i="19" s="1"/>
  <c r="I9" i="19"/>
  <c r="H9" i="19"/>
  <c r="C9" i="19"/>
  <c r="L8" i="19"/>
  <c r="J8" i="19"/>
  <c r="N8" i="19" s="1"/>
  <c r="I8" i="19"/>
  <c r="M8" i="19" s="1"/>
  <c r="H8" i="19"/>
  <c r="C8" i="19"/>
  <c r="L7" i="19"/>
  <c r="J7" i="19"/>
  <c r="N7" i="19" s="1"/>
  <c r="I7" i="19"/>
  <c r="M7" i="19" s="1"/>
  <c r="H7" i="19"/>
  <c r="C7" i="19"/>
  <c r="N6" i="19"/>
  <c r="J6" i="19"/>
  <c r="I6" i="19"/>
  <c r="M6" i="19" s="1"/>
  <c r="H6" i="19"/>
  <c r="C4" i="19"/>
  <c r="A2" i="19"/>
  <c r="K7" i="36"/>
  <c r="AA204" i="34"/>
  <c r="U204" i="34"/>
  <c r="V203" i="34"/>
  <c r="J203" i="34"/>
  <c r="I203" i="34"/>
  <c r="V202" i="34"/>
  <c r="J202" i="34"/>
  <c r="I202" i="34"/>
  <c r="V201" i="34"/>
  <c r="J201" i="34"/>
  <c r="I201" i="34"/>
  <c r="V200" i="34"/>
  <c r="J200" i="34"/>
  <c r="I200" i="34"/>
  <c r="V199" i="34"/>
  <c r="J199" i="34"/>
  <c r="I199" i="34"/>
  <c r="V198" i="34"/>
  <c r="J198" i="34"/>
  <c r="I198" i="34"/>
  <c r="V197" i="34"/>
  <c r="J197" i="34"/>
  <c r="I197" i="34"/>
  <c r="S196" i="34"/>
  <c r="G195" i="34"/>
  <c r="J195" i="34" s="1"/>
  <c r="F195" i="34"/>
  <c r="J194" i="34"/>
  <c r="I194" i="34"/>
  <c r="J193" i="34"/>
  <c r="I193" i="34"/>
  <c r="G193" i="34"/>
  <c r="N193" i="34" s="1"/>
  <c r="O193" i="34" s="1"/>
  <c r="J192" i="34"/>
  <c r="I192" i="34"/>
  <c r="I191" i="34"/>
  <c r="G191" i="34"/>
  <c r="I190" i="34"/>
  <c r="G190" i="34"/>
  <c r="I189" i="34"/>
  <c r="G189" i="34"/>
  <c r="I188" i="34"/>
  <c r="G188" i="34"/>
  <c r="J187" i="34"/>
  <c r="I187" i="34"/>
  <c r="J186" i="34"/>
  <c r="I186" i="34"/>
  <c r="J185" i="34"/>
  <c r="I185" i="34"/>
  <c r="J184" i="34"/>
  <c r="I184" i="34"/>
  <c r="J183" i="34"/>
  <c r="I183" i="34"/>
  <c r="J182" i="34"/>
  <c r="I182" i="34"/>
  <c r="J181" i="34"/>
  <c r="I181" i="34"/>
  <c r="P179" i="34"/>
  <c r="I179" i="34"/>
  <c r="G178" i="34"/>
  <c r="J178" i="34" s="1"/>
  <c r="F178" i="34"/>
  <c r="J177" i="34"/>
  <c r="I177" i="34"/>
  <c r="J176" i="34"/>
  <c r="I176" i="34"/>
  <c r="J175" i="34"/>
  <c r="I175" i="34"/>
  <c r="J174" i="34"/>
  <c r="I174" i="34"/>
  <c r="J173" i="34"/>
  <c r="I173" i="34"/>
  <c r="J172" i="34"/>
  <c r="I172" i="34"/>
  <c r="J171" i="34"/>
  <c r="I171" i="34"/>
  <c r="J170" i="34"/>
  <c r="I170" i="34"/>
  <c r="J169" i="34"/>
  <c r="I169" i="34"/>
  <c r="J168" i="34"/>
  <c r="I168" i="34"/>
  <c r="J167" i="34"/>
  <c r="I167" i="34"/>
  <c r="J166" i="34"/>
  <c r="I166" i="34"/>
  <c r="J165" i="34"/>
  <c r="I165" i="34"/>
  <c r="J164" i="34"/>
  <c r="I164" i="34"/>
  <c r="J163" i="34"/>
  <c r="I163" i="34"/>
  <c r="J162" i="34"/>
  <c r="I162" i="34"/>
  <c r="J161" i="34"/>
  <c r="I161" i="34"/>
  <c r="J160" i="34"/>
  <c r="I160" i="34"/>
  <c r="J158" i="34"/>
  <c r="I158" i="34"/>
  <c r="J157" i="34"/>
  <c r="I157" i="34"/>
  <c r="J156" i="34"/>
  <c r="I156" i="34"/>
  <c r="J155" i="34"/>
  <c r="I155" i="34"/>
  <c r="J154" i="34"/>
  <c r="I154" i="34"/>
  <c r="J153" i="34"/>
  <c r="I153" i="34"/>
  <c r="J152" i="34"/>
  <c r="I152" i="34"/>
  <c r="J151" i="34"/>
  <c r="I151" i="34"/>
  <c r="J150" i="34"/>
  <c r="I150" i="34"/>
  <c r="J149" i="34"/>
  <c r="I149" i="34"/>
  <c r="J148" i="34"/>
  <c r="I148" i="34"/>
  <c r="J147" i="34"/>
  <c r="I147" i="34"/>
  <c r="J146" i="34"/>
  <c r="I146" i="34"/>
  <c r="J145" i="34"/>
  <c r="I145" i="34"/>
  <c r="P143" i="34"/>
  <c r="I143" i="34"/>
  <c r="I142" i="34"/>
  <c r="G142" i="34"/>
  <c r="J141" i="34"/>
  <c r="I141" i="34"/>
  <c r="J140" i="34"/>
  <c r="I140" i="34"/>
  <c r="J139" i="34"/>
  <c r="I139" i="34"/>
  <c r="J138" i="34"/>
  <c r="I138" i="34"/>
  <c r="J137" i="34"/>
  <c r="I137" i="34"/>
  <c r="J136" i="34"/>
  <c r="I136" i="34"/>
  <c r="J135" i="34"/>
  <c r="I135" i="34"/>
  <c r="J134" i="34"/>
  <c r="I134" i="34"/>
  <c r="J133" i="34"/>
  <c r="I133" i="34"/>
  <c r="J132" i="34"/>
  <c r="I132" i="34"/>
  <c r="G130" i="34"/>
  <c r="J130" i="34" s="1"/>
  <c r="F130" i="34"/>
  <c r="J129" i="34"/>
  <c r="I129" i="34"/>
  <c r="J128" i="34"/>
  <c r="I128" i="34"/>
  <c r="J127" i="34"/>
  <c r="I127" i="34"/>
  <c r="J126" i="34"/>
  <c r="I126" i="34"/>
  <c r="J125" i="34"/>
  <c r="I125" i="34"/>
  <c r="J124" i="34"/>
  <c r="I124" i="34"/>
  <c r="J123" i="34"/>
  <c r="I123" i="34"/>
  <c r="J122" i="34"/>
  <c r="I122" i="34"/>
  <c r="J121" i="34"/>
  <c r="I121" i="34"/>
  <c r="J120" i="34"/>
  <c r="I120" i="34"/>
  <c r="J119" i="34"/>
  <c r="I119" i="34"/>
  <c r="J118" i="34"/>
  <c r="I118" i="34"/>
  <c r="J117" i="34"/>
  <c r="I117" i="34"/>
  <c r="J116" i="34"/>
  <c r="I116" i="34"/>
  <c r="J115" i="34"/>
  <c r="I115" i="34"/>
  <c r="P113" i="34"/>
  <c r="I113" i="34"/>
  <c r="J112" i="34"/>
  <c r="I112" i="34"/>
  <c r="J111" i="34"/>
  <c r="I111" i="34"/>
  <c r="J110" i="34"/>
  <c r="I110" i="34"/>
  <c r="J109" i="34"/>
  <c r="I109" i="34"/>
  <c r="J106" i="34"/>
  <c r="J105" i="34" s="1"/>
  <c r="I106" i="34"/>
  <c r="J104" i="34"/>
  <c r="I104" i="34"/>
  <c r="J103" i="34"/>
  <c r="I103" i="34"/>
  <c r="J102" i="34"/>
  <c r="I102" i="34"/>
  <c r="J101" i="34"/>
  <c r="I101" i="34"/>
  <c r="J100" i="34"/>
  <c r="I100" i="34"/>
  <c r="J99" i="34"/>
  <c r="I99" i="34"/>
  <c r="I98" i="34"/>
  <c r="G98" i="34"/>
  <c r="J97" i="34"/>
  <c r="I97" i="34"/>
  <c r="J96" i="34"/>
  <c r="I96" i="34"/>
  <c r="J95" i="34"/>
  <c r="I95" i="34"/>
  <c r="J94" i="34"/>
  <c r="I94" i="34"/>
  <c r="F93" i="34"/>
  <c r="F92" i="34"/>
  <c r="F91" i="34"/>
  <c r="J89" i="34"/>
  <c r="I89" i="34"/>
  <c r="J88" i="34"/>
  <c r="I88" i="34"/>
  <c r="I87" i="34"/>
  <c r="I86" i="34"/>
  <c r="J85" i="34"/>
  <c r="I85" i="34"/>
  <c r="J84" i="34"/>
  <c r="I84" i="34"/>
  <c r="J83" i="34"/>
  <c r="I83" i="34"/>
  <c r="J82" i="34"/>
  <c r="I82" i="34"/>
  <c r="J81" i="34"/>
  <c r="I81" i="34"/>
  <c r="J80" i="34"/>
  <c r="I80" i="34"/>
  <c r="J79" i="34"/>
  <c r="I79" i="34"/>
  <c r="I78" i="34"/>
  <c r="G78" i="34"/>
  <c r="J77" i="34"/>
  <c r="I77" i="34"/>
  <c r="I76" i="34"/>
  <c r="G76" i="34"/>
  <c r="J74" i="34"/>
  <c r="I74" i="34"/>
  <c r="J73" i="34"/>
  <c r="I73" i="34"/>
  <c r="J72" i="34"/>
  <c r="I72" i="34"/>
  <c r="J71" i="34"/>
  <c r="I71" i="34"/>
  <c r="I70" i="34"/>
  <c r="J69" i="34"/>
  <c r="I69" i="34"/>
  <c r="I68" i="34"/>
  <c r="G68" i="34"/>
  <c r="P66" i="34"/>
  <c r="I66" i="34"/>
  <c r="J65" i="34"/>
  <c r="I65" i="34"/>
  <c r="J64" i="34"/>
  <c r="I64" i="34"/>
  <c r="J63" i="34"/>
  <c r="I63" i="34"/>
  <c r="J62" i="34"/>
  <c r="I62" i="34"/>
  <c r="J61" i="34"/>
  <c r="I61" i="34"/>
  <c r="J60" i="34"/>
  <c r="I60" i="34"/>
  <c r="J59" i="34"/>
  <c r="I59" i="34"/>
  <c r="J58" i="34"/>
  <c r="I58" i="34"/>
  <c r="J57" i="34"/>
  <c r="I57" i="34"/>
  <c r="J56" i="34"/>
  <c r="J55" i="34"/>
  <c r="I55" i="34"/>
  <c r="J54" i="34"/>
  <c r="I54" i="34"/>
  <c r="J53" i="34"/>
  <c r="I53" i="34"/>
  <c r="J52" i="34"/>
  <c r="I52" i="34"/>
  <c r="J51" i="34"/>
  <c r="I51" i="34"/>
  <c r="F50" i="34"/>
  <c r="I49" i="34"/>
  <c r="G49" i="34"/>
  <c r="J48" i="34"/>
  <c r="F48" i="34"/>
  <c r="J47" i="34"/>
  <c r="I47" i="34"/>
  <c r="I46" i="34"/>
  <c r="G46" i="34"/>
  <c r="I45" i="34"/>
  <c r="J44" i="34"/>
  <c r="I44" i="34"/>
  <c r="J43" i="34"/>
  <c r="I43" i="34"/>
  <c r="J42" i="34"/>
  <c r="I42" i="34"/>
  <c r="J41" i="34"/>
  <c r="I41" i="34"/>
  <c r="V40" i="34"/>
  <c r="U40" i="34"/>
  <c r="S40" i="34"/>
  <c r="V39" i="34"/>
  <c r="U39" i="34"/>
  <c r="S39" i="34"/>
  <c r="P39" i="34"/>
  <c r="I39" i="34"/>
  <c r="V38" i="34"/>
  <c r="J38" i="34"/>
  <c r="I38" i="34"/>
  <c r="V37" i="34"/>
  <c r="J37" i="34"/>
  <c r="I37" i="34"/>
  <c r="V36" i="34"/>
  <c r="J36" i="34"/>
  <c r="I36" i="34"/>
  <c r="V35" i="34"/>
  <c r="J35" i="34"/>
  <c r="I35" i="34"/>
  <c r="V34" i="34"/>
  <c r="J34" i="34"/>
  <c r="I34" i="34"/>
  <c r="V33" i="34"/>
  <c r="J33" i="34"/>
  <c r="I33" i="34"/>
  <c r="V32" i="34"/>
  <c r="U32" i="34"/>
  <c r="S32" i="34"/>
  <c r="I31" i="34"/>
  <c r="G31" i="34"/>
  <c r="O30" i="34"/>
  <c r="J30" i="34"/>
  <c r="I30" i="34"/>
  <c r="O29" i="34"/>
  <c r="J29" i="34"/>
  <c r="I29" i="34"/>
  <c r="O28" i="34"/>
  <c r="J28" i="34"/>
  <c r="I28" i="34"/>
  <c r="O27" i="34"/>
  <c r="J27" i="34"/>
  <c r="I27" i="34"/>
  <c r="O26" i="34"/>
  <c r="J26" i="34"/>
  <c r="I26" i="34"/>
  <c r="O25" i="34"/>
  <c r="J25" i="34"/>
  <c r="I25" i="34"/>
  <c r="O24" i="34"/>
  <c r="J24" i="34"/>
  <c r="I24" i="34"/>
  <c r="O23" i="34"/>
  <c r="J23" i="34"/>
  <c r="I23" i="34"/>
  <c r="O22" i="34"/>
  <c r="J22" i="34"/>
  <c r="I22" i="34"/>
  <c r="O21" i="34"/>
  <c r="J21" i="34"/>
  <c r="I21" i="34"/>
  <c r="I20" i="34"/>
  <c r="V19" i="34"/>
  <c r="U19" i="34"/>
  <c r="S19" i="34"/>
  <c r="N19" i="34"/>
  <c r="O19" i="34" s="1"/>
  <c r="I18" i="34"/>
  <c r="G18" i="34"/>
  <c r="J18" i="34" s="1"/>
  <c r="N17" i="34"/>
  <c r="O17" i="34" s="1"/>
  <c r="J17" i="34"/>
  <c r="I17" i="34"/>
  <c r="I16" i="34"/>
  <c r="G16" i="34"/>
  <c r="J16" i="34" s="1"/>
  <c r="N15" i="34"/>
  <c r="O15" i="34" s="1"/>
  <c r="J15" i="34"/>
  <c r="I15" i="34"/>
  <c r="N14" i="34"/>
  <c r="O14" i="34" s="1"/>
  <c r="J14" i="34"/>
  <c r="I14" i="34"/>
  <c r="N13" i="34"/>
  <c r="O13" i="34" s="1"/>
  <c r="J13" i="34"/>
  <c r="I13" i="34"/>
  <c r="I12" i="34"/>
  <c r="G12" i="34"/>
  <c r="J12" i="34" s="1"/>
  <c r="N11" i="34"/>
  <c r="O11" i="34" s="1"/>
  <c r="J11" i="34"/>
  <c r="I11" i="34"/>
  <c r="I10" i="34"/>
  <c r="V9" i="34"/>
  <c r="U9" i="34"/>
  <c r="S9" i="34"/>
  <c r="U8" i="34"/>
  <c r="S8" i="34"/>
  <c r="P8" i="34"/>
  <c r="P204" i="34" s="1"/>
  <c r="I8" i="34"/>
  <c r="C4" i="34"/>
  <c r="A2" i="34"/>
  <c r="J114" i="34" l="1"/>
  <c r="J32" i="34"/>
  <c r="I204" i="34"/>
  <c r="V8" i="34"/>
  <c r="X8" i="34" s="1"/>
  <c r="J196" i="34"/>
  <c r="N16" i="34"/>
  <c r="J31" i="34"/>
  <c r="N31" i="34"/>
  <c r="O31" i="34" s="1"/>
  <c r="J76" i="34"/>
  <c r="N76" i="34"/>
  <c r="O76" i="34" s="1"/>
  <c r="J78" i="34"/>
  <c r="N78" i="34"/>
  <c r="O78" i="34" s="1"/>
  <c r="I91" i="34"/>
  <c r="I93" i="34"/>
  <c r="I130" i="34"/>
  <c r="N130" i="34"/>
  <c r="O130" i="34" s="1"/>
  <c r="J159" i="34"/>
  <c r="I195" i="34"/>
  <c r="N195" i="34"/>
  <c r="O195" i="34" s="1"/>
  <c r="J46" i="34"/>
  <c r="N46" i="34"/>
  <c r="O46" i="34" s="1"/>
  <c r="I48" i="34"/>
  <c r="N48" i="34"/>
  <c r="O48" i="34" s="1"/>
  <c r="J49" i="34"/>
  <c r="N49" i="34"/>
  <c r="O49" i="34" s="1"/>
  <c r="I50" i="34"/>
  <c r="N50" i="34"/>
  <c r="O50" i="34" s="1"/>
  <c r="J68" i="34"/>
  <c r="N68" i="34"/>
  <c r="O68" i="34" s="1"/>
  <c r="I92" i="34"/>
  <c r="J98" i="34"/>
  <c r="N98" i="34"/>
  <c r="O98" i="34" s="1"/>
  <c r="J142" i="34"/>
  <c r="N142" i="34"/>
  <c r="O142" i="34" s="1"/>
  <c r="I178" i="34"/>
  <c r="N178" i="34"/>
  <c r="O178" i="34" s="1"/>
  <c r="J188" i="34"/>
  <c r="N188" i="34"/>
  <c r="O188" i="34" s="1"/>
  <c r="J189" i="34"/>
  <c r="N189" i="34"/>
  <c r="O189" i="34" s="1"/>
  <c r="J190" i="34"/>
  <c r="N190" i="34"/>
  <c r="O190" i="34" s="1"/>
  <c r="J191" i="34"/>
  <c r="N191" i="34"/>
  <c r="O191" i="34" s="1"/>
  <c r="J131" i="34"/>
  <c r="J113" i="34" s="1"/>
  <c r="V204" i="34"/>
  <c r="N12" i="34"/>
  <c r="O12" i="34" s="1"/>
  <c r="N18" i="34"/>
  <c r="O18" i="34" s="1"/>
  <c r="J180" i="34"/>
  <c r="J179" i="34" s="1"/>
  <c r="L204" i="34"/>
  <c r="J144" i="34"/>
  <c r="J143" i="34" s="1"/>
  <c r="W37" i="44"/>
  <c r="V9" i="44"/>
  <c r="L8" i="44"/>
  <c r="O9" i="44"/>
  <c r="J99" i="1"/>
  <c r="G97" i="1"/>
  <c r="G98" i="1"/>
  <c r="G99" i="1"/>
  <c r="H97" i="1"/>
  <c r="J10" i="34" s="1"/>
  <c r="H98" i="1"/>
  <c r="G45" i="34" s="1"/>
  <c r="N45" i="34" s="1"/>
  <c r="O45" i="34" s="1"/>
  <c r="H99" i="1"/>
  <c r="I97" i="1"/>
  <c r="I98" i="1"/>
  <c r="I99" i="1"/>
  <c r="J97" i="1"/>
  <c r="J98" i="1"/>
  <c r="G20" i="34"/>
  <c r="C12" i="19"/>
  <c r="L12" i="19" s="1"/>
  <c r="E24" i="33"/>
  <c r="F24" i="33"/>
  <c r="G39" i="22" s="1"/>
  <c r="D8" i="22"/>
  <c r="C25" i="19" s="1"/>
  <c r="L25" i="19" s="1"/>
  <c r="C18" i="19"/>
  <c r="L18" i="19" s="1"/>
  <c r="G86" i="34"/>
  <c r="G91" i="34"/>
  <c r="J91" i="34" s="1"/>
  <c r="K20" i="15"/>
  <c r="K21" i="15" s="1"/>
  <c r="D8" i="15" s="1"/>
  <c r="C17" i="19"/>
  <c r="L17" i="19" s="1"/>
  <c r="G70" i="34"/>
  <c r="D15" i="33"/>
  <c r="E30" i="12" s="1"/>
  <c r="F15" i="33"/>
  <c r="G30" i="12" s="1"/>
  <c r="G93" i="34"/>
  <c r="J93" i="34" s="1"/>
  <c r="J70" i="34" l="1"/>
  <c r="J67" i="34" s="1"/>
  <c r="N70" i="34"/>
  <c r="O70" i="34" s="1"/>
  <c r="J86" i="34"/>
  <c r="N86" i="34"/>
  <c r="O86" i="34" s="1"/>
  <c r="J20" i="34"/>
  <c r="J19" i="34" s="1"/>
  <c r="N20" i="34"/>
  <c r="O20" i="34" s="1"/>
  <c r="N93" i="34"/>
  <c r="O93" i="34" s="1"/>
  <c r="N91" i="34"/>
  <c r="O91" i="34" s="1"/>
  <c r="V8" i="44"/>
  <c r="W9" i="44"/>
  <c r="L7" i="44"/>
  <c r="O7" i="44" s="1"/>
  <c r="O8" i="44"/>
  <c r="F5" i="33"/>
  <c r="H100" i="1" s="1"/>
  <c r="D8" i="1" s="1"/>
  <c r="J45" i="34" s="1"/>
  <c r="J40" i="34" s="1"/>
  <c r="J39" i="34" s="1"/>
  <c r="G5" i="33"/>
  <c r="I100" i="1" s="1"/>
  <c r="H5" i="33"/>
  <c r="J100" i="1" s="1"/>
  <c r="E5" i="33"/>
  <c r="G100" i="1" s="1"/>
  <c r="G87" i="34"/>
  <c r="C19" i="19"/>
  <c r="L19" i="19" s="1"/>
  <c r="G92" i="34"/>
  <c r="J92" i="34" l="1"/>
  <c r="J90" i="34" s="1"/>
  <c r="N92" i="34"/>
  <c r="O92" i="34" s="1"/>
  <c r="J87" i="34"/>
  <c r="J75" i="34" s="1"/>
  <c r="N87" i="34"/>
  <c r="O87" i="34" s="1"/>
  <c r="V7" i="44"/>
  <c r="W7" i="44" s="1"/>
  <c r="W8" i="44"/>
  <c r="G10" i="34"/>
  <c r="N10" i="34" s="1"/>
  <c r="O10" i="34" s="1"/>
  <c r="C6" i="19"/>
  <c r="L6" i="19" s="1"/>
  <c r="J66" i="34"/>
  <c r="O9" i="34" l="1"/>
  <c r="O8" i="34" s="1"/>
  <c r="O204" i="34" s="1"/>
  <c r="J9" i="34"/>
  <c r="J8" i="34" l="1"/>
  <c r="J204" i="34" s="1"/>
  <c r="F37" i="17"/>
  <c r="F36" i="17"/>
  <c r="F35" i="17"/>
</calcChain>
</file>

<file path=xl/comments1.xml><?xml version="1.0" encoding="utf-8"?>
<comments xmlns="http://schemas.openxmlformats.org/spreadsheetml/2006/main">
  <authors>
    <author>IVAN DARIO RAMIREZ B</author>
    <author>USUARIO 2020</author>
    <author>Preferred Customer</author>
  </authors>
  <commentList>
    <comment ref="A5" authorId="0" shapeId="0">
      <text>
        <r>
          <rPr>
            <b/>
            <sz val="9"/>
            <color indexed="81"/>
            <rFont val="Tahoma"/>
            <charset val="1"/>
          </rPr>
          <t>IVAN DARIO RAMIREZ B:</t>
        </r>
        <r>
          <rPr>
            <sz val="9"/>
            <color indexed="81"/>
            <rFont val="Tahoma"/>
            <charset val="1"/>
          </rPr>
          <t xml:space="preserve">
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Y9" authorId="1" shapeId="0">
      <text>
        <r>
          <rPr>
            <b/>
            <sz val="9"/>
            <color indexed="81"/>
            <rFont val="Tahoma"/>
            <family val="2"/>
          </rPr>
          <t>USUARIO 2020:</t>
        </r>
        <r>
          <rPr>
            <sz val="9"/>
            <color indexed="81"/>
            <rFont val="Tahoma"/>
            <family val="2"/>
          </rPr>
          <t xml:space="preserve">
Meta financiera del 2021 modificada mediante Acuerdo 0012 de 09 diciembre de 2020.
Meta inicial 2021: $394.011.000</t>
        </r>
      </text>
    </comment>
    <comment ref="Y19" authorId="1" shapeId="0">
      <text>
        <r>
          <rPr>
            <b/>
            <sz val="9"/>
            <color indexed="81"/>
            <rFont val="Tahoma"/>
            <family val="2"/>
          </rPr>
          <t>USUARIO 2020:</t>
        </r>
        <r>
          <rPr>
            <sz val="9"/>
            <color indexed="81"/>
            <rFont val="Tahoma"/>
            <family val="2"/>
          </rPr>
          <t xml:space="preserve">
Meta Financiera 2021 modificada mediante Acuerdo 0012 de 09 de diciembre de 2020.
Meta inicial 2021: 290.580.000</t>
        </r>
      </text>
    </comment>
    <comment ref="Y32" authorId="1" shapeId="0">
      <text>
        <r>
          <rPr>
            <b/>
            <sz val="9"/>
            <color indexed="81"/>
            <rFont val="Tahoma"/>
            <family val="2"/>
          </rPr>
          <t>USUARIO 2020:</t>
        </r>
        <r>
          <rPr>
            <sz val="9"/>
            <color indexed="81"/>
            <rFont val="Tahoma"/>
            <family val="2"/>
          </rPr>
          <t xml:space="preserve">
Meta Inicial 2021: $263.637.000</t>
        </r>
      </text>
    </comment>
    <comment ref="Y40" authorId="1" shapeId="0">
      <text>
        <r>
          <rPr>
            <b/>
            <sz val="9"/>
            <color indexed="81"/>
            <rFont val="Tahoma"/>
            <family val="2"/>
          </rPr>
          <t>USUARIO 2020:</t>
        </r>
        <r>
          <rPr>
            <sz val="9"/>
            <color indexed="81"/>
            <rFont val="Tahoma"/>
            <family val="2"/>
          </rPr>
          <t xml:space="preserve">
Meta Inicial 2021: $824.328.000</t>
        </r>
      </text>
    </comment>
    <comment ref="A53" authorId="2"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67" authorId="2"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188" authorId="2"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193" authorId="2"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199" authorId="2"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List>
</comments>
</file>

<file path=xl/comments2.xml><?xml version="1.0" encoding="utf-8"?>
<comments xmlns="http://schemas.openxmlformats.org/spreadsheetml/2006/main">
  <authors>
    <author>tc={637B4FEC-1A18-4280-AA1D-6DF9DA017BC2}</author>
    <author>IVAN DARIO RAMIREZ B</author>
  </authors>
  <commentList>
    <comment ref="S6"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incluyo esta columna para registrar una provisión del 5% DEL a solicitud del Consejo Directivo</t>
        </r>
      </text>
    </comment>
    <comment ref="K267" authorId="1" shapeId="0">
      <text>
        <r>
          <rPr>
            <b/>
            <sz val="9"/>
            <color indexed="81"/>
            <rFont val="Tahoma"/>
            <family val="2"/>
          </rPr>
          <t>IVAN DARIO RAMIREZ B:</t>
        </r>
        <r>
          <rPr>
            <sz val="9"/>
            <color indexed="81"/>
            <rFont val="Tahoma"/>
            <family val="2"/>
          </rPr>
          <t xml:space="preserve">
aprovecamiento de parques caso CAR</t>
        </r>
      </text>
    </comment>
    <comment ref="K279" authorId="1" shapeId="0">
      <text>
        <r>
          <rPr>
            <b/>
            <sz val="9"/>
            <color indexed="81"/>
            <rFont val="Tahoma"/>
            <family val="2"/>
          </rPr>
          <t>IVAN DARIO RAMIREZ B:</t>
        </r>
        <r>
          <rPr>
            <sz val="9"/>
            <color indexed="81"/>
            <rFont val="Tahoma"/>
            <family val="2"/>
          </rPr>
          <t>CAR CVC Arriendos</t>
        </r>
      </text>
    </comment>
    <comment ref="K570" authorId="1" shapeId="0">
      <text>
        <r>
          <rPr>
            <b/>
            <sz val="9"/>
            <color indexed="81"/>
            <rFont val="Tahoma"/>
            <family val="2"/>
          </rPr>
          <t>IVAN DARIO RAMIREZ B:</t>
        </r>
        <r>
          <rPr>
            <sz val="9"/>
            <color indexed="81"/>
            <rFont val="Tahoma"/>
            <family val="2"/>
          </rPr>
          <t xml:space="preserve">
A dónde se incluyen los convenios</t>
        </r>
      </text>
    </comment>
  </commentList>
</comments>
</file>

<file path=xl/comments3.xml><?xml version="1.0" encoding="utf-8"?>
<comments xmlns="http://schemas.openxmlformats.org/spreadsheetml/2006/main">
  <authors>
    <author>Ingegamez</author>
  </authors>
  <commentList>
    <comment ref="N35" authorId="0" shapeId="0">
      <text>
        <r>
          <rPr>
            <b/>
            <sz val="9"/>
            <color indexed="81"/>
            <rFont val="Tahoma"/>
            <family val="2"/>
          </rPr>
          <t>Ingegamez:</t>
        </r>
        <r>
          <rPr>
            <sz val="9"/>
            <color indexed="81"/>
            <rFont val="Tahoma"/>
            <family val="2"/>
          </rPr>
          <t xml:space="preserve">
En este sitio se estaba realizando una campaña de monitoreo con un equipo automático (muestras diarias) que culminó el 06 de abril de 2021; por eso son 96 muestras al año.</t>
        </r>
      </text>
    </comment>
    <comment ref="E57" authorId="0" shapeId="0">
      <text>
        <r>
          <rPr>
            <b/>
            <sz val="9"/>
            <color indexed="81"/>
            <rFont val="Tahoma"/>
            <family val="2"/>
          </rPr>
          <t>Ingegamez:</t>
        </r>
        <r>
          <rPr>
            <sz val="9"/>
            <color indexed="81"/>
            <rFont val="Tahoma"/>
            <family val="2"/>
          </rPr>
          <t xml:space="preserve">
En este sitio se estaba realizando una campaña de monitoreo con un equipo automático (muestras diarias) que culminó el 06 de abril de 2021; por eso son 96 muestras al año.</t>
        </r>
      </text>
    </comment>
  </commentList>
</comments>
</file>

<file path=xl/sharedStrings.xml><?xml version="1.0" encoding="utf-8"?>
<sst xmlns="http://schemas.openxmlformats.org/spreadsheetml/2006/main" count="14082" uniqueCount="3573">
  <si>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</si>
  <si>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</si>
  <si>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</si>
  <si>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</si>
  <si>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</si>
  <si>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</si>
  <si>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Datos generales de los POMCAS:</t>
  </si>
  <si>
    <t>Cuencas, acuíferos y microcuencas objeto de planes en la jurisdicción de la CAR</t>
  </si>
  <si>
    <t>Tipo de Plan (a)</t>
  </si>
  <si>
    <t>Código (b)</t>
  </si>
  <si>
    <t>Nombre de Cuenca, Microcuenca, Acuífero</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</si>
  <si>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</si>
  <si>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</si>
  <si>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</si>
  <si>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</si>
  <si>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</si>
  <si>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</si>
  <si>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</si>
  <si>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</si>
  <si>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</si>
  <si>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</si>
  <si>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</si>
  <si>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</si>
  <si>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</si>
  <si>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</si>
  <si>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</si>
  <si>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</si>
  <si>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</si>
  <si>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</si>
  <si>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</si>
  <si>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</si>
  <si>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</si>
  <si>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</si>
  <si>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</si>
  <si>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</si>
  <si>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</si>
  <si>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</si>
  <si>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</si>
  <si>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</si>
  <si>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</si>
  <si>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</si>
  <si>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</si>
  <si>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</si>
  <si>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</si>
  <si>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</si>
  <si>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</si>
  <si>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</si>
  <si>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</si>
  <si>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</si>
  <si>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</si>
  <si>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</si>
  <si>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</si>
  <si>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</si>
  <si>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</si>
  <si>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</si>
  <si>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</si>
  <si>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</si>
  <si>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</si>
  <si>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</si>
  <si>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</si>
  <si>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</si>
  <si>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</si>
  <si>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</si>
  <si>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</si>
  <si>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</si>
  <si>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</si>
  <si>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</si>
  <si>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</si>
  <si>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</si>
  <si>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</si>
  <si>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</si>
  <si>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</si>
  <si>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</si>
  <si>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</si>
  <si>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</si>
  <si>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</si>
  <si>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</si>
  <si>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</si>
  <si>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</si>
  <si>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</si>
  <si>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</si>
  <si>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</si>
  <si>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</si>
  <si>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</si>
  <si>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</si>
  <si>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</si>
  <si>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</si>
  <si>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</si>
  <si>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</si>
  <si>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</si>
  <si>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</si>
  <si>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</si>
  <si>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</si>
  <si>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</si>
  <si>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</si>
  <si>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</si>
  <si>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</si>
  <si>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</si>
  <si>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</si>
  <si>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</si>
  <si>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</si>
  <si>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</si>
  <si>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</si>
  <si>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</si>
  <si>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</si>
  <si>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</si>
  <si>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</si>
  <si>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</si>
  <si>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</si>
  <si>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</si>
  <si>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</si>
  <si>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</si>
  <si>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</si>
  <si>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</si>
  <si>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</si>
  <si>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</si>
  <si>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</si>
  <si>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</si>
  <si>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</si>
  <si>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</si>
  <si>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</si>
  <si>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</si>
  <si>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</si>
  <si>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</si>
  <si>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</si>
  <si>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</si>
  <si>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</si>
  <si>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</si>
  <si>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</si>
  <si>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</si>
  <si>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</si>
  <si>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</si>
  <si>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</si>
  <si>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</si>
  <si>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</si>
  <si>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</si>
  <si>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</si>
  <si>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</si>
  <si>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</si>
  <si>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</si>
  <si>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</si>
  <si>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</si>
  <si>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</si>
  <si>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</si>
  <si>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</si>
  <si>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</si>
  <si>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</si>
  <si>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</si>
  <si>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</si>
  <si>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</si>
  <si>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</si>
  <si>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</si>
  <si>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</si>
  <si>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</si>
  <si>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</si>
  <si>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</si>
  <si>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</si>
  <si>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</si>
  <si>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</si>
  <si>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</si>
  <si>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</si>
  <si>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</si>
  <si>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</si>
  <si>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</si>
  <si>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</si>
  <si>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</si>
  <si>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</si>
  <si>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</si>
  <si>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</si>
  <si>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</si>
  <si>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</si>
  <si>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</si>
  <si>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</si>
  <si>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</si>
  <si>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</si>
  <si>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</si>
  <si>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</si>
  <si>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</si>
  <si>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</si>
  <si>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</si>
  <si>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</si>
  <si>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</si>
  <si>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</si>
  <si>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</si>
  <si>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</si>
  <si>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</si>
  <si>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</si>
  <si>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</si>
  <si>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</si>
  <si>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</si>
  <si>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</si>
  <si>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</si>
  <si>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</si>
  <si>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</si>
  <si>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</si>
  <si>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</si>
  <si>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</si>
  <si>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</si>
  <si>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</si>
  <si>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</si>
  <si>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</si>
  <si>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</si>
  <si>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</si>
  <si>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</si>
  <si>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</si>
  <si>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</si>
  <si>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</si>
  <si>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</si>
  <si>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</si>
  <si>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</si>
  <si>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</si>
  <si>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</si>
  <si>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</si>
  <si>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</si>
  <si>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</si>
  <si>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</si>
  <si>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</si>
  <si>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</si>
  <si>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</si>
  <si>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</si>
  <si>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</si>
  <si>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</si>
  <si>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</si>
  <si>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</si>
  <si>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</si>
  <si>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</si>
  <si>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</si>
  <si>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</si>
  <si>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</si>
  <si>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</si>
  <si>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</si>
  <si>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</si>
  <si>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</si>
  <si>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</si>
  <si>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</si>
  <si>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</si>
  <si>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</si>
  <si>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</si>
  <si>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</si>
  <si>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</si>
  <si>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</si>
  <si>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</si>
  <si>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</si>
  <si>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</si>
  <si>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</si>
  <si>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</si>
  <si>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</si>
  <si>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</si>
  <si>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</si>
  <si>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</si>
  <si>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</si>
  <si>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</si>
  <si>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</si>
  <si>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</si>
  <si>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</si>
  <si>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</si>
  <si>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</si>
  <si>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</si>
  <si>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</si>
  <si>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</si>
  <si>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</si>
  <si>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</si>
  <si>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</si>
  <si>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</si>
  <si>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</si>
  <si>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</si>
  <si>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</si>
  <si>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</si>
  <si>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</si>
  <si>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</si>
  <si>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</si>
  <si>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</si>
  <si>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</si>
  <si>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</si>
  <si>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</si>
  <si>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</si>
  <si>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</si>
  <si>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</si>
  <si>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</si>
  <si>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</si>
  <si>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</si>
  <si>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</si>
  <si>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</si>
  <si>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</si>
  <si>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</si>
  <si>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</si>
  <si>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</si>
  <si>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</si>
  <si>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</si>
  <si>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</si>
  <si>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</si>
  <si>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</si>
  <si>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</si>
  <si>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</si>
  <si>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</si>
  <si>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</si>
  <si>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</si>
  <si>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</si>
  <si>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</si>
  <si>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</si>
  <si>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</si>
  <si>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</si>
  <si>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</si>
  <si>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</si>
  <si>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</si>
  <si>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</si>
  <si>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</si>
  <si>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</si>
  <si>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</si>
  <si>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</si>
  <si>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</si>
  <si>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</si>
  <si>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</si>
  <si>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</si>
  <si>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</si>
  <si>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</si>
  <si>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</si>
  <si>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</si>
  <si>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</si>
  <si>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</si>
  <si>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</si>
  <si>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</si>
  <si>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</si>
  <si>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</si>
  <si>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</si>
  <si>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</si>
  <si>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</si>
  <si>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</si>
  <si>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</si>
  <si>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</si>
  <si>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</si>
  <si>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</si>
  <si>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</si>
  <si>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</si>
  <si>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</si>
  <si>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</si>
  <si>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</si>
  <si>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</si>
  <si>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</si>
  <si>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</si>
  <si>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</si>
  <si>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</si>
  <si>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</si>
  <si>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</si>
  <si>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</si>
  <si>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</si>
  <si>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</si>
  <si>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</si>
  <si>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</si>
  <si>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</si>
  <si>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</si>
  <si>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</si>
  <si>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</si>
  <si>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</si>
  <si>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</si>
  <si>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</si>
  <si>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</si>
  <si>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</si>
  <si>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</si>
  <si>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</si>
  <si>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</si>
  <si>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</si>
  <si>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</si>
  <si>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</si>
  <si>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</si>
  <si>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</si>
  <si>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</si>
  <si>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</si>
  <si>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</si>
  <si>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</si>
  <si>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</si>
  <si>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</si>
  <si>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</si>
  <si>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</si>
  <si>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</si>
  <si>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</si>
  <si>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</si>
  <si>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</si>
  <si>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</si>
  <si>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</si>
  <si>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</si>
  <si>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</si>
  <si>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</si>
  <si>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</si>
  <si>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</si>
  <si>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</si>
  <si>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</si>
  <si>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</si>
  <si>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</si>
  <si>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</si>
  <si>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</si>
  <si>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</si>
  <si>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</si>
  <si>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</si>
  <si>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</si>
  <si>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</si>
  <si>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</si>
  <si>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</si>
  <si>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</si>
  <si>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</si>
  <si>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</si>
  <si>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</si>
  <si>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</si>
  <si>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</si>
  <si>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</si>
  <si>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</si>
  <si>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</si>
  <si>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</si>
  <si>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</si>
  <si>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</si>
  <si>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</si>
  <si>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</si>
  <si>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</si>
  <si>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</si>
  <si>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</si>
  <si>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</si>
  <si>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</si>
  <si>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</si>
  <si>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</si>
  <si>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</si>
  <si>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</si>
  <si>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</si>
  <si>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</si>
  <si>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</si>
  <si>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</si>
  <si>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</si>
  <si>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</si>
  <si>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</si>
  <si>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</si>
  <si>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</si>
  <si>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</si>
  <si>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</si>
  <si>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</si>
  <si>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</si>
  <si>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</si>
  <si>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</si>
  <si>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</si>
  <si>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</si>
  <si>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</si>
  <si>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</si>
  <si>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</si>
  <si>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</si>
  <si>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</si>
  <si>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</si>
  <si>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</si>
  <si>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</si>
  <si>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</si>
  <si>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</si>
  <si>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</si>
  <si>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</si>
  <si>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</si>
  <si>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</si>
  <si>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</si>
  <si>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</si>
  <si>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</si>
  <si>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</si>
  <si>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</si>
  <si>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</si>
  <si>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</si>
  <si>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</si>
  <si>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</si>
  <si>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</si>
  <si>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</si>
  <si>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</si>
  <si>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</si>
  <si>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</si>
  <si>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</si>
  <si>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</si>
  <si>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</si>
  <si>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</si>
  <si>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</si>
  <si>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</si>
  <si>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</si>
  <si>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</si>
  <si>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</si>
  <si>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</si>
  <si>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</si>
  <si>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</si>
  <si>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</si>
  <si>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</si>
  <si>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</si>
  <si>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</si>
  <si>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</si>
  <si>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</si>
  <si>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</si>
  <si>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</si>
  <si>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</si>
  <si>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</si>
  <si>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</si>
  <si>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</si>
  <si>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</si>
  <si>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</si>
  <si>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</si>
  <si>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</si>
  <si>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</si>
  <si>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</si>
  <si>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</si>
  <si>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</si>
  <si>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</si>
  <si>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</si>
  <si>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</si>
  <si>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</si>
  <si>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</si>
  <si>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</si>
  <si>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</si>
  <si>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</si>
  <si>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</si>
  <si>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</si>
  <si>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</si>
  <si>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</si>
  <si>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</si>
  <si>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</si>
  <si>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</si>
  <si>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</si>
  <si>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</si>
  <si>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</si>
  <si>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</si>
  <si>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</si>
  <si>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</si>
  <si>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</si>
  <si>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</si>
  <si>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</si>
  <si>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</si>
  <si>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</si>
  <si>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</si>
  <si>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</si>
  <si>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</si>
  <si>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</si>
  <si>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</si>
  <si>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</si>
  <si>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</si>
  <si>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</si>
  <si>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</si>
  <si>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</si>
  <si>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</si>
  <si>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</si>
  <si>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</si>
  <si>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</si>
  <si>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</si>
  <si>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</si>
  <si>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</si>
  <si>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</si>
  <si>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</si>
  <si>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</si>
  <si>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</si>
  <si>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</si>
  <si>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</si>
  <si>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</si>
  <si>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</si>
  <si>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</si>
  <si>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</si>
  <si>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</si>
  <si>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</si>
  <si>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</si>
  <si>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</si>
  <si>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</si>
  <si>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</si>
  <si>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</si>
  <si>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</si>
  <si>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</si>
  <si>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</si>
  <si>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</si>
  <si>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</si>
  <si>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</si>
  <si>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</si>
  <si>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</si>
  <si>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</si>
  <si>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</si>
  <si>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</si>
  <si>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</si>
  <si>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</si>
  <si>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</si>
  <si>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</si>
  <si>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</si>
  <si>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</si>
  <si>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</si>
  <si>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</si>
  <si>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</si>
  <si>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</si>
  <si>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</si>
  <si>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</si>
  <si>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</si>
  <si>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</si>
  <si>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</si>
  <si>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</si>
  <si>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</si>
  <si>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</si>
  <si>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</si>
  <si>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</si>
  <si>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</si>
  <si>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</si>
  <si>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</si>
  <si>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</si>
  <si>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</si>
  <si>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</si>
  <si>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</si>
  <si>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</si>
  <si>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</si>
  <si>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</si>
  <si>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</si>
  <si>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</si>
  <si>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</si>
  <si>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</si>
  <si>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</si>
  <si>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</si>
  <si>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</si>
  <si>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</si>
  <si>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</si>
  <si>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</si>
  <si>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</si>
  <si>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</si>
  <si>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</si>
  <si>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</si>
  <si>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</si>
  <si>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</si>
  <si>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</si>
  <si>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</si>
  <si>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</si>
  <si>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</si>
  <si>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</si>
  <si>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</si>
  <si>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</si>
  <si>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</si>
  <si>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</si>
  <si>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</si>
  <si>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</si>
  <si>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</si>
  <si>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</si>
  <si>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</si>
  <si>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</si>
  <si>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</si>
  <si>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</si>
  <si>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</si>
  <si>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</si>
  <si>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</si>
  <si>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</si>
  <si>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</si>
  <si>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</si>
  <si>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</si>
  <si>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</si>
  <si>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</si>
  <si>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</si>
  <si>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</si>
  <si>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</si>
  <si>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</si>
  <si>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</si>
  <si>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</si>
  <si>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</si>
  <si>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</si>
  <si>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</si>
  <si>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</si>
  <si>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</si>
  <si>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</si>
  <si>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</si>
  <si>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</si>
  <si>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</si>
  <si>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</si>
  <si>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</si>
  <si>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</si>
  <si>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</si>
  <si>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</si>
  <si>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</si>
  <si>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</si>
  <si>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</si>
  <si>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</si>
  <si>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</si>
  <si>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</si>
  <si>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</si>
  <si>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</si>
  <si>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</si>
  <si>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</si>
  <si>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</si>
  <si>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</si>
  <si>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</si>
  <si>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</si>
  <si>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</si>
  <si>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</si>
  <si>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</si>
  <si>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</si>
  <si>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</si>
  <si>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</si>
  <si>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</si>
  <si>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</si>
  <si>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</si>
  <si>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</si>
  <si>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</si>
  <si>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</si>
  <si>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</si>
  <si>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</si>
  <si>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</si>
  <si>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</si>
  <si>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</si>
  <si>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</si>
  <si>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</si>
  <si>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</si>
  <si>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</si>
  <si>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</si>
  <si>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</si>
  <si>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</si>
  <si>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</si>
  <si>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</si>
  <si>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</si>
  <si>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</si>
  <si>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</si>
  <si>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</si>
  <si>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</si>
  <si>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</si>
  <si>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</si>
  <si>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</si>
  <si>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</si>
  <si>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</si>
  <si>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</si>
  <si>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</si>
  <si>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</si>
  <si>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</si>
  <si>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</si>
  <si>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</si>
  <si>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</si>
  <si>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</si>
  <si>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</si>
  <si>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</si>
  <si>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</si>
  <si>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</si>
  <si>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</si>
  <si>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</si>
  <si>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</si>
  <si>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</si>
  <si>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</si>
  <si>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</si>
  <si>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</si>
  <si>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</si>
  <si>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</si>
  <si>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</si>
  <si>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</si>
  <si>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</si>
  <si>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</si>
  <si>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</si>
  <si>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</si>
  <si>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</si>
  <si>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</si>
  <si>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</si>
  <si>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</si>
  <si>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</si>
  <si>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</si>
  <si>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</si>
  <si>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</si>
  <si>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</si>
  <si>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</si>
  <si>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</si>
  <si>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</si>
  <si>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</si>
  <si>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</si>
  <si>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</si>
  <si>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</si>
  <si>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</si>
  <si>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</si>
  <si>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</si>
  <si>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</si>
  <si>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</si>
  <si>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</si>
  <si>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</si>
  <si>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</si>
  <si>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</si>
  <si>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</si>
  <si>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</si>
  <si>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</si>
  <si>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</si>
  <si>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</si>
  <si>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</si>
  <si>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</si>
  <si>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</si>
  <si>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</si>
  <si>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</si>
  <si>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</si>
  <si>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</si>
  <si>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</si>
  <si>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</si>
  <si>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</si>
  <si>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</si>
  <si>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</si>
  <si>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</si>
  <si>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</si>
  <si>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</si>
  <si>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</si>
  <si>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</si>
  <si>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</si>
  <si>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</si>
  <si>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</si>
  <si>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</si>
  <si>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</si>
  <si>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</si>
  <si>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</si>
  <si>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</si>
  <si>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</si>
  <si>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</si>
  <si>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</si>
  <si>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</si>
  <si>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</si>
  <si>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</si>
  <si>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</si>
  <si>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</si>
  <si>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</si>
  <si>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</si>
  <si>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</si>
  <si>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</si>
  <si>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</si>
  <si>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</si>
  <si>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</si>
  <si>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</si>
  <si>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</si>
  <si>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</si>
  <si>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</si>
  <si>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</si>
  <si>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</si>
  <si>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</si>
  <si>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</si>
  <si>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</si>
  <si>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</si>
  <si>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</si>
  <si>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</si>
  <si>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</si>
  <si>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</si>
  <si>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</si>
  <si>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</si>
  <si>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</si>
  <si>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</si>
  <si>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</si>
  <si>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Protocolizar la creación de la ventanilla o nodo de negocios verdes y/o la suscripción de alianza, en la A.A</t>
  </si>
  <si>
    <t>Seguimiento a los planes de acción de la A.A. y a los planes de mejora</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</si>
  <si>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</si>
  <si>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</si>
  <si>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</si>
  <si>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</si>
  <si>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</si>
  <si>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</si>
  <si>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</si>
  <si>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</si>
  <si>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</si>
  <si>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</si>
  <si>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</si>
  <si>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</si>
  <si>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</si>
  <si>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</si>
  <si>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</si>
  <si>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</si>
  <si>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</si>
  <si>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</si>
  <si>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</si>
  <si>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</si>
  <si>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</si>
  <si>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</si>
  <si>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</si>
  <si>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</si>
  <si>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</si>
  <si>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</si>
  <si>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</si>
  <si>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</si>
  <si>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</si>
  <si>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</si>
  <si>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</si>
  <si>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</si>
  <si>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</si>
  <si>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</si>
  <si>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</si>
  <si>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</si>
  <si>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</si>
  <si>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</si>
  <si>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</si>
  <si>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</si>
  <si>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</si>
  <si>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</si>
  <si>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</si>
  <si>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</si>
  <si>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</si>
  <si>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TP.E. Tiempo efectivo de duración del trámite de otorgamiento de un permiso de emisión (número de días)</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</si>
  <si>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</si>
  <si>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</si>
  <si>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</si>
  <si>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</si>
  <si>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</si>
  <si>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</si>
  <si>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</si>
  <si>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</si>
  <si>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</si>
  <si>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</si>
  <si>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</si>
  <si>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</si>
  <si>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</si>
  <si>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</si>
  <si>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</si>
  <si>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</si>
  <si>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</si>
  <si>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</si>
  <si>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</si>
  <si>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</si>
  <si>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</si>
  <si>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</si>
  <si>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</si>
  <si>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</si>
  <si>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</si>
  <si>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</si>
  <si>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</si>
  <si>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</si>
  <si>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</si>
  <si>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</si>
  <si>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</si>
  <si>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</si>
  <si>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</si>
  <si>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</si>
  <si>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</si>
  <si>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</si>
  <si>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</si>
  <si>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</si>
  <si>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</si>
  <si>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</si>
  <si>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</si>
  <si>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</si>
  <si>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</si>
  <si>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</si>
  <si>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</si>
  <si>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</si>
  <si>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</si>
  <si>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</si>
  <si>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</si>
  <si>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</si>
  <si>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</si>
  <si>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</si>
  <si>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</si>
  <si>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</si>
  <si>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</si>
  <si>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</si>
  <si>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</si>
  <si>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</si>
  <si>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</si>
  <si>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</si>
  <si>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</si>
  <si>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</si>
  <si>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</si>
  <si>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</si>
  <si>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</si>
  <si>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</si>
  <si>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</si>
  <si>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</si>
  <si>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</si>
  <si>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</si>
  <si>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</si>
  <si>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</si>
  <si>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</si>
  <si>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</si>
  <si>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</si>
  <si>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</si>
  <si>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</si>
  <si>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</si>
  <si>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</si>
  <si>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</si>
  <si>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</si>
  <si>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</si>
  <si>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</si>
  <si>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</si>
  <si>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</si>
  <si>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</si>
  <si>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</si>
  <si>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</si>
  <si>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</si>
  <si>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</si>
  <si>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</si>
  <si>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</si>
  <si>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</si>
  <si>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</si>
  <si>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</si>
  <si>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</si>
  <si>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</si>
  <si>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</si>
  <si>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</si>
  <si>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</si>
  <si>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</si>
  <si>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</si>
  <si>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</si>
  <si>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</si>
  <si>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</si>
  <si>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</si>
  <si>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</si>
  <si>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</si>
  <si>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</si>
  <si>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</si>
  <si>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</si>
  <si>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</si>
  <si>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</si>
  <si>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</si>
  <si>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</si>
  <si>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</si>
  <si>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</si>
  <si>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</si>
  <si>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</si>
  <si>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</si>
  <si>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</si>
  <si>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</si>
  <si>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</si>
  <si>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</si>
  <si>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</si>
  <si>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</si>
  <si>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</si>
  <si>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</si>
  <si>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</si>
  <si>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</si>
  <si>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</si>
  <si>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</si>
  <si>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</si>
  <si>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</si>
  <si>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</si>
  <si>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</si>
  <si>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</si>
  <si>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</si>
  <si>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</si>
  <si>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</si>
  <si>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</si>
  <si>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</si>
  <si>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</si>
  <si>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</si>
  <si>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</si>
  <si>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</si>
  <si>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</si>
  <si>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</si>
  <si>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</si>
  <si>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</si>
  <si>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</si>
  <si>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</si>
  <si>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</si>
  <si>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</si>
  <si>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</si>
  <si>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</si>
  <si>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</si>
  <si>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</si>
  <si>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</si>
  <si>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</si>
  <si>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</si>
  <si>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</si>
  <si>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</si>
  <si>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</si>
  <si>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</si>
  <si>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</si>
  <si>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</si>
  <si>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</si>
  <si>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</si>
  <si>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</si>
  <si>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Red2</t>
  </si>
  <si>
    <t>Red3</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</si>
  <si>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</si>
  <si>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</si>
  <si>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</si>
  <si>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</si>
  <si>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</si>
  <si>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</si>
  <si>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</si>
  <si>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</si>
  <si>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</si>
  <si>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</si>
  <si>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</si>
  <si>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</si>
  <si>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</si>
  <si>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</si>
  <si>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</si>
  <si>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</si>
  <si>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</si>
  <si>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</si>
  <si>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</si>
  <si>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</si>
  <si>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</si>
  <si>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</si>
  <si>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</si>
  <si>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</si>
  <si>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</si>
  <si>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</si>
  <si>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</si>
  <si>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</si>
  <si>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</si>
  <si>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</si>
  <si>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</si>
  <si>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</si>
  <si>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</si>
  <si>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</si>
  <si>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</si>
  <si>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</si>
  <si>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</si>
  <si>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</si>
  <si>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</si>
  <si>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</si>
  <si>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</si>
  <si>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</si>
  <si>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</si>
  <si>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</si>
  <si>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</si>
  <si>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</si>
  <si>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</si>
  <si>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</si>
  <si>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</si>
  <si>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</si>
  <si>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</si>
  <si>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</si>
  <si>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</si>
  <si>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</si>
  <si>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</si>
  <si>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</si>
  <si>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</si>
  <si>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</si>
  <si>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</si>
  <si>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</si>
  <si>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</si>
  <si>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</si>
  <si>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</si>
  <si>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</si>
  <si>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</si>
  <si>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</si>
  <si>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</si>
  <si>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</si>
  <si>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</si>
  <si>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</si>
  <si>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</si>
  <si>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</si>
  <si>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</si>
  <si>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</si>
  <si>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</si>
  <si>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</si>
  <si>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</si>
  <si>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</si>
  <si>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</si>
  <si>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</si>
  <si>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</si>
  <si>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</si>
  <si>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</si>
  <si>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</si>
  <si>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</si>
  <si>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</si>
  <si>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</si>
  <si>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</si>
  <si>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</si>
  <si>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</si>
  <si>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</si>
  <si>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</si>
  <si>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</si>
  <si>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</si>
  <si>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</si>
  <si>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</si>
  <si>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</si>
  <si>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</si>
  <si>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</si>
  <si>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</si>
  <si>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</si>
  <si>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</si>
  <si>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</si>
  <si>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</si>
  <si>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</si>
  <si>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</si>
  <si>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</si>
  <si>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</si>
  <si>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</si>
  <si>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</si>
  <si>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</si>
  <si>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</si>
  <si>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</si>
  <si>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</si>
  <si>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</si>
  <si>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</si>
  <si>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</si>
  <si>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</si>
  <si>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</si>
  <si>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</si>
  <si>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</si>
  <si>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</si>
  <si>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</si>
  <si>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</si>
  <si>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</si>
  <si>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</si>
  <si>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</si>
  <si>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</si>
  <si>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</si>
  <si>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</si>
  <si>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</si>
  <si>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</si>
  <si>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</si>
  <si>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</si>
  <si>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</si>
  <si>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</si>
  <si>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</si>
  <si>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</si>
  <si>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</si>
  <si>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</si>
  <si>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</si>
  <si>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</si>
  <si>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</si>
  <si>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</si>
  <si>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</si>
  <si>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</si>
  <si>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</si>
  <si>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</si>
  <si>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</si>
  <si>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</si>
  <si>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Minero</t>
  </si>
  <si>
    <t>*</t>
  </si>
  <si>
    <t>Promedio de Planes en ejecución</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</si>
  <si>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</si>
  <si>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</si>
  <si>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</si>
  <si>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</si>
  <si>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</si>
  <si>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</si>
  <si>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</si>
  <si>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</si>
  <si>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</si>
  <si>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</si>
  <si>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</si>
  <si>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</si>
  <si>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</si>
  <si>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</si>
  <si>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</si>
  <si>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</si>
  <si>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</si>
  <si>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</si>
  <si>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</si>
  <si>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</si>
  <si>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</si>
  <si>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</si>
  <si>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</si>
  <si>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</si>
  <si>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</si>
  <si>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</si>
  <si>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</si>
  <si>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</si>
  <si>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</si>
  <si>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</si>
  <si>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</si>
  <si>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</si>
  <si>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</si>
  <si>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</si>
  <si>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</si>
  <si>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</si>
  <si>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</si>
  <si>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</si>
  <si>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</si>
  <si>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</si>
  <si>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</si>
  <si>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</si>
  <si>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</si>
  <si>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</si>
  <si>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</si>
  <si>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</si>
  <si>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</si>
  <si>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</si>
  <si>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</si>
  <si>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</si>
  <si>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</si>
  <si>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COMPORTAMIENTO META FISICA 
PLAN DE ACCION</t>
  </si>
  <si>
    <t>META FINANCIERA                                                                                                  PLAN DE ACCION</t>
  </si>
  <si>
    <t xml:space="preserve">   (2)                                      UNIDAD DE MEDIDA</t>
  </si>
  <si>
    <t>(3)                                      META FISICA ANUAL             (Según unidad de medida)</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</si>
  <si>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</si>
  <si>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</si>
  <si>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</si>
  <si>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 xml:space="preserve"> (7)                                                    META FISICA DEL PLAN             (Según unidad de medida)</t>
  </si>
  <si>
    <t>(8)
ACUMULADO DE LA META
FISICA
(Según unidad de medida)</t>
  </si>
  <si>
    <t xml:space="preserve">(9)
PORCENTAJE DE AVANCE 
FISICO ACUMULADO %
((8/7)*100)
</t>
  </si>
  <si>
    <t>(10)               PONDERACIONES DE PROGRAMAS  Y PROYECTOS (OPCIONAL DE ACUERDO AL PLAN DE ACCIÓN)</t>
  </si>
  <si>
    <t>(11)                          META FINANCIERA ANUAL             ($)</t>
  </si>
  <si>
    <t xml:space="preserve">(12)
AVANCE DE LA META
FINANCIERA
(Recursos comprometidos periodo Evaluado)
($)
</t>
  </si>
  <si>
    <t>(13)                           PORCENTAJE DEL AVANCE 
FINANCIERO %
(Periodo Evaluado)
((12/11)*100)</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</si>
  <si>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</si>
  <si>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</si>
  <si>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ANEXO No. 2.PROTOCOLO O GUÍA DE DILIGENCIAMIENTO</t>
  </si>
  <si>
    <t xml:space="preserve">MATRIZ DE SEGUIMIENTO A LA GESTIÓN Y DE AVANCE EN LAS METAS FÍSICAS Y FINANCIERAS DEL PLAN DE ACCIÓN </t>
  </si>
  <si>
    <t xml:space="preserve">ITEM </t>
  </si>
  <si>
    <t>DEFINICIONES</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</si>
  <si>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</si>
  <si>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</si>
  <si>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</si>
  <si>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</si>
  <si>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</si>
  <si>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</si>
  <si>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</si>
  <si>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</si>
  <si>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</si>
  <si>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</si>
  <si>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</si>
  <si>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</si>
  <si>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</si>
  <si>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</si>
  <si>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</si>
  <si>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</si>
  <si>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</si>
  <si>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</si>
  <si>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</si>
  <si>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</si>
  <si>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</si>
  <si>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</si>
  <si>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</si>
  <si>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</si>
  <si>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</si>
  <si>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 xml:space="preserve">RECURSOS VIGENCIA :  </t>
  </si>
  <si>
    <t>NIVEL RENTISTICO</t>
  </si>
  <si>
    <t>Convenios</t>
  </si>
  <si>
    <t>Multas y sanciones</t>
  </si>
  <si>
    <t>Donaciones</t>
  </si>
  <si>
    <t>CONCEPTO</t>
  </si>
  <si>
    <t>GASTOS DE PERSONAL</t>
  </si>
  <si>
    <t>TRANSFERENCIAS CORRIENTES</t>
  </si>
  <si>
    <t>SENTENCIAS Y CONCILIACIONES</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</si>
  <si>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</si>
  <si>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</si>
  <si>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</si>
  <si>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</si>
  <si>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</si>
  <si>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</si>
  <si>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</si>
  <si>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</si>
  <si>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</si>
  <si>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</si>
  <si>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</si>
  <si>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</si>
  <si>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</si>
  <si>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</si>
  <si>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</si>
  <si>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</si>
  <si>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</si>
  <si>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</si>
  <si>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</si>
  <si>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</si>
  <si>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</si>
  <si>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</si>
  <si>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</si>
  <si>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</si>
  <si>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</si>
  <si>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</si>
  <si>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</si>
  <si>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</si>
  <si>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</si>
  <si>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</si>
  <si>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</si>
  <si>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</si>
  <si>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</si>
  <si>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</si>
  <si>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</si>
  <si>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</si>
  <si>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</si>
  <si>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</si>
  <si>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</si>
  <si>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</si>
  <si>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</si>
  <si>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</si>
  <si>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</si>
  <si>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 xml:space="preserve">MATRIZ DE SEGUIMIENTO DEL PLAN DE ACCIÓN
ANEXO No. 1. AVANCE EN LAS METAS FÍSICAS Y FINANCIERAS DEL PLAN DE ACCIÓN  </t>
  </si>
  <si>
    <t>PERIODO REPORTADO:</t>
  </si>
  <si>
    <t xml:space="preserve">ANEXO NO. 3. MATRIZ DE REPORTE DE AVANCE DE INDICADORES MÍNIMOS DE GESTIÓN INCORPORADOS EN LA RESOLUCIÓN 667 DE 2016  </t>
  </si>
  <si>
    <t>CORPORACIÓN AUTÓMA REGIONAL DE XXXXX</t>
  </si>
  <si>
    <t>(1)
ESTRUCTURA RENTISTICA</t>
  </si>
  <si>
    <t>(2)
CONCEPTO</t>
  </si>
  <si>
    <t>(3)
PROYECTADO PLAN FINANCIERO</t>
  </si>
  <si>
    <t>MODIFICACIONES</t>
  </si>
  <si>
    <t xml:space="preserve">(6)
APROPIACIÓN FINAL
(3+4-5)
</t>
  </si>
  <si>
    <t>DISTRIBUCIÓN</t>
  </si>
  <si>
    <t>(11)
DERECHOS POR COBRAR</t>
  </si>
  <si>
    <t>(12)
RECAUDO
EFECTIVO</t>
  </si>
  <si>
    <t>(13)
% DE RECAUDO</t>
  </si>
  <si>
    <t>(14)
OBSERVACIONES</t>
  </si>
  <si>
    <t>DEFINICIÓN</t>
  </si>
  <si>
    <t>SOPORTE LEGAL</t>
  </si>
  <si>
    <t>NIVEL ESTRUCTURAL</t>
  </si>
  <si>
    <t>SUBNIVEL RENTISTICO</t>
  </si>
  <si>
    <t>NIVEL 1</t>
  </si>
  <si>
    <t>NIVEL 2</t>
  </si>
  <si>
    <t>NIVEL 3</t>
  </si>
  <si>
    <t>NIVEL 4</t>
  </si>
  <si>
    <t>NIVEL 5</t>
  </si>
  <si>
    <t>(4)
ADICIÓN</t>
  </si>
  <si>
    <t>(5)
REDUCCIÓN</t>
  </si>
  <si>
    <t>(7)
FUNCIONAMIENTO</t>
  </si>
  <si>
    <t>(8)
INVERSIÓN</t>
  </si>
  <si>
    <t>(9)
FCA</t>
  </si>
  <si>
    <t>(10)
SERVICIO A LA DEUDA</t>
  </si>
  <si>
    <t>1</t>
  </si>
  <si>
    <t>Ingresos</t>
  </si>
  <si>
    <t>-</t>
  </si>
  <si>
    <t>Los ingresos son recursos monetarios recaudados en una vigencia fiscal por quienes corresponda administrarlos según la ley.
Se consideran ingresos las entradas de caja efectivas, en moneda nacional, que incrementan las disponibilidades para el gasto. Así, se deben cumplir las siguientes condiciones para reconocer una transacción como ingreso:
1.	Afectación efectiva de caja. Los ingresos se reconocen bajo el principio de caja. Es decir, cuando hay desembolso de los recursos a favor de las entidades beneficiarias.
2.	La afectación de caja se produce en moneda nacional.
3.	Respaldo de un gasto. No se reconocen como ingresos aquellas entradas efectivas de caja que no están habilitadas para realizar gastos.</t>
  </si>
  <si>
    <t>01</t>
  </si>
  <si>
    <t>Ingresos Corrientes</t>
  </si>
  <si>
    <t>Se reconocen por su regularidad, además se caracterizan porque: i) su base de cálculo y su trayectoria histórica permiten estimar con cierto grado de certidumbre el volumen de ingresos; ii) si bien pueden constituir una base aproximada, esta sirve de referente para la elaboración del presupuesto anual.</t>
  </si>
  <si>
    <t>Ingresos tributarios</t>
  </si>
  <si>
    <t>Son aquellos establecidos como impuestos y estampillas por la ley. Estos representan la obligación de hacer un pago, sin que exista una retribución particular por parte del Estado.</t>
  </si>
  <si>
    <t>Corte Constitucional, Sentencia C-545/1994.</t>
  </si>
  <si>
    <t>Impuestos directos</t>
  </si>
  <si>
    <t>Son aquellos que gravan directamente los ingresos o el patrimonio de las personas naturales y jurídicas, es decir, recaen sobre la capacidad económica de los sujetos. En los impuestos directos se identifica al contribuyente respectivo, y se conoce su capacidad de pago,  mediante las informaciones relativas a sus rentas y patrimonio.</t>
  </si>
  <si>
    <t>Corte Constitucional, Sentencia C- 426/2005.</t>
  </si>
  <si>
    <t>Sobretasa ambiental - Peajes</t>
  </si>
  <si>
    <t xml:space="preserve">la Sobretasa Ambiental se creó como un mecanismo de compensación a la afectación y deterioro derivado de las vías del orden nacional actualmente construidas y que llegaren a construirse, próximas o situadas en Areas de Conservación y Protección Municipal, sitios de Ramsar o Humedales de Importancia Internacional definidos en la Ley 357 de 1997 y Reservas de Biosfera, así como sus respectivas Zonas de Amortiguación de conformidad con los criterios técnicos que para el efecto establezca el Ministerio de Ambiente, Vivienda y Desarrollo Territorial. </t>
  </si>
  <si>
    <t>Ley 981 de 2005 modificada por Ley 1718 de 2014 y Ley 1753 de 2015</t>
  </si>
  <si>
    <t>Sobretasa ambiental - Peajes (vigencia actual)</t>
  </si>
  <si>
    <t>02</t>
  </si>
  <si>
    <t>Sobretasa ambiental - Peajes (vigencia anterior)</t>
  </si>
  <si>
    <t>Participación de intereses de mora sobre la sobretasa ambiental-peajes</t>
  </si>
  <si>
    <t>Son las transferencias de recursos de los intereses recaudados por la mora en el pago de la sobretasa ambiental. Los intereses que se causen por mora en el pago del Impuesto Predial Unificado, también se causan para el pago y transferencia de la sobretasa ambiental.</t>
  </si>
  <si>
    <t>Decreto Reglamentario 1339 de 1994, artículo 2.</t>
  </si>
  <si>
    <t>Participación de intereses de mora sobre la sobretasa ambiental-peajes (vigencia actual)</t>
  </si>
  <si>
    <t>Participación de intereses de mora sobre la sobretasa ambiental-peajes (vigencia anterior)</t>
  </si>
  <si>
    <t>Ingresos no tributarios</t>
  </si>
  <si>
    <t>Son los ingresos corrientes que por ley no están definidos como impuestos y comprenderán las tasas y las multas. Los ingresos no tributarios se clasifican en: 
1) Contribuciones 
2) Tasas y derechos administrativos 
3) Multas, sanciones e intereses de mora 
4) Derechos económicos por uso de recursos naturales 
5) Venta de bienes y servicios 
6) Transferencias corrientes
7) Participación y derechos de monopolio</t>
  </si>
  <si>
    <t>Decreto 111 de 1996, art. 27</t>
  </si>
  <si>
    <t>Contribuciones</t>
  </si>
  <si>
    <t xml:space="preserve">Las contribuciones son “las cargas fiscales al patrimonio particular, sustentadas en la potestad tributaria del Estado”. Las contribuciones corresponden a “la recuperación de los costos de los servicios que les presten o participación en los beneficios que les proporcionen”. El principio de legalidad del tributo se extiende a las contribuciones, razón por cual y como establece la Constitución Política, el método de definición de costos y beneficios y su forma de reparto deben ser definidos por Ley. Asimismo, la ley, ordenanza o acuerdo, debe definir los sujetos pasivos y activos, y la base gravable aplicable a la contribución. Sin embargo, la ley puede dar potestad administrativa a las autoridades para que fijen la tarifa que cobren a los contribuyentes. La unica excepción al principio de legalidad del tributo son las contribuciones especiales, las cuales no están definidas como contribuciones, pero de acuerdo con sentencia emitida por la Corte Constitucional, se ajusta a su definición.
</t>
  </si>
  <si>
    <t xml:space="preserve">Corte Constitucional, Sentencia C-545/1994.
Constitución política Art. 338 </t>
  </si>
  <si>
    <t>Contribuciones diversas</t>
  </si>
  <si>
    <t>Las contribuciones diversas comprenden los ingresos por concepto de las demás contribuciones que no se clasifican dentro de las demás categorías de contribuciones descritas anteriormente, es decir, a las contribuciones sociales 1-01-02-01-001, contribuciones inherentes a la nómina 1-01-02-01-002, contribuciones especiales 1-01-02-01-003, contribuciones parafiscales, agropecuarias y pesqueras 1-01-02-01-004.</t>
  </si>
  <si>
    <t>Contribución sector eléctrico</t>
  </si>
  <si>
    <t>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 COMPLEMENTAR PLAN DE DESARROLLO ART.289 DE 2019</t>
  </si>
  <si>
    <t xml:space="preserve"> Ley 99 de 1993, art. 45</t>
  </si>
  <si>
    <t>Contribución sector eléctrico - Hidroeléctrica</t>
  </si>
  <si>
    <t>Contribución sector eléctrico - Hidroeléctrica (vigencia actual)</t>
  </si>
  <si>
    <t>Contribución sector eléctrico - Hidroeléctrica (vigencia anterior)</t>
  </si>
  <si>
    <t>Contribución sector eléctrico - Termoeléctrica</t>
  </si>
  <si>
    <t>Contribución sector eléctrico - Termoeléctrica (vigencia actual)</t>
  </si>
  <si>
    <t>Contribución sector eléctrico - Termoeléctrica (vigencia anterior)</t>
  </si>
  <si>
    <t>03</t>
  </si>
  <si>
    <t>Contribución sector eléctrico - Energia Alternativa</t>
  </si>
  <si>
    <t>Contribución sector eléctrico - Energia Alternativa (vigencia actual)</t>
  </si>
  <si>
    <t>Contribución sector eléctrico - Energia Alternativa (vigencia anterior)</t>
  </si>
  <si>
    <t>04</t>
  </si>
  <si>
    <t>Participación de intereses de mora sobre contribución sector eléctrico</t>
  </si>
  <si>
    <t>Participación de intereses de mora sobre contribución sector eléctrico (vigencia actual)</t>
  </si>
  <si>
    <t>Participación de intereses de mora sobre contribución sector eléctrico (vigencia anterior)</t>
  </si>
  <si>
    <t>Tasas y derechos administrativos</t>
  </si>
  <si>
    <t>Tasas</t>
  </si>
  <si>
    <t>Tasas retributivas y compensatorias</t>
  </si>
  <si>
    <t>Tasa retributiva</t>
  </si>
  <si>
    <t xml:space="preserve">Corresponden a las tasas retributivas por la utilización directa o indirecta de la atmósfera, del agua y del suelo, para introducir o arrojar desechos o desperdicios agrícolas, mineros o industriales, aguas negras o servidas de cualquier origen, humos, vapores y sustancias nocivas que sean resultado de actividades antrópicas o propiciadas por el hombre, o actividades económicas o de servicio, sean o no lucrativas. También a las tasas para compensar los gastos de mantenimiento de la renovabilidad de los recursos naturales renovables.  </t>
  </si>
  <si>
    <t>Ley 99 de 1993, art. 42. Decreto 1390 de 2018. Decreto 1272 de 2016</t>
  </si>
  <si>
    <t>Tasa retributiva (vigencia actual)</t>
  </si>
  <si>
    <t>Tasa retributiva (vigencia anterior)</t>
  </si>
  <si>
    <t>Tasa por el uso del agua</t>
  </si>
  <si>
    <t>Recursos recibidos por concepto del uso y aprovechamiento que hacen las personas naturales, jurídicas, públicas o privadas, de las aguas que componen los recursos naturales renovables asociados a cualquier área del Sistema de Parques Nacionales Naturales. Estos recursos, están destinados por Ley al pago de los gastos de protección y renovación de los recursos hídricos.</t>
  </si>
  <si>
    <t>Ley 99 de 1993, art. 43, reglamentada por el Decreto Ley 155 de 2004</t>
  </si>
  <si>
    <t>Tasa por el uso del agua (vigencia actual)</t>
  </si>
  <si>
    <t>Tasa por el uso del agua (vigencia anterior)</t>
  </si>
  <si>
    <t>Tasa de aprovechamiento Forestal</t>
  </si>
  <si>
    <t>Tasa de aprovechamiento Forestal (vigencia actual)</t>
  </si>
  <si>
    <t>Tasa de aprovechamiento Forestal (vigencia anterior)</t>
  </si>
  <si>
    <t>Tasa compensatoria por caza de Fauna Silvestre</t>
  </si>
  <si>
    <t>se dirige a las autoridades ambientales competentes a que se refiere el artículo 2.2.9.10.1 .3, y a
léls personas naturales o jurídicas que cacen la fauna silvestre nativa en el país, en adelante denominadas usuarios</t>
  </si>
  <si>
    <t>Decreto 1272 de 2016, adiciona un capítulo al Título 9 de la Parte 2 del Libro 2 del Decreto 1076 de 2015, destinarán a la protección y renovación del recurso fauna silvestre, lo cual comprende actividades tales como la formulación e implementación de planes y programas de conservación y de uso
sostenible de especies animales silvestres, la repoblación, el control poblacional, estrategias para el control al tráFico ilegal, la restauración de áreas de importancia faunística, entre otras, así como el monitoreo y la elaboración de estudios de investigación básica y aplicada, estas últimas prioritarias para efectos de la inversión de la tasa, teniendo en cuenta las directrices del Ministerio de Ambiente y Desarrollo Sostenible</t>
  </si>
  <si>
    <t>Tasa compensatoria por caza de Fauna Silvestre (vigencia actual)</t>
  </si>
  <si>
    <t>Tasa compensatoria por caza de Fauna Silvestre (vigencia anterior)</t>
  </si>
  <si>
    <t>05</t>
  </si>
  <si>
    <t>Otras tasas</t>
  </si>
  <si>
    <t>Otras tasas (vigencia actual)</t>
  </si>
  <si>
    <t>Otras tasas (vigencia anterior)</t>
  </si>
  <si>
    <t>Derechos Administrativos</t>
  </si>
  <si>
    <t xml:space="preserve">Corresponde a los ingresos por concepto de la venta de bienes y la prestación de servicios que realizan las entidades en desarrollo de sus funciones y competencias legales, independientemente de que las mismas estén o no relacionadas con actividades de producción, o si se venden o no a precios económicamente significativos. Las ventas de bienes y servicios se registran sin deducir los costos de su recaudo (Decreto 111 de 1996, art. 35). </t>
  </si>
  <si>
    <t>Decreto 111 de 1996, art. 35</t>
  </si>
  <si>
    <t>Evaluación de licencias, permisos, concesiones, autorizaciones y demás trámites ambientales</t>
  </si>
  <si>
    <t>Ley 633 de 2002</t>
  </si>
  <si>
    <t>Evaluación de licencias, permisos, concesiones, autorizaciones y demás trámites ambientales (vigencia actual)</t>
  </si>
  <si>
    <t>Evaluación de licencias, permisos, concesiones, autorizaciones y demás trámites ambientales (vigencia anterior)</t>
  </si>
  <si>
    <t>Seguimiento a licencias, permisos, concesiones, autorizaciones y demás trámites ambientales</t>
  </si>
  <si>
    <t>Seguimiento a licencias, permisos, concesiones, autorizaciones y demás trámites ambientales (vigencia actual)</t>
  </si>
  <si>
    <t>Seguimiento a licencias, permisos, concesiones, autorizaciones y demás trámites ambientales (vigencia anterior)</t>
  </si>
  <si>
    <t>Salvoconductos</t>
  </si>
  <si>
    <t>Salvoconductos (vigencia actual)</t>
  </si>
  <si>
    <t>Salvoconductos (vigencia anterior)</t>
  </si>
  <si>
    <t>Venta de productos forestales</t>
  </si>
  <si>
    <t>Venta de productos forestales (vigencia actual)</t>
  </si>
  <si>
    <t>Venta de productos forestales (vigencia anterior)</t>
  </si>
  <si>
    <t>Venta de Servicios de Laboratorio e Información</t>
  </si>
  <si>
    <t>Venta de Servicios de Laboratorio e Información (vigencia actual)</t>
  </si>
  <si>
    <t>Venta de Servicios de Laboratorio e Información (vigencia anterior)</t>
  </si>
  <si>
    <t>06</t>
  </si>
  <si>
    <t>Pruebas de Bombeo y Videos de Pozos</t>
  </si>
  <si>
    <t>Pruebas de Bombeo y Videos de Pozos (vigencia actual)</t>
  </si>
  <si>
    <t>Pruebas de Bombeo y Videos de Pozos (vigencia anterior)</t>
  </si>
  <si>
    <t>07</t>
  </si>
  <si>
    <t>Aprovechamientos por parques</t>
  </si>
  <si>
    <t>Aprovechamientos por parques (vigencia actual)</t>
  </si>
  <si>
    <t>Aprovechamientos por parques (vigencia anterior)</t>
  </si>
  <si>
    <t>08</t>
  </si>
  <si>
    <t>Otros servicios</t>
  </si>
  <si>
    <t>Otros servicios (vigencia actual)</t>
  </si>
  <si>
    <t>Otros servicios (vigencia anterior)</t>
  </si>
  <si>
    <t>Multas, sanciones e intereses de mora</t>
  </si>
  <si>
    <t>El recaudo por multas y sanciones es generado por penalidades pecuniarias que derivan del poder punitivo del Estado, y que se establecen por el incumplimiento de leyes o normas administrativas, con el fin de prevenir un comportamiento considerado indeseable.
Por su parte, los intereses de mora hacen referencia a aquellos que se recaudan por el resarcimiento tarifado o indemnización de los perjuicios que padece el acreedor por no tener consigo el dinero en la oportunidad debida. La mora genera que se hagan correr en contra del deudor los daños y perjuicios llamados moratorios que representan el perjuicio causado al acreedor por el retraso en la ejecución de la obligación.
Los intereses de mora se incluyen en esta cuenta debido al componente indemnizatorio reconocido en la Sentencia C-604/2012. En este sentido, al igual que las multas y sanciones, el cobro de intereses de mora se hace en parte con el fin de prevenir la reiteración de una conducta indeseable.
Las multas, sanciones e intereses moratorios se clasifican en:
1) Multas y sanciones 
2) Intereses de mora</t>
  </si>
  <si>
    <t>Ley 6 de 1992, art. 124; Decreto 410 de 1971, art. 10, 20 y 78; Decreto 393 de 2002, art. 25</t>
  </si>
  <si>
    <t>Recursos por concepto de penalidades pecuniarias que derivan del poder punitivo del Estado, y que se establecen con el fin de prevenir un comportamiento considerado indeseable. Vale la pena precisar que las multas y sanciones se distinguen nítidamente de las contribuciones fiscales y parafiscales, pues estas últimas son consecuencia del poder impositivo, y no punitivo, del Estado. Esta diferencia de naturaleza jurídica se articula a la diversidad de finalidades de las mismas.
Así, una multa se establece con el fin de prevenir un comportamiento considerado indeseable, mientras que una contribución es un medio para financiar los gastos del Estado.
Las multas y sanciones se desagregan de igual manera para la Nación, los establecimientos públicos, los fondos especiales y las contribuciones parafiscales.</t>
  </si>
  <si>
    <t>Sentencia C-134/2009
Decreto 1609 de 2015</t>
  </si>
  <si>
    <t>Multas ambientales</t>
  </si>
  <si>
    <t>Corresponde al pago de una suma de dinero que las autoridades ambientales imponen a quien con su acción u omisión infrinja las normas ambientales.
Las autoridades ambientales son: El Ministerio de Ambiente y Desarrollo Sostenible, la Unidad Administrativa Especial del Sistema de Parques Nacionales Naturales, las Corporaciones Autónomas Regionales y las de Desarrollo Sostenible, las Unidades Ambientales Urbanas, la Armada Nacional, así como los departamentos, municipios y distritos.  Estas autoridades están habilitadas para imponer y ejecutar las medidas preventivas y sancionatorias consagradas en la ley, sin perjuicio de las competencias legales de otras autoridades.</t>
  </si>
  <si>
    <t>Ley 1333 de 2009. Ley 99 de 1993</t>
  </si>
  <si>
    <t>Multas ambientales (vigencia actual)</t>
  </si>
  <si>
    <t>Multas ambientales (vigencia anterior)</t>
  </si>
  <si>
    <t>Intereses de mora</t>
  </si>
  <si>
    <t>Recaudo por concepto del retraso en que ha incurrido un tercero dentro de los plazos establecidos para el pago de una obligación. Los intereses de mora representan el resarcimiento tarifado o indemnización de los perjuicios que padece el acreedor por no tener consigo el dinero en la oportunidad debida.</t>
  </si>
  <si>
    <t>Sentencia C-604/2012</t>
  </si>
  <si>
    <t>Venta de bienes y servicios</t>
  </si>
  <si>
    <t>Ventas de establecimientos de mercado</t>
  </si>
  <si>
    <t xml:space="preserve">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
</t>
  </si>
  <si>
    <t>Agricultura, silvicultura y productos de la pesca</t>
  </si>
  <si>
    <t>Productos de la silvicultura y de la explotación forestal</t>
  </si>
  <si>
    <t>Madera en bruto</t>
  </si>
  <si>
    <t>Madera en bruto (vigencia actual)</t>
  </si>
  <si>
    <t>Madera en bruto  (vigencia anterior)</t>
  </si>
  <si>
    <t>Productos forestales diferentes a la madera</t>
  </si>
  <si>
    <t>Productos forestales diferentes a la madera (vigencia actual)</t>
  </si>
  <si>
    <t>Productos forestales diferentes a la madera  (vigencia anterior)</t>
  </si>
  <si>
    <t>Otras ventas incidentales de establecimiento de mercado</t>
  </si>
  <si>
    <t>Otras ventas incidentales de establecimiento de mercado (vigencia actual)</t>
  </si>
  <si>
    <t>Otras ventas incidentales de establecimiento de mercado (vigencia anterior)</t>
  </si>
  <si>
    <t>Ventas incidentales de establecimiento de no mercado</t>
  </si>
  <si>
    <t>Son los ingresos por ventas de bienes y servicios que no resultan del desarrollo de funciones misionales de producción o comercialización. Es decir, que la venta de dichos bienes y servicios no se relaciona con las competencias legales de la entidad. Generalmente, estas ventas de bienes y servicios tienen un carácter incidental en las entidades. Esta categoría se desagrega siguiendo la Clasificación Central de Productos (CPC) del DANE.</t>
  </si>
  <si>
    <t>Productos metálicos, maquinaria y equipo</t>
  </si>
  <si>
    <t xml:space="preserve">Son los ingresos asociados a la venta de metales básicos o productos metálicos elaborados; maquinaria  de  uso  general  o  especial;  máquinas  para  oficina  y  contabilidad;  aparatos  eléctricos; aparatos de radio, televisión y comunicaciones; aparatos médicos y equipo de transporte. </t>
  </si>
  <si>
    <t xml:space="preserve"> Clasificación Central de Productos (CPC Ver. 2.0)</t>
  </si>
  <si>
    <t>Productos metálicos, maquinaria y equipo (vigencia actual)</t>
  </si>
  <si>
    <t>Productos metálicos, maquinaria y equipo (vigencia anterior)</t>
  </si>
  <si>
    <t>Alquiler de Maquinaria y Equipos</t>
  </si>
  <si>
    <t>Alquiler de Maquinaria y Equipos (vigencia actual)</t>
  </si>
  <si>
    <t>Alquiler de Maquinaria y Equipos (vigencia anterior)</t>
  </si>
  <si>
    <t>Aprovechamiento por arriendos</t>
  </si>
  <si>
    <t>Aprovechamiento por arriendos (vigencia actual)</t>
  </si>
  <si>
    <t>Aprovechamiento por arriendos (vigencia anterior)</t>
  </si>
  <si>
    <t>Otras ventas incidentales de establecimiento no de mercado</t>
  </si>
  <si>
    <t>Otras ventas incidentales de establecimiento no de mercado (vigencia actual)</t>
  </si>
  <si>
    <t>Otras ventas incidentales de establecimiento no de mercado (vigencia anterior)</t>
  </si>
  <si>
    <t>Transferencias corrientes</t>
  </si>
  <si>
    <t>Transferencias del sector central Nacional - PGN</t>
  </si>
  <si>
    <t>Participación de la sobretasa ambiental -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</si>
  <si>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</si>
  <si>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Ley  99 de 1993, art. 44; Decreto 1339 de 1994, art.1</t>
  </si>
  <si>
    <t>Participación de la sobretasa ambiental - Corporaciones Autónomas Regionales (vigencia actual)</t>
  </si>
  <si>
    <t>Participación de la sobretasa ambiental - Corporaciones Autónomas Regionales (vigencia anterior)</t>
  </si>
  <si>
    <t>Participación del porcentaje ambiental - Corporaciones Autónomas Regionales</t>
  </si>
  <si>
    <t>Participación del porcentaje ambiental - Corporaciones Autónomas Regionales (vigencia actual)</t>
  </si>
  <si>
    <t>Participación del porcentaje ambiental - Corporaciones Autónomas Regionales (vigencia anterior)</t>
  </si>
  <si>
    <t>Participación de intereses de mora sobre la sobretasa ambiental</t>
  </si>
  <si>
    <t>Participación de intereses de mora sobre la sobretasa ambiental (vigencia actual)</t>
  </si>
  <si>
    <t>Participación de intereses de mora sobre la sobretasa ambiental (vigencia anterior)</t>
  </si>
  <si>
    <t>Participación de intereses de mora sobre el porcentaje ambiental</t>
  </si>
  <si>
    <t>Participación de intereses de mora sobre el porcentaje ambiental (vigencia actual)</t>
  </si>
  <si>
    <t>Participación de intereses de mora sobre el porcentaje ambiental (vigencia anterior)</t>
  </si>
  <si>
    <t>Aportes de la Nación para Gastos de personal</t>
  </si>
  <si>
    <t>Aportes de la Nación para Adquisición de bienes y servicios</t>
  </si>
  <si>
    <t>Aportes de la Nación para Transferencias corrientes</t>
  </si>
  <si>
    <t xml:space="preserve">Aportes Fondo de Compensación Ambiental -FCA, Funcionamiento </t>
  </si>
  <si>
    <t>Aportes del FCA para Gastos de personal</t>
  </si>
  <si>
    <t>Aportes del FCA para Adquisición de bienes y servicios</t>
  </si>
  <si>
    <t>Aportes del FCA para Transferencias corrientes</t>
  </si>
  <si>
    <t>Aportes inversión Fondo de Compensación Ambiental -FCA</t>
  </si>
  <si>
    <t>Aportes inversión Fondo Nacional Ambiental - FONAM</t>
  </si>
  <si>
    <t>Aportes del Sistema de Participación General de Regalias - SPGR</t>
  </si>
  <si>
    <t>Aportes del SPGR para Funcionamiento</t>
  </si>
  <si>
    <t>Aportes del SPGR para Servicio de la Deuda</t>
  </si>
  <si>
    <t>Aportes del SPGR para Inversión</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</si>
  <si>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</si>
  <si>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 cual difícilmente asegura su continuidad durante amplios periodos presupuestales” (Corte Constitucional, Sentencia C-1072 de 2002).</t>
  </si>
  <si>
    <t>Disposición de activos</t>
  </si>
  <si>
    <t>Recursos que obtiene una entidad del presupuesto general del sector público provenientes del traslado de derecho y dominio parcial o total de activos con destino a la financiación del presupuesto (Ministerio de Hacienda y Crédito Público, 2011, p. 245). En el CONPES 3281 de 2004 el gobierno nacional estableció la estrategia de aprovechamiento y disposición de activos con el objetivo de “reducir la magnitud del pasivo mediante la liquidación o venta de activos del balance con los cuales se corrija de manera efectiva el déficit fiscal, con un efecto permanente en el mediano plazo” (CONPES 3281 de 2004).</t>
  </si>
  <si>
    <t>Disposición de activos no financieros</t>
  </si>
  <si>
    <t>Corresponde a los ingresos por concepto de transacciones de capital referentes a la venta de activos no financieros . Sobre estos activos se ejerce un derecho de propiedad, y generan beneficios económicos por mantenerlos o utilizarlos durante un período de tiempo. Los activos no financieros incluyen tanto activos producidos como no producidos y los productos de la propiedad intelectual.</t>
  </si>
  <si>
    <t>Disposición de activos fijos</t>
  </si>
  <si>
    <t xml:space="preserve">Ingresos por concepto de la venta de activos no financieros producidos que se utilizan de forma repetida o continua en procesos de producción por más de un año y cuyo precio es significativo para la entidad del PGSP.
En este rubro se deben registrar las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t>
  </si>
  <si>
    <t>Disposición de edificaciones y estructuras</t>
  </si>
  <si>
    <t>Ingresos por concepto de la venta de todo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(FMI, 2014, pág. 179), los cuales se clasifican en otras estructuras.</t>
  </si>
  <si>
    <t>Disposición de maquinaria y equipo</t>
  </si>
  <si>
    <t>Ingresos por la concepto de la venta de activos como equipo de transporte, maquinaria relacionada con tecnologías de la información y las comunicaciones y otras maquinarias y equipos no clasificados en otra partida.</t>
  </si>
  <si>
    <t>Disposición de otros activos fijos</t>
  </si>
  <si>
    <t xml:space="preserve">Ingresos por la disposición de activos no mencionados en los rubros anteriores, a saber, recursos biológicos cultivados y productos de propiedad intelectual. </t>
  </si>
  <si>
    <t>Disposición de productos de la propiedad intelectual</t>
  </si>
  <si>
    <t xml:space="preserve">Ingresos por la disposición de  productos de la propiedad intelectual, los cuales son el resultado de la investigación, el desarrollo o la innovación conducente a conocimientos que pueden venderse en el mercado.  </t>
  </si>
  <si>
    <t>Disposición de activos no producidos</t>
  </si>
  <si>
    <t>Ingresos por la disposición de activos no producidos, los cuales incluyen los activos de origen natural e intangible. Los activos de origen natural son recursos naturales sobre los que se ejercen derechos de propiedad (Fondo Monetario Internacional, 2014, pág. 207).</t>
  </si>
  <si>
    <t>Disposición de  tierras y terrenos</t>
  </si>
  <si>
    <t>Ingresos por la disposición de tierras y terrenos propiamente dichas, incluyendo la cubierta de suelo y las aguas superficiales asociadas, sobre los que se han establecido derechos de propiedad y de las cuales pueden derivarse beneficios económicos para los propietarios por su posesión o uso.</t>
  </si>
  <si>
    <t>Rendimientos financieros</t>
  </si>
  <si>
    <t>Son los ingresos que se reciben las unidades del PGSP en retorno por poner ciertos activos financieros a disposición de terceros, sin trasladar el derecho o dominio, total o parcial del activo. De acuerdo con el MEFP 2014, los activos financieros son aquellos que tienen un pasivo como contrapartida, es decir, el propietario de dicho activo (acreedor) tiene derecho a recibir recursos o fondos de otra unidad institucional (deudor), de acuerdo con las condiciones del pasivo.</t>
  </si>
  <si>
    <t>09</t>
  </si>
  <si>
    <t>10</t>
  </si>
  <si>
    <t>11</t>
  </si>
  <si>
    <t>12</t>
  </si>
  <si>
    <t>Recursos de crédito externo</t>
  </si>
  <si>
    <t xml:space="preserve">Comprende los recursos provenientes de operaciones de crédito público realizadas con agentes residentes fuera del país. Entiéndase por operaciones de crédito público todo acto o contrato que tienen por objeto dotar a la entidad del PGSP de recursos, bienes o servicios con plazo para su pago. </t>
  </si>
  <si>
    <t>Recursos de contratos de empréstitos externos</t>
  </si>
  <si>
    <t>Corresponde a los recursos provenientes de contratos de empréstitos externos realizados por las entidades del PGSP. Los contratos de empréstito tienen por objeto proveer a la entidad contratante (órgano del PGN, entidad territorial, órgano autónomo o particular) de recursos con plazo para su pago. Para el caso de las entidades estatales, el Decreto 1068 de 2015 reglamente los contratos de empréstitos externos.</t>
  </si>
  <si>
    <t>Decreto 1068 de 2015</t>
  </si>
  <si>
    <t>Bancos comerciales</t>
  </si>
  <si>
    <t>Comprende los recursos provenientes de los créditos adquiridos con bancos comerciales residentes fuera del país. Un banco comercial es un intermediario financiero que capta recursos de quienes tienen dinero disponible para colocarlos en manos de quienes lo necesitan</t>
  </si>
  <si>
    <t>Decreto 1068 de 2015, art. 2.2.1.2.1.2</t>
  </si>
  <si>
    <t>Entidades de fomento</t>
  </si>
  <si>
    <t>Comprende los recursos provenientes de los créditos adquiridos con entidades de fomento residentes fuera del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</si>
  <si>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Recursos de crédito de títulos de deuda pública externa</t>
  </si>
  <si>
    <t>Corresponde a los ingresos por emisión y colocación de bonos y demás valores de contenido crediticio y con plazo para su redención, emitidos por las entidades de gobierno en el exterior o empresas financieros y no financieras.</t>
  </si>
  <si>
    <t>Recursos de crédito de proveedores</t>
  </si>
  <si>
    <t xml:space="preserve">Comprende los créditos obtenidos con agentes residentes fuera del país,  mediante los cuales se contrata la adquisición de bienes o servicios con plazo para su pago. Esta cuenta es de uso exclusivo de la nación. No aplica para la entrega de bienes y/o servicios de manera directa por el proveedor. </t>
  </si>
  <si>
    <t>Decreto 1068 de 2015, art. 2.2.1.2.3.1</t>
  </si>
  <si>
    <t>Recursos de crédito interno</t>
  </si>
  <si>
    <t xml:space="preserve">Comprende los recursos provenientes de operaciones de crédito público que realizan las entidades del PGSP con agentes residentes en el país. Entiéndase por operaciones de crédito público todo acto o contrato que tienen por objeto dotar a la entidad (órgano del PGN, entidad territorial, órgano autónomo, empresa o particular) de recursos, bienes o servicios con plazo para su pago. </t>
  </si>
  <si>
    <t>Recursos de contratos de empréstitos internos</t>
  </si>
  <si>
    <t>Corresponde a los recursos provenientes de contratos de empréstitos internos de las entidades del PGSP. Para las entidades de gobierno, estas operaciones están reguladas por el Decreto 1068 de 2015 y el Decreto 2681 de 1993, art. 22.</t>
  </si>
  <si>
    <t>Decreto 1068 de 2015; Decreto 2681 de 1993, art. 22</t>
  </si>
  <si>
    <t>Recursos de contratos de empréstitos internos con bancos comerciales</t>
  </si>
  <si>
    <t>Corresponde a los ingresos por adquisición de deuda con aquellos bancos comerciales que ofrecen sus recursos a tasas y condiciones vigentes del mercado. Estos recursos pueden dirigirse a cualquier sector.</t>
  </si>
  <si>
    <t>Recursos de contratos de empréstitos internos con bancos comerciales públicos</t>
  </si>
  <si>
    <t>Corresponde a los ingresos por concepto de los desembolsos realizados por bancos comerciales públicos en razón de los créditos otorgados a la entidad del PGSP.</t>
  </si>
  <si>
    <t>Recursos de contratos de empréstitos internos con bancos comerciales privados</t>
  </si>
  <si>
    <t>Corresponde a los ingresos por concepto de los desembolsos realizados por bancos comerciales privados en razón de los créditos otorgados a la entidad del PGSP.</t>
  </si>
  <si>
    <t>Recursos de contratos de empréstitos internos con entidades del sector público</t>
  </si>
  <si>
    <t>Ingresos por contratación de créditos públicos con entidades del sector público, excluyendo a los bancos comerciales públicos que están en otra categoría.</t>
  </si>
  <si>
    <t>Recursos de contratos de empréstitos internos con la Nación</t>
  </si>
  <si>
    <t>Corresponde a los ingresos por desembolsos de créditos otorgados por la Nación a las entidades del gobierno (nivel nacional y subnacional). Estos créditos están sujetos a condonación según los términos pactados en los convenios de desempeño y/o en los documentos que hagan sus veces.</t>
  </si>
  <si>
    <t>Recursos de contratos de empréstitos internos con Findeter</t>
  </si>
  <si>
    <t>Corresponde a los ingresos por desembolsos de créditos realizados durante la vigencia por la Financiera de Desarrollo Territorial S.A. (FINDETER).</t>
  </si>
  <si>
    <t>Recursos de contratos de empréstitos internos con Fonade</t>
  </si>
  <si>
    <t>Corresponde a los ingresos por desembolsos de créditos realizados durante la vigencia por el Fondo Financiero de Proyectos de Desarrollo (FONADE).</t>
  </si>
  <si>
    <t>Recursos de contratos de empréstitos internos con Institutos de Desarrollo Departamental y/o Municipal</t>
  </si>
  <si>
    <t>Corresponde a los ingresos por desembolsos realizados durante la vigencia por concepto de los créditos concedidos a la entidad de gobierno por parte de los fondos o institutos de desarrollo.</t>
  </si>
  <si>
    <t>Banco de la República</t>
  </si>
  <si>
    <t>Comprende los recursos provenientes de los préstamos adquiridos con el Banco de la República, el cual tiene, entre sus funciones, ser prestamista de última instancia del Gobierno Nacional. Los créditos otorgados por el Banco de la República a la Nación sólo se permiten en casos de extrema necesidad, y deben ser aprobados por todos los miembros de la Junta directiva del Banco.</t>
  </si>
  <si>
    <t>Constitución de 1991,  art. 371</t>
  </si>
  <si>
    <t>Recursos de contratos de empréstitos internos con otras instituciones financieras y otros</t>
  </si>
  <si>
    <t xml:space="preserve">Corresponde a los ingresos por contratación de créditos con entidades financieras distintas a las mencionadas. También incluyre los montos de dinero transferidos al Tesoro Nacional por concepto de cuentas inactivas, por parte de las entidades financieras. </t>
  </si>
  <si>
    <t>Recursos de crédito de títulos de deuda pública interna</t>
  </si>
  <si>
    <t>Comprende los recursos provenientes de los títulos de deuda pública (bonos y demás valores de contenido crediticio) emitidos por las entidades de gobierno en el mercado local de capitales con plazo para su rendición</t>
  </si>
  <si>
    <t>Decreto 1068 de 2015, art. 2.2.1.3.1.</t>
  </si>
  <si>
    <t>Colocación y títulos TES clase B del Gobierno Nacional</t>
  </si>
  <si>
    <t xml:space="preserve">Comprende los recursos provenientes de la colocación de Títulos de Tesorería - TES Clase B que realiza el Gobierno Nacional mediante los mecanismos de subasta, operación convenida u operación forzosa, para financiar apropiaciones presupuestales. Los TES Clase B pueden ser administrados directamente por la Nación o ésta puede celebrar con el Banco de la República o con otras entidades nacionales o extranjeras, contratos de administración fiduciaria para la edición, emisión, colocación y garantía de los mismos.  </t>
  </si>
  <si>
    <t>Colocación y títulos TES clase B a corto plazo</t>
  </si>
  <si>
    <t xml:space="preserve">Comprende los recursos provenientes de la colocación de TES Clase B que hace el Gobierno Nacional con  el  fin de efectuar operaciones  de  tesorería,  cuando  el  vencimiento de  los mismos  excede  la respectiva vigencia fiscal. Los TES Clase B a corto plazo tienen un término no mayor a un (1) año y no menor a treinta (30) días. </t>
  </si>
  <si>
    <t>Colocación y títulos TES clase B a largo plazo</t>
  </si>
  <si>
    <t xml:space="preserve">Comprende los recursos provenientes de la colocación de TES Clase B que hace el Gobierno Nacional mediante subasta, operación forzosa u operación convenida, con el fin de financiar apropiaciones presupuestales. Los TES Clase B a largo plazo tienen un término de uno o más años calendario. </t>
  </si>
  <si>
    <t>Bonos y otros títulos emitidos por el Gobierno Nacional</t>
  </si>
  <si>
    <t xml:space="preserve">Comprende  los  recursos provenientes  de  la  colocación  de  bonos  definidos  por  ley,  y  de  títulos diferentes a los TES, que tienen un contenido crediticio con plazo para su redención. </t>
  </si>
  <si>
    <t>Bonos y otros títulos de deuda emitidos por las entidades territoriales</t>
  </si>
  <si>
    <t>Corresponde a los ingresos por emisión y colocación de bonos y demás valores de contenido crediticio y con plazo para su redención, emitidos por las entidades territoriales.</t>
  </si>
  <si>
    <t xml:space="preserve">Comprende los créditos obtenidos con agentes residentes en territorio colombiano,  mediante los cuales se contrata la adquisición de bienes o servicios con plazo para su pago. Esta cuenta es de uso exclusivo de la nación. No aplica para la entrega de bienes y/o servicios de manera directa por el proveedor. </t>
  </si>
  <si>
    <t xml:space="preserve">Transferencias de capital </t>
  </si>
  <si>
    <t>Son las transferencias de recursos que reciben las entidades del PGSP, sin ser regulares o predecibles, y sin dar ningún bien, servicio o activo como contraprestación directa. 
En oposición a las transferencias corrientes, las transferencias de capital se caracterizan por:
•	No permitir un cálculo predecible o una estimación de estos gastos
•	No son disponibilidades regulares 
•	Dependen de la discrecionalidad de la entidad que realiza la transferencia.
•	Tener un plazo limitado de vigencia</t>
  </si>
  <si>
    <t>Convenios con Departamentos</t>
  </si>
  <si>
    <t xml:space="preserve">Convenios con  Municipios </t>
  </si>
  <si>
    <t>Otros Convenios</t>
  </si>
  <si>
    <t>Transferencias a  órganos autónomos e independientes</t>
  </si>
  <si>
    <t>Transferencias del sector descentralizado - Estapublicos Nacionales</t>
  </si>
  <si>
    <t>Transferencias del sector descentralizado - Empresas Nacionales</t>
  </si>
  <si>
    <t>Transferencias del sector central Territorial</t>
  </si>
  <si>
    <t>Transferencias de Departamentos</t>
  </si>
  <si>
    <t xml:space="preserve">Transferencias de Municipios </t>
  </si>
  <si>
    <t>Transferencias del sector descentralizado - Estapublicos Territoriales</t>
  </si>
  <si>
    <t>Transferencias del sector descentralizado - Empresas Territoriales</t>
  </si>
  <si>
    <t>Transferencias de esquemas asociativos</t>
  </si>
  <si>
    <t>Transferencias de órganos autónomos e independientes</t>
  </si>
  <si>
    <t>Transferencias de  privados que administran recursos públicos</t>
  </si>
  <si>
    <t>Indemnizaciones relacionadas con seguros no de vida</t>
  </si>
  <si>
    <t>Son las transferencias de recursos que reciben las entidades del orden nacional y territorial por concepto de las indemnizaciones que se generan en el desarrollo de contratos de seguros no de vida, tras la ocurrencia de un siniestro.</t>
  </si>
  <si>
    <t>Son las transferencias que reciben las entidades o unidades por concepto de donaciones. De acuerdo con el MHCP, son donaciones los “ingresos sin contraprestación, pero con la destinación que establezca el donante, recibidos de otros gobiernos o instituciones públicas o privadas de carácter nacional o internacional” (Ministerio de Hacienda y Crédito Público, 2011, pág. 246).</t>
  </si>
  <si>
    <t>Donaciones de gobiernos extranjeros</t>
  </si>
  <si>
    <t>Son las transferencias por concepto de donaciones que realizan los gobiernos extranjeros a las entidades o unidades.  Se consideran gobiernos extranjeros aquellos que se encuentran fuera del territorio económico colombiano y ejercen soberanía sobre un área determinada del resto del mundo.</t>
  </si>
  <si>
    <t>Donaciones de organizaciones internacionales</t>
  </si>
  <si>
    <t>Son las transferencias por concepto de donaciones que realizan las organizaciones internacionales a las entidades o unidades.  Se entiende por organizaciones internacionales aquellas que cumplen con las siguientes características (FMI, 2009, p. 71):
*Sus miembros son Estados nacionales u otros organismos internacionales cuyos miembros son Estados nacionales.
*Se establecen mediante acuerdos políticos formales entre sus miembros, que tiene el rango de tratados internacionales; su existencia es reconocida por ley en sus países miembros.
*Se crean con una finalidad específica</t>
  </si>
  <si>
    <t>Donaciones del sector privado nacional y extranjero</t>
  </si>
  <si>
    <t>Son las transferencias de recursos por concepto de donaciones que realizan las personas naturales o personas jurídicas del sector privado nacional o extranjero a las entidades.</t>
  </si>
  <si>
    <t>13</t>
  </si>
  <si>
    <t>Compensaciones</t>
  </si>
  <si>
    <t>Son las transferencias de recursos por pagos de gran cuantía, no recurrentes, para compensar daños extensos o lesiones graves, como las que resultan de desastres naturales no cubiertos por pólizas de seguros.</t>
  </si>
  <si>
    <t xml:space="preserve">Compensación resguardos indígenas </t>
  </si>
  <si>
    <t>Corresponde al impuesto predial unificado de los resguardos indígenas de la jurisdicción del municipio con cargo al presupuesto general de la Nación</t>
  </si>
  <si>
    <t>Compensación resguardos indígenas (vigencia actual)</t>
  </si>
  <si>
    <t>Compensación resguardos indígenas (vigencia anterior)</t>
  </si>
  <si>
    <t>Intereses de mora Compensación resguardos indígenas</t>
  </si>
  <si>
    <t>14</t>
  </si>
  <si>
    <t xml:space="preserve">Cooperación </t>
  </si>
  <si>
    <t xml:space="preserve">Acuerdos </t>
  </si>
  <si>
    <t>Subacuerdos</t>
  </si>
  <si>
    <t>Recuperación de cartera</t>
  </si>
  <si>
    <t>Ingresos por concepto de la amortización de préstamos realizados por las unidades del PGSP Gobierno nacional, las entidades territoriales, las empresas financieras y no financieras, los órganos autónomos y particulares que administran recursos públicos</t>
  </si>
  <si>
    <t>Ley 1066 de 2006</t>
  </si>
  <si>
    <t>Recuperación de cartera Ingresos tributarios</t>
  </si>
  <si>
    <t>Recuperación de cartera Impuestos directos</t>
  </si>
  <si>
    <t>Recuperación de cartera Contribuciones</t>
  </si>
  <si>
    <t>Recuperación de cartera Tasas retributivas y compensatorias</t>
  </si>
  <si>
    <t>Recuperación de carteraTasa retributiva</t>
  </si>
  <si>
    <t>Recuperación de cartera Tasa por el uso del agua</t>
  </si>
  <si>
    <t>Recuperación de cartera Tasa de aprovechamiento Forestal</t>
  </si>
  <si>
    <t>Recuperación de cartera Tasa compensatoria por caza de Fauna Silvestre</t>
  </si>
  <si>
    <t>Recuperación de cartera Otras tasas</t>
  </si>
  <si>
    <t>Recuperación de cartera Multas, sanciones e intereses de mora</t>
  </si>
  <si>
    <t>Recuperación de cartera Venta de bienes y servicios</t>
  </si>
  <si>
    <t>Recuperación cuotas partes pensionales</t>
  </si>
  <si>
    <t>Recursos del balance</t>
  </si>
  <si>
    <t>Recursos provenientes del saldo del ejercicio fiscal de la vigencia inmediatamente anterior, que quedan disponibles para la vigencia siguiente.</t>
  </si>
  <si>
    <t>Cancelación de reservas</t>
  </si>
  <si>
    <t>Cancelación de reservas Ingresos tributarios</t>
  </si>
  <si>
    <t>Cancelación de reservas Impuestos directos</t>
  </si>
  <si>
    <t>Cancelación de reservas Contribuciones</t>
  </si>
  <si>
    <t>Cancelación de reservas Tasas retributivas y compensatorias</t>
  </si>
  <si>
    <t>Cancelación de reservas Tasa retributiva</t>
  </si>
  <si>
    <t>Cancelación de reservas Tasa por el uso del agua</t>
  </si>
  <si>
    <t>Cancelación de reservas Tasa de aprovechamiento Forestal</t>
  </si>
  <si>
    <t>Cancelación de reservas Tasa compensatoria por caza de Fauna Silvestre</t>
  </si>
  <si>
    <t>Cancelación de reservas Otras tasas</t>
  </si>
  <si>
    <t>Cancelación de reservas Multas, sanciones e intereses de mora</t>
  </si>
  <si>
    <t>Cancelación de reservas Venta de bienes y servicios</t>
  </si>
  <si>
    <t>Cancelación de reservas Recursos de crédito externo</t>
  </si>
  <si>
    <t>Cancelación de reservas Recursos de crédito interno</t>
  </si>
  <si>
    <t>Cancelación de reservas Transferencias de capital</t>
  </si>
  <si>
    <t>Cancelación de reservas Convenios</t>
  </si>
  <si>
    <t>Cancelación de reservas Convenios Departamentos</t>
  </si>
  <si>
    <t xml:space="preserve">Cancelación de reservas Convenios Municipios </t>
  </si>
  <si>
    <t>Cancelación de reservas Otros convenios</t>
  </si>
  <si>
    <t>Cancelación de reservas Compensaciones</t>
  </si>
  <si>
    <t>Cancelación de reservas Compensación resguardos indígenas</t>
  </si>
  <si>
    <t xml:space="preserve"> INFORME DE EJECUCION PRESUPUESTAL DE INGRESOS </t>
  </si>
  <si>
    <t xml:space="preserve">RECURSOS PROPIOS
(3)
</t>
  </si>
  <si>
    <t xml:space="preserve">RECURSOS DE LA NACIÓN 
(4)
</t>
  </si>
  <si>
    <t>RECURSOS FONDO DE COMPENSACIÓN AMBIENTAL
(5)</t>
  </si>
  <si>
    <t>RECURSOS DE REGALÍAS
(6)</t>
  </si>
  <si>
    <t>TOTAL RECURSOS
(7)</t>
  </si>
  <si>
    <t>OBSERVACIONES (8)</t>
  </si>
  <si>
    <t>PRESUPUESTADO</t>
  </si>
  <si>
    <t>COMPROMETIDO</t>
  </si>
  <si>
    <t>OBLIGACIONES</t>
  </si>
  <si>
    <t xml:space="preserve">PAGOS </t>
  </si>
  <si>
    <t>PAGOS</t>
  </si>
  <si>
    <t>2</t>
  </si>
  <si>
    <t>GASTOS DE FUNCIONAMIENTO</t>
  </si>
  <si>
    <t>ADQUISICIÓN DE BIENES Y SERVICIOS</t>
  </si>
  <si>
    <t>Adquisición de activos no financieros</t>
  </si>
  <si>
    <t>Adquisiciones diferentes de activos</t>
  </si>
  <si>
    <t>A ENTIDADES DE GOBIERNO</t>
  </si>
  <si>
    <t>A ORGANOS DEL PGN</t>
  </si>
  <si>
    <t>Fondo de Compensación Ambiental - Ministerio del Medio Ambiente Art 24 Ley 344 de 1996</t>
  </si>
  <si>
    <t>Fondo de Compensación Ambiental - TSE (20%)</t>
  </si>
  <si>
    <t>Fondo de Compensación Ambiental - Recursos propios diferentes a TSE (10%)</t>
  </si>
  <si>
    <t>A ESQUEMAS ASOCIATIVOS</t>
  </si>
  <si>
    <t>Aportes a ASOCARS</t>
  </si>
  <si>
    <t xml:space="preserve">PRESTACIONES SOCIALES </t>
  </si>
  <si>
    <t>Prestaciones sociales relacionadas con el empleo</t>
  </si>
  <si>
    <t>Mesadas pensionales (de pensiones)</t>
  </si>
  <si>
    <t>Bonos pensionales (de pensiones)</t>
  </si>
  <si>
    <t>Comisiones y otros gastos</t>
  </si>
  <si>
    <t>Conciliaciones</t>
  </si>
  <si>
    <t>GASTOS POR TRIBUTOS, MULTAS, SANCIONES E INTERESES DE MORA</t>
  </si>
  <si>
    <t>IMPUESTOS</t>
  </si>
  <si>
    <t>IMPUESTOS TERRITORIALES</t>
  </si>
  <si>
    <t>Impuesto predial y Sobretasa ambiental</t>
  </si>
  <si>
    <t>Impuesto sobre vehículos automotores.</t>
  </si>
  <si>
    <t>TASAS Y DERECHOS ADMINISTRATIVOS</t>
  </si>
  <si>
    <t>Peajes.</t>
  </si>
  <si>
    <t>CONTRIBUCIONES</t>
  </si>
  <si>
    <t>Cuota de fiscalización y auditaje</t>
  </si>
  <si>
    <t>Multas</t>
  </si>
  <si>
    <t>Sanciones</t>
  </si>
  <si>
    <t>SERVICIO DE LA DEUDA</t>
  </si>
  <si>
    <t>Servicios de la deuda pública externa</t>
  </si>
  <si>
    <t>Intereses de la deduda pública externa</t>
  </si>
  <si>
    <t>Servicios de la deuda pública interna</t>
  </si>
  <si>
    <t>Intereses de la deduda pública interna</t>
  </si>
  <si>
    <t>Fondo de contigencias</t>
  </si>
  <si>
    <t>TOTAL GASTOS DE INVERSIÓN</t>
  </si>
  <si>
    <t>TOTAL PRESUPUESTO DE GASTOS</t>
  </si>
  <si>
    <t>CONCEPTO 
(2)</t>
  </si>
  <si>
    <t>Reporte el avance acumulado en la vigencia del Plan de Acción, desde su aprobación hasta el periodo del informe.  Ejemplo $100'000.000.oo (2020) + $150'000.000.oo (2021), da un acumulado de inversión del Plan de Acción de $250'000.000.oo</t>
  </si>
  <si>
    <t>Número de cuencas con POMCAS aprobados, bajo el nuevo marco normativo (Decreto 1076 de 2015) a 31 de diciembre de 2019:</t>
  </si>
  <si>
    <t>Meta de POMCAS aprobados para el cuatrienio 2020-2023 (número):</t>
  </si>
  <si>
    <t>Meta de PMA aprobados para el cuatrienio 2020-2023 (número):</t>
  </si>
  <si>
    <t>Meta de PMM aprobados para el cuatrienio 2020-2023 (número):</t>
  </si>
  <si>
    <t>Estado de avance a 31 de diciembre de 2019 (c)</t>
  </si>
  <si>
    <t>Estado de avance a 31 de diciembre de 2019 (%)</t>
  </si>
  <si>
    <t>Número total de cuerpos de agua sujeto de reglamentación de planes de ordenamiento del recurso hídrico (PORH) adoptados a 31/12/2019:</t>
  </si>
  <si>
    <t>Número total de cuerpos de agua con reglamentación del uso de las aguas a 31/12/2019:</t>
  </si>
  <si>
    <t>Número total de Programas de Uso Eficiente y Ahorro del Agua (PUEAA) aprobados por la Corporación a 31/12/2019:</t>
  </si>
  <si>
    <t>Número de áreas protegidas inscritas en el RUNAP a 31/12/2019 (número)</t>
  </si>
  <si>
    <t>Superficie de áreas protegidas inscritas en el RUNAP a 31/12/2019 (ha)</t>
  </si>
  <si>
    <t>Número total de áreas protegidas regionales declaradas, homologadas o recategorizadas, e inscritas en el RUNAP a 31/12/2023 (número)</t>
  </si>
  <si>
    <t>Superficie total de áreas protegidas regionales declaradas, homologadas o recategorizadas, inscritas en el RUNAP a 31/12/2023 (ha) (C+D)</t>
  </si>
  <si>
    <t>Superficie cubierta en el Plan de Ordenación Forestal adoptado a 31/12/2019 (ha)</t>
  </si>
  <si>
    <t>Superficie total del Plan de Ordenación Forestal a 31/12/2023 (ha)</t>
  </si>
  <si>
    <t>Número total de licencias ambientales vigentes y aprobadas por la Corporación a 31/12/2109:</t>
  </si>
  <si>
    <t>Número de usuarios de agua a 31/12/2019</t>
  </si>
  <si>
    <t>Número de concesiones de agua otorgadas a 31/12/2019</t>
  </si>
  <si>
    <t>Número de captaciones de agua otorgadas a 31/12/2019</t>
  </si>
  <si>
    <t>Número de usuarios de vertimientos de agua a 31/12/2019</t>
  </si>
  <si>
    <t>Número de permisos de vertimiento de agua otorgadas a 31/12/2019</t>
  </si>
  <si>
    <t>Número de puntos de vertimientos a 31/12/2019</t>
  </si>
  <si>
    <t>Número de usuarios de permisos de aprovechamiento forestal a 31/12/2019</t>
  </si>
  <si>
    <t>Número de permisos de aprovechamiento forestal vigentes a 31/12/2019</t>
  </si>
  <si>
    <t>Número de usuarios de permisos de emisiones atmosféricas a 31/12/2019</t>
  </si>
  <si>
    <t>Número de permisos de emisiones atmosféricas vigentes a 31/12/2019</t>
  </si>
  <si>
    <t>ANEXOS INFORME DE SEGUIMIENTO AL PLAN DE ACCIÓN 2020-2023</t>
  </si>
  <si>
    <t xml:space="preserve">(1) PROGRAMAS - PROYECTOS  DEL Plan de Acción 2020-2023 </t>
  </si>
  <si>
    <t>Relacione aquí de acuerdo al plan de inversión del Plan de Acción  los montos de inversión previstos para cada programa o proyecto para los cuatro años. (incluye adiciones o modificaciones).</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</si>
  <si>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</si>
  <si>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 xml:space="preserve">(5-A) DESCRIPCIÓN DEL AVANCE </t>
  </si>
  <si>
    <t>Reporte el avance acumulado de la meta física que se obtenga desde la aprobación del Plan de Acción, incluyendo el periodo evaluado.  Ejemplo 100 Ha reforestadas (2020), más 140 Ha reforestadas (2021), para un acumulado de 240 Ha (2020+2021)</t>
  </si>
  <si>
    <t>(11) META FINANCIERA ANUAL</t>
  </si>
  <si>
    <t>ANEXO No. 2. PROTOCOLO O GUÍA DE DILIGENCIAMIENTO</t>
  </si>
  <si>
    <t>ÍTEM</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</si>
  <si>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</si>
  <si>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</si>
  <si>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</si>
  <si>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</si>
  <si>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</si>
  <si>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</si>
  <si>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</si>
  <si>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</si>
  <si>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</si>
  <si>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</si>
  <si>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</si>
  <si>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</si>
  <si>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</si>
  <si>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</si>
  <si>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</si>
  <si>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</si>
  <si>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</si>
  <si>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</si>
  <si>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</si>
  <si>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</si>
  <si>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</si>
  <si>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t>
  </si>
  <si>
    <t>(12) RECAUDO EFECTIVO</t>
  </si>
  <si>
    <t>Indique los recursos percibidos por la Corporación durante la vigencia de reporte</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</si>
  <si>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</si>
  <si>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</si>
  <si>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</si>
  <si>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</si>
  <si>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ANEXO No. 5.2. PROTOCOLO O GUÍA DE DILIGENCIAMIENTO</t>
  </si>
  <si>
    <t>Cuentas que conforma el presupuesto de los gastos.</t>
  </si>
  <si>
    <t>(3) RECURSOS PROPIOS</t>
  </si>
  <si>
    <t>Por cada cuenta que conforma el presupuesto de gastos por concepto de recursos propios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</si>
  <si>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(4) RECURSOS NACIÓN</t>
  </si>
  <si>
    <t>Por cada cuenta que conforma el presupuesto de gastos por concepto de los recursos recibidos por el Presupuesto General de la Nación,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</si>
  <si>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(5) RECURSOS FONDO DE COMPENSACIÓN AMBIENTAL</t>
  </si>
  <si>
    <t>Por cada cuenta que conforma el presupuesto de gastos por concepto de los recursos recibidos por el Fondo de Compensación Ambiental,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</si>
  <si>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(6) RECURSOS DE REGALÍAS</t>
  </si>
  <si>
    <t>Por cada cuenta que conforma el presupuesto de gastos por concepto de los recursos recibidos por el Sistema General de Regalías,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</si>
  <si>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(7) TOTAL RECURSOS</t>
  </si>
  <si>
    <t>Es la sumatoria del gasto realizado por recursos propios, Nación, Regalías y Fondo de Compensación Ambiental.</t>
  </si>
  <si>
    <t>(8) OBSERVACIONES</t>
  </si>
  <si>
    <t>(27)
PROGRAMA DE INVERSIÓN PUBLICA A LA QUE APORTA</t>
  </si>
  <si>
    <t>(28)
IMG AL QUE  APORTA</t>
  </si>
  <si>
    <t>(29)
ODS AL QUE LE APORTA</t>
  </si>
  <si>
    <t>3201 – Fortalecimiento del desempeño ambiental de los sectores productivos.</t>
  </si>
  <si>
    <t>3202 – Conservación de la biodiversidad y sus servicios ecosistémicos.</t>
  </si>
  <si>
    <t>3203 – Gestión integral del recurso hídrico.</t>
  </si>
  <si>
    <t>3204 – Gestión de la información y el conocimiento ambiental.</t>
  </si>
  <si>
    <t>3205 – Ordenamiento ambiental territorial.</t>
  </si>
  <si>
    <t>3206 – Gestión del cambio climático para un desarrollo bajo en carbono y resiliente al clima.</t>
  </si>
  <si>
    <t>3207 – Gestión integral de mares, costas y recursos acuáticos.</t>
  </si>
  <si>
    <t>3208 – Educación Ambiental.</t>
  </si>
  <si>
    <t>3299 – Fortalecimiento de la gestión y dirección del Sector Ambiente y Desarrollo Sostenible.</t>
  </si>
  <si>
    <t>No Aplica</t>
  </si>
  <si>
    <t>2020-I</t>
  </si>
  <si>
    <t>2020-II</t>
  </si>
  <si>
    <t>2021-I</t>
  </si>
  <si>
    <t>2021-II</t>
  </si>
  <si>
    <t>2022-I</t>
  </si>
  <si>
    <t>2022-II</t>
  </si>
  <si>
    <t>2023-I</t>
  </si>
  <si>
    <t>2023-II</t>
  </si>
  <si>
    <t>2024-I</t>
  </si>
  <si>
    <t>2024-II</t>
  </si>
  <si>
    <t>2025-I</t>
  </si>
  <si>
    <t>2025-II</t>
  </si>
  <si>
    <r>
      <t xml:space="preserve">(1)
PROGRAMAS - PROYECTOS  DEL PLAN DE ACCIÓN 2020-2023
(inserte filas cuando sea necesario)
</t>
    </r>
    <r>
      <rPr>
        <b/>
        <sz val="10"/>
        <color indexed="10"/>
        <rFont val="Arial Narrow"/>
        <family val="2"/>
      </rPr>
      <t/>
    </r>
  </si>
  <si>
    <t>Corporación Autónoma Regional de Risaralda – CARDER</t>
  </si>
  <si>
    <t>Año 0 (2019) (*)</t>
  </si>
  <si>
    <t>Aportes Fondo de Compensación Ambiental -FCA,</t>
  </si>
  <si>
    <t>(16) RESERVA PRESUPUESTAL</t>
  </si>
  <si>
    <t>(17) META FINANCIERA DEL PLAN</t>
  </si>
  <si>
    <t xml:space="preserve">(18) AVANCE ACUMULADO DE LA META FINANCIERA </t>
  </si>
  <si>
    <t>(19) PORCENTAJE DE AVANCE FINANCIERO ACUMULADO %</t>
  </si>
  <si>
    <t>(20) OBSERVACIONES</t>
  </si>
  <si>
    <t>(17)                                         META FINANCIERA   DEL PLAN             ($)</t>
  </si>
  <si>
    <t xml:space="preserve">(18)
ACUMULADO DE LA META
FINANCIERA
$
</t>
  </si>
  <si>
    <t xml:space="preserve">(19)
PORCENTAJE DE  AVANCE FINANCIERO ACUMULADO %
((18/17)*100)
</t>
  </si>
  <si>
    <t>(20)
OBSERVACIONES</t>
  </si>
  <si>
    <t>Calcule el porcentaje del avance acumulado de la Meta financiera programada en el Plan de Acción. Divida el valor de la columna  (17) con el valor de la columna (18) y multiplique por 100.</t>
  </si>
  <si>
    <t>(14)
AVANCE DE LOS RECURSOS OBLIGADOS
$</t>
  </si>
  <si>
    <t>(14) AVANCE DE LOS RECURSOS OBLIGADOS $</t>
  </si>
  <si>
    <t>(15) PORCENTAJE DE AVANCE DE LOS RECURSOS OBLIGADOS</t>
  </si>
  <si>
    <t>Relacione aquí los recursos obligados a corte del reporte, los recursos obligadoss son aquellos que presupuestalmente son reconocidos para pago estos recursos pueden generarse el pago efectivo o quedan en cuentas por pagar.</t>
  </si>
  <si>
    <t>se calcula la diferencia entre los el avance de la meta financiera (12) y los recursos obligados (14)</t>
  </si>
  <si>
    <t>Se calcula el avance porcentual a la relación entre el avance de la meta financiera (12) y los recursos obligados (14)</t>
  </si>
  <si>
    <t>En esta columna para el informe a corte junio 30 puede describir en texto lo que se desea justificar, describir y aclarar del avance del programa, proyecto, actividad, para el informe a 31 de diciembre indicar la cantidad y donde establecio el producto recibido (municipio)</t>
  </si>
  <si>
    <t>(15)
PORCENTAJE DE AVANCE DE LOS RECURSOS OBLIGADOS
((14/12)*100)</t>
  </si>
  <si>
    <t>(16)
RESERVA PRESUPUESTAL
$
(12-14)</t>
  </si>
  <si>
    <t>Tasa retributiva (Rendimientos Financieros)</t>
  </si>
  <si>
    <t>Tasa retributiva (Intereses por mora)</t>
  </si>
  <si>
    <t>Tasa retributiva (Recuperación de Cartera)</t>
  </si>
  <si>
    <t>Tasa retributiva (Superhavit - Mayor recaudo)</t>
  </si>
  <si>
    <t>Tasa retributiva (Superhavit -Recursos no ejecutados)</t>
  </si>
  <si>
    <t>Tasa por el uso del agua (Rendimientos Financieros)</t>
  </si>
  <si>
    <t>Tasa por el uso del agua (Intereses por mora)</t>
  </si>
  <si>
    <t>Tasa por el uso del agua (Recuperación de Cartera)</t>
  </si>
  <si>
    <t>Tasa por el uso del agua (Superhavit - Mayor recaudo)</t>
  </si>
  <si>
    <t>Tasa por el uso del agua (Superhavit -Recursos no ejecutados)</t>
  </si>
  <si>
    <t>Tasa de aprovechamiento forestal (Rendimientos Financieros)</t>
  </si>
  <si>
    <t>Tasa de aprovechamiento forestal (Intereses por mora)</t>
  </si>
  <si>
    <t>Tasa de aprovechamiento forestal (Recuperación de Cartera)</t>
  </si>
  <si>
    <t>Tasa de aprovechamiento forestal (Superhavit - Mayor recaudo)</t>
  </si>
  <si>
    <t>Tasa de aprovechamiento forestal (Superhavit -Recursos no ejecutados)</t>
  </si>
  <si>
    <t>Tasa compensatoria por caza de Fauna Silvestre (Rendimientos Financieros)</t>
  </si>
  <si>
    <t>Tasa compensatoria por caza de Fauna Silvestre (Intereses por mora)</t>
  </si>
  <si>
    <t>Tasa compensatoria por caza de Fauna Silvestre (Recuperación de Cartera)</t>
  </si>
  <si>
    <t>Tasa compensatoria por caza de Fauna Silvestre (Superhavit - Mayor recaudo)</t>
  </si>
  <si>
    <t>Tasa compensatoria por caza de Fauna Silvestre (Superhavit -Recursos no ejecutados)</t>
  </si>
  <si>
    <t>Evaluación de licencias, permisos, concesiones, autorizaciones y demás trámites ambientales (Rendimientos Financieros)</t>
  </si>
  <si>
    <t>Evaluación de licencias, permisos, concesiones, autorizaciones y demás trámites ambientales (Intereses por mora)</t>
  </si>
  <si>
    <t>Evaluación de licencias, permisos, concesiones, autorizaciones y demás trámites ambientales (Recuperación de Cartera)</t>
  </si>
  <si>
    <t>Evaluación de licencias, permisos, concesiones, autorizaciones y demás trámites ambientales (Superhavit - Mayor recaudo)</t>
  </si>
  <si>
    <t>Evaluación de licencias, permisos, concesiones, autorizaciones y demás trámites ambientales (Superhavit -Recursos no ejecutados)</t>
  </si>
  <si>
    <t>Otras Tasas (Rendimientos Financieros)</t>
  </si>
  <si>
    <t>Otras Tasas (Intereses por mora)</t>
  </si>
  <si>
    <t>Otras Tasas (Recuperación de Cartera)</t>
  </si>
  <si>
    <t>Otras Tasas (Superhavit - Mayor recaudo)</t>
  </si>
  <si>
    <t>Otras Tasas (Superhavit -Recursos no ejecutados)</t>
  </si>
  <si>
    <t>Seguimiento a licencias, permisos, concesiones, autorizaciones y demás trámites ambientales (Rendimientos Financieros)</t>
  </si>
  <si>
    <t>Seguimiento a licencias, permisos, concesiones, autorizaciones y demás trámites ambientales (Intereses por mora)</t>
  </si>
  <si>
    <t>Seguimiento a licencias, permisos, concesiones, autorizaciones y demás trámites ambientales (Recuperación de Cartera)</t>
  </si>
  <si>
    <t>Seguimiento a licencias, permisos, concesiones, autorizaciones y demás trámites ambientales (Superhavit - Mayor recaudo)</t>
  </si>
  <si>
    <t>Seguimiento a licencias, permisos, concesiones, autorizaciones y demás trámites ambientales (Superhavit -Recursos no ejecutados)</t>
  </si>
  <si>
    <t>Salvoconductos (Rendimientos Financieros)</t>
  </si>
  <si>
    <t>Salvoconductos (Intereses por mora)</t>
  </si>
  <si>
    <t>Salvoconductos (Recuperación de Cartera)</t>
  </si>
  <si>
    <t>Salvoconductos (Superhavit - Mayor recaudo)</t>
  </si>
  <si>
    <t>Salvoconductos (Superhavit -Recursos no ejecutados)</t>
  </si>
  <si>
    <t>Participación de la sobretasa ambiental - Corporaciones Autónomas Regionales (Rendimientos Financieros)</t>
  </si>
  <si>
    <t>Participación de la sobretasa ambiental - Corporaciones Autónomas Regionales (Intereses por mora)</t>
  </si>
  <si>
    <t>Participación de la sobretasa ambiental - Corporaciones Autónomas Regionales (Recuperación de Cartera)</t>
  </si>
  <si>
    <t>Participación de la sobretasa ambiental - Corporaciones Autónomas Regionales (Superhavit - Mayor recaudo)</t>
  </si>
  <si>
    <t>Participación de la sobretasa ambiental - Corporaciones Autónomas Regionales (Superhavit -Recursos no ejecutados)</t>
  </si>
  <si>
    <t>Participación del porcentaje ambiental - Corporaciones Autónomas Regionales  (Rendimientos Financieros)</t>
  </si>
  <si>
    <t>Participación del porcentaje ambiental - Corporaciones Autónomas Regionales  (Intereses por mora)</t>
  </si>
  <si>
    <t>Participación del porcentaje ambiental - Corporaciones Autónomas Regionales  (Recuperación de Cartera)</t>
  </si>
  <si>
    <t>Participación del porcentaje ambiental - Corporaciones Autónomas Regionales  (Superhavit - Mayor recaudo)</t>
  </si>
  <si>
    <t>Participación del porcentaje ambiental - Corporaciones Autónomas Regionales  (Superhavit -Recursos no ejecutados)</t>
  </si>
  <si>
    <t>Participación de intereses de mora sobre la sobretasa ambiental  (Rendimientos Financieros)</t>
  </si>
  <si>
    <t>Participación de intereses de mora sobre la sobretasa ambiental  (Intereses por mora)</t>
  </si>
  <si>
    <t>Participación de intereses de mora sobre la sobretasa ambiental  (Recuperación de Cartera)</t>
  </si>
  <si>
    <t>Participación de intereses de mora sobre la sobretasa ambiental  (Superhavit - Mayor recaudo)</t>
  </si>
  <si>
    <t>Participación de intereses de mora sobre la sobretasa ambiental  (Superhavit -Recursos no ejecutados)</t>
  </si>
  <si>
    <t>Participación de intereses de mora sobre el porcentaje ambiental  (Rendimientos Financieros)</t>
  </si>
  <si>
    <t>Participación de intereses de mora sobre el porcentaje ambiental  (Intereses por mora)</t>
  </si>
  <si>
    <t>Participación de intereses de mora sobre el porcentaje ambiental  (Recuperación de Cartera)</t>
  </si>
  <si>
    <t>Participación de intereses de mora sobre el porcentaje ambiental  (Superhavit - Mayor recaudo)</t>
  </si>
  <si>
    <t>Participación de intereses de mora sobre el porcentaje ambiental  (Superhavit -Recursos no ejecutados)</t>
  </si>
  <si>
    <t>Participación de intereses de mora sobre la sobretasa ambiental-peajes  (Rendimientos Financieros)</t>
  </si>
  <si>
    <t>Participación de intereses de mora sobre la sobretasa ambiental-peajes  (Intereses por mora)</t>
  </si>
  <si>
    <t>Participación de intereses de mora sobre la sobretasa ambiental-peajes  (Recuperación de Cartera)</t>
  </si>
  <si>
    <t>Participación de intereses de mora sobre la sobretasa ambiental-peajes  (Superhavit - Mayor recaudo)</t>
  </si>
  <si>
    <t>Participación de intereses de mora sobre la sobretasa ambiental-peajes  (Superhavit -Recursos no ejecutados)</t>
  </si>
  <si>
    <t>Sobretasa ambiental - Peajes (Rendimientos Financieros)</t>
  </si>
  <si>
    <t>Sobretasa ambiental - Peajes (Intereses por mora)</t>
  </si>
  <si>
    <t>Sobretasa ambiental - Peajes (Recuperación de Cartera)</t>
  </si>
  <si>
    <t>Sobretasa ambiental - Peajes (Superhavit - Mayor recaudo)</t>
  </si>
  <si>
    <t>Sobretasa ambiental - Peajes (Superhavit -Recursos no ejecutados)</t>
  </si>
  <si>
    <t>Ingresos Recursos Propios</t>
  </si>
  <si>
    <t>Intereses de mora Multas Am bientales</t>
  </si>
  <si>
    <t>Multas Ambientales (Rendimientos Financieros)</t>
  </si>
  <si>
    <t>Multas Ambientales (Intereses por mora)</t>
  </si>
  <si>
    <t>Multas Ambientales (Recuperación de Cartera)</t>
  </si>
  <si>
    <t>Multas Ambientales (Superhavit - Mayor recaudo)</t>
  </si>
  <si>
    <t>Multas Ambientales (Superhavit -Recursos no ejecutados)</t>
  </si>
  <si>
    <t xml:space="preserve">Aportes Presupuesto General de la Nación </t>
  </si>
  <si>
    <t>Aportes Presupuesto General de la Nación - Funcionamiento</t>
  </si>
  <si>
    <t>Aportes Presupuesto General de la Nación - Inversión</t>
  </si>
  <si>
    <t>Aportes del SPGR para Gastos de personal</t>
  </si>
  <si>
    <t>Aportes del SPGR para Adquisición de bienes y servicios</t>
  </si>
  <si>
    <t>Aportes del SPGR  para Transferencias corrientes</t>
  </si>
  <si>
    <t>Sobretasa ambiental</t>
  </si>
  <si>
    <t>Sobretasa ambiental Sector Urbano</t>
  </si>
  <si>
    <t>Sobretasa ambiental Sector Rural</t>
  </si>
  <si>
    <t>Ingresos No tributarios</t>
  </si>
  <si>
    <t>Contribución sector eléctrico - Generadores de energía convencional</t>
  </si>
  <si>
    <t>Contribución sector eléctrico - Generadores de energía no convencional</t>
  </si>
  <si>
    <t>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t>
  </si>
  <si>
    <t xml:space="preserve">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 </t>
  </si>
  <si>
    <t>Son los recursos que provienen como contribución de las empresas que producen energía a partir de fuentes no convencionales a las que se refiere la Ley 1715 de 2014, cuyas plantas con potencia nominal instalada total supere los 10.000 kilovatios, deben  cancelar una transferencia equivalente al 1% de las ventas brutas de energía por generación propia de acuerdo con la tarifa que para ventas en bloque señale la Comisión de Regulación de Energía y Gas (CREG).</t>
  </si>
  <si>
    <t>Ley 1955 de 2019, art. 289</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</si>
  <si>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</si>
  <si>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Ley 99 de 1993, art 44. inciso segundo. Art. 66</t>
  </si>
  <si>
    <t>Corresponde a la sobretasa que fijen los municipios y distritos, entre el 1.5 por mil y el 2.5 por mil sobre el avalúo de los bienes ubicados dentro del perimetro urbano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</si>
  <si>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Corresponde a la sobretasa que fijen los municipios y distritos, entre el 1.5 por mil y el 2.5 por mil sobre el avalúo de los bienes ubicados fuera del perimetro urbano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</si>
  <si>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Corte Constitucional, Sentencia C-423/1995.</t>
  </si>
  <si>
    <t xml:space="preserve">Los ingresos son recursos monetarios recaudados en una vigencia fiscal por quienes corresponda administrarlos según la ley.
Se consideran ingresos las entradas de caja efectivas, en moneda nacional, que incrementan las disponibilidades para el gasto. </t>
  </si>
  <si>
    <t xml:space="preserve">Son ingresos derivados de la prestación directa y efectiva de un servicio público individualizado y específico, adquirido de forma voluntaria por un tercero. Las tasas solo pueden ser fijadas por ley, y se transfiere la competencia para que, una vez fijadas, la entidad determine las tarifas correspondientes a través de un acto administrativo (Corte Constitucional, Sentencia C-837/2001). </t>
  </si>
  <si>
    <t>Corte Constitucional. Sentencia C-837/2001</t>
  </si>
  <si>
    <t>Es aquella que cobrará la autoridad ambiental competente a los usuarios por la utilización directa e indirecta del recurso hídrico como receptor de vertimientos puntuales directos o indirectos y sus consecuencias nocivas, originados en actividades antrópicas o propiciadas por el hombre y actividades económicas o de servicios, sean o no lucrativas.</t>
  </si>
  <si>
    <t>Decreto Único Reglamentario 1076 de 2015 Nivel Nacional. Capitulo 7.  Decreto 2667/2012. Art.7
Art. 66 Ley 99/1993</t>
  </si>
  <si>
    <t>Tasa compensatoria, por el aprovechamiento forestal maderable en bosques naturales ubicados en terrenos de dominio publico y privado.</t>
  </si>
  <si>
    <t xml:space="preserve">Decreto 1390 /2018
Art. 2.2.9.12.1.3 Dec 1390/2018
Art. 66 Ley 99/1993   </t>
  </si>
  <si>
    <t>La fauna silvestre nativa comprende aquellas especies, subespecies taxonómicas, razas o variedades de animales silvestres cuya área natural de dispersión geográfica se extiende al territorio nacional o aguas jurisdiccionales, o forma parte de los mismos, incluidas las especies o subespecies que migran temporalmente a ellos, y que no se encuentran en el país como producto voluntario o involuntario de la actividad humana.</t>
  </si>
  <si>
    <t xml:space="preserve">Decreto 1272 de 2016
Art. 2.2.9.12.1.3 Dec 1390/2018
Art. 66 Ley 99/1993   </t>
  </si>
  <si>
    <t>Tasa de aprovechamiento forestal</t>
  </si>
  <si>
    <t>Tasa compensatoria por caza de fauna silvestre</t>
  </si>
  <si>
    <t>Ley 981 de 2005 modificada por Ley 1718 de 2014 y Ley 1753 de 2015
Art. 4 Ley 981/2005
Art. 13 Ley 768/2002</t>
  </si>
  <si>
    <t>Tasa Compensatoria por la utilización permanente de la reserva forestal protectora Bosque Oriental de Bogotá</t>
  </si>
  <si>
    <t>Esta Tasa compensatoria por la utilización permanente de la Reserva Forestal Protectora Bosque Oriental de Bogotá, de predios con edificaciones ubicados en la Zona de Recuperación Ambiental definida en la Resolución 463 de 2005, expedida por el Ministerio de Ambiente, Vivienda y Desarrollo Territorial, he, Ministerio de Ambiente y Desarrollo Sostenible, o la categoría de zonificación que haga sus veces.</t>
  </si>
  <si>
    <t>Decreto 1648 de 2016</t>
  </si>
  <si>
    <t>DERECHOS ADMINISTRATIVOS</t>
  </si>
  <si>
    <t>TASAS</t>
  </si>
  <si>
    <t>Salvo conducto unico Nacional</t>
  </si>
  <si>
    <t>El Salvoconducto Nacional para la movilización de especimenes de la diversidad biologica. Es el documento emitido por la autoridad ambiental competente para amparar el transporte de los especimenes de diversidad biologica en el territorio nacional.</t>
  </si>
  <si>
    <t>Resoluciones 438 de 2001; 619 de 202 y 1029 de 2001</t>
  </si>
  <si>
    <t>MULTAS, SANCIONES E INTERESES DE MORA</t>
  </si>
  <si>
    <t xml:space="preserve">Derecho económico por el uso de cuencas hidrográficas </t>
  </si>
  <si>
    <t>PREGUNTAR SI APLICA Y DE QUE TRATA</t>
  </si>
  <si>
    <t>VENTA DE BIENES Y SERVICIOS</t>
  </si>
  <si>
    <t>Venta de establecimientos de mercado</t>
  </si>
  <si>
    <t>Son los ingresos asociados a la comercialización y producción de productos relacionados con la agricultura, la horticultura, la silvicultura y los productos de explotación forestal. Incluye también la venta de animales o productos animales, y la venta de pescados o productos de la pesca.</t>
  </si>
  <si>
    <t>Venta de establecimientos de no mercado</t>
  </si>
  <si>
    <t>Son los ingresos asociados a la venta de productos relacionados con la agricultura, la horticultura, la silvicultura y los productos de explotación forestal. Incluye también la venta de animales o productos animales, y la venta de pescados o productos de la pesca.</t>
  </si>
  <si>
    <t>Servicios de alojamiento; servicios de suministro de comidas y bebidas; servicios de transporte; y servicios de distribución de electricidad, gas y agua</t>
  </si>
  <si>
    <t>Son los ingresos asociados a la venta de servicios de alojamiento; servicios de suministro de comidas y bebidas; servicios de transporte de pasajeros o de carga; servicios de mensajería y servicios de distribución de electricidad, gas y agua.</t>
  </si>
  <si>
    <t>Participación en multas, sanciones e intereses de mora</t>
  </si>
  <si>
    <t>Participación de intereses de mora al porcentaje de recaudo del impuesto predial.</t>
  </si>
  <si>
    <t>Son las transferencias de recursos que reciben las entidades del presupuesto general del sector público de otras entidades por su participación en las multas y sanciones recaudadas por la segunda entidad, incluyendo intereses moratorios.</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</si>
  <si>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</si>
  <si>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Comprende a los ingresos por transacciones monetarias que realiza un tercero a una unidad ejecutora del Presupuesto General del Sector Público (PGSP) sin recibir de este último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t>
  </si>
  <si>
    <t xml:space="preserve">Recursos que obtiene una entidad del presupuesto general del sector público provenientes del traslado de derecho y dominio parcial o total de activos con destino a la financiación del presupuesto (Ministerio de Hacienda y Crédito Público, 2011, p. 245). </t>
  </si>
  <si>
    <t>Disposición de recursos biológicos cultivados</t>
  </si>
  <si>
    <t>Disposición de recursos biológicos no cultivados</t>
  </si>
  <si>
    <t>Ingresos por concepto de recursos biológicos  que generan productos de forma repetida, tanto animales como vegetales, cuyo crecimiento natural y regeneración se encuentra bajo el control de la entidad.</t>
  </si>
  <si>
    <t>Ingresos por la disposición de animales y plantas de producchión cuyo crecimiento natural no se encuentra bajo el control de la entidad</t>
  </si>
  <si>
    <t>Dividendos y utilidades por otras inversiones de capital</t>
  </si>
  <si>
    <t>Sociedades de economía mixta</t>
  </si>
  <si>
    <t>Inversiones patrimoniales no controladas</t>
  </si>
  <si>
    <t>Comprende la distribución de beneficios (utilidades y dividendos) a las unidades del presupuesto general del sector público que manejen recursos públicos, en su calidad de propietarias de inversiones de capital, a cambio de poner fondos disposición de alguna sociedad.</t>
  </si>
  <si>
    <t xml:space="preserve">Corresponde a los ingresos por concepto de las utilidades y dividendos de las EICE societarias, en la cuantía que corresponde a las entidades de gobierno por su participación en el capital de la empresa. </t>
  </si>
  <si>
    <t>Conpes 3884 de 2017</t>
  </si>
  <si>
    <t xml:space="preserve">Corresponde a los ingresos por concepto de las utilidades y dividendos de las EICE societarias, incluyendo la cuantía que corresponde a las entidades de gobierno por su participación en el capital de la empresa </t>
  </si>
  <si>
    <t>Banca Comercial</t>
  </si>
  <si>
    <t>Nacion</t>
  </si>
  <si>
    <t>Banca de fomento</t>
  </si>
  <si>
    <t>Institutos de Desarrollo Departamental y/o Municipal</t>
  </si>
  <si>
    <t>Otras instituciones financieras</t>
  </si>
  <si>
    <t>Otras entidades no financieras</t>
  </si>
  <si>
    <t>De gobiernos extranjeros</t>
  </si>
  <si>
    <t>De organizaciones internacionales</t>
  </si>
  <si>
    <t>Del sector privado</t>
  </si>
  <si>
    <t xml:space="preserve"> Los contratos de empréstito tienen por objeto proveer a la entidad contratante (órgano del PGN, entidad territorial, órgano autónomo o particular) de recursos con plazo para su pago. Son contratos de empréstito externo los que tienen por objeto proveer a la entidad estatal contratante de recursos en moneda  extranjera con plazo para su pago.</t>
  </si>
  <si>
    <t>Decreto 1068 de 2015, art. 2.2.1.2.1.1</t>
  </si>
  <si>
    <t>Gobiernos</t>
  </si>
  <si>
    <t>Organismos multilaterales</t>
  </si>
  <si>
    <t>Comprende  los  recursos  provenientes  de  las  líneas  de  crédito  de  gobierno  a  gobierno,  y  de  los contratos de empréstitos celebrados con otros gobiernos. Entiéndase por línea de crédito de gobierno a gobierno, aquel acuerdo mediante el cual un gobierno extranjero adquiere el compromiso de poner a disposición del gobierno nacional los recursos necesarios para la financiación de determinados proyectos, bienes o servicios</t>
  </si>
  <si>
    <t>Decreto 1068 de 2015, art. 2.2.1.2.1.10</t>
  </si>
  <si>
    <t>Comprende  los  recursos  provenientes  de  los  contratos  de empréstito  celebrados  con organismos multilaterales. Estas operaciones de crédito se realizan de acuerdo con las líneas de acción definidas para cada país y de conformidad con las políticas generales y sectoriales definidas por cada Banco, así como por las prioridades de cada Gobierno.</t>
  </si>
  <si>
    <t xml:space="preserve">Corresponde a los ingresos por contratación de créditos con entidades financieras que por su naturaleza no son clasificables en los rubros anteriores. </t>
  </si>
  <si>
    <t xml:space="preserve"> Entiéndase por operaciones de crédito público interno todo acto o contrato que tienen por objeto dotar a la entidad (órgano del PGN, entidad territorial, órgano autónomo, empresa o particular) de recursos, bienes o servicios con plazo para su pago. Son contratos de empréstito interno  los que tienen por objeto proveer a la entidad estatal contratante de recursos en moneda nacional con plazo para su pago. Los empréstitos se contratarán en forma directa, sin someterse al procedimiento de licitación o concurso de méritos. Su celebración se sujetará a lo dispuesto en los artículos siguientes.</t>
  </si>
  <si>
    <t>Son contratos de emprestito interno los que tienen por objeto proveer a la entidad estatal de recursos en moneda nacional con plazo para su pago. Dentro de estos recursos se incluyen los créditos de reactivación económica y los créditos de tesorería autorizados por el Decreto Legislativo 678 de 2020 de manera temporal para afrontar la emergencia sanitaria.</t>
  </si>
  <si>
    <t>Decreto Legislativo 678 de 2020</t>
  </si>
  <si>
    <t>Comprende los recursos provenientes de los créditos adquiridos con entidades de fomento residentes en 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(Contaduría General de la Nación, 2010, pág. 20).</t>
  </si>
  <si>
    <t>Comprende los ingresos por transacciones monetarias que realiza un tercero a una unidad ejecutora del Presupuesto General del Sector Público (PGSP) para la adquisición de un activo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</si>
  <si>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Compensaciones de capital</t>
  </si>
  <si>
    <t>Resarcimiento por procesos de gestión fiscal</t>
  </si>
  <si>
    <t>Compensación por daños a la propiedad</t>
  </si>
  <si>
    <t>Corresponden a las transferencias provenientes de gobiernos extranjeros no condicionadas a la adquisición de activos</t>
  </si>
  <si>
    <t>Corresponden a las transferencias provenientes de gobiernos extranjeros condicionadas a la adquisición de activos</t>
  </si>
  <si>
    <t>Corresponde a las transferencias provenientes de organizaciones internacionales no condicionadas a la adquisición de activos</t>
  </si>
  <si>
    <t>Corresponde a las transferencias provenientes de organizaciones internacionales condicionadas a la adquisición de activos</t>
  </si>
  <si>
    <t>Son las transferencias de recursos por concepto de donaciones que realizan las personas naturales o personas jurídicas del sector privado nacional o extranjero.</t>
  </si>
  <si>
    <t>Corresponde a las donaciones provenientes del sector privado no condicionadas a la adquisición de actovis</t>
  </si>
  <si>
    <t>Corresponde a las donaciones provenientes del sector privado condicionadas a la adquisición de actovis</t>
  </si>
  <si>
    <t>Son las transferencias de recursos recibidas por concepto de las indemnizaciones que se generan en el desarrollo de contratos de seguros no de vida, excepcionalmente cuantiosas, que se reciben luego de un desastre o una catástrofe natural.</t>
  </si>
  <si>
    <t>Corresponde al pago de indemnización pecuniaria que compensa el perjuicio sufrido a una entidad estatal a causa de daños ocasionados al patrimonio público como consecuencia de la conducta dolosa o culposa de quienes realizan la gestión fiscal.</t>
  </si>
  <si>
    <t>Corresponde al valor recibido por daños causados por terceros a la propiedad de la entidad, que no sean pagos derivados de liquidaciones de seguros.
No Incluye: Indemnizaciones relacionadas con seguros no de vida.</t>
  </si>
  <si>
    <t>Evaluación de licencias y trámites ambientales</t>
  </si>
  <si>
    <t>Seguimiento a licencias y trámites ambientales</t>
  </si>
  <si>
    <t>Recursos  recibidos  como  contraprestación,  por  el  estudio  que  adelanta  la  Autoridad  Nacional de Licencias Ambientales – ANLA y las Corporaciones Autonomas Ragionales, sobre las solicitudes presentadas por los usuarios para la obtención, modificación e integración de licencias ambientales, permisos, autorizaciones y demás instrumentos de control y manejo ambiental.
Esta cuenta aplica también para clasificar los ingresos a los que se refiere el numeral 11, artículo 46 de la ley 99 de 1993, propios de las Corporaciones Autónomas Regionales.</t>
  </si>
  <si>
    <t>Decreto Ley 3573 de 2011, art. 3; reglamentado por la Resolución 0324 
de 2015</t>
  </si>
  <si>
    <t>Recursos recibidos como contraprestación, por la revisión que realiza la Autoridad Nacional de Licencias Ambientales – ANLA  y las Corporaciones Autonomas Ragionales, sobre el cumplimiento de la normatividad ambiental vigente y de las obligaciones contenidas en las licencias ambientales, permisos, autorizaciones y demás instrumentos de control y manejo ambiental. Esta tasa comprende los costos asociados al seguimiento en las etapas de construcción, montaje, operación, mantenimiento, desmantelamiento, restauración final, abandono y terminación.
Esta cuenta aplica también para clasificar los ingresos a los que se refiere el numeral 11, artículo 46 de la ley 99 de 1993, propios de las Corporaciones Autónomas Regionales.</t>
  </si>
  <si>
    <t>Decreto Ley 3573 de 2011, art. 3; reglamentado por la Resolución 0324 de 2015</t>
  </si>
  <si>
    <t>Otros derechos administrativos</t>
  </si>
  <si>
    <t>Contribución sector eléctrico - Generadores de energía hidroelectrica</t>
  </si>
  <si>
    <t>Contribución sector eléctrico - Generadores de energía termoelectrica</t>
  </si>
  <si>
    <t>Sobretasa ambiental Sector Urbano (Rendimientos Financieros)</t>
  </si>
  <si>
    <t>Sobretasa ambiental Sector Urbanojes  (Intereses por mora)</t>
  </si>
  <si>
    <t>Sobretasa ambiental Sector Urbano  (Recuperación de Cartera)</t>
  </si>
  <si>
    <t>Sobretasa ambiental Sector Urbano (vigencia actual)</t>
  </si>
  <si>
    <t>Sobretasa ambiental Sector Urbano (Mayores ingresos no aforeados de la vigencia Anterior)</t>
  </si>
  <si>
    <t>Sobretasa ambiental Sector Urbano  (Excedentes de apropiación de gastos vigencia anterior)</t>
  </si>
  <si>
    <t>Sobretasa ambiental Sector Urbano  (Cancelación de Reservas vigencia anterior)</t>
  </si>
  <si>
    <t>Sobretasa ambiental Sector Urbano  (Saldos no Ejecutados de Contratos ó Convenios de vigencias anteriores)</t>
  </si>
  <si>
    <t>Sobretasa ambiental Sector Urbano  (Compromisos presupuestales cancelados vigencia anterior)</t>
  </si>
  <si>
    <t>Sobretasa ambiental Sector Urbano  (Reintegros de vigencias anteriores)</t>
  </si>
  <si>
    <t>Participaciones distintas del SGP</t>
  </si>
  <si>
    <t>Participación en impuestos</t>
  </si>
  <si>
    <t>Participación ambiental en el porcentaje de recaudo del impuesto predial</t>
  </si>
  <si>
    <t>Son las transferencias de recursos del porcentaje del total del recaudo por concepto del impuesto predial que realizan los municipios a las corporaciones autónomas regionales presentes en su jurisdicción, en los términos que establece el artículo 44 de la Ley 99 de 1993 y el Decreto 1339 de 1994 que reglamenta la Ley.</t>
  </si>
  <si>
    <t xml:space="preserve">Son las transferencias que realizan a las entidades territoriales por sus derechos de participación en los ingresos tributarios y no tributarios distintos del SGP.
Se consideran transferencias de participaciones en ingresos tributarios y no tributarios, todos los ingresos derivados de impuestos, contribuciones, multas y sanciones y derechos económicos por uso de recursos naturales, cuya administración mantiene la nación u otra entidad territorial, pero tiene la obligación legal realizar el giro de estos recursos (en su totalidad o un porcentaje) a las entidades territoriales.
</t>
  </si>
  <si>
    <t>Son las transferencias de recursos que reciben las entidades territoriales de otras entidades por su participación en los impuestos recaudados.</t>
  </si>
  <si>
    <t>Servicios financieros y servicios conexos, servicios inmobiliarios y servicios de leasing</t>
  </si>
  <si>
    <t>Son los ingresos asociados a la venta de servicios financieros, seguros, servicios de mantenimiento de activos financieros, servicios inmobiliarios y arrendamientos.</t>
  </si>
  <si>
    <t>Sobretasa ambiental Sector Rural (vigencia actual)</t>
  </si>
  <si>
    <t>Sobretasa ambiental Sector Rural (vigencia anterior)</t>
  </si>
  <si>
    <t>Sobretasa ambiental Sector Rural (Rendimientos Financieros)</t>
  </si>
  <si>
    <t>Sobretasa ambiental Sector Ruraljes  (Intereses por mora)</t>
  </si>
  <si>
    <t>Sobretasa ambiental Sector Rural  (Recuperación de Cartera)</t>
  </si>
  <si>
    <t>Sobretasa ambiental Sector Rural  (Cancelación de Reservas vigencia anterior)</t>
  </si>
  <si>
    <t>Sobretasa ambiental Sector Rural (Mayores ingresos no aforeados de la vigencia Anterior)</t>
  </si>
  <si>
    <t>Sobretasa ambiental Sector Rural  (Excedentes de apropiación de gastos vigencia anterior)</t>
  </si>
  <si>
    <t>Sobretasa ambiental Sector Rural  (Saldos no Ejecutados de Contratos ó Convenios de vigencias anteriores)</t>
  </si>
  <si>
    <t>Sobretasa ambiental Sector Rural  (Compromisos presupuestales cancelados vigencia anterior)</t>
  </si>
  <si>
    <t>Sobretasa ambiental Sector Rural  (Reintegros de vigencias anteriores)</t>
  </si>
  <si>
    <t>Sobretasa ambiental Sector Urbano (vigenciaanterior)</t>
  </si>
  <si>
    <t>Contribución sector eléctrico - Generadores de energía hidroelectrica (vigencia actual)</t>
  </si>
  <si>
    <t>Contribución sector eléctrico - Generadores de energía hidroelectrica (vigencia anterior)</t>
  </si>
  <si>
    <t>Contribución sector eléctrico - Generadores de energía hidroelectrica (Rendimientos Financieros)</t>
  </si>
  <si>
    <t>Contribución sector eléctrico - Generadores de energía hidroelectricajes  (Intereses por mora)</t>
  </si>
  <si>
    <t>Contribución sector eléctrico - Generadores de energía hidroelectrica  (Recuperación de Cartera)</t>
  </si>
  <si>
    <t>Contribución sector eléctrico - Generadores de energía hidroelectrica  (Cancelación de Reservas vigencia anterior)</t>
  </si>
  <si>
    <t>Contribución sector eléctrico - Generadores de energía hidroelectrica (Mayores ingresos no aforeados de la vigencia Anterior)</t>
  </si>
  <si>
    <t>Contribución sector eléctrico - Generadores de energía hidroelectrica  (Excedentes de apropiación de gastos vigencia anterior)</t>
  </si>
  <si>
    <t>Contribución sector eléctrico - Generadores de energía hidroelectrica  (Saldos no Ejecutados de Contratos ó Convenios de vigencias anteriores)</t>
  </si>
  <si>
    <t>Contribución sector eléctrico - Generadores de energía hidroelectrica  (Compromisos presupuestales cancelados vigencia anterior)</t>
  </si>
  <si>
    <t>Contribución sector eléctrico - Generadores de energía hidroelectrica  (Reintegros de vigencias anteriores)</t>
  </si>
  <si>
    <t>Contribución sector eléctrico - Generadores de energía termoelectrica (vigencia actual)</t>
  </si>
  <si>
    <t>Contribución sector eléctrico - Generadores de energía termoelectrica (vigencia anterior)</t>
  </si>
  <si>
    <t>Contribución sector eléctrico - Generadores de energía termoelectrica (Rendimientos Financieros)</t>
  </si>
  <si>
    <t>Contribución sector eléctrico - Generadores de energía termoelectricajes  (Intereses por mora)</t>
  </si>
  <si>
    <t>Contribución sector eléctrico - Generadores de energía termoelectrica  (Recuperación de Cartera)</t>
  </si>
  <si>
    <t>Contribución sector eléctrico - Generadores de energía termoelectrica  (Cancelación de Reservas vigencia anterior)</t>
  </si>
  <si>
    <t>Contribución sector eléctrico - Generadores de energía termoelectrica (Mayores ingresos no aforeados de la vigencia Anterior)</t>
  </si>
  <si>
    <t>Contribución sector eléctrico - Generadores de energía termoelectrica  (Excedentes de apropiación de gastos vigencia anterior)</t>
  </si>
  <si>
    <t>Contribución sector eléctrico - Generadores de energía termoelectrica  (Saldos no Ejecutados de Contratos ó Convenios de vigencias anteriores)</t>
  </si>
  <si>
    <t>Contribución sector eléctrico - Generadores de energía termoelectrica  (Compromisos presupuestales cancelados vigencia anterior)</t>
  </si>
  <si>
    <t>Contribución sector eléctrico - Generadores de energía termoelectrica  (Reintegros de vigencias anteriores)</t>
  </si>
  <si>
    <t>Contribución sector eléctrico - Generadores de energía no convencional (vigencia actual)</t>
  </si>
  <si>
    <t>Contribución sector eléctrico - Generadores de energía no convencional (vigencia anterior)</t>
  </si>
  <si>
    <t>Contribución sector eléctrico - Generadores de energía no convencional (Rendimientos Financieros)</t>
  </si>
  <si>
    <t>Contribución sector eléctrico - Generadores de energía no convencionaljes  (Intereses por mora)</t>
  </si>
  <si>
    <t>Contribución sector eléctrico - Generadores de energía no convencional  (Recuperación de Cartera)</t>
  </si>
  <si>
    <t>Contribución sector eléctrico - Generadores de energía no convencional  (Cancelación de Reservas vigencia anterior)</t>
  </si>
  <si>
    <t>Contribución sector eléctrico - Generadores de energía no convencional (Mayores ingresos no aforeados de la vigencia Anterior)</t>
  </si>
  <si>
    <t>Contribución sector eléctrico - Generadores de energía no convencional  (Excedentes de apropiación de gastos vigencia anterior)</t>
  </si>
  <si>
    <t>Contribución sector eléctrico - Generadores de energía no convencional  (Saldos no Ejecutados de Contratos ó Convenios de vigencias anteriores)</t>
  </si>
  <si>
    <t>Contribución sector eléctrico - Generadores de energía no convencional  (Compromisos presupuestales cancelados vigencia anterior)</t>
  </si>
  <si>
    <t>Contribución sector eléctrico - Generadores de energía no convencional  (Reintegros de vigencias anteriores)</t>
  </si>
  <si>
    <t>Tasa retributivajes  (Intereses por mora)</t>
  </si>
  <si>
    <t>Tasa retributiva  (Recuperación de Cartera)</t>
  </si>
  <si>
    <t>Tasa retributiva  (Cancelación de Reservas vigencia anterior)</t>
  </si>
  <si>
    <t>Tasa retributiva (Mayores ingresos no aforeados de la vigencia Anterior)</t>
  </si>
  <si>
    <t>Tasa retributiva  (Excedentes de apropiación de gastos vigencia anterior)</t>
  </si>
  <si>
    <t>Tasa retributiva  (Saldos no Ejecutados de Contratos ó Convenios de vigencias anteriores)</t>
  </si>
  <si>
    <t>Tasa retributiva  (Compromisos presupuestales cancelados vigencia anterior)</t>
  </si>
  <si>
    <t>Tasa retributiva  (Reintegros de vigencias anteriores)</t>
  </si>
  <si>
    <t>Tasa de aprovechamiento forestal (vigencia actual)</t>
  </si>
  <si>
    <t>Tasa de aprovechamiento forestal (vigencia anterior)</t>
  </si>
  <si>
    <t>Tasa de aprovechamiento forestaljes  (Intereses por mora)</t>
  </si>
  <si>
    <t>Tasa de aprovechamiento forestal  (Recuperación de Cartera)</t>
  </si>
  <si>
    <t>Tasa de aprovechamiento forestal  (Cancelación de Reservas vigencia anterior)</t>
  </si>
  <si>
    <t>Tasa de aprovechamiento forestal (Mayores ingresos no aforeados de la vigencia Anterior)</t>
  </si>
  <si>
    <t>Tasa de aprovechamiento forestal  (Excedentes de apropiación de gastos vigencia anterior)</t>
  </si>
  <si>
    <t>Tasa de aprovechamiento forestal  (Saldos no Ejecutados de Contratos ó Convenios de vigencias anteriores)</t>
  </si>
  <si>
    <t>Tasa de aprovechamiento forestal  (Compromisos presupuestales cancelados vigencia anterior)</t>
  </si>
  <si>
    <t>Tasa de aprovechamiento forestal  (Reintegros de vigencias anteriores)</t>
  </si>
  <si>
    <t>Tasa compensatoria por caza de fauna silvestre (vigencia actual)</t>
  </si>
  <si>
    <t>Tasa compensatoria por caza de fauna silvestre (vigencia anterior)</t>
  </si>
  <si>
    <t>Tasa compensatoria por caza de fauna silvestre (Rendimientos Financieros)</t>
  </si>
  <si>
    <t>Tasa compensatoria por caza de fauna silvestrejes  (Intereses por mora)</t>
  </si>
  <si>
    <t>Tasa compensatoria por caza de fauna silvestre  (Recuperación de Cartera)</t>
  </si>
  <si>
    <t>Tasa compensatoria por caza de fauna silvestre  (Cancelación de Reservas vigencia anterior)</t>
  </si>
  <si>
    <t>Tasa compensatoria por caza de fauna silvestre (Mayores ingresos no aforeados de la vigencia Anterior)</t>
  </si>
  <si>
    <t>Tasa compensatoria por caza de fauna silvestre  (Excedentes de apropiación de gastos vigencia anterior)</t>
  </si>
  <si>
    <t>Tasa compensatoria por caza de fauna silvestre  (Saldos no Ejecutados de Contratos ó Convenios de vigencias anteriores)</t>
  </si>
  <si>
    <t>Tasa compensatoria por caza de fauna silvestre  (Compromisos presupuestales cancelados vigencia anterior)</t>
  </si>
  <si>
    <t>Tasa compensatoria por caza de fauna silvestre  (Reintegros de vigencias anteriores)</t>
  </si>
  <si>
    <t>Sobretasa ambiental - Peajesjes  (Intereses por mora)</t>
  </si>
  <si>
    <t>Sobretasa ambiental - Peajes  (Recuperación de Cartera)</t>
  </si>
  <si>
    <t>Sobretasa ambiental - Peajes  (Cancelación de Reservas vigencia anterior)</t>
  </si>
  <si>
    <t>Sobretasa ambiental - Peajes (Mayores ingresos no aforeados de la vigencia Anterior)</t>
  </si>
  <si>
    <t>Sobretasa ambiental - Peajes  (Excedentes de apropiación de gastos vigencia anterior)</t>
  </si>
  <si>
    <t>Sobretasa ambiental - Peajes  (Saldos no Ejecutados de Contratos ó Convenios de vigencias anteriores)</t>
  </si>
  <si>
    <t>Sobretasa ambiental - Peajes  (Compromisos presupuestales cancelados vigencia anterior)</t>
  </si>
  <si>
    <t>Sobretasa ambiental - Peajes  (Reintegros de vigencias anteriores)</t>
  </si>
  <si>
    <t>Tasa Compensatoria por la utilización permanente de la reserva forestal protectora Bosque Oriental de Bogotá (vigencia actual)</t>
  </si>
  <si>
    <t>Tasa Compensatoria por la utilización permanente de la reserva forestal protectora Bosque Oriental de Bogotá (vigencia anterior)</t>
  </si>
  <si>
    <t>Tasa Compensatoria por la utilización permanente de la reserva forestal protectora Bosque Oriental de Bogotá (Rendimientos Financieros)</t>
  </si>
  <si>
    <t>Tasa Compensatoria por la utilización permanente de la reserva forestal protectora Bosque Oriental de Bogotájes  (Intereses por mora)</t>
  </si>
  <si>
    <t>Tasa Compensatoria por la utilización permanente de la reserva forestal protectora Bosque Oriental de Bogotá  (Recuperación de Cartera)</t>
  </si>
  <si>
    <t>Tasa Compensatoria por la utilización permanente de la reserva forestal protectora Bosque Oriental de Bogotá  (Cancelación de Reservas vigencia anterior)</t>
  </si>
  <si>
    <t>Tasa Compensatoria por la utilización permanente de la reserva forestal protectora Bosque Oriental de Bogotá (Mayores ingresos no aforeados de la vigencia Anterior)</t>
  </si>
  <si>
    <t>Tasa Compensatoria por la utilización permanente de la reserva forestal protectora Bosque Oriental de Bogotá  (Excedentes de apropiación de gastos vigencia anterior)</t>
  </si>
  <si>
    <t>Tasa Compensatoria por la utilización permanente de la reserva forestal protectora Bosque Oriental de Bogotá  (Saldos no Ejecutados de Contratos ó Convenios de vigencias anteriores)</t>
  </si>
  <si>
    <t>Tasa Compensatoria por la utilización permanente de la reserva forestal protectora Bosque Oriental de Bogotá  (Compromisos presupuestales cancelados vigencia anterior)</t>
  </si>
  <si>
    <t>Tasa Compensatoria por la utilización permanente de la reserva forestal protectora Bosque Oriental de Bogotá  (Reintegros de vigencias anteriores)</t>
  </si>
  <si>
    <t>Otras tasas (Rendimientos Financieros)</t>
  </si>
  <si>
    <t>Otras tasasjes  (Intereses por mora)</t>
  </si>
  <si>
    <t>Otras tasas  (Recuperación de Cartera)</t>
  </si>
  <si>
    <t>Otras tasas  (Cancelación de Reservas vigencia anterior)</t>
  </si>
  <si>
    <t>Otras tasas (Mayores ingresos no aforeados de la vigencia Anterior)</t>
  </si>
  <si>
    <t>Otras tasas  (Excedentes de apropiación de gastos vigencia anterior)</t>
  </si>
  <si>
    <t>Otras tasas  (Saldos no Ejecutados de Contratos ó Convenios de vigencias anteriores)</t>
  </si>
  <si>
    <t>Otras tasas  (Compromisos presupuestales cancelados vigencia anterior)</t>
  </si>
  <si>
    <t>Otras tasas  (Reintegros de vigencias anteriores)</t>
  </si>
  <si>
    <t>Evaluación de licencias y trámites ambientales (vigencia actual)</t>
  </si>
  <si>
    <t>Evaluación de licencias y trámites ambientales (vigencia anterior)</t>
  </si>
  <si>
    <t>Evaluación de licencias y trámites ambientales (Rendimientos Financieros)</t>
  </si>
  <si>
    <t>Evaluación de licencias y trámites ambientalesjes  (Intereses por mora)</t>
  </si>
  <si>
    <t>Evaluación de licencias y trámites ambientales  (Recuperación de Cartera)</t>
  </si>
  <si>
    <t>Evaluación de licencias y trámites ambientales  (Cancelación de Reservas vigencia anterior)</t>
  </si>
  <si>
    <t>Evaluación de licencias y trámites ambientales (Mayores ingresos no aforeados de la vigencia Anterior)</t>
  </si>
  <si>
    <t>Evaluación de licencias y trámites ambientales  (Excedentes de apropiación de gastos vigencia anterior)</t>
  </si>
  <si>
    <t>Evaluación de licencias y trámites ambientales  (Saldos no Ejecutados de Contratos ó Convenios de vigencias anteriores)</t>
  </si>
  <si>
    <t>Evaluación de licencias y trámites ambientales  (Compromisos presupuestales cancelados vigencia anterior)</t>
  </si>
  <si>
    <t>Evaluación de licencias y trámites ambientales  (Reintegros de vigencias anteriores)</t>
  </si>
  <si>
    <t>Seguimiento a licencias y trámites ambientales (vigencia actual)</t>
  </si>
  <si>
    <t>Seguimiento a licencias y trámites ambientales (vigencia anterior)</t>
  </si>
  <si>
    <t>Seguimiento a licencias y trámites ambientales (Rendimientos Financieros)</t>
  </si>
  <si>
    <t>Seguimiento a licencias y trámites ambientalesjes  (Intereses por mora)</t>
  </si>
  <si>
    <t>Seguimiento a licencias y trámites ambientales  (Recuperación de Cartera)</t>
  </si>
  <si>
    <t>Seguimiento a licencias y trámites ambientales  (Cancelación de Reservas vigencia anterior)</t>
  </si>
  <si>
    <t>Seguimiento a licencias y trámites ambientales (Mayores ingresos no aforeados de la vigencia Anterior)</t>
  </si>
  <si>
    <t>Seguimiento a licencias y trámites ambientales  (Excedentes de apropiación de gastos vigencia anterior)</t>
  </si>
  <si>
    <t>Seguimiento a licencias y trámites ambientales  (Saldos no Ejecutados de Contratos ó Convenios de vigencias anteriores)</t>
  </si>
  <si>
    <t>Seguimiento a licencias y trámites ambientales  (Compromisos presupuestales cancelados vigencia anterior)</t>
  </si>
  <si>
    <t>Seguimiento a licencias y trámites ambientales  (Reintegros de vigencias anteriores)</t>
  </si>
  <si>
    <t>Salvo conducto unico Nacional (vigencia actual)</t>
  </si>
  <si>
    <t>Salvo conducto unico Nacional (vigencia anterior)</t>
  </si>
  <si>
    <t>Salvo conducto unico Nacional (Rendimientos Financieros)</t>
  </si>
  <si>
    <t>Salvo conducto unico Nacionaljes  (Intereses por mora)</t>
  </si>
  <si>
    <t>Salvo conducto unico Nacional  (Recuperación de Cartera)</t>
  </si>
  <si>
    <t>Salvo conducto unico Nacional  (Cancelación de Reservas vigencia anterior)</t>
  </si>
  <si>
    <t>Salvo conducto unico Nacional (Mayores ingresos no aforeados de la vigencia Anterior)</t>
  </si>
  <si>
    <t>Salvo conducto unico Nacional  (Excedentes de apropiación de gastos vigencia anterior)</t>
  </si>
  <si>
    <t>Salvo conducto unico Nacional  (Saldos no Ejecutados de Contratos ó Convenios de vigencias anteriores)</t>
  </si>
  <si>
    <t>Salvo conducto unico Nacional  (Compromisos presupuestales cancelados vigencia anterior)</t>
  </si>
  <si>
    <t>Salvo conducto unico Nacional  (Reintegros de vigencias anteriores)</t>
  </si>
  <si>
    <t>Otros derechos administrativos (vigencia actual)</t>
  </si>
  <si>
    <t>Otros derechos administrativos (vigencia anterior)</t>
  </si>
  <si>
    <t>Otros derechos administrativos (Rendimientos Financieros)</t>
  </si>
  <si>
    <t>Otros derechos administrativosjes  (Intereses por mora)</t>
  </si>
  <si>
    <t>Otros derechos administrativos  (Recuperación de Cartera)</t>
  </si>
  <si>
    <t>Otros derechos administrativos  (Cancelación de Reservas vigencia anterior)</t>
  </si>
  <si>
    <t>Otros derechos administrativos (Mayores ingresos no aforeados de la vigencia Anterior)</t>
  </si>
  <si>
    <t>Otros derechos administrativos  (Excedentes de apropiación de gastos vigencia anterior)</t>
  </si>
  <si>
    <t>Otros derechos administrativos  (Saldos no Ejecutados de Contratos ó Convenios de vigencias anteriores)</t>
  </si>
  <si>
    <t>Otros derechos administrativos  (Compromisos presupuestales cancelados vigencia anterior)</t>
  </si>
  <si>
    <t>Otros derechos administrativos  (Reintegros de vigencias anteriores)</t>
  </si>
  <si>
    <t>Multas ambientales (Rendimientos Financieros)</t>
  </si>
  <si>
    <t>Multas ambientalesjes  (Intereses por mora)</t>
  </si>
  <si>
    <t>Multas ambientales  (Recuperación de Cartera)</t>
  </si>
  <si>
    <t>Multas ambientales  (Cancelación de Reservas vigencia anterior)</t>
  </si>
  <si>
    <t>Multas ambientales (Mayores ingresos no aforeados de la vigencia Anterior)</t>
  </si>
  <si>
    <t>Multas ambientales  (Excedentes de apropiación de gastos vigencia anterior)</t>
  </si>
  <si>
    <t>Multas ambientales  (Saldos no Ejecutados de Contratos ó Convenios de vigencias anteriores)</t>
  </si>
  <si>
    <t>Multas ambientales  (Compromisos presupuestales cancelados vigencia anterior)</t>
  </si>
  <si>
    <t>Multas ambientales  (Reintegros de vigencias anteriores)</t>
  </si>
  <si>
    <t>Derecho económico por el uso de cuencas hidrográficas  (vigencia actual)</t>
  </si>
  <si>
    <t>Derecho económico por el uso de cuencas hidrográficas  (vigencia anterior)</t>
  </si>
  <si>
    <t>Derecho económico por el uso de cuencas hidrográficas  (Rendimientos Financieros)</t>
  </si>
  <si>
    <t>Derecho económico por el uso de cuencas hidrográficas jes  (Intereses por mora)</t>
  </si>
  <si>
    <t>Derecho económico por el uso de cuencas hidrográficas   (Recuperación de Cartera)</t>
  </si>
  <si>
    <t>Derecho económico por el uso de cuencas hidrográficas   (Cancelación de Reservas vigencia anterior)</t>
  </si>
  <si>
    <t>Derecho económico por el uso de cuencas hidrográficas  (Mayores ingresos no aforeados de la vigencia Anterior)</t>
  </si>
  <si>
    <t>Derecho económico por el uso de cuencas hidrográficas   (Excedentes de apropiación de gastos vigencia anterior)</t>
  </si>
  <si>
    <t>Derecho económico por el uso de cuencas hidrográficas   (Saldos no Ejecutados de Contratos ó Convenios de vigencias anteriores)</t>
  </si>
  <si>
    <t>Derecho económico por el uso de cuencas hidrográficas   (Compromisos presupuestales cancelados vigencia anterior)</t>
  </si>
  <si>
    <t>Derecho económico por el uso de cuencas hidrográficas   (Reintegros de vigencias anteriores)</t>
  </si>
  <si>
    <t>Agricultura, silvicultura y productos de la pesca (vigencia actual)</t>
  </si>
  <si>
    <t>Agricultura, silvicultura y productos de la pesca (vigencia anterior)</t>
  </si>
  <si>
    <t>Agricultura, silvicultura y productos de la pesca (Rendimientos Financieros)</t>
  </si>
  <si>
    <t>Agricultura, silvicultura y productos de la pescajes  (Intereses por mora)</t>
  </si>
  <si>
    <t>Agricultura, silvicultura y productos de la pesca  (Recuperación de Cartera)</t>
  </si>
  <si>
    <t>Agricultura, silvicultura y productos de la pesca  (Cancelación de Reservas vigencia anterior)</t>
  </si>
  <si>
    <t>Agricultura, silvicultura y productos de la pesca (Mayores ingresos no aforeados de la vigencia Anterior)</t>
  </si>
  <si>
    <t>Agricultura, silvicultura y productos de la pesca  (Excedentes de apropiación de gastos vigencia anterior)</t>
  </si>
  <si>
    <t>Agricultura, silvicultura y productos de la pesca  (Saldos no Ejecutados de Contratos ó Convenios de vigencias anteriores)</t>
  </si>
  <si>
    <t>Agricultura, silvicultura y productos de la pesca  (Compromisos presupuestales cancelados vigencia anterior)</t>
  </si>
  <si>
    <t>Agricultura, silvicultura y productos de la pesca  (Reintegros de vigencias anteriores)</t>
  </si>
  <si>
    <t>Productos metálicos, maquinaria y equipo (Rendimientos Financieros)</t>
  </si>
  <si>
    <t>Productos metálicos, maquinaria y equipojes  (Intereses por mora)</t>
  </si>
  <si>
    <t>Productos metálicos, maquinaria y equipo  (Recuperación de Cartera)</t>
  </si>
  <si>
    <t>Productos metálicos, maquinaria y equipo  (Cancelación de Reservas vigencia anterior)</t>
  </si>
  <si>
    <t>Productos metálicos, maquinaria y equipo (Mayores ingresos no aforeados de la vigencia Anterior)</t>
  </si>
  <si>
    <t>Productos metálicos, maquinaria y equipo  (Excedentes de apropiación de gastos vigencia anterior)</t>
  </si>
  <si>
    <t>Productos metálicos, maquinaria y equipo  (Saldos no Ejecutados de Contratos ó Convenios de vigencias anteriores)</t>
  </si>
  <si>
    <t>Productos metálicos, maquinaria y equipo  (Compromisos presupuestales cancelados vigencia anterior)</t>
  </si>
  <si>
    <t>Productos metálicos, maquinaria y equipo  (Reintegros de vigencias anteriores)</t>
  </si>
  <si>
    <t>Servicios de alojamiento; servicios de suministro de comidas y bebidas; servicios de transporte; y servicios de distribución de electricidad, gas y agua (vigencia actual)</t>
  </si>
  <si>
    <t>Servicios de alojamiento; servicios de suministro de comidas y bebidas; servicios de transporte; y servicios de distribución de electricidad, gas y agua (vigencia anterior)</t>
  </si>
  <si>
    <t>Servicios de alojamiento; servicios de suministro de comidas y bebidas; servicios de transporte; y servicios de distribución de electricidad, gas y agua (Rendimientos Financieros)</t>
  </si>
  <si>
    <t>Servicios de alojamiento; servicios de suministro de comidas y bebidas; servicios de transporte; y servicios de distribución de electricidad, gas y aguajes  (Intereses por mora)</t>
  </si>
  <si>
    <t>Servicios de alojamiento; servicios de suministro de comidas y bebidas; servicios de transporte; y servicios de distribución de electricidad, gas y agua  (Recuperación de Cartera)</t>
  </si>
  <si>
    <t>Servicios de alojamiento; servicios de suministro de comidas y bebidas; servicios de transporte; y servicios de distribución de electricidad, gas y agua  (Cancelación de Reservas vigencia anterior)</t>
  </si>
  <si>
    <t>Servicios de alojamiento; servicios de suministro de comidas y bebidas; servicios de transporte; y servicios de distribución de electricidad, gas y agua (Mayores ingresos no aforeados de la vigencia Anterior)</t>
  </si>
  <si>
    <t>Servicios de alojamiento; servicios de suministro de comidas y bebidas; servicios de transporte; y servicios de distribución de electricidad, gas y agua  (Excedentes de apropiación de gastos vigencia anterior)</t>
  </si>
  <si>
    <t>Servicios de alojamiento; servicios de suministro de comidas y bebidas; servicios de transporte; y servicios de distribución de electricidad, gas y agua  (Saldos no Ejecutados de Contratos ó Convenios de vigencias anteriores)</t>
  </si>
  <si>
    <t>Servicios de alojamiento; servicios de suministro de comidas y bebidas; servicios de transporte; y servicios de distribución de electricidad, gas y agua  (Compromisos presupuestales cancelados vigencia anterior)</t>
  </si>
  <si>
    <t>Servicios de alojamiento; servicios de suministro de comidas y bebidas; servicios de transporte; y servicios de distribución de electricidad, gas y agua  (Reintegros de vigencias anteriores)</t>
  </si>
  <si>
    <t>Servicios financieros y servicios conexos, servicios inmobiliarios y servicios de leasing (vigencia actual)</t>
  </si>
  <si>
    <t>Servicios financieros y servicios conexos, servicios inmobiliarios y servicios de leasing (vigencia anterior)</t>
  </si>
  <si>
    <t>Servicios financieros y servicios conexos, servicios inmobiliarios y servicios de leasing (Rendimientos Financieros)</t>
  </si>
  <si>
    <t>Servicios financieros y servicios conexos, servicios inmobiliarios y servicios de leasingjes  (Intereses por mora)</t>
  </si>
  <si>
    <t>Servicios financieros y servicios conexos, servicios inmobiliarios y servicios de leasing  (Recuperación de Cartera)</t>
  </si>
  <si>
    <t>Servicios financieros y servicios conexos, servicios inmobiliarios y servicios de leasing  (Cancelación de Reservas vigencia anterior)</t>
  </si>
  <si>
    <t>Servicios financieros y servicios conexos, servicios inmobiliarios y servicios de leasing (Mayores ingresos no aforeados de la vigencia Anterior)</t>
  </si>
  <si>
    <t>Servicios financieros y servicios conexos, servicios inmobiliarios y servicios de leasing  (Excedentes de apropiación de gastos vigencia anterior)</t>
  </si>
  <si>
    <t>Servicios financieros y servicios conexos, servicios inmobiliarios y servicios de leasing  (Saldos no Ejecutados de Contratos ó Convenios de vigencias anteriores)</t>
  </si>
  <si>
    <t>Servicios financieros y servicios conexos, servicios inmobiliarios y servicios de leasing  (Compromisos presupuestales cancelados vigencia anterior)</t>
  </si>
  <si>
    <t>Servicios financieros y servicios conexos, servicios inmobiliarios y servicios de leasing  (Reintegros de vigencias anteriores)</t>
  </si>
  <si>
    <t>Condicionadas a la adquisición de un activo  (vigencia actual)</t>
  </si>
  <si>
    <t>Condicionadas a la adquisición de un activo  (vigencia anterior)</t>
  </si>
  <si>
    <t>Condicionadas a la adquisición de un activo  (Rendimientos Financieros)</t>
  </si>
  <si>
    <t>Condicionadas a la adquisición de un activo   (Recuperación de Cartera)</t>
  </si>
  <si>
    <t>Condicionadas a la adquisición de un activo   (Cancelación de Reservas vigencia anterior)</t>
  </si>
  <si>
    <t>Condicionadas a la adquisición de un activo  (Mayores ingresos no aforeados de la vigencia Anterior)</t>
  </si>
  <si>
    <t>Condicionadas a la adquisición de un activo   (Excedentes de apropiación de gastos vigencia anterior)</t>
  </si>
  <si>
    <t>Condicionadas a la adquisición de un activo   (Saldos no Ejecutados de Contratos ó Convenios de vigencias anteriores)</t>
  </si>
  <si>
    <t>Condicionadas a la adquisición de un activo   (Compromisos presupuestales cancelados vigencia anterior)</t>
  </si>
  <si>
    <t>Condicionadas a la adquisición de un activo   (Reintegros de vigencias anteriores)</t>
  </si>
  <si>
    <t xml:space="preserve">No Condicionadas a la adquisición de un activo  </t>
  </si>
  <si>
    <t xml:space="preserve">Condicionadas a la adquisición de un activo  </t>
  </si>
  <si>
    <t>No Condicionadas a la adquisición de un activo   (vigencia actual)</t>
  </si>
  <si>
    <t>No Condicionadas a la adquisición de un activo   (vigencia anterior)</t>
  </si>
  <si>
    <t>No Condicionadas a la adquisición de un activo   (Rendimientos Financieros)</t>
  </si>
  <si>
    <t>No Condicionadas a la adquisición de un activo  jes  (Intereses por mora)</t>
  </si>
  <si>
    <t>No Condicionadas a la adquisición de un activo    (Recuperación de Cartera)</t>
  </si>
  <si>
    <t>No Condicionadas a la adquisición de un activo    (Cancelación de Reservas vigencia anterior)</t>
  </si>
  <si>
    <t>No Condicionadas a la adquisición de un activo   (Mayores ingresos no aforeados de la vigencia Anterior)</t>
  </si>
  <si>
    <t>No Condicionadas a la adquisición de un activo    (Excedentes de apropiación de gastos vigencia anterior)</t>
  </si>
  <si>
    <t>No Condicionadas a la adquisición de un activo    (Saldos no Ejecutados de Contratos ó Convenios de vigencias anteriores)</t>
  </si>
  <si>
    <t>No Condicionadas a la adquisición de un activo    (Compromisos presupuestales cancelados vigencia anterior)</t>
  </si>
  <si>
    <t>No Condicionadas a la adquisición de un activo    (Reintegros de vigencias anteriores)</t>
  </si>
  <si>
    <t>Condicionadas a la adquisición de un activo   (vigencia actual)</t>
  </si>
  <si>
    <t>Condicionadas a la adquisición de un activo   (vigencia anterior)</t>
  </si>
  <si>
    <t>Condicionadas a la adquisición de un activo   (Rendimientos Financieros)</t>
  </si>
  <si>
    <t>Condicionadas a la adquisición de un activo  jes  (Intereses por mora)</t>
  </si>
  <si>
    <t>Condicionadas a la adquisición de un activo    (Recuperación de Cartera)</t>
  </si>
  <si>
    <t>Condicionadas a la adquisición de un activo    (Cancelación de Reservas vigencia anterior)</t>
  </si>
  <si>
    <t>Condicionadas a la adquisición de un activo   (Mayores ingresos no aforeados de la vigencia Anterior)</t>
  </si>
  <si>
    <t>Condicionadas a la adquisición de un activo    (Excedentes de apropiación de gastos vigencia anterior)</t>
  </si>
  <si>
    <t>Condicionadas a la adquisición de un activo    (Saldos no Ejecutados de Contratos ó Convenios de vigencias anteriores)</t>
  </si>
  <si>
    <t>Condicionadas a la adquisición de un activo    (Compromisos presupuestales cancelados vigencia anterior)</t>
  </si>
  <si>
    <t>Condicionadas a la adquisición de un activo    (Reintegros de vigencias anteriores)</t>
  </si>
  <si>
    <t>Indemnizaciones relacionadas con seguros no de vida   (vigencia actual)</t>
  </si>
  <si>
    <t>Indemnizaciones relacionadas con seguros no de vida   (vigencia anterior)</t>
  </si>
  <si>
    <t>Indemnizaciones relacionadas con seguros no de vida   (Rendimientos Financieros)</t>
  </si>
  <si>
    <t>Indemnizaciones relacionadas con seguros no de vida  jes  (Intereses por mora)</t>
  </si>
  <si>
    <t>Indemnizaciones relacionadas con seguros no de vida    (Recuperación de Cartera)</t>
  </si>
  <si>
    <t>Indemnizaciones relacionadas con seguros no de vida    (Cancelación de Reservas vigencia anterior)</t>
  </si>
  <si>
    <t>Indemnizaciones relacionadas con seguros no de vida   (Mayores ingresos no aforeados de la vigencia Anterior)</t>
  </si>
  <si>
    <t>Indemnizaciones relacionadas con seguros no de vida    (Excedentes de apropiación de gastos vigencia anterior)</t>
  </si>
  <si>
    <t>Indemnizaciones relacionadas con seguros no de vida    (Saldos no Ejecutados de Contratos ó Convenios de vigencias anteriores)</t>
  </si>
  <si>
    <t>Indemnizaciones relacionadas con seguros no de vida    (Compromisos presupuestales cancelados vigencia anterior)</t>
  </si>
  <si>
    <t>Indemnizaciones relacionadas con seguros no de vida    (Reintegros de vigencias anteriores)</t>
  </si>
  <si>
    <t>Resarcimiento por procesos de gestión fiscal   (vigencia actual)</t>
  </si>
  <si>
    <t>Resarcimiento por procesos de gestión fiscal   (vigencia anterior)</t>
  </si>
  <si>
    <t>Resarcimiento por procesos de gestión fiscal   (Rendimientos Financieros)</t>
  </si>
  <si>
    <t>Resarcimiento por procesos de gestión fiscal  jes  (Intereses por mora)</t>
  </si>
  <si>
    <t>Resarcimiento por procesos de gestión fiscal    (Recuperación de Cartera)</t>
  </si>
  <si>
    <t>Resarcimiento por procesos de gestión fiscal    (Cancelación de Reservas vigencia anterior)</t>
  </si>
  <si>
    <t>Resarcimiento por procesos de gestión fiscal   (Mayores ingresos no aforeados de la vigencia Anterior)</t>
  </si>
  <si>
    <t>Resarcimiento por procesos de gestión fiscal    (Excedentes de apropiación de gastos vigencia anterior)</t>
  </si>
  <si>
    <t>Resarcimiento por procesos de gestión fiscal    (Saldos no Ejecutados de Contratos ó Convenios de vigencias anteriores)</t>
  </si>
  <si>
    <t>Resarcimiento por procesos de gestión fiscal    (Compromisos presupuestales cancelados vigencia anterior)</t>
  </si>
  <si>
    <t>Resarcimiento por procesos de gestión fiscal    (Reintegros de vigencias anteriores)</t>
  </si>
  <si>
    <t>Compensación por daños a la propiedad  (vigencia actual)</t>
  </si>
  <si>
    <t>Compensación por daños a la propiedad  (vigencia anterior)</t>
  </si>
  <si>
    <t>Compensación por daños a la propiedad  (Rendimientos Financieros)</t>
  </si>
  <si>
    <t>Compensación por daños a la propiedad jes  (Intereses por mora)</t>
  </si>
  <si>
    <t>Compensación por daños a la propiedad   (Recuperación de Cartera)</t>
  </si>
  <si>
    <t>Compensación por daños a la propiedad   (Cancelación de Reservas vigencia anterior)</t>
  </si>
  <si>
    <t>Compensación por daños a la propiedad  (Mayores ingresos no aforeados de la vigencia Anterior)</t>
  </si>
  <si>
    <t>Compensación por daños a la propiedad   (Excedentes de apropiación de gastos vigencia anterior)</t>
  </si>
  <si>
    <t>Compensación por daños a la propiedad   (Saldos no Ejecutados de Contratos ó Convenios de vigencias anteriores)</t>
  </si>
  <si>
    <t>Compensación por daños a la propiedad   (Compromisos presupuestales cancelados vigencia anterior)</t>
  </si>
  <si>
    <t>Compensación por daños a la propiedad   (Reintegros de vigencias anteriores)</t>
  </si>
  <si>
    <t>Participación ambiental en el porcentaje de recaudo del impuesto predial (vigencia actual)</t>
  </si>
  <si>
    <t>Participación ambiental en el porcentaje de recaudo del impuesto predial (vigencia anterior)</t>
  </si>
  <si>
    <t>Participación ambiental en el porcentaje de recaudo del impuesto predial (Rendimientos Financieros)</t>
  </si>
  <si>
    <t>Participación ambiental en el porcentaje de recaudo del impuesto predial  (Cancelación de Reservas vigencia anterior)</t>
  </si>
  <si>
    <t>Participación ambiental en el porcentaje de recaudo del impuesto predial (Mayores ingresos no aforeados de la vigencia Anterior)</t>
  </si>
  <si>
    <t>Participación ambiental en el porcentaje de recaudo del impuesto predial  (Excedentes de apropiación de gastos vigencia anterior)</t>
  </si>
  <si>
    <t>Participación ambiental en el porcentaje de recaudo del impuesto predial  (Saldos no Ejecutados de Contratos ó Convenios de vigencias anteriores)</t>
  </si>
  <si>
    <t>Participación ambiental en el porcentaje de recaudo del impuesto predial  (Compromisos presupuestales cancelados vigencia anterior)</t>
  </si>
  <si>
    <t>Participación ambiental en el porcentaje de recaudo del impuesto predial  (Reintegros de vigencias anteriores)</t>
  </si>
  <si>
    <t>Participación de intereses de mora al porcentaje de recaudo del impuesto predial. (vigencia actual)</t>
  </si>
  <si>
    <t>Participación de intereses de mora al porcentaje de recaudo del impuesto predial. (vigencia anterior)</t>
  </si>
  <si>
    <t>Participación de intereses de mora al porcentaje de recaudo del impuesto predial. (Rendimientos Financieros)</t>
  </si>
  <si>
    <t>Participación de intereses de mora al porcentaje de recaudo del impuesto predial.  (Recuperación de Cartera)</t>
  </si>
  <si>
    <t>Participación de intereses de mora al porcentaje de recaudo del impuesto predial.  (Cancelación de Reservas vigencia anterior)</t>
  </si>
  <si>
    <t>Participación de intereses de mora al porcentaje de recaudo del impuesto predial. (Mayores ingresos no aforeados de la vigencia Anterior)</t>
  </si>
  <si>
    <t>Participación de intereses de mora al porcentaje de recaudo del impuesto predial.  (Excedentes de apropiación de gastos vigencia anterior)</t>
  </si>
  <si>
    <t>Participación de intereses de mora al porcentaje de recaudo del impuesto predial.  (Saldos no Ejecutados de Contratos ó Convenios de vigencias anteriores)</t>
  </si>
  <si>
    <t>Participación de intereses de mora al porcentaje de recaudo del impuesto predial.  (Compromisos presupuestales cancelados vigencia anterior)</t>
  </si>
  <si>
    <t>Participación de intereses de mora al porcentaje de recaudo del impuesto predial.  (Reintegros de vigencias anteriores)</t>
  </si>
  <si>
    <t>Disposición de edificaciones y estructuras (vigencia actual)</t>
  </si>
  <si>
    <t>Disposición de edificaciones y estructuras (vigencia anterior)</t>
  </si>
  <si>
    <t>Disposición de edificaciones y estructuras (Rendimientos Financieros)</t>
  </si>
  <si>
    <t>Disposición de edificaciones y estructuras  (Recuperación de Cartera)</t>
  </si>
  <si>
    <t>Disposición de edificaciones y estructuras  (Cancelación de Reservas vigencia anterior)</t>
  </si>
  <si>
    <t>Disposición de edificaciones y estructuras (Mayores ingresos no aforeados de la vigencia Anterior)</t>
  </si>
  <si>
    <t>Disposición de edificaciones y estructuras  (Excedentes de apropiación de gastos vigencia anterior)</t>
  </si>
  <si>
    <t>Disposición de edificaciones y estructuras  (Saldos no Ejecutados de Contratos ó Convenios de vigencias anteriores)</t>
  </si>
  <si>
    <t>Disposición de edificaciones y estructuras  (Compromisos presupuestales cancelados vigencia anterior)</t>
  </si>
  <si>
    <t>Disposición de edificaciones y estructuras  (Reintegros de vigencias anteriores)</t>
  </si>
  <si>
    <t>Disposición de maquinaria y equipo (vigencia actual)</t>
  </si>
  <si>
    <t>Disposición de maquinaria y equipo (vigencia anterior)</t>
  </si>
  <si>
    <t>Disposición de maquinaria y equipo (Rendimientos Financieros)</t>
  </si>
  <si>
    <t>Disposición de maquinaria y equipo  (Recuperación de Cartera)</t>
  </si>
  <si>
    <t>Disposición de maquinaria y equipo  (Cancelación de Reservas vigencia anterior)</t>
  </si>
  <si>
    <t>Disposición de maquinaria y equipo (Mayores ingresos no aforeados de la vigencia Anterior)</t>
  </si>
  <si>
    <t>Disposición de maquinaria y equipo  (Excedentes de apropiación de gastos vigencia anterior)</t>
  </si>
  <si>
    <t>Disposición de maquinaria y equipo  (Saldos no Ejecutados de Contratos ó Convenios de vigencias anteriores)</t>
  </si>
  <si>
    <t>Disposición de maquinaria y equipo  (Compromisos presupuestales cancelados vigencia anterior)</t>
  </si>
  <si>
    <t>Disposición de maquinaria y equipo  (Reintegros de vigencias anteriores)</t>
  </si>
  <si>
    <t>Disposición de recursos biológicos cultivados (Rendimientos Financieros)</t>
  </si>
  <si>
    <t>Disposición de recursos biológicos cultivados  (Recuperación de Cartera)</t>
  </si>
  <si>
    <t>Disposición de recursos biológicos cultivados  (Cancelación de Reservas vigencia anterior)</t>
  </si>
  <si>
    <t>Disposición de recursos biológicos cultivados (Mayores ingresos no aforeados de la vigencia Anterior)</t>
  </si>
  <si>
    <t>Disposición de recursos biológicos cultivados  (Excedentes de apropiación de gastos vigencia anterior)</t>
  </si>
  <si>
    <t>Disposición de recursos biológicos cultivados  (Saldos no Ejecutados de Contratos ó Convenios de vigencias anteriores)</t>
  </si>
  <si>
    <t>Disposición de recursos biológicos cultivados  (Compromisos presupuestales cancelados vigencia anterior)</t>
  </si>
  <si>
    <t>Disposición de recursos biológicos cultivados  (Reintegros de vigencias anteriores)</t>
  </si>
  <si>
    <t>Participación ambiental en el porcentaje de recaudo del impuesto predial  (Intereses por mora)</t>
  </si>
  <si>
    <t>Participación ambiental en el porcentaje de recaudo del impuesto predial (Recuperación de Cartera)</t>
  </si>
  <si>
    <t>Participación de intereses de mora al porcentaje de recaudo del impuesto predial (Intereses por mora)</t>
  </si>
  <si>
    <t>Disposición de edificaciones y estructuras (Intereses por mora)</t>
  </si>
  <si>
    <t>Participación de intereses de mora al porcentaje de recaudo del impuesto predial  (Intereses por mora)</t>
  </si>
  <si>
    <t>Disposición de recursos biológicos cultivadosK339:K349 (vigencia actual)</t>
  </si>
  <si>
    <t>Disposición de recursos biológicos cultivados (Intereses por mora)</t>
  </si>
  <si>
    <t>Disposición de productos de la propiedad intelectual (vigencia actual)</t>
  </si>
  <si>
    <t>Disposición de productos de la propiedad intelectual (vigencia anterior)</t>
  </si>
  <si>
    <t>Disposición de productos de la propiedad intelectual (Rendimientos Financieros)</t>
  </si>
  <si>
    <t>Disposición de productos de la propiedad intelectual  (Intereses por mora)</t>
  </si>
  <si>
    <t>Disposición de productos de la propiedad intelectual  (Recuperación de Cartera)</t>
  </si>
  <si>
    <t>Disposición de productos de la propiedad intelectual  (Cancelación de Reservas vigencia anterior)</t>
  </si>
  <si>
    <t>Disposición de productos de la propiedad intelectual (Mayores ingresos no aforeados de la vigencia Anterior)</t>
  </si>
  <si>
    <t>Disposición de productos de la propiedad intelectual  (Excedentes de apropiación de gastos vigencia anterior)</t>
  </si>
  <si>
    <t>Disposición de productos de la propiedad intelectual  (Saldos no Ejecutados de Contratos ó Convenios de vigencias anteriores)</t>
  </si>
  <si>
    <t>Disposición de productos de la propiedad intelectual  (Compromisos presupuestales cancelados vigencia anterior)</t>
  </si>
  <si>
    <t>Disposición de productos de la propiedad intelectual  (Reintegros de vigencias anteriores)</t>
  </si>
  <si>
    <t>Disposición de  tierras y terrenos (vigencia actual)</t>
  </si>
  <si>
    <t>Disposición de  tierras y terrenos (vigencia anterior)</t>
  </si>
  <si>
    <t>Disposición de  tierras y terrenos (Rendimientos Financieros)</t>
  </si>
  <si>
    <t>Disposición de  tierras y terrenos  (Intereses por mora)</t>
  </si>
  <si>
    <t>Disposición de  tierras y terrenos  (Recuperación de Cartera)</t>
  </si>
  <si>
    <t>Disposición de  tierras y terrenos  (Cancelación de Reservas vigencia anterior)</t>
  </si>
  <si>
    <t>Disposición de  tierras y terrenos (Mayores ingresos no aforeados de la vigencia Anterior)</t>
  </si>
  <si>
    <t>Disposición de  tierras y terrenos  (Excedentes de apropiación de gastos vigencia anterior)</t>
  </si>
  <si>
    <t>Disposición de  tierras y terrenos  (Saldos no Ejecutados de Contratos ó Convenios de vigencias anteriores)</t>
  </si>
  <si>
    <t>Disposición de  tierras y terrenos  (Compromisos presupuestales cancelados vigencia anterior)</t>
  </si>
  <si>
    <t>Disposición de  tierras y terrenos  (Reintegros de vigencias anteriores)</t>
  </si>
  <si>
    <t>Disposición de recursos biológicos no cultivados (vigencia actual)</t>
  </si>
  <si>
    <t>Disposición de recursos biológicos no cultivados (vigencia anterior)</t>
  </si>
  <si>
    <t>Disposición de recursos biológicos no cultivados (Rendimientos Financieros)</t>
  </si>
  <si>
    <t>Disposición de recursos biológicos no cultivadosjes  (Intereses por mora)</t>
  </si>
  <si>
    <t>Disposición de recursos biológicos no cultivados  (Recuperación de Cartera)</t>
  </si>
  <si>
    <t>Disposición de recursos biológicos no cultivados  (Cancelación de Reservas vigencia anterior)</t>
  </si>
  <si>
    <t>Disposición de recursos biológicos no cultivados (Mayores ingresos no aforeados de la vigencia Anterior)</t>
  </si>
  <si>
    <t>Disposición de recursos biológicos no cultivados  (Excedentes de apropiación de gastos vigencia anterior)</t>
  </si>
  <si>
    <t>Disposición de recursos biológicos no cultivados  (Saldos no Ejecutados de Contratos ó Convenios de vigencias anteriores)</t>
  </si>
  <si>
    <t>Disposición de recursos biológicos no cultivados  (Compromisos presupuestales cancelados vigencia anterior)</t>
  </si>
  <si>
    <t>Disposición de recursos biológicos no cultivados  (Reintegros de vigencias anteriores)</t>
  </si>
  <si>
    <t>Sociedades de economía mixta (vigencia actual)</t>
  </si>
  <si>
    <t>Sociedades de economía mixta (vigencia anterior)</t>
  </si>
  <si>
    <t>Sociedades de economía mixta (Rendimientos Financieros)</t>
  </si>
  <si>
    <t>Sociedades de economía mixta  (Intereses por mora)</t>
  </si>
  <si>
    <t>Sociedades de economía mixta  (Recuperación de Cartera)</t>
  </si>
  <si>
    <t>Sociedades de economía mixta  (Cancelación de Reservas vigencia anterior)</t>
  </si>
  <si>
    <t>Sociedades de economía mixta (Mayores ingresos no aforeados de la vigencia Anterior)</t>
  </si>
  <si>
    <t>Sociedades de economía mixta  (Excedentes de apropiación de gastos vigencia anterior)</t>
  </si>
  <si>
    <t>Sociedades de economía mixta  (Saldos no Ejecutados de Contratos ó Convenios de vigencias anteriores)</t>
  </si>
  <si>
    <t>Sociedades de economía mixta  (Compromisos presupuestales cancelados vigencia anterior)</t>
  </si>
  <si>
    <t>Sociedades de economía mixta  (Reintegros de vigencias anteriores)</t>
  </si>
  <si>
    <t>Inversiones patrimoniales no controladas (vigencia actual)</t>
  </si>
  <si>
    <t>Inversiones patrimoniales no controladas (vigencia anterior)</t>
  </si>
  <si>
    <t>Inversiones patrimoniales no controladas (Rendimientos Financieros)</t>
  </si>
  <si>
    <t>Inversiones patrimoniales no controladasjes  (Intereses por mora)</t>
  </si>
  <si>
    <t>Inversiones patrimoniales no controladas  (Recuperación de Cartera)</t>
  </si>
  <si>
    <t>Inversiones patrimoniales no controladas  (Cancelación de Reservas vigencia anterior)</t>
  </si>
  <si>
    <t>Inversiones patrimoniales no controladas (Mayores ingresos no aforeados de la vigencia Anterior)</t>
  </si>
  <si>
    <t>Inversiones patrimoniales no controladas  (Excedentes de apropiación de gastos vigencia anterior)</t>
  </si>
  <si>
    <t>Inversiones patrimoniales no controladas  (Saldos no Ejecutados de Contratos ó Convenios de vigencias anteriores)</t>
  </si>
  <si>
    <t>Inversiones patrimoniales no controladas  (Compromisos presupuestales cancelados vigencia anterior)</t>
  </si>
  <si>
    <t>Inversiones patrimoniales no controladas  (Reintegros de vigencias anteriores)</t>
  </si>
  <si>
    <t>Bancos comerciales (vigencia actual)</t>
  </si>
  <si>
    <t>Bancos comerciales (vigencia anterior)</t>
  </si>
  <si>
    <t>Bancos comerciales (Rendimientos Financieros)</t>
  </si>
  <si>
    <t>Bancos comerciales  (Intereses por mora)</t>
  </si>
  <si>
    <t>Bancos comerciales  (Recuperación de Cartera)</t>
  </si>
  <si>
    <t>Bancos comerciales  (Cancelación de Reservas vigencia anterior)</t>
  </si>
  <si>
    <t>Bancos comerciales (Mayores ingresos no aforeados de la vigencia Anterior)</t>
  </si>
  <si>
    <t>Bancos comerciales  (Excedentes de apropiación de gastos vigencia anterior)</t>
  </si>
  <si>
    <t>Bancos comerciales  (Saldos no Ejecutados de Contratos ó Convenios de vigencias anteriores)</t>
  </si>
  <si>
    <t>Bancos comerciales  (Compromisos presupuestales cancelados vigencia anterior)</t>
  </si>
  <si>
    <t>Bancos comerciales  (Reintegros de vigencias anteriores)</t>
  </si>
  <si>
    <t>Entidades de fomento (vigencia actual)</t>
  </si>
  <si>
    <t>Entidades de fomento (vigencia anterior)</t>
  </si>
  <si>
    <t>Entidades de fomento (Rendimientos Financieros)</t>
  </si>
  <si>
    <t>Entidades de fomento  (Intereses por mora)</t>
  </si>
  <si>
    <t>Entidades de fomento  (Recuperación de Cartera)</t>
  </si>
  <si>
    <t>Entidades de fomento  (Cancelación de Reservas vigencia anterior)</t>
  </si>
  <si>
    <t>Entidades de fomento (Mayores ingresos no aforeados de la vigencia Anterior)</t>
  </si>
  <si>
    <t>Entidades de fomento  (Excedentes de apropiación de gastos vigencia anterior)</t>
  </si>
  <si>
    <t>Entidades de fomento  (Saldos no Ejecutados de Contratos ó Convenios de vigencias anteriores)</t>
  </si>
  <si>
    <t>Entidades de fomento  (Compromisos presupuestales cancelados vigencia anterior)</t>
  </si>
  <si>
    <t>Entidades de fomento  (Reintegros de vigencias anteriores)</t>
  </si>
  <si>
    <t>Gobiernos (vigencia actual)</t>
  </si>
  <si>
    <t>Gobiernos (vigencia anterior)</t>
  </si>
  <si>
    <t>Gobiernos (Rendimientos Financieros)</t>
  </si>
  <si>
    <t>Gobiernosjes  (Intereses por mora)</t>
  </si>
  <si>
    <t>Gobiernos  (Recuperación de Cartera)</t>
  </si>
  <si>
    <t>Gobiernos  (Cancelación de Reservas vigencia anterior)</t>
  </si>
  <si>
    <t>Gobiernos (Mayores ingresos no aforeados de la vigencia Anterior)</t>
  </si>
  <si>
    <t>Gobiernos  (Excedentes de apropiación de gastos vigencia anterior)</t>
  </si>
  <si>
    <t>Gobiernos  (Saldos no Ejecutados de Contratos ó Convenios de vigencias anteriores)</t>
  </si>
  <si>
    <t>Gobiernos  (Compromisos presupuestales cancelados vigencia anterior)</t>
  </si>
  <si>
    <t>Gobiernos  (Reintegros de vigencias anteriores)</t>
  </si>
  <si>
    <t>Organismos multilaterales (vigencia actual)</t>
  </si>
  <si>
    <t>Organismos multilaterales (vigencia anterior)</t>
  </si>
  <si>
    <t>Organismos multilaterales (Rendimientos Financieros)</t>
  </si>
  <si>
    <t>Organismos multilateralesjes  (Intereses por mora)</t>
  </si>
  <si>
    <t>Organismos multilaterales  (Recuperación de Cartera)</t>
  </si>
  <si>
    <t>Organismos multilaterales  (Cancelación de Reservas vigencia anterior)</t>
  </si>
  <si>
    <t>Organismos multilaterales (Mayores ingresos no aforeados de la vigencia Anterior)</t>
  </si>
  <si>
    <t>Organismos multilaterales  (Excedentes de apropiación de gastos vigencia anterior)</t>
  </si>
  <si>
    <t>Organismos multilaterales  (Saldos no Ejecutados de Contratos ó Convenios de vigencias anteriores)</t>
  </si>
  <si>
    <t>Organismos multilaterales  (Compromisos presupuestales cancelados vigencia anterior)</t>
  </si>
  <si>
    <t>Organismos multilaterales  (Reintegros de vigencias anteriores)</t>
  </si>
  <si>
    <t>Otras instituciones financieras (vigencia actual)</t>
  </si>
  <si>
    <t>Otras instituciones financieras (vigencia anterior)</t>
  </si>
  <si>
    <t>Otras instituciones financieras (Rendimientos Financieros)</t>
  </si>
  <si>
    <t>Otras instituciones financieras  (Intereses por mora)</t>
  </si>
  <si>
    <t>Otras instituciones financieras  (Recuperación de Cartera)</t>
  </si>
  <si>
    <t>Otras instituciones financieras  (Cancelación de Reservas vigencia anterior)</t>
  </si>
  <si>
    <t>Otras instituciones financieras (Mayores ingresos no aforeados de la vigencia Anterior)</t>
  </si>
  <si>
    <t>Otras instituciones financieras  (Excedentes de apropiación de gastos vigencia anterior)</t>
  </si>
  <si>
    <t>Otras instituciones financieras  (Saldos no Ejecutados de Contratos ó Convenios de vigencias anteriores)</t>
  </si>
  <si>
    <t>Otras instituciones financieras  (Compromisos presupuestales cancelados vigencia anterior)</t>
  </si>
  <si>
    <t>Otras instituciones financieras  (Reintegros de vigencias anteriores)</t>
  </si>
  <si>
    <t>No Condicionadas a la adquisición de un activo  (vigencia actual)</t>
  </si>
  <si>
    <t>No Condicionadas a la adquisición de un activo  (vigencia anterior)</t>
  </si>
  <si>
    <t>No Condicionadas a la adquisición de un activo  (Rendimientos Financieros)</t>
  </si>
  <si>
    <t>No Condicionadas a la adquisición de un activo   (Intereses por mora)</t>
  </si>
  <si>
    <t>No Condicionadas a la adquisición de un activo   (Recuperación de Cartera)</t>
  </si>
  <si>
    <t>No Condicionadas a la adquisición de un activo   (Cancelación de Reservas vigencia anterior)</t>
  </si>
  <si>
    <t>No Condicionadas a la adquisición de un activo  (Mayores ingresos no aforeados de la vigencia Anterior)</t>
  </si>
  <si>
    <t>No Condicionadas a la adquisición de un activo   (Excedentes de apropiación de gastos vigencia anterior)</t>
  </si>
  <si>
    <t>No Condicionadas a la adquisición de un activo   (Saldos no Ejecutados de Contratos ó Convenios de vigencias anteriores)</t>
  </si>
  <si>
    <t>No Condicionadas a la adquisición de un activo   (Compromisos presupuestales cancelados vigencia anterior)</t>
  </si>
  <si>
    <t>No Condicionadas a la adquisición de un activo   (Reintegros de vigencias anteriores)</t>
  </si>
  <si>
    <t>Condicionadas a la adquisición de un activo   (Intereses por mora)</t>
  </si>
  <si>
    <t>No Condicionadas a la adquisición de un activo    (Intereses por mora)</t>
  </si>
  <si>
    <t>Condicionadas a la adquisición de un activo    (vigencia actual)</t>
  </si>
  <si>
    <t>Condicionadas a la adquisición de un activo    (vigencia anterior)</t>
  </si>
  <si>
    <t>Condicionadas a la adquisición de un activo    (Rendimientos Financieros)</t>
  </si>
  <si>
    <t>Condicionadas a la adquisición de un activo     (Intereses por mora)</t>
  </si>
  <si>
    <t>Condicionadas a la adquisición de un activo     (Recuperación de Cartera)</t>
  </si>
  <si>
    <t>Condicionadas a la adquisición de un activo     (Cancelación de Reservas vigencia anterior)</t>
  </si>
  <si>
    <t>Condicionadas a la adquisición de un activo    (Mayores ingresos no aforeados de la vigencia Anterior)</t>
  </si>
  <si>
    <t>Condicionadas a la adquisición de un activo     (Excedentes de apropiación de gastos vigencia anterior)</t>
  </si>
  <si>
    <t>Condicionadas a la adquisición de un activo     (Saldos no Ejecutados de Contratos ó Convenios de vigencias anteriores)</t>
  </si>
  <si>
    <t>Condicionadas a la adquisición de un activo     (Compromisos presupuestales cancelados vigencia anterior)</t>
  </si>
  <si>
    <t>Condicionadas a la adquisición de un activo     (Reintegros de vigencias anteriores)</t>
  </si>
  <si>
    <t>Banca Comercial (vigencia actual)</t>
  </si>
  <si>
    <t>Banca Comercial (vigencia anterior)</t>
  </si>
  <si>
    <t>Banca Comercial (Rendimientos Financieros)</t>
  </si>
  <si>
    <t>Banca Comercial  (Intereses por mora)</t>
  </si>
  <si>
    <t>Banca Comercial  (Recuperación de Cartera)</t>
  </si>
  <si>
    <t>Banca Comercial  (Cancelación de Reservas vigencia anterior)</t>
  </si>
  <si>
    <t>Banca Comercial (Mayores ingresos no aforeados de la vigencia Anterior)</t>
  </si>
  <si>
    <t>Banca Comercial  (Excedentes de apropiación de gastos vigencia anterior)</t>
  </si>
  <si>
    <t>Banca Comercial  (Saldos no Ejecutados de Contratos ó Convenios de vigencias anteriores)</t>
  </si>
  <si>
    <t>Banca Comercial  (Compromisos presupuestales cancelados vigencia anterior)</t>
  </si>
  <si>
    <t>Banca Comercial  (Reintegros de vigencias anteriores)</t>
  </si>
  <si>
    <t>Nacion (vigencia actual)</t>
  </si>
  <si>
    <t>Nacion (vigencia anterior)</t>
  </si>
  <si>
    <t>Nacion (Rendimientos Financieros)</t>
  </si>
  <si>
    <t>Nacion  (Intereses por mora)</t>
  </si>
  <si>
    <t>Nacion  (Recuperación de Cartera)</t>
  </si>
  <si>
    <t>Nacion  (Cancelación de Reservas vigencia anterior)</t>
  </si>
  <si>
    <t>Nacion (Mayores ingresos no aforeados de la vigencia Anterior)</t>
  </si>
  <si>
    <t>Nacion  (Excedentes de apropiación de gastos vigencia anterior)</t>
  </si>
  <si>
    <t>Nacion  (Saldos no Ejecutados de Contratos ó Convenios de vigencias anteriores)</t>
  </si>
  <si>
    <t>Nacion  (Compromisos presupuestales cancelados vigencia anterior)</t>
  </si>
  <si>
    <t>Nacion  (Reintegros de vigencias anteriores)</t>
  </si>
  <si>
    <t>Banca de fomento (vigencia actual)</t>
  </si>
  <si>
    <t>Banca de fomento (vigencia anterior)</t>
  </si>
  <si>
    <t>Banca de fomento (Rendimientos Financieros)</t>
  </si>
  <si>
    <t>Banca de fomento  (Intereses por mora)</t>
  </si>
  <si>
    <t>Banca de fomento  (Recuperación de Cartera)</t>
  </si>
  <si>
    <t>Banca de fomento  (Cancelación de Reservas vigencia anterior)</t>
  </si>
  <si>
    <t>Banca de fomento (Mayores ingresos no aforeados de la vigencia Anterior)</t>
  </si>
  <si>
    <t>Banca de fomento  (Excedentes de apropiación de gastos vigencia anterior)</t>
  </si>
  <si>
    <t>Banca de fomento  (Saldos no Ejecutados de Contratos ó Convenios de vigencias anteriores)</t>
  </si>
  <si>
    <t>Banca de fomento  (Compromisos presupuestales cancelados vigencia anterior)</t>
  </si>
  <si>
    <t>Banca de fomento  (Reintegros de vigencias anteriores)</t>
  </si>
  <si>
    <t>Institutos de Desarrollo Departamental y/o Municipal (vigencia actual)</t>
  </si>
  <si>
    <t>Institutos de Desarrollo Departamental y/o Municipal (vigencia anterior)</t>
  </si>
  <si>
    <t>Institutos de Desarrollo Departamental y/o Municipal (Rendimientos Financieros)</t>
  </si>
  <si>
    <t>Institutos de Desarrollo Departamental y/o Municipal  (Intereses por mora)</t>
  </si>
  <si>
    <t>Institutos de Desarrollo Departamental y/o Municipal  (Recuperación de Cartera)</t>
  </si>
  <si>
    <t>Institutos de Desarrollo Departamental y/o Municipal  (Cancelación de Reservas vigencia anterior)</t>
  </si>
  <si>
    <t>Institutos de Desarrollo Departamental y/o Municipal (Mayores ingresos no aforeados de la vigencia Anterior)</t>
  </si>
  <si>
    <t>Institutos de Desarrollo Departamental y/o Municipal  (Excedentes de apropiación de gastos vigencia anterior)</t>
  </si>
  <si>
    <t>Institutos de Desarrollo Departamental y/o Municipal  (Saldos no Ejecutados de Contratos ó Convenios de vigencias anteriores)</t>
  </si>
  <si>
    <t>Institutos de Desarrollo Departamental y/o Municipal  (Compromisos presupuestales cancelados vigencia anterior)</t>
  </si>
  <si>
    <t>Institutos de Desarrollo Departamental y/o Municipal  (Reintegros de vigencias anteriores)</t>
  </si>
  <si>
    <t>Banco de la República (vigencia actual)</t>
  </si>
  <si>
    <t>Banco de la República (vigencia anterior)</t>
  </si>
  <si>
    <t>Banco de la República (Rendimientos Financieros)</t>
  </si>
  <si>
    <t>Banco de la República  (Intereses por mora)</t>
  </si>
  <si>
    <t>Banco de la República  (Recuperación de Cartera)</t>
  </si>
  <si>
    <t>Banco de la República  (Cancelación de Reservas vigencia anterior)</t>
  </si>
  <si>
    <t>Banco de la República (Mayores ingresos no aforeados de la vigencia Anterior)</t>
  </si>
  <si>
    <t>Banco de la República  (Excedentes de apropiación de gastos vigencia anterior)</t>
  </si>
  <si>
    <t>Banco de la República  (Saldos no Ejecutados de Contratos ó Convenios de vigencias anteriores)</t>
  </si>
  <si>
    <t>Banco de la República  (Compromisos presupuestales cancelados vigencia anterior)</t>
  </si>
  <si>
    <t>Banco de la República  (Reintegros de vigencias anteriores)</t>
  </si>
  <si>
    <t>Otras entidades no financieras (vigencia actual)</t>
  </si>
  <si>
    <t>Otras entidades no financieras (vigencia anterior)</t>
  </si>
  <si>
    <t>Otras entidades no financieras (Rendimientos Financieros)</t>
  </si>
  <si>
    <t>Otras entidades no financieras  (Intereses por mora)</t>
  </si>
  <si>
    <t>Otras entidades no financieras  (Recuperación de Cartera)</t>
  </si>
  <si>
    <t>Otras entidades no financieras  (Cancelación de Reservas vigencia anterior)</t>
  </si>
  <si>
    <t>Otras entidades no financieras (Mayores ingresos no aforeados de la vigencia Anterior)</t>
  </si>
  <si>
    <t>Otras entidades no financieras  (Excedentes de apropiación de gastos vigencia anterior)</t>
  </si>
  <si>
    <t>Otras entidades no financieras  (Saldos no Ejecutados de Contratos ó Convenios de vigencias anteriores)</t>
  </si>
  <si>
    <t>Otras entidades no financieras  (Compromisos presupuestales cancelados vigencia anterior)</t>
  </si>
  <si>
    <t>Otras entidades no financieras  (Reintegros de vigencias anteriores)</t>
  </si>
  <si>
    <t>Aportes Fondo de Compensación Ambiental -FCA</t>
  </si>
  <si>
    <t>Tasa por el uso del aguajes  (Intereses por mora)</t>
  </si>
  <si>
    <t>Tasa por el uso del agua  (Recuperación de Cartera)</t>
  </si>
  <si>
    <t>Tasa por el uso del agua  (Cancelación de Reservas vigencia anterior)</t>
  </si>
  <si>
    <t>Tasa por el uso del agua (Mayores ingresos no aforeados de la vigencia Anterior)</t>
  </si>
  <si>
    <t>Tasa por el uso del agua  (Excedentes de apropiación de gastos vigencia anterior)</t>
  </si>
  <si>
    <t>Tasa por el uso del agua  (Saldos no Ejecutados de Contratos ó Convenios de vigencias anteriores)</t>
  </si>
  <si>
    <t>Tasa por el uso del agua  (Compromisos presupuestales cancelados vigencia anterior)</t>
  </si>
  <si>
    <t>Tasa por el uso del agua  (Reintegros de vigencias anteriores)</t>
  </si>
  <si>
    <t>Recursos de terceros</t>
  </si>
  <si>
    <t>Recursos de terceros en administración</t>
  </si>
  <si>
    <t>Comprende los recursos percibidos por algunos órganos del PGN, en virtud de la delegación de la función de administración de estos por parte de otra entidad de gobierno o particular no vinculado a la entidad. Los recursos de terceros en administración no constituyen un ingreso para la entidad administradora, en tanto, la propiedad de estos y su destinación están a cargo de la entidad que los entrega</t>
  </si>
  <si>
    <t>Son los recursos que se consignan transitoriamente en una entidad del PGSP, porque la norma centraliza su recaudo en esa unidad, mientras se entregan a su beneficiario legal.</t>
  </si>
  <si>
    <t>Recursos de terceros en administración  (vigencia actual)</t>
  </si>
  <si>
    <t>Recursos de terceros en administración  (vigencia anterior)</t>
  </si>
  <si>
    <t>Recursos de terceros en administración  (Rendimientos Financieros)</t>
  </si>
  <si>
    <t>Recursos de terceros en administración jes  (Intereses por mora)</t>
  </si>
  <si>
    <t>Recursos de terceros en administración   (Recuperación de Cartera)</t>
  </si>
  <si>
    <t>Recursos de terceros en administración   (Cancelación de Reservas vigencia anterior)</t>
  </si>
  <si>
    <t>Recursos de terceros en administración  (Mayores ingresos no aforeados de la vigencia Anterior)</t>
  </si>
  <si>
    <t>Recursos de terceros en administración   (Excedentes de apropiación de gastos vigencia anterior)</t>
  </si>
  <si>
    <t>Recursos de terceros en administración   (Saldos no Ejecutados de Contratos ó Convenios de vigencias anteriores)</t>
  </si>
  <si>
    <t>Recursos de terceros en administración   (Compromisos presupuestales cancelados vigencia anterior)</t>
  </si>
  <si>
    <t>Recursos de terceros en administración   (Reintegros de vigencias anteriores)</t>
  </si>
  <si>
    <t>16A
OBLIGACIONES DE LA RESERVA
$</t>
  </si>
  <si>
    <t>16B
PORCENTAJE DE AVANCE EJECUCIÓN DE LA RESERVA
$
(16A/16)</t>
  </si>
  <si>
    <t>(4A)
AVANCE DEL REZAGO DE LA META
FISICA 
(Según unidad de medida y Periodo Evaluado)</t>
  </si>
  <si>
    <t>(4)
AVANCE DE LA META
FISICA  
(Según unidad de medida y Periodo Evaluado)</t>
  </si>
  <si>
    <t>Programa No 1. Planificacion, Ordenamiento Ambiental y Territorial</t>
  </si>
  <si>
    <t>Proyecto No 1.1.Planificación, Ordenamiento e Información Ambiental Territorial (1)</t>
  </si>
  <si>
    <t>Formulación y ajuste de los POMCAS de las subzonas hidrográficas y niveles subsiguientes y Planes de Manejo de Microcuencas (PMM)</t>
  </si>
  <si>
    <t>%</t>
  </si>
  <si>
    <t>Seguimiento a la ejecución de los POMCAS, PMA y PMM formulados y Planes de manejo ambiental de Areas Protegidas</t>
  </si>
  <si>
    <t>Asesoría a los municipios en la revisión y ajuste de los POT e incorporación de los determinantes ambientales</t>
  </si>
  <si>
    <t>Realizar  seguimiento a los EOT, PBOT Y POT adoptados y concertados</t>
  </si>
  <si>
    <t>Servicios de Información Geográfica y ambiental como fuente de conocimiento para la toma de decisiones.</t>
  </si>
  <si>
    <t>Acotamiento de Rondas Hídricas de las corrientes priorizadas en la jurisdicción de Corpoguajira</t>
  </si>
  <si>
    <t>Delimitación y zonificación del páramo seco Cerro Pintao y los humedales priorizados en Corpoguajira.</t>
  </si>
  <si>
    <t>Asesoria y Apoyo en los procesos de Planificación e implementación de las Areas Protegidas en la Corporación</t>
  </si>
  <si>
    <t>Has</t>
  </si>
  <si>
    <t>Operación, integración, actualización y administración del Sistema de Información Ambiental. (SIAC)</t>
  </si>
  <si>
    <t>Proyecto No 1.2. Gestión del Riesgo y adaptación al Cambio Climático (2)</t>
  </si>
  <si>
    <r>
      <t xml:space="preserve">Asesoría a </t>
    </r>
    <r>
      <rPr>
        <sz val="8"/>
        <color rgb="FF000000"/>
        <rFont val="Calibri"/>
        <family val="2"/>
        <scheme val="minor"/>
      </rPr>
      <t>los entes territoriales en la inclusión de acciones de cambio climático en los instrumentos de planificación territorial.</t>
    </r>
  </si>
  <si>
    <t>Orientar la implementación de iniciativas en el departamento de La Guajira en adaptación al cambio climático en el marco del PIC</t>
  </si>
  <si>
    <t>#</t>
  </si>
  <si>
    <t>Sistema Regional implementado en la Corporación</t>
  </si>
  <si>
    <t>Realización de capacitaciones, difusión de conocimientos en cambio climático a la comunidad en general, basado en la  estrategia de educación, formación y sensibilización a públicos.</t>
  </si>
  <si>
    <t>Apoyar y/o implementar estrategias para la reducción de emisiones sectoriales con respecto al escenario de referencia nacional</t>
  </si>
  <si>
    <t>Socialización del PIC con el fin de que las comunidades conozcan los recursos y las acciones frente al cambio climatico</t>
  </si>
  <si>
    <t>Ejecución de acciones conjuntas en beneficio de la región, el país y las instituciones miembro del Nodo Regional de Cambio Climático Caribe e Insular, en el ámbito del cambio climático.</t>
  </si>
  <si>
    <t>Realización de capacitaciones, difusión de conocimientos en gestión del riesgo, a CMGRD, CDGRD, sectores productivos y la comunidad en general.</t>
  </si>
  <si>
    <t>Asistencia técnica y seguimiento a los entes territoriales en la inclusión de la gestión del riesgo en los planes de ordenamiento del territorio.</t>
  </si>
  <si>
    <t>Realización de estudios para el fortalecimiento de la gestión de riesgos de desastres en el departamento.</t>
  </si>
  <si>
    <t>Seguimiento y evaluación con el fin de generar conocimiento para la gestión de riesgo y el cambio climático.</t>
  </si>
  <si>
    <t>Implementación de mecanismos para el monitoreo y seguimiento a los riesgos identificados, manteniendo operativo el SAT</t>
  </si>
  <si>
    <t xml:space="preserve">Mantener actualizada la informacion de los proyectos a traves de las diferentes plataformas </t>
  </si>
  <si>
    <t>Apoyar en la formulación y gestión de los proyectos  ambientales para las diferentes fuentes de financiacion  y Cooperación internacional.</t>
  </si>
  <si>
    <t>Realizar el seguimiento, control y evaluación de los proyectos corporativos y de inversion encaminados a mejorar el ambiente y el desarrollo sostenible</t>
  </si>
  <si>
    <t>Realizar Capacitación en formulación y/o seguimiento de proyectos de inversión publica</t>
  </si>
  <si>
    <t>Población objetivo satisfecha con la gestión ambiental, que evidencia mejora en el desempeño institucional por parte de la Corporación.</t>
  </si>
  <si>
    <t xml:space="preserve">Agencia de Desarrollo Rural – ADR conjuntamente con la Alcaldia de Maicao y Coorpoguajira realizara una mesa técnica para presentar metodología de formulación de proyecto de agua para otros usos, con base en la oferta actual. </t>
  </si>
  <si>
    <t>Programa No 2. Gestión integral del Recurso Hídrico</t>
  </si>
  <si>
    <t>Población de comunidades indígenas y negras beneficiadas con obras de infraestructura para captación y/o almacenamiento de agua</t>
  </si>
  <si>
    <t>Informes de construcción de Sistemas de Abastecimiento comunidades indigenas de los municipios de Riohacha y Maicao en el periodo 2018 2020</t>
  </si>
  <si>
    <t>Inventario de soluciones de agua elaborado</t>
  </si>
  <si>
    <t>Cruce de bases de datos que manejan la Unidad Nacional de Gestión de Riesgo, Corpoguajira, Agencia de Desarrollo Rural, comunidades Wayuu y Viceministerio de agua, para identificar Microacueducto y pozos ubicado dentro de las comunidades.</t>
  </si>
  <si>
    <t>Formulación de los planes de manejo de acuíferos</t>
  </si>
  <si>
    <t>Ejecución de los planes de manejo de acuíferos</t>
  </si>
  <si>
    <t>Formulación y adopción de los planes de ordenamiento del recurso hídrico en cuerpos de agua</t>
  </si>
  <si>
    <t>Reglamentación del uso de las aguas en cuerpos de agua</t>
  </si>
  <si>
    <t>Ejecución de los planes de ordenamiento del recurso hídrico.</t>
  </si>
  <si>
    <t xml:space="preserve">Socializar en territorio los instrumentos de planificación de aguas superficiales y subterráneas, con el fin de que las comunidades conozcan las condiciones reales de los recursos en el territorio y las acciones que deben ser realizadas por cada entidad. </t>
  </si>
  <si>
    <t>Construcción de obras de control de inundaciones, de erosión, de caudales, de escorrentía, rectificación y manejo de cauces, obras de geotecnia, regulación de cauces y corrientes de agua y demás obras para el manejo de aguas.</t>
  </si>
  <si>
    <t>Kms</t>
  </si>
  <si>
    <t>Realización de Estudio Regional del Agua</t>
  </si>
  <si>
    <t>Corpoguajira debe contratar un estudio independiente para establecer si hay una relación entre las actividad minera a gran escala y la escasez de agua potable para las comunidadaes Wayuu</t>
  </si>
  <si>
    <t>Determinar Carga Contaminante para Cobro de Tasa Retributiva</t>
  </si>
  <si>
    <t>Fortalecer la vigilancia de la calidad del recurso hídrico</t>
  </si>
  <si>
    <t>Realizar un plan de monitoreo del estado de la calidad y cantidad del agua superficial y subterránea en las comunidades wayuu del Municipio de Maicao</t>
  </si>
  <si>
    <t>Monitoreo de Vertimientos Líquidos</t>
  </si>
  <si>
    <t>Generar reportes confiables de calidad del recurso hídrico y las cargas contaminantes vertidas en La Guajira</t>
  </si>
  <si>
    <t>Programa No 3. Bosques, Biodiversidad y Servicios Ecosistémicos.</t>
  </si>
  <si>
    <t>Ejecución de Planes de Ordenación y Manejo de Cuencas (POMCAS) y Planes de Manejo de Microcuencas (PMM)</t>
  </si>
  <si>
    <t>Realización de estudio biofísico y socioeconómico para la declaratoria de áreas protegidas e inscripción en el RUNAP</t>
  </si>
  <si>
    <t>Ejecución de planes de manejo en áreas protegidas.</t>
  </si>
  <si>
    <t>Consolidar el Sinap</t>
  </si>
  <si>
    <t>Intervenciones integrales en áreas ambientales estratégicas</t>
  </si>
  <si>
    <t>Suscribir alianzas para la gestión de las áreas protegidas a nivel regional (SIRAP Caribe)</t>
  </si>
  <si>
    <t>Conformación del SIDAP y SILAP La Guajira</t>
  </si>
  <si>
    <t xml:space="preserve">Participación en la Formulación del POMIUAC en el marco de la Unidad Ambiental Costera correspondiente a su jurisdicción </t>
  </si>
  <si>
    <t>Diagnóstico y Zonificación de los Manglares.</t>
  </si>
  <si>
    <t>Declaratoria e inscripción en el RUNAP del DRMI de Bahía Honda y Bahía Hondita, formulación y adopción del Plan de Manejo</t>
  </si>
  <si>
    <t>Rehabilitación de manglares</t>
  </si>
  <si>
    <t>Manejo de ecosistemas marinos y costeros.</t>
  </si>
  <si>
    <t>Zonificación de ecosistemas de playa</t>
  </si>
  <si>
    <t>Desarrollo de medidas de adaptación de ecosistemas para la protección costera en un clima cambiante</t>
  </si>
  <si>
    <t>Construcción de obras de protección en la línea de costa como medida de mitigación contra la erosión costera</t>
  </si>
  <si>
    <t>Ejecución de acciones de Programas de Conservación y/o Planes de Acción de especies amenazadas de fauna marino-costeras y de recursos hidrobiológicos</t>
  </si>
  <si>
    <t>Ejecución de acciones del Plan de Manejo de la especie invasora Pez León,  y de Medidas de Manejo del Camarón jumbo</t>
  </si>
  <si>
    <t>Iniciativas de carbono azul para el uso sostenible de los manglares</t>
  </si>
  <si>
    <t xml:space="preserve">Fortalecimiento del desempeño ambiental de los sectores productivos. </t>
  </si>
  <si>
    <t>Ejecución de planes de manejo de especies amenazadas de fauna silvestre, recursos forestal y de recursos hidrobiológicos.</t>
  </si>
  <si>
    <t xml:space="preserve">Ejecución de planes de manejo de especies invasoras de recursos hidrobiológicos. </t>
  </si>
  <si>
    <t xml:space="preserve">Ajuste y adopción del Plan General de Ordenación Forestal </t>
  </si>
  <si>
    <t>Implementación del Plan General de Ordenación Forestal adoptado.</t>
  </si>
  <si>
    <t>Realizar monitoreos de cobertura de ecosisitemas estrategicos (bosque humedo y bosque seco)</t>
  </si>
  <si>
    <t xml:space="preserve">Realizar monitoreo de la biodiversidad en la jurisdicción </t>
  </si>
  <si>
    <t xml:space="preserve">Realizar talleres de sensibilización sobre la conservación del bosque seco </t>
  </si>
  <si>
    <t>Restauración, rehabilitación y reforestación de ecosistemas. (2.962 Has).</t>
  </si>
  <si>
    <t>has</t>
  </si>
  <si>
    <t>Realizar  acciones de restauración de suelos degradados</t>
  </si>
  <si>
    <t>implementar herramientas de manejo de paisaje (sistemas silvipastoriles y agroforestales)</t>
  </si>
  <si>
    <t>Formulación  del proyecto "Cuantificación los servicios de regulación en almacenamiento de carbono, generación de microclima y ciclaje de nutrientes en sistemas agroforestales del departamento"</t>
  </si>
  <si>
    <t>Formular el Plan Departamental de Negocios verdes</t>
  </si>
  <si>
    <t>Implementación de estrategias de marketing territorial para el apoyo a los negocios verdes</t>
  </si>
  <si>
    <t>Conformación de ventanillas/Nodo de negocios verdes o realización de alianzas o acuerdos con otras instituciones para su implementación.</t>
  </si>
  <si>
    <t>Fortalecimiento a unidades productivas a través de PSA o incentivos a la conservación</t>
  </si>
  <si>
    <t>Ha</t>
  </si>
  <si>
    <t>Identificación y verificación de nuevos negocios verdes</t>
  </si>
  <si>
    <t>Programa No 4. Gestión Ambiental Sectorial y Urbana</t>
  </si>
  <si>
    <t>Jornadas de arborización  urbana y periurbano con especies exoticas y nativas arbustivas mediante la educación y participación ciudadana para su mantenimiento en el espacio público</t>
  </si>
  <si>
    <t>Formulación e implementación de acuerdos locales con actores sociales para la conservación de la biodiversidad de ecosistemas, hábitats o entornos naturales urbanos representados como un sistema socioecológico</t>
  </si>
  <si>
    <t>Asistencia técnica a municipios para la formulación de estrategias para el incremento de la superficie de área verde por habitante</t>
  </si>
  <si>
    <t>Mejorar la  cultura en la generación y reporte de información ambiental urbana por parte de los municipios para evaluar la sostenibilidad ambiental del área urbana.</t>
  </si>
  <si>
    <t>Asistencia técnica a municipios  para adelantar el proceso de identificación de la estructura ecológica urbana.</t>
  </si>
  <si>
    <t>Asistencia técnica a recicladores de oficio y empresas prestadoras del servicio público de aseo para el aprovechamiento de residuos orgánicos e inorgánicos (en especial, plásticos y residuos de envases y empaques).</t>
  </si>
  <si>
    <t>Formular e implementar estrategias de Educación y Participación para la gestión adecuada de sustancias agotadoras de la capa de ozono en el sector agroindustrial</t>
  </si>
  <si>
    <t>Fomento del aprovechamiento, reciclaje y tratamiento  de residuos sólidos en los sectores residencial, institucional y comercial de bienes y servicios.</t>
  </si>
  <si>
    <t>Promover la formalización y fortalecimiento de grupos de recicladores de oficio.</t>
  </si>
  <si>
    <t>Hacer más efectivo  el control a las infracciones realizadas por manejo inadecuado de residuos sólidos en el espacio público.</t>
  </si>
  <si>
    <t>Mejoramiento de la calidad de agua en corrientes superficiales urbanas</t>
  </si>
  <si>
    <t>Socializar el programa de compras públicas sostenibles promoviendo su implementación en las entidades públicas de la jurisdicción de la Corporación.</t>
  </si>
  <si>
    <t xml:space="preserve">Mejorar el manejo y disposición de residuos de posconsumo y RAEE en el departamento de La Guajira. </t>
  </si>
  <si>
    <t>Desarrollar estrategias de formación y sensibilización para promover la apropiación e implementación efectiva de la Política Nacional para la gestión integral de RAEE y el Programa de Posconsumo</t>
  </si>
  <si>
    <t xml:space="preserve">Realizar diagnóstico para evaluar la pertinencia y oportunidades de involucramiento del sector informal en la cadena de gestión de los Residuos de Aparatos Eléctricos y Electrónicos (RAEE). </t>
  </si>
  <si>
    <t>Gestión de los recursos naturales renovables y los problemas ambientales urbanos y sus efectos en la región o regiones vecinas</t>
  </si>
  <si>
    <t>Implementación de estrategias de sensibilización para la prevención, control y manejo de incendios forestales  en los sectores agroindustrial y turismo</t>
  </si>
  <si>
    <t>Desarrollar procesos de capacitación sobre ahorro y uso eficiente de agua y energía,  dirigidos al sector turismo.</t>
  </si>
  <si>
    <t>Implementar estrategias para fomentar la Gobernanza y la Cultura del Agua en el sector agroindustrial,  involucrando a todos los actores del agua.</t>
  </si>
  <si>
    <t>Implementar estrategias para controlar la deforestación, conservar los ecosistemas y prevenir su degradación por parte del sector agroindustrial</t>
  </si>
  <si>
    <t>Asesorar al sector agroindustrial, turismo y de la minería en la implementación de buenas prácticas ambientales y  de producción y consumo sostenible.</t>
  </si>
  <si>
    <t>Elaboración de guías de manejo ambiental en la minería de subsistencia y asesoría para su implementación.</t>
  </si>
  <si>
    <t xml:space="preserve">Ampliar conocimientos  en la aplicación de las Normas Técnicas de Sostenibilidad en el sector turismo, para la protección y conservación de los sitios naturales. </t>
  </si>
  <si>
    <t>Establecer acuerdos con el sector turismo y manufacturero para promover la transformación hacia la economía circular, a través del aprovechamiento  local de plásticos y la gestión de residuos de envases y empaques, principalmente en municipios costeros.</t>
  </si>
  <si>
    <t xml:space="preserve">Establecer acuerdos con el sector agroindustrial, para la gestión integral de los residuos de posconsumo </t>
  </si>
  <si>
    <t>Diseñar e implementar estrategias para la formación y sensibilización ambiental en comunidades costeras,  que contribuyan al adecuado uso de los ecosistemas marinos.</t>
  </si>
  <si>
    <t xml:space="preserve">Acompañamiento en la reconversión hacia sistemas sostenibles de producción. </t>
  </si>
  <si>
    <t>Programa No 5. Educación Ambiental</t>
  </si>
  <si>
    <t>Universalización y resignificación de los PRAE y los PRAU</t>
  </si>
  <si>
    <t>Formación de Formadores en educación ambiental,</t>
  </si>
  <si>
    <t>Arreglo y Fortalecimiento institucionales para la formulación e   institucionalización de los PRAE</t>
  </si>
  <si>
    <t>Formación ambiental en  Economía circular, Recurso hídrico,  Biodiversidad y áreas protegidas, Ordenamiento territorial y ambiental</t>
  </si>
  <si>
    <t xml:space="preserve">Diseñar y ejecutar Estrategia de educación, formación y sensibilización para adaptación y mitigación del cambio climático </t>
  </si>
  <si>
    <t>Diseñar y ejecutar Estrategia de Educación Ambiental para apoyar la implementación de la Estrategia de Entornos Saludables, EES,  enfocada a los entornos hogar y escuelas.</t>
  </si>
  <si>
    <t xml:space="preserve">Servicio social ambiental en instituciones educativas </t>
  </si>
  <si>
    <t>Desarrollar  procesos de investigación sobre educación ambiental</t>
  </si>
  <si>
    <t>Alianza estratégica con la Gobernación de La Guajira para la  formulación y ejecucion de la política departamental de educación ambiental (Plan decenal departamental de Educación Ambiental)</t>
  </si>
  <si>
    <t xml:space="preserve">Formación en educación y gestión ambiental a los miembros de los  CIDEA   </t>
  </si>
  <si>
    <t>Fortalecimiento de los Comités técnicos interinstitucionales de Educación Ambiental-CIDEA municipales  con el objetivo de promover la construcción interinstitucional de apuestas de formación ambiental en los territorios</t>
  </si>
  <si>
    <t>Generar Espacios de intercambio de experiencias en los municipios y  entre  los CIDEA Departamental y municipales.</t>
  </si>
  <si>
    <t xml:space="preserve">Generar Espacios de intercambio para la presentación de investigaciones y acciones ambientales realizadas en instituciones educativas y universidades, en el marco de PRAE y  PRAU .  
</t>
  </si>
  <si>
    <t>Identificar, formular y ejecutar proyectos Ciudadanos de Educación Ambiental (PROCEDA)</t>
  </si>
  <si>
    <t>Diseñar y desarrollar procesos de Formación ambiental y sensibilización dirigidos a diferentes grupos poblacionales para la gestión y transformación de conflictos socioambientales</t>
  </si>
  <si>
    <t>Desarrollar y articular procesos de  formación ambiental  con estrategias de educación ambiental  de la Fuerza pública, en coordinación con la subdirección de autoridad ambiental</t>
  </si>
  <si>
    <t xml:space="preserve">Fortalecer procesos de promotoría ambiental, orientando  y articulando la conformación y ratificación de grupos de voluntariados (Red Jóvenes de Ambiente) en acciones de educación ambiental y participación ciudadana </t>
  </si>
  <si>
    <t>Fortalecer  sistemas de información ambiental - Link de educación ambiental en página de Corpoguajira</t>
  </si>
  <si>
    <t>Formular e implementar  estrategia de comunicación en materia de educación ambiental</t>
  </si>
  <si>
    <t xml:space="preserve">Fortalecer  sistemas de información ambiental - Información cuantitativa y cualitativa sobre acciones de educación ambiental y gestión ambiental sectorial urbana, consolidada, espacializada y sistematizada </t>
  </si>
  <si>
    <t>Fortalecer  sistemas de información ambiental - Bibliotecas municipales o institucionales  fortalecidas con información  ambiental</t>
  </si>
  <si>
    <t>Formular y ejecutar estrategia para desarrollar  el enfoque diferencial etario y de   género en los programas, procesos y acciones definidas para la implementación de la educación ambiental en su jurisdicción.</t>
  </si>
  <si>
    <t>Formular y ejecutar estrategia para desarrollar  el enfoque diferencial étnico en los programas, procesos y acciones definidas para la implementación de la educación ambiental en su jurisdicción,  dirigido a grupos indígenas y afrodescendientes</t>
  </si>
  <si>
    <t>Desarrollo de estrategias de gestión ambiental participativa con comunidades y minorías étnicas</t>
  </si>
  <si>
    <t>Formulación e implementación de una estrategia pedagógica para la protección y conservación del ambiente desde la cosmovisión de las comunidades indígenas y negras.</t>
  </si>
  <si>
    <t>Focalizar los programas de educación ambiental sobre las necesidades identificadas por la comunidad Wayuu.</t>
  </si>
  <si>
    <t>Focalizar un programa de educación para la gestión del recurso hídrico y  el manejo ambiental responsable de residuos en la comunidad Wayuu.</t>
  </si>
  <si>
    <t xml:space="preserve"> Acciones relacionadas con la Educación Ambiental</t>
  </si>
  <si>
    <t>Programa No 6. Autoridad Ambiental</t>
  </si>
  <si>
    <t>Realizar la Evaluación , el Control y el Monitoreo ambiental de los recursos naturales en el departamento de La Guajira</t>
  </si>
  <si>
    <t>Consolidar la gobernanza forestal en el departamento de  La Guajira.</t>
  </si>
  <si>
    <t>Realizar seguimiento Ambiental a licencias, permisos y autorizaciones  otorgadas por Corpoguajira</t>
  </si>
  <si>
    <t>Trámite de Licencias, Permisos y Autorizaciones ambientales</t>
  </si>
  <si>
    <t># de Días</t>
  </si>
  <si>
    <t>Tramitar los Procesos Sancionatorios</t>
  </si>
  <si>
    <t>Fortalecimiento del sistema de vigilancia de la calidad del aire mediante el control y monitoreo de emisiones de fuentes móviles</t>
  </si>
  <si>
    <t xml:space="preserve">Monitoreo de la calidad del aire </t>
  </si>
  <si>
    <t>N.A.</t>
  </si>
  <si>
    <t>NA</t>
  </si>
  <si>
    <t>Acuerdo # 002 20/02/2020</t>
  </si>
  <si>
    <t>Sentencia T606 de 2015</t>
  </si>
  <si>
    <t>ODS 6. Agua Limpia y saneamiento.</t>
  </si>
  <si>
    <t>ODS 11. Ciudades y Comunidades sostenibles</t>
  </si>
  <si>
    <t>Objetivo 17. Alianzas para lograr los objetivos</t>
  </si>
  <si>
    <t>Se cumplió en el PAC 2016 2019</t>
  </si>
  <si>
    <t>ODS 15. Vida de Ecosistemas Terrestres</t>
  </si>
  <si>
    <t>ODS 13. Acción por el clima.</t>
  </si>
  <si>
    <t>Sentencia T302. Consulta previa</t>
  </si>
  <si>
    <t>ODS 17. Alianzas para logras los objetivos</t>
  </si>
  <si>
    <t>PMA Cuenca de los Ríos Cesar, Tapias.</t>
  </si>
  <si>
    <t>ODS 6. Agua Limpia y saneamiento</t>
  </si>
  <si>
    <t>PMA de Maicao</t>
  </si>
  <si>
    <t>PMA de Río Cesar</t>
  </si>
  <si>
    <t>Cuencas de los Ríos Cañas, tapias, Maluisa, Jerez.</t>
  </si>
  <si>
    <t>Cuencas de los Ríos Lagarto - Maluisa.</t>
  </si>
  <si>
    <t>Cuenca de los Ríos Ranchería, Tapias, Cesar, Jerez.</t>
  </si>
  <si>
    <t>PORH de los ríos Tapias y Lagarto - Maluisa.</t>
  </si>
  <si>
    <t>Riohacha (El Jote, Malawainkat). Maicao (La Paz), Uribia (Flor del Paraiso). Sentencia T302. Consulta previa</t>
  </si>
  <si>
    <t>Cuencas de los ríos  Cañas, El Molino, Tapias, Jerez, entre otras</t>
  </si>
  <si>
    <t>Resultado del monitoreo de aguas marinas, ICAM</t>
  </si>
  <si>
    <t xml:space="preserve">Sentencia T302. Consulta previa. Municipio de Maicao (La Paz, San Felipe). Riohacha. (MALAWAINKAT y Las Delicias), Uribia, (La Sabana, Flor del Paraiso) Mnaure (Casco Urbano Internado Indígena Aremashiain). </t>
  </si>
  <si>
    <t xml:space="preserve">pH, Temperatura, Conductividad Oxígeno Disuelto, Caudal, Alcalinidad Total, Dureza Total, Solidos Suspendidos, Solidos Totales, Demanda Bioquímica de Oxigeno, DBO, pm10, Coliformes Termotolerantes, Coliformes Totales, Cloruros, Demanda Química de Oxigeno, </t>
  </si>
  <si>
    <t>OFICINA ASESORA DE PLANEACIÓN</t>
  </si>
  <si>
    <t xml:space="preserve">PROFESIONAL ESPECIALIZADO GRADO 17 (E) </t>
  </si>
  <si>
    <t>p.sanguino@corpoguajira.gov.co</t>
  </si>
  <si>
    <t>PAOLA SANGUINO DUQUE</t>
  </si>
  <si>
    <t>Acuerdo # 003 del 20 de Mayo de 2020</t>
  </si>
  <si>
    <t>Proyecto No 1.3. Banco de Proyectos</t>
  </si>
  <si>
    <t>Proyecto No 2.1. Administración de la Oferta y Demanda del Recurso Hídrico (superficiales y subterráneas)</t>
  </si>
  <si>
    <t>Proyecto No 2.2.  Monitoreo de la calidad del recurso hídrico.</t>
  </si>
  <si>
    <t>Proyecto No 3.1. Ecosistemas estratégicos continentales.</t>
  </si>
  <si>
    <t>Proyecto No 3.2. Ecosistemas marino costeros.</t>
  </si>
  <si>
    <t>Proyecto No 3.3. Protección y conservación de la biodiversidad</t>
  </si>
  <si>
    <t>Proyecto No 3.4. Negocios verdes y sostenibles.</t>
  </si>
  <si>
    <t>Proyecto No 4.1. Gestión Ambiental Urbana</t>
  </si>
  <si>
    <t>Proyecto No 4.2. Gestión Ambiental Sectorial</t>
  </si>
  <si>
    <t>Proyecto 5.1.Cultura Ambiental (12)</t>
  </si>
  <si>
    <t>Proyecto 5.2. Participación Comunitaria (13)</t>
  </si>
  <si>
    <t>Proyecto 6.1. Evaluación, Seguimiento, Monitoreo y Control de la calidad de los recursos naturales y la biodiversidad.</t>
  </si>
  <si>
    <t>Proyecto 6.2. Calidad del Aire</t>
  </si>
  <si>
    <t>**Esta información de esta fila y siguientes habria que ajustarla ya que con la Ley 1450/11, el Decreto 1120/13 (Hoy 1076 de 2015) y la formulación de los POMIUAC, las áreas protegidas - AP: Delta del Ranchería, Musichi, y las futuras: Matúa y Bahía Honda y Hondita, son AP Marino Costeras, al igual que lo es Sawairu, y no serían continentales, como aparecen aquí referenciadas.</t>
  </si>
  <si>
    <t>DRMI</t>
  </si>
  <si>
    <t>En declaración</t>
  </si>
  <si>
    <t>Bahia Honda, Bahia Hondita</t>
  </si>
  <si>
    <t>Marina Costera</t>
  </si>
  <si>
    <t>Corpoguajira</t>
  </si>
  <si>
    <t>Profesional Especializado, Grado 19</t>
  </si>
  <si>
    <t xml:space="preserve">(5) 7282672, Ext. </t>
  </si>
  <si>
    <t>Cra. 7 # 12 - 15</t>
  </si>
  <si>
    <t>a)  Participación en la Formulación del POMIUAC en el marco de la Unidad Ambiental Costera correspondiente a su jurisdicción.</t>
  </si>
  <si>
    <t xml:space="preserve">Participación en el diagnóstico y zonificación de los manglares </t>
  </si>
  <si>
    <t>Participación en la rehabilitación de manglares</t>
  </si>
  <si>
    <r>
      <rPr>
        <b/>
        <sz val="9"/>
        <rFont val="Calibri"/>
        <family val="2"/>
        <scheme val="minor"/>
      </rPr>
      <t>Es una actividad a realizarse en 2022</t>
    </r>
    <r>
      <rPr>
        <sz val="9"/>
        <rFont val="Calibri"/>
        <family val="2"/>
        <scheme val="minor"/>
      </rPr>
      <t>; no obstante, un mayor detalle de las acciones adelantadas se encuentran registradas en el Informe de Gestión Trimestral de la entidad.</t>
    </r>
  </si>
  <si>
    <t>Se apoyó la formulación y gestión del Proyecto “Rehabilitación de Manglar en los cuatro Municipios Costeros del Departamento de La Guajira" (100 Ha), actualmente en consideración de financiación por el Fondo de Compensación ambiental - FCA para la vigencia 2022.  Se hizo gestiones para la Rehabilitación de manglar en el Distrito Regional de Manejo Integrado - DRMI Musichi, con compensaciones ambientales, y se iniciará con la establecida en la Resolución Corpoguajira 184 de 05/02/2021 en conjunto con ELECNORTE S.A.S.  E.S.P., y se gestionará la ejecución de otras compensaciones en manglar. Se llevó a cabo gestiones para la rehabilitación de manglar en la jurisdicción a través del proyecto "Adaptación basada en ecosistemas para la protección contra la erosión costera en un clima cambiante” - MaBe (Minambiente - KfW - Corpoguajira), actualmente en consideración de financiación para la vigencia 2022. Un mayor detalle de las acciones adelantadas se encuentra en el Informe de Gestión Trimestral de la entidad.</t>
  </si>
  <si>
    <t>a)      Manejo de ecosistemas marinos y costeros.</t>
  </si>
  <si>
    <r>
      <t xml:space="preserve"> La zonificación ambiental de Pastos marinos</t>
    </r>
    <r>
      <rPr>
        <b/>
        <sz val="9"/>
        <rFont val="Calibri"/>
        <family val="2"/>
        <scheme val="minor"/>
      </rPr>
      <t xml:space="preserve"> es una actividad a ejecutarse en 2022-2023</t>
    </r>
    <r>
      <rPr>
        <sz val="9"/>
        <rFont val="Calibri"/>
        <family val="2"/>
        <scheme val="minor"/>
      </rPr>
      <t xml:space="preserve">.   </t>
    </r>
  </si>
  <si>
    <t>Mesas Técnicas de erosión costera a ejecutarse en el segundo semestre de 2021 y en 2022.</t>
  </si>
  <si>
    <t>Jornadas participativas de divulgación para los POMIUAC de la Alta Guajira y de la Vertiente Norte de la Sierra Nevada de Santa Marta – Sector La Guajira a desarrollarse en el segundo semestre de 2021 y en el 2022.</t>
  </si>
  <si>
    <t xml:space="preserve">En cuanto a la zonificación ambiental de playas se adelantó gestión ante el proyecto del Ministerio de Ambiente y  Desarrollo Sostenible - Minambiente y la Agencia Alemana de Cooperación KfW, denominado "Adaptación basada en ecosistemas  para la protección contra la erosión costera en un clima cambiante” - MaBe, con el fin de lograr la inclusión de la propuesta técnico económica - PTE de INVEMAR (2020), de zonificación ambiental de un sector del ecosistema de playa en Riohacha como una medida MaBe y en diferentes sesiones de trabajo se complementó la información al respecto según los diversos requerimientos del proyecto. Un mayor detalle de las acciones adelantadas se encuentra en el Informe de Gestión Trimestral de la entidad. </t>
  </si>
  <si>
    <t>Reporte a cargo del Grupo del Laboratorio Ambiental de la Subdirección de Gestión Ambiental de la entidad.</t>
  </si>
  <si>
    <t>Reporte a cargo del Grupo de Ordenamiento Ambiental de la Oficina de Planeación de la entidad.</t>
  </si>
  <si>
    <t>Se adelantaron esfuerzos para que en el marco del proyecto de la Agencia Alemana GIZ "Manejo Integrado Marino Costero"- MIMAC se logren realizar monitoreos en ecosistemas marino costeros en Bahía Honda y Hondita (Uribia) en el segundo semestre de 2021.</t>
  </si>
  <si>
    <t>En cuanto al Kilómetro lineal de costa intervenido con medidas de mitigación contra la erosión costera a ejecutarse en 2021, se hizo gestión ante el proyecto del Ministerio de Ambiente y Desarrollo Sostenible - MINAMBIENTE y la Agencia Alemana de Cooperación KfW, denominado "Adaptación basada en ecosistemas para la protección contra la erosión costera en un clima cambiante” - MaBe, con el fin de lograr la aprobación e inclusión en el Plan Operativo General - POG del proyecto y el Plan Operativo anual – POA de ejecución en 2022 de la medida de mitigación “Reforestación de Manglar en Franja“ en la zona costera, y que apunta a la meta como obra de protección. Un mayor detalle de las acciones adelantadas se encuentra en el Informe de Gestión Trimestral de la entidad.</t>
  </si>
  <si>
    <t>En el marco del desarrollo del proyecto del Ministerio de Ambiente y Desarrollo Sostenible - MINAMBIENTE, la Agencia Alemana de Cooperación KfW y Corpoguajira, denominado "Adaptación basada en ecosistemas para la protección contra la erosión costera en un clima cambiante” - MaBe, se trabajaron las medidas de interés de la Corporación para los ecosistemas de playa (y dunas), manglar y pastos marinos, para lograr aprobación y financiación, iniciando en el segundo semestre de 2021 la ejecución de una medida en pastos marinos en el Distrito Regional de Manejo Integrado Sawairu, orientada hacia la "protección, conservación y restauración de pastos marinos" (ficha 8 del Plan de Manejo del DRMI mencionado). Un mayor detalle de las acciones adelantadas se encuentra en el Informe de Gestión Trimestral de la entidad.</t>
  </si>
  <si>
    <t>En desarrollo de la inicicativa de carbono azul en manglares de Bahía Hondita (Uribia) y con el apoyo de la Agencia Alemana GIZ proyecto Manejo Integrado Marino Costero - MIMAC, se hizo gestión para Iograr realizar un monitoreo de tales manglares, a través de la articulación con INVEMAR, y de igual forma se participó en reuniones de trabajo con dichas entidades y el Minambiente y se hizo gestión para lograr la medición de carbono en ellos, en el contexto del trabajo de campo a realizarse con INVEMAR a partir del segundo semestre de 2021 (monitoreo). De la misma manera, se avanzó en el perfeccionamiento del documento que recoge la iniciativa de carbono azul en Bahía Hondita, denominado "Nota concepto" y se envió a Minambiente e igualmente se participó en la capacitación de carbono azul organizada por el Ministerio. Un mayor detalle de las acciones adelantadas se encuentra en el Informe de Gestión Trimestral de la entidad.</t>
  </si>
  <si>
    <t>a)      Monitoreo de la calidad ambiental en las zonas marinas y costeras.</t>
  </si>
  <si>
    <t>b)      Fortalecimiento de los sistemas de información regional ambiental en el ámbito marino-costero.</t>
  </si>
  <si>
    <t>c)       Monitoreo de ecosistemas y recursos acuáticos marinos y costeros.</t>
  </si>
  <si>
    <t>Construcción de obras de protección en la línea de costa como medida de mitigación contra la erosión costera.</t>
  </si>
  <si>
    <t>Porcentaje de medidas de adaptación costera en desarrollo.</t>
  </si>
  <si>
    <t xml:space="preserve">Carbono Azul. </t>
  </si>
  <si>
    <t>Gestión integral de mares. PND 2018 2022</t>
  </si>
  <si>
    <t>Grupo Marino Costero</t>
  </si>
  <si>
    <t>María del R. Guzmán V/Julio Vega Ramírez</t>
  </si>
  <si>
    <t>Profesional Especializado Grado 19/Subdirector de Gestión Ambiental</t>
  </si>
  <si>
    <t>j.vega@corpoguajira.gov.co</t>
  </si>
  <si>
    <t>(5) 7282672. Ext 128</t>
  </si>
  <si>
    <t>Cra 7 # 12 - 15</t>
  </si>
  <si>
    <t>Elaboración de los estudios previos de consultor e interventoría del proyecto del FCA “Estudio del estado de conservación del caimán y la tortuga marina en la zona costera comprendida entre los ríos Palomino y municipios de Dibulla y en bahía Hondita, municipio de Uribia, La Guajira” para incio de proceso contractual. Diseño preliminar y definitivo del poster divulgativo de las especies marino costeras amenazadas de bahía honda y bahía hondita. Establecimiento de vínculos de interés común, con la Fundación Hidrobiológica George Dahl, Fundación Tortugas de Mar, y  Cerrejón,  que permiten el fortalecimiento institucional en pro de la conservación de especies amenazadas, a través de formulación de proyectos de inversión pública, compensaciones ambientales, capacitaciones, y/o transferencias tecnológicas o de información. Evaluación de la propuesta técnica y económica para el CM 02-2021 que tiene por objeto: "Estudio del estado de conservación del caimán y la tortuga marina en la zona costera comprendida entre los ríos Palomino y ranchería, municipios de Dibulla y Riohacha, y en Bahía Hondita, municipio de Uribia, la Guajira" y la propuesta para el CM 03-2021 que tiene por objeto: " Interventoría técnica, administrativa y financiera al proyecto estudio del estado de conservación del caimán y la tortuga marina en la zona costera comprendida entre los ríos Palomino y Ranchería, municipios de Dibulla y Riohacha, y en Bahía Hondita, municipio de Uribia, La Guajira".</t>
  </si>
  <si>
    <t>Marina</t>
  </si>
  <si>
    <t>Fauna</t>
  </si>
  <si>
    <r>
      <rPr>
        <i/>
        <sz val="8"/>
        <color rgb="FF000000"/>
        <rFont val="Calibri"/>
        <family val="2"/>
        <scheme val="minor"/>
      </rPr>
      <t>Dermochelys coriacea</t>
    </r>
    <r>
      <rPr>
        <sz val="8"/>
        <color rgb="FF000000"/>
        <rFont val="Calibri"/>
        <family val="2"/>
        <scheme val="minor"/>
      </rPr>
      <t xml:space="preserve"> (Tortuga laud) CR</t>
    </r>
  </si>
  <si>
    <t>Caretta caretta (Tortuga Gogo)  CR</t>
  </si>
  <si>
    <r>
      <rPr>
        <i/>
        <sz val="8"/>
        <color rgb="FF000000"/>
        <rFont val="Calibri"/>
        <family val="2"/>
        <scheme val="minor"/>
      </rPr>
      <t>Eretmochelys imbricata</t>
    </r>
    <r>
      <rPr>
        <sz val="8"/>
        <color rgb="FF000000"/>
        <rFont val="Calibri"/>
        <family val="2"/>
        <scheme val="minor"/>
      </rPr>
      <t xml:space="preserve"> (Tortuga carey )  CR</t>
    </r>
  </si>
  <si>
    <t>Lepidochelys olivacea (Tortuga golfina) EN</t>
  </si>
  <si>
    <r>
      <rPr>
        <i/>
        <sz val="8"/>
        <color rgb="FF000000"/>
        <rFont val="Calibri"/>
        <family val="2"/>
        <scheme val="minor"/>
      </rPr>
      <t>Chelonia mydas</t>
    </r>
    <r>
      <rPr>
        <sz val="8"/>
        <color rgb="FF000000"/>
        <rFont val="Calibri"/>
        <family val="2"/>
        <scheme val="minor"/>
      </rPr>
      <t xml:space="preserve"> (Tortuga verde) EN</t>
    </r>
  </si>
  <si>
    <t xml:space="preserve"> Crocodylus acutus (Caimán aguja) CR</t>
  </si>
  <si>
    <t xml:space="preserve">Elaboración de documento interno de trabajo de revisión de información de especies amenazadas de mamíferos marinos, e identificación de acciones posibles de realizar en el 2021. Establecimiento de vínculos de interés común, con la Fundación Macuáticos Colombia, que permiten el fortalecimiento institucional en pro de la conservación de especies amenazadas, a través de formulación de proyectos de inversión pública y/o compensaciones ambientales. </t>
  </si>
  <si>
    <r>
      <rPr>
        <i/>
        <sz val="8"/>
        <color rgb="FF000000"/>
        <rFont val="Calibri"/>
        <family val="2"/>
        <scheme val="minor"/>
      </rPr>
      <t>Sotalia guianensis</t>
    </r>
    <r>
      <rPr>
        <sz val="8"/>
        <color rgb="FF000000"/>
        <rFont val="Calibri"/>
        <family val="2"/>
        <scheme val="minor"/>
      </rPr>
      <t xml:space="preserve">  (Delfín gris) (Antes </t>
    </r>
    <r>
      <rPr>
        <i/>
        <sz val="8"/>
        <color rgb="FF000000"/>
        <rFont val="Calibri"/>
        <family val="2"/>
        <scheme val="minor"/>
      </rPr>
      <t>S.</t>
    </r>
    <r>
      <rPr>
        <sz val="8"/>
        <color rgb="FF000000"/>
        <rFont val="Calibri"/>
        <family val="2"/>
        <scheme val="minor"/>
      </rPr>
      <t xml:space="preserve"> </t>
    </r>
    <r>
      <rPr>
        <i/>
        <sz val="8"/>
        <color rgb="FF000000"/>
        <rFont val="Calibri"/>
        <family val="2"/>
        <scheme val="minor"/>
      </rPr>
      <t>fluviatilis</t>
    </r>
    <r>
      <rPr>
        <sz val="8"/>
        <color rgb="FF000000"/>
        <rFont val="Calibri"/>
        <family val="2"/>
        <scheme val="minor"/>
      </rPr>
      <t>) VU</t>
    </r>
  </si>
  <si>
    <t>Elaboración de la segunda nota informativa (sensibilización y prevención). Seguimiento a los dos flamencos marcados con rastreadores satelitales (contrato de consultoría CDM0006-18, la U.T C&amp;A FAUNA GUAJIRA).</t>
  </si>
  <si>
    <r>
      <rPr>
        <i/>
        <sz val="8"/>
        <color rgb="FF000000"/>
        <rFont val="Calibri"/>
        <family val="2"/>
        <scheme val="minor"/>
      </rPr>
      <t>Phoenicopterus ruber</t>
    </r>
    <r>
      <rPr>
        <sz val="8"/>
        <color rgb="FF000000"/>
        <rFont val="Calibri"/>
        <family val="2"/>
        <scheme val="minor"/>
      </rPr>
      <t xml:space="preserve"> (Flamenco rosado) VU</t>
    </r>
  </si>
  <si>
    <t>Elaboración de la segunda nota informativa (sensibilización y prevención). Se avanza con la formulación del perfil de proyecto sobre pepino de mar.</t>
  </si>
  <si>
    <t>Holothuria mexicana e Isostichopus badionotus (Pepino de mar: 2 especies) **</t>
  </si>
  <si>
    <t>Se re-estableció comunicación con la Fundación Squalus en relación al proyecto “Reducción de la captura incidental y de la mortalidad post-captura de tiburones y rayas de colombia. Se sostuvo reunión de socialización con la DAMCRA del Minanbiente sobre el Decreto No.  281 de 2021 relacionado con el establecimiento de medidas para la protección y conservación de Tiburones, Rayas Marinas y Quimeras de Colombia.</t>
  </si>
  <si>
    <t>Ginglymostoma cirratum, VU; Mustelus minicanis, VU;  Carcharhinus falciformis, VU; Carcharhinus limbatus, VU; Carcharhinus longimanus, VU; Sphyrna lewini, VU; Sphyrna mokarran, VU  (Tiburones: 7 especies** (Res. 1912 de 2017, Minambiente).</t>
  </si>
  <si>
    <t>Recursos propios</t>
  </si>
  <si>
    <t>(5) 7282672. Ext. 124</t>
  </si>
  <si>
    <t>Se avanza en la elaboración de un cuestionario que será aplicado a los pescadores de los municipios costeros y Distrito de Riohacha y con el que se pretende obtener la mayor información posible sobre el conocimiento de las especies invasoras Camarón jumbo y Pez león en las diferentes zonas. Elaboración de Memorando de Entendimiento entre el municipio de Dibulla y Corpoguajira el cual está siendo ajustado según observaciones de la Oficina Jurídica de la Corporación. Avance en la elaboración del Memorando de Entendimiento entre Corpoguajira y Conservación internacional con el fin de aunar esfuerzos para fortalecer las capacidades en torno al conocimiento, manejo y control del pez león en la jurisdicción de la Corporación. Con el fin de conocer experiencias en el manejo y control del pez león, se sostiene una reunión con funcionarios del PNN Tayrona quienes socializaron las acciones avances que han tenido en el tiempo frente al control y conocimiento de la especie en el área protegida, así como las experiencias en los torneos de extracción y muestras gastronómicas usando esta especie. Se participó en el Comité Pez león, en el marco de la Sentencia T-606 de 2015, en el cual se avanzó en el diligenciamiento de los indicadores del segundo semestre del 2020 que deben ser reportados como parte del seguimiento a la Sentencia.</t>
  </si>
  <si>
    <r>
      <t>Camarón jumbo (</t>
    </r>
    <r>
      <rPr>
        <i/>
        <sz val="9"/>
        <rFont val="Calibri"/>
        <family val="2"/>
        <scheme val="minor"/>
      </rPr>
      <t>Penaeus monodon</t>
    </r>
    <r>
      <rPr>
        <sz val="9"/>
        <rFont val="Calibri"/>
        <family val="2"/>
        <scheme val="minor"/>
      </rPr>
      <t>), Pez león (Pterois volitans)</t>
    </r>
  </si>
  <si>
    <r>
      <t>Elaboración de las segundas notas informativ</t>
    </r>
    <r>
      <rPr>
        <sz val="9"/>
        <rFont val="Calibri"/>
        <family val="2"/>
        <scheme val="minor"/>
      </rPr>
      <t>as (sensibilización y prevención)</t>
    </r>
    <r>
      <rPr>
        <sz val="9"/>
        <color rgb="FF000000"/>
        <rFont val="Calibri"/>
        <family val="2"/>
        <scheme val="minor"/>
      </rPr>
      <t>, una para Camarón jumbo y otra para Pez león.</t>
    </r>
  </si>
  <si>
    <t>Camarón jumbo (Penaeus monodon) y Pez león (Pterois volitans)</t>
  </si>
  <si>
    <t>Acercamiento con municipio de Dibulla, Conservación Internacional, Invemar y Parques Nacionales Naturales para explorar posibles convenios de apoyo para la ejecución de medidas de contol y manejo de especies invasoras.</t>
  </si>
  <si>
    <r>
      <t>Pez león (</t>
    </r>
    <r>
      <rPr>
        <i/>
        <sz val="9"/>
        <color rgb="FF000000"/>
        <rFont val="Calibri"/>
        <family val="2"/>
        <scheme val="minor"/>
      </rPr>
      <t>Pterois volitans</t>
    </r>
    <r>
      <rPr>
        <sz val="9"/>
        <color rgb="FF000000"/>
        <rFont val="Calibri"/>
        <family val="2"/>
        <scheme val="minor"/>
      </rPr>
      <t>)</t>
    </r>
  </si>
  <si>
    <t>(5) 7282672 Ext 124</t>
  </si>
  <si>
    <t>Grupo de Seguimiento Ambiental</t>
  </si>
  <si>
    <t>Carlos Lopez Avila</t>
  </si>
  <si>
    <t>c.lopez@corpoguajira.gov.co</t>
  </si>
  <si>
    <t>(5) 7282672, Ext.  117</t>
  </si>
  <si>
    <t>Carrera 7 # 12 15</t>
  </si>
  <si>
    <t>Profesional Especializado, Codigo 2028, Grado 19</t>
  </si>
  <si>
    <t>(5) 7282672, Ext. 117</t>
  </si>
  <si>
    <t>Carrera 7 # 12 - 15</t>
  </si>
  <si>
    <t xml:space="preserve">Corporacion Autonoma Regional de La Guajira </t>
  </si>
  <si>
    <t>Subdirección de Autoridad Ambiental; Grupo de Seguimiento Ambiental.</t>
  </si>
  <si>
    <t>Profesional Especializado, Código 2028, Grado 19</t>
  </si>
  <si>
    <t>(5) 7282672 / 7275125 / 7286778. Extensión 117</t>
  </si>
  <si>
    <t>Carrera 7 N° 12-15</t>
  </si>
  <si>
    <t>Relleno sanitarios</t>
  </si>
  <si>
    <t>Riego</t>
  </si>
  <si>
    <t>Servicios</t>
  </si>
  <si>
    <t>Obras civiles</t>
  </si>
  <si>
    <t>Energias Renovables</t>
  </si>
  <si>
    <t>Horno incinerador</t>
  </si>
  <si>
    <t xml:space="preserve">Tendido Eléctrico </t>
  </si>
  <si>
    <t>Patio de Cenizas</t>
  </si>
  <si>
    <t>Celda Trancitoria</t>
  </si>
  <si>
    <t>Porcentaje de avance en la formulación y/o ajuste de Planes de Ordenación y Manejo de Cuencas (POMCAS) y Planes de Manejo de Microcuencas (PMM).</t>
  </si>
  <si>
    <t>Porcentaje de Planes de Ordenación y Manejo de Cuencas (POMCAS), Planes de Manejo de Acuíferos (PMA) y Planes de Manejo de Microcuencas (PMM) en ejecución con seguimiento.</t>
  </si>
  <si>
    <t>Indicadores</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</si>
  <si>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</si>
  <si>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municipios con seguimiento al cumplimiento de los asuntos ambientales concertados en los POT adoptados</t>
  </si>
  <si>
    <t>Porcentaje de servicios de información emitidos por la Corporación</t>
  </si>
  <si>
    <t>Porcentaje de acotamiento de rondas hidricas de corrientes priorizadas</t>
  </si>
  <si>
    <t>Porcentaje de páramos delimitados por el MADS, con zonificación y régimen de usos adoptados por la CAR.</t>
  </si>
  <si>
    <t># de hectareas Areas Protegidas declaradas</t>
  </si>
  <si>
    <t>Porcentaje de entes territoriales asesorados en la incorporación, planificación y ejecución de acciones relacionadas con cambio climático en el marco de los instrumentos de planificación territorial.</t>
  </si>
  <si>
    <t>Numero de iniciativas en el departamento de la Guajira en adaptación al cambio climático orientadas por la autoridad ambiental</t>
  </si>
  <si>
    <t>Porcentaje de implementación del Sistema Regional de Información de Cambio Climático</t>
  </si>
  <si>
    <t>Talleres en difusión de conocimientos en cambio climático basado en la  estrategia de educación, formación y sensibilización a públicos.</t>
  </si>
  <si>
    <t xml:space="preserve">Numero de estrategias orientadas a la reduccion acumulada de gases de efecto invernadero, con respecto al escenario de referencia nacional </t>
  </si>
  <si>
    <t>Asistencia técnica a Gobernación, Autoridades Territoriales y comunidad y autoridades tradicionales de la Guajira para promover la implementación "Plan Integral de Gestión del Cambio Climático Departamento de la Guajira”, realizada.</t>
  </si>
  <si>
    <t>Ejecución de acciones para el fortalecimiento del Nodo Regional de Cambio Climático Caribe e Insular</t>
  </si>
  <si>
    <t>Numero de capacitaciones y/o asistencias tecnicas  miembros de los  Consejos de Gestion del Riesgo e impulso a la formulación de los planes municipales de GRD</t>
  </si>
  <si>
    <t>Porcentaje de entes territoriales con asistencia tecnica y seguimiento en la inclusión de la gestión del riesgo en los planes de ordenamiento del territorio.</t>
  </si>
  <si>
    <t>Estudios para el fortalecimiento de la gestión de riesgos de desastres en el departamento.</t>
  </si>
  <si>
    <t>Porcentaje de informacion de proyectos actualizados</t>
  </si>
  <si>
    <t>Numero de proyectos formulados y gestionados</t>
  </si>
  <si>
    <t xml:space="preserve">Porcentaje de proyectos con seguimiento y evaluación.
</t>
  </si>
  <si>
    <t>Funcionarios públicos, contratistas, representantes de comunidades, organizaciones y minorías étnicas capacitadas</t>
  </si>
  <si>
    <t>Porcentaje de la población objetivo satisfecha con la gestión ambiental, que evidencia mejora en el desempeño institucional por parte de la Corporación.</t>
  </si>
  <si>
    <t>Mesa técnica conjunta entre Comunidad, ADR, Alcaldìa de Maicao y Corpoguajira para presentar metodología de formulación de proyectos de agua para otros usos realizada</t>
  </si>
  <si>
    <t>Número de población de comunidades indígenas y negras beneficiadas con obras de infraestructura para captación y/o almacenamiento de agua</t>
  </si>
  <si>
    <t>Informes de construcción de Sistemas de Abastecimiento comunidades indigenas de los municipios de Riohacha y Maicao en el periodo 2018 2021</t>
  </si>
  <si>
    <t>Línea base construida a partir de los cruces de las bases de datos</t>
  </si>
  <si>
    <t>Porcentaje de avance en la formulación y/o ajuste de planes de manejo de acuíferos (PMA).</t>
  </si>
  <si>
    <t>Porcentaje de Planes de Manejo de Acuíferos (PMA) en ejecución.</t>
  </si>
  <si>
    <t>Porcentajes de cuerpos de agua con planes de ordenamiento del recurso hídrico (PORH) adoptados.</t>
  </si>
  <si>
    <t>Cuerpos de agua con revisión de reglamentación del uso de las aguas</t>
  </si>
  <si>
    <t>Porcentaje de Planes de Ordenamiento del Recurso hídrico (PORH) en ejecución.</t>
  </si>
  <si>
    <t>Instrumentos de planificación socializados con la comunidad</t>
  </si>
  <si>
    <t>Líneas de cauce con obras de control de inundaciones, erosión, caudales, escorrentía, rectificación y manejo de cauces, regulación de cauces y demás obras para mitigar los  riesgos asociados a la oferta y disponibilidad de agua.</t>
  </si>
  <si>
    <t>Estudio independiente para establecer si hay una relación entre la actividad minera a gran escala y la escases de agua potable para las comunidadaes Wayuu</t>
  </si>
  <si>
    <t>Número de estudios del agua realizado.</t>
  </si>
  <si>
    <t>Número de fuentes puntuales de vertimiento de aguas residuales (domésticas y de los sectores productivos) con cobro de la tasa retributiva.</t>
  </si>
  <si>
    <t>Número de fuentes abastecedoras de acueductos de centros poblados con monitoreo de calidad del agua para generar el índice de calidad. (ICA)</t>
  </si>
  <si>
    <t xml:space="preserve">Número de corrientes o tramos de las mismas con objetivos de calidad monitoreados </t>
  </si>
  <si>
    <t>Número de estaciones de muestreo de calidad de aguas marinas y costeras con monitoreo de la calidad del agua. ICAM</t>
  </si>
  <si>
    <t>Número de pozos de agua subterránea de la red regional con monitoreo de calidad</t>
  </si>
  <si>
    <t>Porcentaje de estaciones de monitoreo de aguas marinas con categorías aceptable y óptima</t>
  </si>
  <si>
    <t>Plan de monitoreo permanente del estado de la calidad y cantidad del agua superficial y subterránea en las comunidades wayuu ejecutado con la finalidad de tomar las medidas a que haya lugar.</t>
  </si>
  <si>
    <t>Número de vertimientos puntuales al recurso hídrico con monitoreo en términos de DBO y SST</t>
  </si>
  <si>
    <t>Número de parámetros acreditados en el laboratorio Ambiental ante el IDEAM</t>
  </si>
  <si>
    <t>Porcentaje de Planes de Ordenación y Manejo de Cuencas (POMCAS) y Planes de Manejo de Microcuencas (PMM) en ejecución.</t>
  </si>
  <si>
    <t>Porcentaje de ecosistemas o unidades de análisis ecosistémicas no representados o subrepresentados incluidos en el SINAP en el cuatrienio</t>
  </si>
  <si>
    <t>Porcentaje de mejora en el índice de efectividad de manejo de las áreas protegidas públicas</t>
  </si>
  <si>
    <t>Convenios Interadministrativos suscritos</t>
  </si>
  <si>
    <t>Número de SIDAP y SILAP  conformados</t>
  </si>
  <si>
    <t>Implementación de acciones en manejo integrado de zonas costeras.</t>
  </si>
  <si>
    <t>Porcentaje de hectáreas de manglar caracterizadas y diagnosticadas</t>
  </si>
  <si>
    <t>Porcentaje de la superficie de áreas protegidas regionales declaradas, inscritas en el RUNAP y con Plan de Manejo formulado y adoptado</t>
  </si>
  <si>
    <t>Porcentaje de Hectáreas  de mangles en rehabilitación</t>
  </si>
  <si>
    <t xml:space="preserve">Porcentaje de hectáreas de pastos marinos zonificadas </t>
  </si>
  <si>
    <t>Proyectos para zonificación ambiental de playas en ejecución</t>
  </si>
  <si>
    <t>Porcentaje de medidas de adaptación costera en desarrollo</t>
  </si>
  <si>
    <t xml:space="preserve">Mesas técnicas de Erosión Costeras </t>
  </si>
  <si>
    <t>Jornadas participativas de divulgación para los POMIUAC de la Alta Guajira y de la Vertiente Norte de la Sierra Nevada de Santa Marta – Sector La Guajira.</t>
  </si>
  <si>
    <t>Kilómetros lineales de costa intervenidos con medidas de mitigación contra la erosión costera</t>
  </si>
  <si>
    <t>Porcentaje de Especies amenazadas con medidas de conservación y manejo en ejecución</t>
  </si>
  <si>
    <t>Porcentaje de Especies invasoras con medidas de prevención, control y manejo en ejecución</t>
  </si>
  <si>
    <t>Iniciativas de carbono azul para el uso sostenible de los manglares en implementación</t>
  </si>
  <si>
    <t>Acuerdos para el aprovechamiento local de plásticos y otros materiales reciclables en municipios costeros (continental e insular) en implementación</t>
  </si>
  <si>
    <t>Porcentaje de Especies Continentales amenazadas con medidas de conservación y manejo en ejecución</t>
  </si>
  <si>
    <t>Porcentaje de Especies continentales invasoras con medidas de prevención, control y manejo en ejecución</t>
  </si>
  <si>
    <t xml:space="preserve">Porcentaje de avance en la formulación del Plan General de Ordenación Forestal </t>
  </si>
  <si>
    <t>Porcentaje de avance de ejecución del Plan General de Ordenación Forestal adoptado.</t>
  </si>
  <si>
    <t>Reducir la tendencia de crecimiento de la deforestación proyectada por el IDEAM</t>
  </si>
  <si>
    <t>Número de monitoreos de la biodiversidad realizados</t>
  </si>
  <si>
    <t>Número de talleres de sensibilización sobre la conservación del bosque seco  realizados</t>
  </si>
  <si>
    <t>Áreas afectadas por el desarrollo de actividades ilegales en proceso de restauración</t>
  </si>
  <si>
    <t>Familias campesinas beneficiadas por actividades agroambientales con acuerdos de conservación de bosques</t>
  </si>
  <si>
    <t>Áreas bajo sistemas sostenibles de conservación (restauración*, sistemas agroforestales, manejo forestal sostenible)</t>
  </si>
  <si>
    <t># de informes de hectareas bajo esquema de producción sostenible</t>
  </si>
  <si>
    <t>Número de proyectos "Cuantificación los servicios de regulación en almacenamiento de carbono formulados</t>
  </si>
  <si>
    <t>Implementación del programa regional de negocios verdes por la autoridad ambiental</t>
  </si>
  <si>
    <t>Áreas bajo esquemas de Pagos por Servicios Ambientales (PSA) e incentivos a la conservación</t>
  </si>
  <si>
    <t>Acuerdos de cero deforestación para las cadenas productivas del sector agropecuario en implementación</t>
  </si>
  <si>
    <t>Negocios verdes verificados</t>
  </si>
  <si>
    <t>Porcentaje de negocios verdes asistidos técnicamente</t>
  </si>
  <si>
    <t>Número de jornada de arborización ejecutada</t>
  </si>
  <si>
    <t>Número de acuerdos locales formulados y/o implementados con actores sociales de los ecosistemas urbanos</t>
  </si>
  <si>
    <t>Número de asistencia técnica para incrementar la superficie de área verde por habitante en zonas urbanas</t>
  </si>
  <si>
    <t>Número de municipios asesorados para la identificación, compilación y análisis de los Índices de Calidad Ambiental Urbana ICAU que sean de  competencia de la Corporación</t>
  </si>
  <si>
    <t>Número de municipios con asistencia técnica para la identificación de la estructura ecológica urbana. (EEU)</t>
  </si>
  <si>
    <t xml:space="preserve">Número de asistencia técnica de para el aprovechamiento de residuos sólidos orgánicos e inorgánicos </t>
  </si>
  <si>
    <t xml:space="preserve">Estrategias implementadas para la gestión adecuada de sustancias agotadoras de la capa de ozono </t>
  </si>
  <si>
    <t>Número de estrategias de educación, sensibilización y capacitación para mayor aprovechamiento y transformación de residuos sólidos en los sectores residencial, institucional y comercial de áreas urbanas</t>
  </si>
  <si>
    <t>Número de grupos de  Recicladores de oficio caracterizados y formados</t>
  </si>
  <si>
    <t>Entes territoriales con acompañamiento técnico  para la implementación del comparendo ambiental</t>
  </si>
  <si>
    <t>Número de campañas de limpieza y descontaminación de fuentes hidricas</t>
  </si>
  <si>
    <t>Entidades públicas con acompañamiento técnico  para la adopción e implementación del programa de compras públicas</t>
  </si>
  <si>
    <t>Jornadas de recolección de residuos de posconsumo y RAEE, ejecutadas.</t>
  </si>
  <si>
    <t xml:space="preserve">Estrategias de formación y sensibilización  formuladas e implementadas </t>
  </si>
  <si>
    <t>Diagnóstico de la situación del sector informal en la gestión de los RAEE</t>
  </si>
  <si>
    <t xml:space="preserve">Sectores con estrategias de formación y sensibilización  implementadas para la prevención de incendios forestales. </t>
  </si>
  <si>
    <t>Sectores con procesos de capacitación desarrollados sobre ahorro y uso eficiente de agua y energía</t>
  </si>
  <si>
    <t>Sectores con estrategias implementadas para el fortalecimiento de la cultura y gobernanza del agua en el Departamento de La Guajira</t>
  </si>
  <si>
    <t>Sectores con estrategias formuladas y/o implementadas para controlar la deforestación, conservar los ecosistemas y prevenir su degradación</t>
  </si>
  <si>
    <t>Sectores con asistencia técnica para la implementación de buenas prácticas ambientales y  de producción y consumo sostenible.</t>
  </si>
  <si>
    <t xml:space="preserve">Guía de manejo ambiental en la minería de subsistencia elaborada y socializada. </t>
  </si>
  <si>
    <t>Sectores con asistencia técnica para la implementación de normas técnicas de sostenibilidad turística</t>
  </si>
  <si>
    <t>Sectores con acuerdos establecidos y en ejecución para el aprovechamiento local de plásticos y la gestión de residuos de envases y empaques.</t>
  </si>
  <si>
    <t xml:space="preserve">Sectores con acuerdos establecidos para la gestión de residuos de posconsumo </t>
  </si>
  <si>
    <t>Número de estrategias diseñadas e implementadas para la sensibilización ambiental en comunidades costeras.</t>
  </si>
  <si>
    <t xml:space="preserve">Proyectos ambientales escolares, PRAES formulados o  implementados
</t>
  </si>
  <si>
    <t>PRAU formulados, asesorados y acompañados</t>
  </si>
  <si>
    <t xml:space="preserve">Educadores y dinamizadores ambientales formados </t>
  </si>
  <si>
    <t>Arreglo institucional Corpoguajira y secretarías de educación departamental y municipales,  acordado y  en funcionamiento</t>
  </si>
  <si>
    <t xml:space="preserve">Personas formadas </t>
  </si>
  <si>
    <t xml:space="preserve">Estrategia formulada y ejecutada </t>
  </si>
  <si>
    <t xml:space="preserve">Instituciones educativas que implementan el Servicio social ambiental </t>
  </si>
  <si>
    <t>Proyectos de investigación sobre educación ambiental formulados y ejecutados</t>
  </si>
  <si>
    <t>Política departamental de educación ambiental 2019-2030 formulada y en ejecución</t>
  </si>
  <si>
    <t>Miembros de CIDEA formados en gestión ambiental y educación ambiental</t>
  </si>
  <si>
    <t>Planes municipales de educación ambiental asesorados y en ejecución</t>
  </si>
  <si>
    <t>Encuentros entre CIDEA departamental y municipales</t>
  </si>
  <si>
    <t xml:space="preserve">Espacios de intercambio  creados 
</t>
  </si>
  <si>
    <t>proyectos  ciudadanos de educación ambiental -PROCEDA- orientados a la gestión y transformación de conflictos socioambientales, adaptación y mitigación  del cambio climático, economía circular, áreas protegidas,</t>
  </si>
  <si>
    <t>personas capacitadas para la gestión  y transformación de conflictos socioambientales</t>
  </si>
  <si>
    <t xml:space="preserve">Número de bases las fuerzas militares y/o de la policía vinculadas a procesos formativos </t>
  </si>
  <si>
    <t>Redes municipales de jóvenes conformadas y actuando</t>
  </si>
  <si>
    <t xml:space="preserve">Formulada e implementada  estrategia de comunicación </t>
  </si>
  <si>
    <t>Bibliotecas municipales o institucionales  fortalecidas con información  ambiental</t>
  </si>
  <si>
    <t>Estrategia formulada y en ejecución</t>
  </si>
  <si>
    <t>Jornadas de sensibilización con relación al manejo del recurso hídrico y disposición de residuos sólidos en las comunidades de la alta Guajira.</t>
  </si>
  <si>
    <t>Jornadas de construcción de acciones conjuntas con la comunidad y Corpoguajira</t>
  </si>
  <si>
    <t>Programa de educación ambiental focalizado</t>
  </si>
  <si>
    <t>Programa de educación para la gestión del recurso hídrico y manejo ambientalmente responsable, de residuos focalizado.</t>
  </si>
  <si>
    <t>Ejecución de acciones en Educación Ambiental</t>
  </si>
  <si>
    <t>Link de educación ambiental en página de Corpoguajira</t>
  </si>
  <si>
    <t xml:space="preserve">Información cuantitativa y cualitativa sobre acciones de educación ambiental y gestión ambiental sectorial urbana, consolidada, espacializada y sistematizada </t>
  </si>
  <si>
    <t>Porcentaje de solicitudes de Autorizaciones ambientales evaluadas</t>
  </si>
  <si>
    <t>Porcentaje de las solicitudes de PQRSD  competencia de la CAR resueltas</t>
  </si>
  <si>
    <t>Número de operativos de control al tráfico ilegal de flora y fauna realizados</t>
  </si>
  <si>
    <t>Estatuto forestal actualizado.</t>
  </si>
  <si>
    <t>Información Actualizada de Bases de Datos Nacionales (VITAL y SNIF)</t>
  </si>
  <si>
    <t>Informes técnicos de operativos contra el tráfico ilegal de flora enviados al MADS</t>
  </si>
  <si>
    <t>Empresas forestales identificadas en el departamento de La Guajira cumpliendo con la Resolución 1971 de 2019</t>
  </si>
  <si>
    <t>Informe de Seguimientos a los impactos ambientales derivados por transporte de carbón</t>
  </si>
  <si>
    <t>Tiempo promedio de trámite para la resolución de autorizaciones ambientales otorgadas por la Corporación.</t>
  </si>
  <si>
    <t>Porcentaje de las solicitudes de licencias ambientales competencia de la CAR resueltas dentro de los tiempos establecidos en la normatividad vigente</t>
  </si>
  <si>
    <t># de campañas de monitoreo de fuentes móviles</t>
  </si>
  <si>
    <t># de vehiculo atendidos en campaña de monitoreo  de fuentes móviles</t>
  </si>
  <si>
    <t>Porcentaje de estaciones de monitoreo de PM10 que cumplen con la norma anual de PM10</t>
  </si>
  <si>
    <t>Porcentaje de estaciones de monitoreo de PM10 con promedio anual ≤ 30 μg/m3</t>
  </si>
  <si>
    <t>Porcentaje de estaciones de monitoreo de PM2.5 que cumplen con la norma anual de PM2.5</t>
  </si>
  <si>
    <t>Porcentaje de estaciones de monitoreo de calidad del aire con representatividad temporal ≥ 75%</t>
  </si>
  <si>
    <t># de estaciones de calidad del aire reportadas en el SISAIRE</t>
  </si>
  <si>
    <t xml:space="preserve">Acuerdo # 003 del 20 de Mayo de 2020. </t>
  </si>
  <si>
    <t>TAPIAS</t>
  </si>
  <si>
    <t>Formulacion</t>
  </si>
  <si>
    <t>CAMARONES</t>
  </si>
  <si>
    <t>1503-02</t>
  </si>
  <si>
    <t>ANCHO Y OTROS DIRECTOS AL CARIBE</t>
  </si>
  <si>
    <t>1503-01</t>
  </si>
  <si>
    <t>PALOMINO</t>
  </si>
  <si>
    <t>Procesos formales previos</t>
  </si>
  <si>
    <t>SAC 3.1</t>
  </si>
  <si>
    <t>Sistema Acuifero de Maicao</t>
  </si>
  <si>
    <t>Aprobado</t>
  </si>
  <si>
    <t>Alto del Cesar</t>
  </si>
  <si>
    <t>SAC 3.2</t>
  </si>
  <si>
    <t>Sistema de Acuifero Riohacha - Manaure</t>
  </si>
  <si>
    <t>SAC 3.3</t>
  </si>
  <si>
    <t>Sistema de Acuifero Alta Guajira</t>
  </si>
  <si>
    <t>SAC 4.2</t>
  </si>
  <si>
    <t>Sistema de Acuifero Ranchería</t>
  </si>
  <si>
    <t>2801-03</t>
  </si>
  <si>
    <t>CORPOGUAJIRA</t>
  </si>
  <si>
    <t>Grupo de Ordenamiento Ambiental Territorial, Grupo Administración Integral del Recurso Hidrico</t>
  </si>
  <si>
    <t>Yovani Delgado Moreno, Julio Segundo Curvelo Redondo</t>
  </si>
  <si>
    <t>y.delgado@corpoguajira.gov.co, j.curvelo@corpoguajira.gov.co</t>
  </si>
  <si>
    <t>(5) 7282672, Ext 203</t>
  </si>
  <si>
    <t>se acompaño y brindo asesoria a los 15 entes territoriales, incluyendo a la Gobernacion de La Guajira en la inclusion del componente dentre de sus Planes de desarrollo</t>
  </si>
  <si>
    <t>Alcaldias de Riohacha, Dibulla, Uribia, Maicao, Manaure, Albania, Barrancas, Hatonuevo, Fonseca, Distraccion, San Juan Del Cesar, Villanueva, Urumita, EL Molino, La Jagua del Pilar. Gibernacion de la Guajira</t>
  </si>
  <si>
    <t>Riohacha, Uribia, Dibulla, Hatonuevo</t>
  </si>
  <si>
    <t>Capacitación en Incorporación de Gestión de Riesgo y cambio climatico.</t>
  </si>
  <si>
    <t>Oficina Asesora de Planeación</t>
  </si>
  <si>
    <t>Yovani Delgado Moreno</t>
  </si>
  <si>
    <t>y.delgado@car.corpoguajira.gov.co</t>
  </si>
  <si>
    <t>(5) 7282672. Ext 203</t>
  </si>
  <si>
    <t>Cra 7 # 12  - 15</t>
  </si>
  <si>
    <t>Se realizo capacitacion en inclusion del componente Cambio climatico en los POT, con énfasis en la incorporación de esta  Determinante ambiental,  Capacitación realizada a los 15 municipios en el marco de las capacitaciones realizadas en el proyecto  Implementación  de  mecanismos  para  la  generación  de  conocimiento</t>
  </si>
  <si>
    <t>Riohacha, Dibulla, Uribia, Hatonuevo, Manaure, Albania, Barrancas, Hatonuevo, Fonseca, Distracion, San Juan del Cesar,Villanueva, Urumita, La Jagua del Pilar y Maicao</t>
  </si>
  <si>
    <t>Grupo de Ordenamiento Ambiental Territorial</t>
  </si>
  <si>
    <t>y.delgado@corpoguajira.gov.co</t>
  </si>
  <si>
    <t>7282672, Ext 203</t>
  </si>
  <si>
    <t>SVCA CORPOGUAJIRA</t>
  </si>
  <si>
    <t xml:space="preserve">Albania </t>
  </si>
  <si>
    <t>Hatonuevo</t>
  </si>
  <si>
    <t>Barrancas</t>
  </si>
  <si>
    <t>Pacharoca</t>
  </si>
  <si>
    <t>Los Remedios</t>
  </si>
  <si>
    <t>Cuestecitas</t>
  </si>
  <si>
    <t>Provincial</t>
  </si>
  <si>
    <t>Papayal</t>
  </si>
  <si>
    <t>Conejo</t>
  </si>
  <si>
    <t>Barrancas Urbana</t>
  </si>
  <si>
    <t>Albania</t>
  </si>
  <si>
    <t>Fonseca</t>
  </si>
  <si>
    <t>Grupo de Ordenamiento ambiental Territorial y Grupo de Evaluación Ambiental</t>
  </si>
  <si>
    <t>Yovani Delgado Moreno y Fernando Prieto Vargas</t>
  </si>
  <si>
    <t>Profesionales Especializados</t>
  </si>
  <si>
    <t>y.delgado@corpoguajira.gov.co; f.prieto@corpoguajira.gov.co</t>
  </si>
  <si>
    <t>(5) 7275125. Ext. 203, 322</t>
  </si>
  <si>
    <t>Grupo de Ordenamiento Ambiental Territorial; Grupo de Evaluación Ambiental; Grupo de Seguimiento Ambiental; Grupo de Ecosisitemas y Biodiversidad.</t>
  </si>
  <si>
    <t>Yovani Delgado,  Fernando Prieto, Carlos Lopez Avila, Yuri Hurtado Garcia</t>
  </si>
  <si>
    <t>Profesional Especializado Grado 19</t>
  </si>
  <si>
    <t>y.delgado@corpoguajira.gov.co; f.prieto@corpoguajira.gov.co; c.lopez@corpoguajira.gov.co; y.hurtado@corpoguajira.gov.co</t>
  </si>
  <si>
    <t>(5) 7275125. Ext. 203, 322, 124</t>
  </si>
  <si>
    <t>Porcentaje de seguimientos y evaluaciones para gnerar conocimiento realizadas.</t>
  </si>
  <si>
    <t xml:space="preserve">Implementar estrategias para fomentar la Gobernanza y la Cultura del Agua en el  sector agroindustrial, involucrando a todos los actores del agua. </t>
  </si>
  <si>
    <t>Producción y consumo Sostenible  en Sectores Productivos</t>
  </si>
  <si>
    <t>Agroindustrial</t>
  </si>
  <si>
    <t>Desarrollar procesos de capacitación sobre ahorro y uso eficiente de agua y energía, dirigidos al sector turismo.</t>
  </si>
  <si>
    <t>Turismo</t>
  </si>
  <si>
    <t>Implementar estrategias para controlar la deforestación, conservar los ecosistemas y
prevenir su degradación por parte del  sector agroindustrial</t>
  </si>
  <si>
    <t xml:space="preserve">Agroindustrial </t>
  </si>
  <si>
    <t xml:space="preserve">Asesorar al sector agroindustrial,turismo y  de la minería en la implementación de buenas prácticas ambientales y de  producción y consumo sostenible. </t>
  </si>
  <si>
    <t>Agroindustrial, Turismo y Minería de subsistencia</t>
  </si>
  <si>
    <t>Minería de subsistencia</t>
  </si>
  <si>
    <t xml:space="preserve">Implementación de estrategias de formación y sensibilización para la prevención, control y manejo
de incendios forestales en los sectores agroindustrial y turismo </t>
  </si>
  <si>
    <t>Adaptación y/o mitigación al Cambio Climático</t>
  </si>
  <si>
    <t>Agroindustrial y Turismo</t>
  </si>
  <si>
    <t>Establecer acuerdos con el sector turismo ymanufacturero para promover la transformación hacia la economía circular, a través del aprovechamiento local de plásticos y la gestión deresiduos de envases y empaques, principalmente en municipios costeros.</t>
  </si>
  <si>
    <t xml:space="preserve">Fomento de la economía
circular en sectores para la producción  y consumo sostenible </t>
  </si>
  <si>
    <t>Turismo y Manufacturero</t>
  </si>
  <si>
    <t>Establecer acuerdos con el sector agroindustrial,
para la gestión integral de los residuos de posconsumo</t>
  </si>
  <si>
    <t>Gestión de sustancias químicas y residuos peligrosos</t>
  </si>
  <si>
    <t>Diseñar e implementar estrategias para la formación y sensibilización ambiental en comunidades costeras, que contribuyan al adecuado uso de los ecosistemas marinos.</t>
  </si>
  <si>
    <t xml:space="preserve">Asuntos Marinos, Costeros y Recursos Acuáticos 
</t>
  </si>
  <si>
    <t xml:space="preserve">Municipios Costeros
(Riohacha, Dibulla, Uribia y
Manaure) 
</t>
  </si>
  <si>
    <t>Educación Ambiental</t>
  </si>
  <si>
    <t>Eliumat Maza Samper</t>
  </si>
  <si>
    <t xml:space="preserve">Profesional Especializado Grado 19 </t>
  </si>
  <si>
    <t>e.maza@corpoguajira.gov.co</t>
  </si>
  <si>
    <t>Carrera 7A No. 12 - 15</t>
  </si>
  <si>
    <t>Jornadas de arborización urbana y periurbano con  especies exóticas y nativas arbustivas y mediante la educación y participación ciudadana para su mantenimiento en el espacio público</t>
  </si>
  <si>
    <t>Incorporación de la  Biodiversidad y sus Servicios Ecosistémicos para el desarrollo urbano sostenible</t>
  </si>
  <si>
    <t>Incorporación de la Biodiversidad y sus Servicios Ecosistémicos para el
desarrollo urbano sostenible</t>
  </si>
  <si>
    <t>Mejorar la cultura en la generación y reporte de información ambiental urbana por parte de los municipios para evaluar la sostenibilidad ambiental del área urbana.</t>
  </si>
  <si>
    <t>Asistencia técnica a municipios para adelantar el
proceso de identificación de la estructura ecológica urbana.</t>
  </si>
  <si>
    <t>Adaptación y/o mitigación del cambio climático</t>
  </si>
  <si>
    <t xml:space="preserve">Mejoramiento de la calidad de agua en corrientes superficiales urbanas </t>
  </si>
  <si>
    <t>Gestión de Residuos Sólidos, Promoción del reciclaje y aprovechamiento de residuos orgánicos e inorgánicos enfocado al programa de economía circular</t>
  </si>
  <si>
    <t xml:space="preserve">Promover la formalización y fortalecimiento de grupos de recicladores de oficio. 
</t>
  </si>
  <si>
    <t xml:space="preserve">Asistencia técnica a recicladores de oficio y empresas  prestadoras del servicio público de aseo para el aprovechamientoo de residuos orgánicos e
inorgánicos (en special, plásticos y residuos de
envases y empaques). </t>
  </si>
  <si>
    <t xml:space="preserve">Gestión de Residuos Sólidos, Promoción del reciclaje y aprovechamiento de residuos orgánicos e inorgánicos enfocado al programa de economía circular 
</t>
  </si>
  <si>
    <t>Hacer más efectivo el control a las infracciones realizadas por manejo inadecuado de residuos sólidos en el espacio público</t>
  </si>
  <si>
    <t xml:space="preserve">Socializar el programa de compras públicas sostenibles promoviendo su implementación en las entidades públicas de la jurisdicción de la Corporación. </t>
  </si>
  <si>
    <t>Producción y consumo sostenible</t>
  </si>
  <si>
    <t>Fortalecimiento de la gestión de sustancias químicas y residuos peligrosos en el sector urbano</t>
  </si>
  <si>
    <t>Creación y  fortalecimiento de grupos de vigías ambientales</t>
  </si>
  <si>
    <t>Grupos de vigías ambientales creados y fortalecidos</t>
  </si>
  <si>
    <t xml:space="preserve">Aumentar la Participación de las comunidades rurales, asociaciones y agremiaciones del sector rural para la prevención de incendios forestales en temporadas de sequía. </t>
  </si>
  <si>
    <t>Red de Vigías Rurales (RVR) conformadas y capacitadas para la prevención de incendios forestales y ahorro y uso eficiente del agua</t>
  </si>
  <si>
    <t xml:space="preserve">Generar espacios de diálogo e intercambio de conocimientos entre expertos e investigadores en ciencia y tecnología, y comunidades para el  uso del conocimiento en  la solución de problemas ambientales. 
</t>
  </si>
  <si>
    <t>Espacios de encuentro e intercambio de conocimiento entre expertos y comunidad</t>
  </si>
  <si>
    <t xml:space="preserve">Realizar ferias de ciencia y tecnología en colegios y universidades y en espacios  y eventos dirigidos al gran público </t>
  </si>
  <si>
    <t xml:space="preserve">Ferias de ciencia y tecnología realizadas
</t>
  </si>
  <si>
    <t xml:space="preserve">Acuerdo # 003 del 11 de Mayo de 2020. </t>
  </si>
  <si>
    <t>Cultura Ambiental</t>
  </si>
  <si>
    <t xml:space="preserve">Participacion Comunitaria </t>
  </si>
  <si>
    <t>Grupo de Educación Ambiental</t>
  </si>
  <si>
    <t>Eliumat maza</t>
  </si>
  <si>
    <t>Coordinador Educaciòn Ambiental</t>
  </si>
  <si>
    <t>(5) 7275125. Ext. 108</t>
  </si>
  <si>
    <t>Se realizo capacitacion en inclusion del componente, en el marco del proyecto Mecanismos para la Gestión de Riesgo y Cambio Climatico</t>
  </si>
  <si>
    <t>Se realizaron seis (6) reportes mensuales a GESPROY, seis (6) a SPI y dos (2) reportes trimestrales en los formatos F17 y F18</t>
  </si>
  <si>
    <t>Se apoyó en la formulación y gestión de tres (3) proyectos ambientales ante el Fondo Nacional Ambiental-FONAM, un (1) proyecto ambiental para acceder a recursos del SGR-Asignaciones directas nivel departamental y un (1) proyecto ambiental para acceder a recursos del SGR-Asignaciones directas de Corpoguajira. Ademas se gestionaron nuevamente en este semestre tres (3) proyectos ambientales para acceder a recursos del SGR-Asignaciones directas de Corpoguajira, los cuales fueron formulados y gestionados en la pasada vigencia pero no alcanzaron a ser aprobados ante el OCAD Corpoguajira.</t>
  </si>
  <si>
    <t>Se presentaron cuatro (4) informes de seguimiento, control y evaluacion de los proyectos corporativos y de inversion que se vienen ejecutando en la Corporacion. Faltaron por presentar los informes de seguimient, control y evaluaciòn de los meses de abril y mayo los cuales seran presentados en el mes de julio junto con el informe de junio de 2021.</t>
  </si>
  <si>
    <t>En el primer semestre no se realizó capacitación en formulación y/o seguimiento de proyectos de inversión publica. Se proyecta la realización de esta capacitación para el tercer trimestre de 2021.</t>
  </si>
  <si>
    <t>No se realizó en el primer semestre actividad alguna de valoración de satisfaccion de la población objetivo con la gestion ambiental de la institucion.  Esta se proyecta realizar en el segundo semestre de 2021.</t>
  </si>
  <si>
    <t>En el primer semestre no se realizó mesa tecnica con ADR , alcaldia de Maicao y comunidades involucradas con respecto a proyectos de agua.</t>
  </si>
  <si>
    <t>PLANIFICACIÓN, ORDENAMIENTO AMBIENTAL Y TERRITORIAL</t>
  </si>
  <si>
    <t xml:space="preserve">LEVANTAMIENTO DE INFORMACIÓN PARA PROCESAMIENTO </t>
  </si>
  <si>
    <t>INTERSUBSECTORIAL MEDIO AMBIENTE</t>
  </si>
  <si>
    <t xml:space="preserve">Planificación, Ordenamiento e Información Ambiental Territorial </t>
  </si>
  <si>
    <t>ASISTENCIA TÉCNICA, DIVULGACIÓN Y CAPACITACIÓN A SERVIDORES PÚBLICOS PARA LA ADMINISTRACIÓN DEL ESTADO</t>
  </si>
  <si>
    <t>PREVENCIÓN Y ATENCIÓN DE EMERGENCIAS</t>
  </si>
  <si>
    <t>Gestión del Riesgo y adaptación al Cambio Climático</t>
  </si>
  <si>
    <t>ADMINISTRACIÓN, ATENCIÓN, CONTROL Y ORGANIZACIÓN INSTITUCIONAL PARA LA ADMINISTRACIÓN DEL ESTADO</t>
  </si>
  <si>
    <t>Banco de Proyectos</t>
  </si>
  <si>
    <t>GESTIÓN INTEGRAL DEL RECURSO HÍDRICO</t>
  </si>
  <si>
    <t>RECURSO HÍDRICO</t>
  </si>
  <si>
    <t>Administración de la oferta y demanda del recurso hídrico. (superficiales y subterráneas)</t>
  </si>
  <si>
    <t>ATENCIÓN, CONTROL Y ORGANIZACIÓN INSTITUCIONAL PARA EL APOYO DE GESTIÓN DEL ESTADO</t>
  </si>
  <si>
    <t>Monitoreo de la calidad del recurso hídrico</t>
  </si>
  <si>
    <t>BOSQUES, BIODIVERSIDAD Y SERVICIOS ECOSISTÉMICOS</t>
  </si>
  <si>
    <t>ADQUISICIÓN DE  INFRAESTRUCTURA  PROPIA DEL SECTOR</t>
  </si>
  <si>
    <t>CONSERVACIÓN</t>
  </si>
  <si>
    <t>Ecosistemas estratégicos continentales</t>
  </si>
  <si>
    <t>Ecosistemas estratégicos marinos costeros</t>
  </si>
  <si>
    <t>ATENCIÓN, CONTROL Y ORGANIZACIÓN INSTITUCIONAL PARA EL APOYO DE LA GESTIÓN DEL ESTADO</t>
  </si>
  <si>
    <t>Protección y conservación de la biodiversidad</t>
  </si>
  <si>
    <t>APOYO</t>
  </si>
  <si>
    <t>Negocios verdes y sostenibles</t>
  </si>
  <si>
    <t>GESTIÓN AMBIENTAL SECTORIAL Y URBANA</t>
  </si>
  <si>
    <t xml:space="preserve">CONSTRUCCIÓN DE INFRAESTRUCTURA PROPIA DEL SECTOR </t>
  </si>
  <si>
    <t xml:space="preserve">Gestión Ambiental Urbana </t>
  </si>
  <si>
    <t>GESTIÓN AMBIENTAL SECTORIAL</t>
  </si>
  <si>
    <t>Gestión Ambiental Sectorial</t>
  </si>
  <si>
    <t>EDUCACIÓN AMBIENTAL</t>
  </si>
  <si>
    <t>DIVULGACIÓN ASISTENCIA TÉCNICA Y CAPACITACIÓN DEL RECURSO HUMANO</t>
  </si>
  <si>
    <t xml:space="preserve">PROTECCIÓN Y BIENESTAR SOCIAL DEL RECURSO HUMANO </t>
  </si>
  <si>
    <t xml:space="preserve">Participación Comunitaria </t>
  </si>
  <si>
    <t>CALIDAD AMBIENTAL</t>
  </si>
  <si>
    <t>Monitoreo y evaluación de la calidad de los recursos naturales y la biodiversidad</t>
  </si>
  <si>
    <t xml:space="preserve">Calidad del aire </t>
  </si>
  <si>
    <t>LEY DE PARAMOS 1930/17-07-2018 5%</t>
  </si>
  <si>
    <t>LEY DE PARAMOS 1930/17-07-2018 5% TSE</t>
  </si>
  <si>
    <t>LEY DE PARAMOS 1930/17-07-2018 5% TUA</t>
  </si>
  <si>
    <t>FUERON ADICIONADOS YA QUE NO SE ENCONTRABAN EN EL ARCHIVO ORIGINAL</t>
  </si>
  <si>
    <t>Se han recibido 263 solicitudes y se atendieron 206</t>
  </si>
  <si>
    <t>Se han recibido 393 solicitudes y se atendieron 289</t>
  </si>
  <si>
    <t>Se han realizado 5 reuniones don el MADS en el marco de la Gobernanza forestal y Sentencia 302, se inició la construcción de proyecto de propuesta técnica del Estatuto forestal.</t>
  </si>
  <si>
    <t>Hasta el segundo trimestre de 2021 el Grupo ECMA y La Territorial del Sur han realizado con el apoyo de la Policía Nacional y el Ejercito Nacional, 11 incautaciones de productos forestales. El municipio en donde se han realizado el mayor número de decomisos son Riohacha, Dibulla y El Molino con 2, seguido de Maicao, Barrancas, San Jun del Cesar, Hatonuevo y Uribia.</t>
  </si>
  <si>
    <t>Grupo Licenciamiento Ambiental</t>
  </si>
  <si>
    <t xml:space="preserve">Jelkin Barros Redondo </t>
  </si>
  <si>
    <t>j.barros@corpoguajira.gov.co</t>
  </si>
  <si>
    <t>(5) 7275125. Ext 322</t>
  </si>
  <si>
    <t>Grupo de Licenciamiento, permisos y autorizaciones ambientales.</t>
  </si>
  <si>
    <t>Jelkin Barros Redondo</t>
  </si>
  <si>
    <t>Profesional Especializado, Grado 15</t>
  </si>
  <si>
    <t>7282672; Ext 322</t>
  </si>
  <si>
    <t>Actividad para el segundo semestre de 2021</t>
  </si>
  <si>
    <t>A corte 30 de junio se han realizado 2 informes de seguimiento de los Planes de Manejo formulados por la Corporación Informes que se presentan Bimensualmente y en los ultimos tres meses a traves del contrato 041 de 2020. Adicionalmente, se realizaron 2 jornadas para el seguimiento y la evaluacion de la efectividad de manejo del DMI Perija y de la Reserva forestal de Cañaverales, en los meses de septiembre y noviembre con la participacion de entes territoriales, las comundiades, los guardianes de ambiente y paz y empresas privadas como Cerrejon y BBC.</t>
  </si>
  <si>
    <t>Municipios asesorados o asistidos en la inclusión del componente ambiental en los procesos de planificación y ordenamiento territorial, con énfasis en la incorporación de las Determinantes ambientales para la revisión y ajuste de los POT, Municipios de Albania y El Molino.</t>
  </si>
  <si>
    <t xml:space="preserve">En la presente vigencia el municipio de Albania presentó una Modificación Excepcional de su Instrumento de Ordenamiento Territorial, para concertar los asuntos ambientales. El proceso se encuentra suspendido teniendo en cuenta las observaciones por parte de los técnicos de Corpoguajira, a la espera de las revisiones y continuidad del proceso. </t>
  </si>
  <si>
    <t>Elaboración y actualización de cartografía temática de proyectos y acciones como aporte al SIG de la Corporación, elaboración de conceptos, informes y salidas graficas de las solicitudes internas y externas realizando un total de 230 en lo que va del año. Como característica particular las salidas graficas (78) se generan para Certificaciones ambientales SINAP previniendo posibles infracciones ambientales en áreas protegidas, conceptos de uso del suelo, previniendo posibles conflictos por uso y aprovechamiento de recursos naturales, para revisión de información geográfica en procesos internos, y  para conceptos sobre ronda hídrica y petición de información.</t>
  </si>
  <si>
    <t>A traves del grupo de Ordenamiento Ambiental se esta formulando el Proyecto de acuerdo a la Guia de Acotamiento de Rondas Hidricas del MADS</t>
  </si>
  <si>
    <t>N/A</t>
  </si>
  <si>
    <t>Se adelantan las gestiones para los procesos de Declaratoria de 5 Áreas Protegidas en La Corporación y gestión de zonas de amortiguación,  actualización de planes de manejo y conformación de SILAP Y SIDAP de los municipios de Uribia y San Juan del Cesar.</t>
  </si>
  <si>
    <t>Administración del Sistema y Seguimiento Mensual del cargue de la información, a traves del SIG de la Corporación, oficios enviados a las dependencias para verificación del carge de la información.</t>
  </si>
  <si>
    <t>Se realizó capacitación en inclusión del componente Cambio climático en los POT, con énfasis en la incorporación de esta  Determinante ambiental,  Capacitación realizada a los 15 municipios en el marco de las capacitaciones realizadas en el proyecto  Implementación  de  mecanismos  para  la  generación  de  conocimiento  en gestión de riesgos y variabilidad climática</t>
  </si>
  <si>
    <t>Se apoyó la formulación de propuesta de financiamiento ante el Fondo Verde del Clima en el marco del Programa Herencia Colombia (HECO), WWF junto con Parques Nacionales Naturales. Así mismo, se esta implementando el proyecto implementación  de  mecanismos  para  la  generación  de  conocimiento  en gestión de riesgos y variabilidad climática en el departamento de La Guajira. Se formuló y aprobó por parte de Minambiente el proyecto Soluciones integrales de abastecimiento de agua de Sabana Grande, municipio de san Juan del Cesar.</t>
  </si>
  <si>
    <t>Se gestionó y participó en el espacio sobre  sobre la plataforma de RENARE, de la mano con Minambiente y con Ideam.</t>
  </si>
  <si>
    <t>Se desarrollaron talleres de formación sobre las temáticas de cambio climático en el marco del Proyecto de generacion de conocimiento, en los municipios de EL MOLINO, VILLANUEVA, URIBIA, HATONUEVO, DISTRACCION, URUMITA, ALBANIA, FONSECA, BARRANCAS, DIBULLA, LA JAGUA DEL PILAR, MAICAO, SAN JUAN DEL CESAR, MANAURE, RIOHACHA, entre enero y junio del 2021
Mas de 387 personas capacitadas.</t>
  </si>
  <si>
    <t>Se formuló y aprobó el proyecto "CONSTRUCCIóN DE ESTUFAS ECOEFICIENTES COMO MEDIDA DE MITIGACIÓN AL CAMBIO CLIMÁTICO EN  COMUNIDADES INDÍGENAS DEL MUNICIPIO DE HATONUEVO".</t>
  </si>
  <si>
    <t>Se tiene programado el desarrollo de una socialización en el marco de la mesa departamental de cambio climático.</t>
  </si>
  <si>
    <t>Se ha trabajado con la Gobernacion en el CDGRD y con  los Consejos Municipales de gestión del riesgo de Hatonuevo, Maicao, Riohacha, El Molino, Barrancas, entre otros .  Así mismo se realizó el Taller de prevención de incendios forestales: primera temporada seca 2021  con presencia de diferentes actores de gestion del riesgo en el territorio y el Ideam.
Se realizó  acompañamiento y difusión de información a la Mesa de Agua y saneamiento a nivel departamental WASH y la  Mesa Técnica Agroclimática del Cesar, Magdalena y La Guajira.
Se realizaron talleres para Fortalecer los conocimientos sobre (diferentes componentes) de conocimiento del Riesgo a actores de los CMGRD de los 15  municipios de la Guajira en el marco del proyecto de generación de conocimientos. 
se capacitaron mas de 400 personas.</t>
  </si>
  <si>
    <t>Se realizó capacitación en inclusión del componente gestión del riesgo en los POT, con énfasis en la incorporación de esta  Determinante ambiental,  Capacitación realizada a los 15 municipios en el marco de las capacitaciones realizadas en el proyecto  Implementación  de  mecanismos  para  la  generación  de  conocimiento  en gestión de riesgos y variabilidad climática.</t>
  </si>
  <si>
    <t>Se viene desarrollando el proyecto de gestión del riesgo. "Implementación  de  mecanismos  para  la  generación  de  conocimiento  en gestión de riesgos y variabilidad climática en el departamento de La Guajira", con los profesionales contratados.</t>
  </si>
  <si>
    <t>Reactivación del Sistema de Alerta Temprana (Entrega de Información a los CMGRD y CDGRD)  con el meteorólogo contratado se realizaron los informes y boletines sobre las condiciones meteorologicas del departamento a corte abril del 2021. Adicionalmente se realizaron unos seguimientos a las estaciones en el departamento para dentificar su estado. Se realizó la instlación de una nueva estación meteorológica en la cuenca del río Camarones.</t>
  </si>
  <si>
    <t> Emisión de reportes para verificación en campo a partir de la información de puntos calientes y envió de información referenciada de puntos para medidas de precaución a los Municipios del Departamento. Incendios 
 Seguimiento y Divulgación de condiciones hidrometeorologicas en el marco del trabajo en la Mesa Agroclimática del Cesar, Magdalena y La Guajira. Temporada de lluvias y de sequias.</t>
  </si>
  <si>
    <t>Con la ejecución del proyecto “implementación de acciones de mitigación y adaptación al cambio climático ante sequias en comunidades indígenas del municipio de Maicao, La Guajira, en el periodo Enero - Junio del 2021, se han logrado  los siguientes resultados: 
El contrato No 081 de 2019  que  ejecuta el proyecto,  se encontraba suspendido desde el mes de Noviembre de 2020, 
por que  la construcción  del pozo para la comunidad de Flor de La Sabana se había visto interrumpida debido al cambio de sitio de prospeccion y exploración, el cual debía ser autorizado por  la Autoridad Nacional de licencias Ambientales - ANLA y  hasta el día 23 de junio de 2021  se  ha autorizado dicha  modificación. Esta situación había imposibilitado el avance de los trabajos en la mencionada comunidad.
Con la ejecuciòn del proyecto  "Implementación de sistemas de producción agrícola en comunidades indígenas de los municipios de Albania, Maicao, Uribía, Manaure y Riohacha del departamento de La Guajira", en el periodo Enero - Junio del 2021, se han logrado  los siguientes resultados:                     Según informe de interventorìa: 
4 socializaciones realizadas           
12  molinos de viento desmontados para reparación       
3 molinos de viento reparados 
27 limpieza de pozos realizados</t>
  </si>
  <si>
    <t>Con la ejecución del proyecto “Formulación del Plan de Manejo Ambiental de Acuífero de la Cuenca del río Cesar, Jurisdicción de CORPOGUAJIRA, departamento de La Guajira, en el período Enero - Junio del 2021, se han logrado  los siguientes resultados:                                                            Conformaciòn de Comisiòn Conjunta: Una   Conformaciòn de Comisiòn Conjunta en proceso.                                                                              El contrato que ejecuta el proyecto se encuentra suspendido hasta tanto no se conforme la Comisiòn Conjunta entre el Minambiente, Corpocesar, corpamag, Corpoguajira y Parques Nacionales Naturales , dado que es ruta critica para las demàs actividades.</t>
  </si>
  <si>
    <t>Ejecución Plan de Manejo Ambiental de Aguas subterráneas (acuífero) municipio de Maicao:             
Logros:
Pese a que la meta está para los años 2022 y 2023, actualmente dos (2) instrumentos de planificación establecidos en el Plan, están en ejecución:  
Equipamientos a comunidades indígenas:
obras de infraestructura de suministro de agua en las comunidades indígena de Ceura, Kululumana, Shulema, Jisemana y Flor de la Sabana, jurisdicción del municipio de Maicao, en ejecución.
Permiso de exploración de agua subterránea:  
Permisos de exploración de agua subterránea en las comunidades indígenas de Ceura, Kululumana, Shulema, Jisemana y Flor de la Sabana, jurisdicción del municipio de Maicao; otorgados.</t>
  </si>
  <si>
    <t>Reglamentación del uso de las aguas en el corriente Lagarto - Maluisa:                                                  
Logros:                                                      
La meta de este indicador está para el año 2023, dado que  en cierto modo depende que se desarrolle el plan de ordenamiento del recurso hídrico de la corriente Lagarto – Maluisa, el cual tiene ejecutado su etapa I  y en ejecución la Etapa II
Revisión Reglamentación del uso de las aguas en cuerpos de agua:                                              
Logros:                                            
Cuenca Río Ranchería: Muy a pesar de que la meta del indicador, está para los años  2021, 2022 y 2023,  se adelanta  la actualización de la reglamentación de esta corriente, pero se han presentado diferencias y controversias entre las partes, lo que obligó a contratar un amigable componedor, pero el contrato  está actualmente suspendido. 
Cuenca río Tapias: Pese a que la meta está para los años 2021, 2022 y 2023,  se contrató la actualización de la reglamentación de esta corriente,   pero ha tenido algunas dificultades las cuales están siendo resueltas por la Oficina Jurídica de la Corporación. Hasta tanto no se resuelvan estos inconvenientes no se da inicio a este  contrato. 
Cuena río Cesar: Pese a que la meta está para los años 2021, 2022 y 2023,  se contrató la actualización de la reglamentación del uso de las aguas del río Cesar, el cual está próximo a su iniciación.</t>
  </si>
  <si>
    <t>Revisión Reglamentación del uso de las aguas en cuerpos de agua:                                              
Logros:                                            
Cuenca Río Ranchería: Muy a pesar de que la meta del indicador, está para los años  2021, 2022 y 2023, se adelanta  la actualización de la reglamentación de esta corriente, pero se han presentado diferencias y controversias entre las partes, lo que obligó a contratar un amigable componedor, pero el contrato  aùn se encuentra  suspendido. 
Actualización Reglamentación Usos del Agua Río Tapias:                              Con la ejecución del proyecto “Desarrollo de instrumentos de administración del recurso hídrico en la subzona hidrográfica del río tapias, departamento de La Guajira, mediante la actualización de la reglamentación del uso de las aguas y Estudio Regional del Agua; BPIN, 20183218000001", en el periodo Enero - Junio del 2021, se han logrado  los siguientes resultados:                 
 -Documento de  acta de inicio firmada con fecha 8 de Junio de 2021 .                                              
-Cronograma de trabajo en revisión por parte de la interventoría externa contratada                                        
-Reunión de seguimiento a documentos de inicio entre consultor e interventoría, realizada                                             -Primera versión de los documentos de inicio,  recibidos y en revisión.
Actualización reglamentación usos del agua Río río Cesar:          Con la ejecución del proyecto " Actualización de la reglamentación del uso de las aguas del río Cesar, en el período Enero - Junio de 2021, se han logrado los siguientes resultados:                                        
-Conformación de comisión conjunta realizada                          
-Publicidad del proceso de actualización de la reglamentación del uso de las aguas del río Cesar, parcialmente realizada                  -Una jornada de socialización del proceso de actualización de la reglamentación del uso de las aguas del río Cesar, jurisdicción de Corpoguajira, realizada               
-Cartografía oficial a escala 1:25.000 y delimitar la cuenca respectiva objeto de actualización de la reglamentación de las aguas., parcialmente realizada                 
-Identificación, revisión, organización y clasificación de información derivada de insumos e instrumentos de planificación, de administración, de evaluación y seguimiento del recurso hídrico, parcialmente realizados.</t>
  </si>
  <si>
    <t>Se adelantó socialización con la comunidad del instrumento de planifiación: formulación del Plan de Ordenamiento del recurso hídrico en el Río Jerez"</t>
  </si>
  <si>
    <t>Estudio Regional del Agua:
Con la ejecución del proyecto “Desarrollo de instrumentos de administración del recurso hídrico en la subzona hidrográfica del río tapias, departamento de La Guajira, mediante la actualización de la reglamentación del uso de las aguas y Estudio Regional del Agua; BPIN, 20183218000001", en el periodo Enero - Junio del 2021, se han logrado  los siguientes resultados:                 
-Documento de  acta de inicio firmada con fecha 8 de Junio de 2021 .                                              
-Cronograma de trabajo en revisión por parte de la interventoría externa contratada                                       
-Reunión de seguimiento a documentos de inicio entre consultor e interventoría, realizada.                                             
-Primera versión de los documentos de inicio, en revisión.</t>
  </si>
  <si>
    <t>Continuan desarrollándose  las mesas técnicas de trabajo para la formulación del proyecto que ejecutará el estudio; se ha socializado el documento borrador, con algunas observaciones, las mismas han venido ajustándose, se siguen realizando planteamientos técnicos de cómo se puede abordar la propuesta para el estudio independiente que establezca la relación entre la minería a gran escala y la escasez de agua en las comunidades indígenas wayuu, para dar respuesta a la sentencia T-302 de la Corte Constitucional.</t>
  </si>
  <si>
    <t>Informe de los resultados de cálculo de la carga contaminante vertida al recurso hídrico en la jurisdicción de CORPOGUAJIRA y de los valores a facturar por concepto de tasa retributiva.</t>
  </si>
  <si>
    <t>Mediante salidas y toma de muestras de campo, se ha atendido el cumplimiento.</t>
  </si>
  <si>
    <t>Mediante salida de campo, se ha atendido el cumplimiento.</t>
  </si>
  <si>
    <t xml:space="preserve">Mediante salida de campo se ha atendido el cumplimiento. </t>
  </si>
  <si>
    <t xml:space="preserve">Seguimiento a los procesos de restauración activa y pasiva en las cuencas de los rios Rancheria y Tapias, en marco del contrato de obra No0083 de 2019 suscrito entre Corpoguajira y el Consorcio  Cuenca del río Ranchería: durante el primer trimestre de 2021 se avanzó en 294,45 hectáreas en restauración pasiva, a través de 66,217 Km de aislamiento.
Cuenca río Tapias: Restauración pasiva de 345 Hectáreas en la cuenca del río Tapias, a través de 105,124 Km de aislamiento             Cuencas de La Guajira 2019.                                                                                                                                                        Formulación, socialización y firmas de actas de concertacion comunitaria del "Proyecto Rehabilitación de ecosistemas forestales en los sectores de Nuevo Espinal y San Pedro, cuenca del rio Rancheria, municipio de Barrancas, La Guajira". ESTADO: En elaboracion de la ficha MGA.       </t>
  </si>
  <si>
    <t>• En el proceso de la ampliación del DMI  de Perijá se solicitó ante el Ministerio del Interior de acuerdo a lo establecido en el Decreto 1320 de 1998 y la Directiva 10 de 2013 la certificación de presencia o no de Grupos Étnicos identificando a los Resguardos Indígenas Wayuu de Nuevo Espinal y Tamaquito II, ubicados en el municipio de Barrancas. Durante los días 28, 29, 30 de junio y 1 de julio de 2021 se llevó a cabo el proceso de apertura, pre-consulta y consulta previa con las comunidades indígenas de Nuevo Espinal y Tamaquito II, logrando la protocolización de acuerdos con cada una de ellas. Distrito de Conservación de Suelos Serranía de Perijá: 
• Durante el segundo trimestre de la vigencia 2021 se avanzó en la formulación del Plan de Manejo del Distrito de Conservación de Suelos Serranía de Perijá se realizaron 3 reuniones virtuales para la construcción y análisis necesarios para la construcción del plan de manejo del Distrito de Conservación de Suelos.</t>
  </si>
  <si>
    <t xml:space="preserve">• Revisión y de la propuesta de compensación presentada por Cerrejón en 5 áreas protegidas (DMI Bañaderos, RFP Cañaverales, RFP Montes de Oca, DMI Cuenca Baja del Río Ranchería, DMI Delta del Río Ranchería), con la cual se implementarán acciones en materia de fortalecimiento de la gobernanza, educación ambiental y control y vigilancia en las áreas priorizadas. Se envió a SGA correo electrónico el pasado 22/04/2021.
RFP Montes de Oca: 
• Ajuste al proyecto formulado "Proyecto Rehabilitación de ecosistemas forestales en la RFP Montes de Oca, municipio de Maicao, La Guajira" que incluye 170 Has de restauración activa y 53 Km de protección. Estado: Formulado, enviado a FCA para evaluación, con un valor proyectado de: $ 2.174. 385.436. 
• Durante el segundo trimestre se suscribió otrosí a convenio marco establecido con la empresa Hocol para implementar acciones de conservación en la RFP Montes de Oca, a través del cual se avanzará en las siguientes actividades en el RFP durante la vigencia 2021:
- Implementación de un proyecto apícola en áreas protegidas localizadas en áreas de influencia de las operaciones de HOCOL. 
- Realizar talleres para observadores y guías de aves que puedan desempeñarse en el área de aviturismo, como una alternativa sostenible adicional de conservación en la región, los cuales se desarrollaran en áreas protegidas localizadas en áreas de influencia de las operaciones de HOCOL. Los talleres serán dirigidos a las comunidades de las áreas de influencia de las operaciones de HOCOL y que con el apoyo de CORPOGUAJIRA se puedan utilizar las áreas protegidas como sitios para la actividad de AVITURISMO. 
- Implementar programas de apoyo en pro de la conservación y protección del Cardenal Guajiro como especie sombrilla, en áreas protegidas localizadas en áreas de influencia de las operaciones de HOCOL.
Cerro Pintao: 
• Con el apoyo de la Asociación Calidris, en el marco del convenio suscrito con Riqueza Natural, se ejecuta el proyecto “Promoviendo la conservación del bosque seco tropical en el Área Importante para la Conservación de las Aves (AICA) Cerro Pintado (CO071) en la Serranía de Perijá, a través de la ampliación de esta área y del fortalecimiento de capacidades comunitarias”. Dentro de las actividades del mismo, se está diseñando un programa de monitoreo comunitario de especies de interés en conservación en el AICA Cerro Pintao. Así mismo, se está llevando a cabo el proceso de designación de un área AICAS en Cerro PIntao.
DMI Serranía de Perijá: 
• Formulación del proyecto Rehabilitación de ecosistemas forestales en el sector de Nuevo Espinal y Corregimiento de San Pedro, municipio de Barrancas, La Guajira. Estado: En ajuste para financiación.
DMI Bañaderos: 
• Se avanza en el marco del convenio suscrito con el SIRAP Caribe en la estructuración de un ejercicio piloto para la actualización del Plan de Manejo del DMI Bañaderos. Se realizó taller inicial de estructuración de ruta de abordaje del proceso el día 4 de junio de 2021.. Proyecto Rehabilitación de ecosistemas forestales en la RFP Montes de Oca, municipio de Maicao, La Guajira" . ESTADO: Formulado, ajustado segun recomendaciones del evaluador por parte del MADS. Cuenta con concepto tecnico de aprobacion.      De acuerdo a los ajustes, Incluye 328 has de restauración activa y 54 Km de protección (aislamiento). valor proyectado de: $ 2.626.800.000.  Formulación, socialización y firmas de actas de concertacion comunitaria del "Proyecto Rehabilitación de ecosistemas forestales en los sectores de Nuevo Espinal y San Pedro, cuenca del rio Rancheria, municipio de Barrancas, La Guajira". ESTADO: En elaboracion de la ficha MGA.  Proyecto para la Recuperación Ambiental de 4 Municipios del Sur de La Guajira Mediante Restauración Activa e Implementación De Sistemas Silvopastoriles en Áreas de Producción Ganadera en Los Municipios de El Molino, La Jagua del Pilar, Urumita y Villanueva en el Departamento de la Guajira. ESTADO: En evaluación por parte del MADS. Convocatoria FONAM 2021. </t>
  </si>
  <si>
    <t xml:space="preserve">• Se han realizado reuniones interinstitucionales para dar inicio a la conformación del Sistema Local de Areas Protegidas de Riohacha: El día 20 de mayo de 2021 se realizó reunión virtual con la Secretaría de ambiente de la Alcaldía de Riohacha con el fin de dar a conocer los sistemas locales de áreas protegidas, su importancia y beneficios, con el apoyo del SIRAP Caribe. Así mismo, CORPOGUAJIRA participó en la reunión virtual para la estructuración de ruta de abordaje para la conformación del SILAP Riohacha, el día 21 de junio de 2021. En la reunión estuvieron presentes funcionarios de Parques Nacionales, Alcaldía de Riohacha y Corpoguajira.
• El 24 de mayo de 2021 se realizó reunión con la Alcaldía de San Juan de Cesar con el fin de coordinar la implementación del Sistema Local de Areas Protegidas del municipio, con el apoyo del SIRAP Caribe. </t>
  </si>
  <si>
    <t xml:space="preserve">En el segundo trimetre del 2021 se han recuperado 158 especimenes victimas del trafico ilegal y por rescate gracias a  reportes de la comunidad.    El 69% se libero en su habitat, el 9% se traslado al CAV para su recuperacion.   En cuanto al proceimiento el 65% se recupero por Incautaciones realizadas por la Policia Nacional, el 22% por entrega voluntaria y el 20% rescatados. La distribucion Taxonomica por clase asi; 88% aves, el 15% mamiferos y el 3% reptiles. Se atendieron 3 reportes  de Conflicto humano felino por ataque de Jaguar en los municipio de Fonseca, Riohacha y Dibulla. Se realiza la socializacion para la convivencia con fauna silvestre para su conservacion.    Se llevo a cabo la liberacion blanda de grupo de marimondas en el DMI de Bañadero rescatados del trafico ilegal. Seguimineto al piloto de liberacion y cria de morrocoy en la RFP montes de Oca.  Se rescaaron para recuperar y liberar 2 Guacamayas verde y 11 Cardenal Guajiro.  Se hace seguimiento al meliponario piloto instalado en Aremasain  para su promocion y capaitacion. </t>
  </si>
  <si>
    <t xml:space="preserve">Se mantienen las medidas de Control  y prevencion en las 2 especies invasoras programadas. Se mantiene la ejecucion del protocolo para la atencion de Caracol Gigante africano establecida por el Ministerio de Ambiente y Desarrollo Sostenible mediante la  Resolución Número 654 del 7 de abril de 2011. En el trimestres se reporto un caso por presencia de Caracol Gigante africano en el municpio de Riohacha en el que se realizo la recogida de especimes y disposicion de acuerdo a lo establecido en la resolucion 654. En el trimestre se atendieron 58 reportes por presencia de Apis melifera en casco urbano de los municipio de riohacha, maicao, uribia, dibulla, Fonseca y San juan del Cesar en el que la comunidad manifiesta el riesgo por el posible ataque de esta especie. Se realiza la recogida y ubicacion de enjambres y colmenas en zona rural para protger stos nucleos de la especie muy abundantes por la temporda de floracion luego de la temporada de lluvias. </t>
  </si>
  <si>
    <t xml:space="preserve">Durante el segundo trimestre de la vigencia 2021, se realizó seguimiento a 12 parcelas de monitoreo de vegetación: 2 en la cuenca baja del río Ranchería, 3 en la cuenca alta del río Ranchería, 4 en la cuenca alta del río Tapias y 3 en la cuenca del río Cesar.  "Proyecto Rehabilitación de ecosistemas forestales en la RFP Montes de Oca, municipio de Maicao, La Guajira" . ESTADO: Formulado, ajustado segun recomendaciones del evaluador por parte del MADS. Cuenta con concepto tecnico de aprobacion.      De acuerdo a los ajustes, Incluye 328 has de restauración activa y 54 Km de protección (aislamiento). valor proyectado de: $ 2.626.800.000.  Formulación, socialización y firmas de actas de concertacion comunitaria del "Proyecto Rehabilitación de ecosistemas forestales en los sectores de Nuevo Espinal y San Pedro, cuenca del rio Rancheria, municipio de Barrancas, La Guajira". ESTADO: En elaboracion de la ficha MGA.  Proyecto para la Recuperación Ambiental de 4 Municipios del Sur de La Guajira Mediante Restauración Activa e Implementación De Sistemas Silvopastoriles en Áreas de Producción Ganadera en Los Municipios de El Molino, La Jagua del Pilar, Urumita y Villanueva en el Departamento de la Guajira. ESTADO: En evaluación por parte del MADS. Convocatoria FONAM 2021. </t>
  </si>
  <si>
    <t xml:space="preserve">Se realizó un informe de monitoreo de cobertura en el Departamento de La Guajira, con el fin de determinar áreas de deforestación como alertas tempranas, para lo cual se obtuvieron 3 informes entre el periodo ene-mar, abr-jun, jul-ago. Lo anterior, en el marco del apoyo recibido a través del convenio suscrito entre Riqueza Natural e IDEAM. Así mismo, en el marco del convenio se contrató un profesional de apoyo para dar inicio a las actividades previstas y verificación en campo de deforestación identificada. Se incorporó un enlace en página web de CORPOGUAJIRA para la visualización de reportes emitidos. </t>
  </si>
  <si>
    <t>Durante el primer trimestre de la vigencia 2021, se han realizado las sigueintes acciones: 
Monitoreo a 25 parcelas instaladas, para determinar restauración por regeneración natural, en las cuencas del río Cesar y Rachería.
Seguimiento a los flamencos marcados mediante el convenio No. 032 de 2019, con el fin de monitorear sus rutas de migración y prevenir su afectación asociada a los proyectos Eólicos que se instalaran en la alta y media Guajira. 
Realización del I Censo Nacional de Cóndor andino, en jurisdicción de La Guajira, tomando como punto de monitoreo en Cerro Bañaderos, Serranía de Perijá y Cerro Pintao, encontrando 3 registros (2 en el DMI Serranía de Perijá y 1 en Cerro Pintao). Se contó con el apoyo de expertos en avistamiento de aves, guardianes de ambiente y paz y voluntarios de la zona, así como la empresa Acciona. El objetivo del Censo fue conocer la distribución y abundancia del condor andino en Colombia.
Por otra parte, a través del Convenio suscrito con Riqueza Natural, se avanza en el marco del proyecto: “Desarrollo de un aplicativo multiusuario con tecnología SMART para el monitoreo de la biodiversidad que contribuya al análisis de integridad y efectividad del manejo de las áreas protegidas del SINAP" con el fin de desarrollar el modelo para el departamento. 
Se elaboró un esquema de monitoreo de la especie Arheles hybridus (marimonda) en el marco del diplomado en monitoreo de la biodiversidad dictado por la Universidad Javeriana- (graduados 8 funcionarios de Corpoguajira, dentro del convenio suscrito entre Riqueza Natural y Corpoguajira). En espera de la entrega de equipos para monitoreo en el marco del Convenio.</t>
  </si>
  <si>
    <t xml:space="preserve">Durante el mes de marzo de 2021 se desarrollaron 4 talleres de sensibilización sobre la conservación del bosque seco en el municipio de Dibulla así:
2 talleres en el sector El Mamey, vereda Las Marías: 43 asistentes.
2 talleres en el sector Campana nuevo, sector El Corral: 37 asistentes. </t>
  </si>
  <si>
    <t>A traves de la ejecucion del contrato No003 de 2020 se avanzó en el establecimiento de 39 has de individuos de la especie Palma amarga (Sabal mouritiformis) para completar las 60 has objeto del contrato. Adicionalemente se adelanta el acuerdo de 29 beneficiarios del Proyecto BMZ que se está implementando en la Cuenca Alta del río Camarones.</t>
  </si>
  <si>
    <t>Durante la vigencia 2021 se avanza en la formulación de un proyecto de restauración de áreas degradadas en los municipios PDET Dibulla, Fonseca y San Juan del Cesar en zonas abastecedoras de acueductos rurales, se seleccionaron las areas potenciales y se avanza en la estructuración del proyecto. Proyecto Rehabilitación de ecosistemas forestales en la RFP Montes de Oca, municipio de Maicao, La Guajira . ESTADO: Formulado, ajustado segun recomendaciones del evaluador por parte del MADS. Cuenta con concepto tecnico de aprobacion.      De acuerdo a los ajustes, Incluye 328 has de restauración activa y 54 Km de protección (aislamiento). valor proyectado de: $ 2.626.800.000.                                                                                                                                                                                                                                                                     Formulación, socialización y firmas de actas de concertacion comunitaria del "Proyecto Rehabilitación de ecosistemas forestales en los sectores de Nuevo Espinal y San Pedro, cuenca del rio Rancheria, municipio de Barrancas, La Guajira". ESTADO: En elaboracion de la ficha MGA.  Proyecto para la Recuperación Ambiental de 4 Municipios del Sur de La Guajira Mediante Restauración Activa e Implementación De Sistemas Silvopastoriles en Áreas de Producción Ganadera en Los Municipios de El Molino, La Jagua del Pilar, Urumita y Villanueva en el Departamento de la Guajira. ESTADO: En evaluación por parte del MADS. Convocatoria FONAM 2021.</t>
  </si>
  <si>
    <t xml:space="preserve">Con apoyo de FUNDALIANZA, se formuló el Proyecto para la Recuperación Ambiental de 4 Municipios del Sur de La Guajira Mediante Restauración Activa e Implementación De Sistemas Silvopastoriles en Áreas de Producción Ganadera en Los Municipios de El Molino, La Jagua del Pilar, Urumita y Villanueva en el Departamento de la Guajira. ESTADO: En evaluación por parte del MADS. Convocatoria FONAM 2021.  </t>
  </si>
  <si>
    <t>Se avanza en la formulación del proyecto.</t>
  </si>
  <si>
    <t xml:space="preserve">Ejecución del Proyecto financiado por FCA "Implementación de acciones para el fortalecimiento de la competitividad de los negocios verdes en el departamento de La Guajira". Con los siguientes componentes para la comercilizacion de los NV:
Micro sitio web
Estrategia de comunicación
Espacios de promoción. </t>
  </si>
  <si>
    <t>Encuentro con GIZ para coordinar proceso de estructura de conduccion para PDNV y actualizacion del Nodo departamental de negocios verdes.</t>
  </si>
  <si>
    <t>En el primer trimeste de la vigencia 2021 se ha realizado seguimiento de los PSA a 12 familias beneficiarias ubicadas en la RFP Montes de Oca, en el marco del programa BanCO2 
También se avanzó en la sensibilización del proyecto de pagos por servicios ambientales e inicio del proceso de Identificación de usuarios de la vereda Campana Nuevo, municipio de Dibulla, La Guajira.</t>
  </si>
  <si>
    <t>Durante el primer trimestre de 2021 26 Negocios verdes visitados:
Verificación de 4 nuevos negocios verdes, y visita a 22 unidades productivas con el fin de apoyarlas en la formulación de sus planes de negocio,a través del proyecto IMPLEMENTACIÓN DE ACCIONES PARA EL FORTALECIMIENTO DE LA COMPETITIVIDAD DE LOS NEGOCIOS VERDES EN EL DEPARTAMENTO DE LA GUAJIRA.
-Remisión de matriz a la ONV del MADS con 14 unidades productivas identificadas como nuevo posibles NV
-Para este segundo trimestre de 2021 se han visitado 23 unidades productivas, con el fin de hacer seguimiento en la implementacion de planes de mejora y apoyo en la formulacion de planes de negocios.
-Durante el periodo se realizaron visitas preliminares a 7 nuevas unidades productivas a fin de verificar el cumplimiento de criterios de NV e incluirlas en el PRNV.
- Se ha avanzado en la formulacion de 16 planes de negocios.</t>
  </si>
  <si>
    <t>La ejecución de los contratos con dineros del FCA se iniciará en el segundo semestre de 2021</t>
  </si>
  <si>
    <t>Recrsos propios</t>
  </si>
  <si>
    <t>Este indicador tiene su propio IMG. El avance en su ejecución está reportado en el Informe de Gestión del I Semestre de 2021.</t>
  </si>
  <si>
    <t>Ampliación del DMI Serranía del Perijá</t>
  </si>
  <si>
    <t>Continenal</t>
  </si>
  <si>
    <t>DMI</t>
  </si>
  <si>
    <t>Distrito de Conservación de Suelos Serranía del Perijá</t>
  </si>
  <si>
    <t>Distrito de Conservación de suelos</t>
  </si>
  <si>
    <t>Declarado</t>
  </si>
  <si>
    <t>Distrito de Manejo Integrado Caracolí</t>
  </si>
  <si>
    <t>Continental</t>
  </si>
  <si>
    <t>Distrito de Manejo Integrado de Bosque Seco</t>
  </si>
  <si>
    <t>Grupo de Ecosistemas y Biodiversidad. Grupo Marino Costero, Subdirección de Gestión Ambiental</t>
  </si>
  <si>
    <t>Yuri Hurtado Garcia - Maria del R. Guzmán V.</t>
  </si>
  <si>
    <t>y.hurtado@corpoguajira.gov.co; mariaguzman@corpoguajira.gov.co</t>
  </si>
  <si>
    <t>Saneamiento</t>
  </si>
  <si>
    <t>Restauración en las cuencas de los ríos Tapia y Ranchería</t>
  </si>
  <si>
    <t>Contrato No. 0083 de 2019 incuido interventoria</t>
  </si>
  <si>
    <t>Contrato No.  003 de 2020 incluido interventoria</t>
  </si>
  <si>
    <t>Fortalecimiento comunitario</t>
  </si>
  <si>
    <t>Exploraciones geoeléctricas</t>
  </si>
  <si>
    <t>Desarrollar modelos que permitan mostrar la disponibilidad de agua en los acuíferos del municipio de Maicao</t>
  </si>
  <si>
    <t>Modelación geoeléctricas con los SEV en el área del municipio de Maicao.</t>
  </si>
  <si>
    <t>Seguimiento y monitoreo a las comunidades indígenas para motivarlos a notificar ante la corporación cualquier eventualidad en las infraestructuras de suministro de agua (filtraciones, daños, etc.)</t>
  </si>
  <si>
    <t>Orientar e incrementar las acciones de legalización de las captaciones de aguas subterráneas.</t>
  </si>
  <si>
    <t>Implementar programas de legalización de los usuarios.</t>
  </si>
  <si>
    <t>Optimizar, complementar y mantener en operación permanente la red de monitoreo de calidad y cantidad del agua subterránea.</t>
  </si>
  <si>
    <t>Adoptar programas y tecnologías de reducción de pérdidas de agua y mejoramiento de la infraestructura obsoleta existente en los sistemas de abastecimiento de agua.</t>
  </si>
  <si>
    <t>Incrementar la capacidad de participación de todos los actores involucrados en el plan de manejo de aguas subterráneas.</t>
  </si>
  <si>
    <t>Seguimiento, actualización y calibración del modelo numérico.</t>
  </si>
  <si>
    <t>Diseñar e implementar medidas para la identificación de captaciones abandonadas</t>
  </si>
  <si>
    <t>Diseño de una base de datos en la cual se consolide toda la información de los instrumentos.</t>
  </si>
  <si>
    <t>Realización de  estudios y pruebas que permitan identificar, recopilar, y analizar  información  para la obtención del proyecto piloto.</t>
  </si>
  <si>
    <t>Pagos por Servicios Ambientales</t>
  </si>
  <si>
    <t>“Rehabilitación de ecosistemas forestales en las cuencas de los ríos Ranchería, Tapias y Cesar en los municipios de Riohacha, San Juan del Cesar, Manaure y Albania-La Guajira</t>
  </si>
  <si>
    <t>Restauración pasiva</t>
  </si>
  <si>
    <t>RECUPERACION DE ECOSISTEMAS CON LA ESPECIE PROMISORIA PALMA AMARGA (Sabal mouritiriformis) EN LOS MUNICIPIOS DE DIBULLA Y URUMITA DEPARTAMENTO DE LA GUAJIRA con código BPIN 201932180000002</t>
  </si>
  <si>
    <t>Grupo de Ecosistemas y biodiversidad</t>
  </si>
  <si>
    <t>(5) 7282672</t>
  </si>
  <si>
    <t xml:space="preserve">Aunque se trata de una actividad para ejecutarse en 2022, durante el SEGUNDO TRIMESTRE de la vigencia 2021 se continuó con el Ministerio del lnterior – MININTERIOR, la gestión adelantada desde la vigencia 2020 con el fin de clarificar si en el marco de la Resolución del Ministerio de Ambiente y Desarrollo Sostenible - MINAMBIENTE No. 1263 de 2018, se puede llevar a cabo la realización del Estudio de Caracterización, Diagnóstico y Zonificación de los manglares de la jurisdicción de manera independiente a la Consulta Previa, dejando esta para un  momento posterior en el tiempo, y se participó de una reunión virtual convocada por el MININTERIOR en comunicación 12666 - DCP - 2509 del 11.05.2021 para el día 19/05/2021, con el fin de aclarar el verdadero alcance de la solicitud de CORPOGUAJIRA en la materia, en la que la Corporación amplió la información aclarando las inquietudes de dicho Ministerio y precisó una vez más que se trata es de lograr desarrollar la fase del estudio Técnico de Diagnóstico y Zonificación de los manglares (incluyendo la formulación de lineamientos de manejo integral para las unidades de uso sostenible del manglar), realizando más adelante en el futuro la consulta Previa, tal como lo confirmó por escrito en la comunicación institucional radicada con No. SAL-2006 del 15.06.2021, de respuesta al oficio de MININTERIOR 13629 - DCP - 2500 (ENT-3751 del 31.05.2021) sobre este tema. En la reunión virtual en mención MININTERIOR expresó que analizaría la solicitud de CORPOGUAJIRA e informaría su decisión a través de un acto administrativo que sería enviado a la Corporación, del cual se está a la espera. De otra parte, se elaboró y remitió a la Subdirección de Autoridad Ambiental de la Corporación (INT 911 de 12.05.2021) el Informe Técnico de novedades encontradas por tala y construcción de infraestructuras en zona de manglar en el sector de la madrevieja del río Cañas, en Dibulla.  
PRIMER TRIMESTRE: Se continuó con el MININTERIOR la gestión adelantada durante la vigencia 2020, con el fin de clarificar si en el marco de la Resolución de MINAMBIENTE No. 1263 de 2018, la realización del estudio de diagnóstico y zonificación de los manglares de la jurisdicción se puede llevar a cabo de manera independiente a la Consulta Previa (dejándola para un  momento posterior), con lo que se procedió a atender la comunicación de MININTERIOR ENT-8067 de 30/12/2020, en la cual se solicitó a la Corporación enviar más información a la ya enviada en 2020, plasmándola en el formato denominado "determinación de procedencia y oportunidad" (Ley 1437 de 2011), iniciando así dicho trámite a su cargo, definiendo para ello un plazo de tiempo, el que mediante comunicación de CORPOGUAJIRA SAL-282 de 03/02/2021 dirigida a la Subdirección Tecnica de la Direccion de la Autoridad Nacional de Consulta Previa de dicho Ministerio, se requirió fuera prorrogado, recibiendo aceptación de la solicitud por parte de MININTERIOR en comunicación ENT-842 de 11/02/2021, procediendo luego una vez completada la misma y diligenciado el formato, a enviarlo vía correo electrónico una semana después.  Posteriormente y mediante comunicación ENT-1976 del 25/03/2021 el MININTERIOR requirió una información adicional que se encuentra en preparación en conjunto con la Oicina de Planeación de la Corporación, con el fin de responderle nuevamente a dicho Ministerio.  </t>
  </si>
  <si>
    <t>cinco (5) Jornadas de Arborización ejecutadas en los municipios de Albania, San Juan del Cesar y el distrito de Riohacha. 
Acciones ejecutadas:
Con el propósito de dar cumplimiento a la meta establecida para esta actividad, se han adelantado diversas acciones, las cuales se relacionan a continuación:  
• Desarrollo de una (1) jornada de siembra en el marco de la Celebración del día del agua. La actividad fue ejecutada el 19 de marzo de 2021, logrando como resultado, la siembra de 17 plántulas en el municipio de Villanueva. 
• Desarrollo de una (1) jornada de siembra en la I.E Familias de Nazaret en el Distrito de Riohacha, en el marco de la Celebración del día Mundial del Medio Ambiente.  Esta actividad fue realizada el 05 de junio de 2021, logrando como resultado un total de 100 árboles entre maderables y frutales. Se contó con la participación de las estudiantes del grado 11, docentes y padres de familia. 
• Desarrollo de una (1) jornada de siembra en las comunidades de Ware-Ware del municipio de Albania, en conmemoración del Día Mundial del Medio Ambiente, el 5 de junio de 2021, durante esta jornada se sembraron en total 100 árboles, entre maderables y frutales. Para la realización de la jornada se contó con la participación de la Red de Jóvenes de Ambiente y funcionarios de la Alcaldía Municipal de Albania.
• Desarrollo de una (1) jornada de arborización en el corregimiento de Camarones, Distrito de Riohacha, en la cual se sembraron en el perímetro del acueducto, más de 80 plantas frutales y representativas de la zona, con el propósito de brindar en un futuro, protección y beneficios al acueducto y a la comunidad asentada en este corregimiento. Durante la actividad, se contó con la participación del alcalde del Distrito de Riohacha, funcionarios de la contraloría provincial, Corpoguajira, Parroquia de Camarones, concejales, ediles, entre otros.
• Desarrollo de una (1) jornada de arborización en los corregimientos de la Junta y Corraleja del municipio de San Juan del Cesar, aunando esfuerzos entre la policía ambiental y Corpoguajira, con el apoyo de la comunidad.  Como resultados de la jornada se sembraron en total 100 árboles, en los parques principales de los respectivos corregimientos. Esta actividad fue muy bien recibida por la comunidad, quienes expresaron su agradecimiento por estas acciones encaminadas a cuidar el medio ambiente.</t>
  </si>
  <si>
    <t>Para el cumplimiento de esta actividad se han realizado gestiones que se pueden evidenciar a continuación: 
1. El día jueves 17 de junio de 2021, se llevó a cabo una reunión Interinstitucional con el Municipio de El Molino, con el objeto de firmar un acuerdo de voluntades enfocado a la Gestión Ambiental Urbana. Actualmente, se está elaborando el proyecto como requisito para la firma del acuerdo de voluntades.
2. El día viernes 25 de junio de 2021, se llevó a cabo una reunión de socialización con de actividades los Ediles de la Comuna 4 contempladas en el Acuerdo de voluntades con actores sociales para la conservación del ecosistema urbano de la comuna 4 del Distrito de Riohacha, el cual está enfocado a las estrategias No. 3 de la Política de Gestión Ambiental Urbana. Actualmente se encuentra en la elaboración del documento del acuerdo.</t>
  </si>
  <si>
    <t xml:space="preserve">Desarrollo de 2 eventos de capacitación para brindar asistencia técnica a nueve (9) municipios (El Molino, Villanueva, Urumita, La Jagua del Pilar, Hatonuevo, Barrancas, San Juan del Cesar, Distracción y Fonseca) asesorados para determinar la superficie de área verde por habitante en el casco urbano. 
Acciones ejecutadas: 
• Desarrollo de un seminario-taller: Política de Gestión Ambiental Urbana, dirigido por Corpoguajira, mediante el cual, se les brindó asesoría técnica a los municipios de El Molino, Villanueva, Urumita y La Jagua del Pilar, sobre la metodología para determinar el área verde por habitante en el casco urbano. Esta actividad fue realizada durante los días 17 y 18 de marzo de 2021. 
• Desarrollo de un seminario-taller: Política de Gestión Ambiental Urbana, dirigido por Corpoguajira, mediante el cual, se les brindó asesoría técnica a los municipios de Hatonuevo, Barrancas, San Juan del Cesar, Distracción y Fonseca, sobre la metodología para determinar el área verde por habitante en el casco urbano, establecido en el objetivo No. 3 Calidad del habitad urbano. Esta actividad fue realizada durante los días 17 y 18 de junio de 2021. </t>
  </si>
  <si>
    <t xml:space="preserve">Nueve (9) municipios asesorados (El Molino, Villanueva, Urumita, La Jagua del Pilar, Hatonuevo, Barrancas, San Juan del Cesar, Distracción y Fonseca) para la identificación, compilación y análisis de los Índices de Calidad Ambiental Urbana ICAU
Acciones ejecutadas:
• Desarrollo de un seminario-taller: Política de Gestión Ambiental Urbana, dirigido por Corpoguajira, mediante el cual, se les brindó asesoría técnica a los municipios de El Molino, Villanueva, Urumita y La Jagua del Pilar, sobre la metodología para el cálculo de los Índices de Calidad Ambiental Urbana (ICAU) de acuerdo con las actualizaciones proyectadas. El seminario-taller fue ejecutado el 17 y 18 de marzo de 2021.
• Desarrollo de un seminario-taller: Política de Gestión Ambiental Urbana, dirigido por Corpoguajira, mediante el cual, se les brindó asesoría técnica a los municipios de Hatonuevo, Barrancas, San Juan del Cesar, Distracción y Fonseca, sobre la metodología para el cálculo de los Índices de Calidad Ambiental Urbana (ICAU) de acuerdo con las actualizaciones proyectadas. Esta actividad fue realizada durante los días 17 y 18 de junio de 2021. </t>
  </si>
  <si>
    <t xml:space="preserve">Nueve (9) municipios asesorados (El Molino, Villanueva, Urumita, La Jagua del Pilar, Hatonuevo, Barrancas, San Juan del Cesar, Distracción y Fonseca) para la identificación de la Estructura Ecológica Urbana - EEU 
Acciones ejecutadas:
• Desarrollo de un seminario-taller: Política de Gestión Ambiental Urbana, dirigido por Corpoguajira, mediante el cual, se les brindó asesoría técnica a los municipios de El Molino, Villanueva, Urumita y La Jagua del Pilar, sobre la Guía metodológica para la identificación de la Estructura Ecológica Urbana – EEU. El seminario-taller fue ejecutado el 17 y 18 de marzo de 2021.
• Desarrollo de un seminario-taller: Política de Gestión Ambiental Urbana, dirigido por Corpoguajira, mediante el cual, se les brindó asesoría técnica a los municipios de Hatonuevo, Barrancas, San Juan del Cesar, Distracción y Fonseca, sobre la Guía metodológica para la identificación de la Estructura Ecológica Urbana – EEU. Esta actividad fue realizada durante los días 17 y 18 de junio de 2021. </t>
  </si>
  <si>
    <t>Ocho (8) campañas de limpieza y descontaminación de fuentes hídricas
Acciones ejecutadas:
Durante el periodo de enero a junio de 2021, se lograron ejecutar las siguientes acciones: 
• Desarrollo de una (1) campaña de limpieza en el cauce del rio Cañas, en asocio con el comité cívico del corregimiento de Mingueo - Municipio de Dibulla. Igualmente se entregó un apoyo logístico al gremio de recicladores de la zona en procura de fortalecer procesos de economía circular en el territorio.
• Desarrollo de una (1) campaña de limpieza al Rio Ranchería, debajo del puente que conduce a la entrada del corregimiento de El Hatico - Municipio de Fonseca, retirando un total de 130 bolsas de residuos que fueron retiradas de las orillas y adentro del rio.
• Desarrollo de una (1) jornada de limpieza y sensibilización en la sequía llamada la Canal la cual atraviesa parte del Municipio de Villanueva.
• Desarrollo de una (1) jornada de limpieza de la acequia Cobo en el barrio 8 de abril en el Municipio de Distracción. Además, se realizó visitas de sensibilización casa a casa, con el objeto de que las personas que habitan el barrio asuman una actitud responsable frente al cuidado y manejo del recurso hídrico.
• Desarrollo de una (1) jornada de limpieza en el sitio conocido como la olla de Adon en el Municipio de Urumita. Está actividad contó con una jornada de sensibilización puerta a puerta a los habitantes que se encuentran habitando alrededor del sitio escogido.
• Desarrollo de una (1) jornada de limpieza e instalación de mensajes de sensibilización para la protección de la fuente hídrica en el sitio turístico conocido como Pozo Azul en la vereda Berlín - corregimiento de El Plan del municipio de La Jagua del Pilar.
• Desarrollo de una (1) jornada de limpieza en la Acequia del pueblo del municipio de El Molino. Esta actividad contó con la participación de los representantes del grupo de recicladores del municipio.
• Desarrollo de una (1) jornada de limpieza en el sitio conocido como el Pozo en el municipio de Hatonuevo.</t>
  </si>
  <si>
    <t>No se han ejecutado acciones para dar cumplimiento a esta actividad</t>
  </si>
  <si>
    <t>Estrategia Formulada y en ejecución.
Acciones ejecutadas: 
• Desarrollo de doce (12) talleres de sensibilización sobre la implementación del nuevo código de colores (Resolución 2184 de 2019), dirigidas al sector comercial, residencial e institucional, logrando sensibilizar a 586 usuarios y 259 establecimientos. 
• Desarrollo de cuatro (4) jornadas de limpieza en los sitios de mayor afluencia turística en los municipios de Manaure (Corregimiento de Mayapo), Uribia, Dibulla (Corregimiento de Palomino), y el distrito de Riohacha (Corregimiento de Camarones).  Estas jornadas fueron ejecutadas en el marco de la Campaña Colombia Limpia, liderada por el Ministerio de Comercio, Fontur y Corpoguajira, articulada por representantes de operadores turísticos, Alcaldías, Ejercito, Instituciones Educativas, Empresas prestadoras del servicio de aseo y empresas de recicladores.
• Apoyo en la gestión y coordinación para el desarrollo de una (1) jornada de limpieza para la eliminación de puntos críticos generados por la mala disposición de residuos sólidos en el municipio de Fonseca.  
• Desarrollo de un (1) taller sobre el manejo adecuado de los residuos sólidos y la implementación del nuevo código de colores según resolución 2184 de 2019, en el Barrio San José del municipio de Uribia, el 18 de junio de 2021.  Como parte del desarrollo de los talleres, se hicieron mesas de trabajo con la comunidad para identificar los problemas ambientales que afectan a la comunidad, plasmándolos en unas carteleras y socializándolos para que se tengan en cuenta en el CIDEA, del Municipio.
• Desarrollo de una (1) jornada de limpieza en el puente del Riito. El día 11 de junio de 2021 se llevó a cabo, contando con la participación de las instituciones Policía ambiental, el Ejército Nacional, Corpoguajira, INTERASEO, Red de Jóvenes de Ambiente y Capitanía de Puerto. Se logró recoger una cantidad de residuos sólidos bastante significativa, quedando el margen del rio y de la playa sin presencia de estos.</t>
  </si>
  <si>
    <t>Ocho (8) grupos de recicladores caracterizados y en formación.
Acciones ejecutadas:
• Gestión y coordinación para el desarrollo del programa de formación Tratamiento Primario de Residuos Sólidos, impartido por el SENA, en el que se matricularon 98 recicladores de oficio en representación de los municipios de Manaure, Albania, Distracción, el Distrito de Riohacha, Uribia Urumita y La Jagua del Pilar.  El curso inició los días 7 y 8 de junio de 2021. 
Desarrollo de una (1) asesoría a los líderes comunales y un grupo de jóvenes de los corregimientos y localidades de Tigreras, Ebanal, Puente Bomba y Magueyal, del distrito de Riohacha, para la conformación de grupos de recicladores o empresas comunitarias prestadoras de servicio público en saneamiento: Se realiza sensibilización con los jóvenes de puente bomba que hacen actividad física y el líder comunal Jailer Rivadeneira, esto con el objeto de que se vinculen al grupo que se está conformando de recuperadores ambientales</t>
  </si>
  <si>
    <t xml:space="preserve">Una (1) asistencia técnica para el aprovechamiento de residuos sólidos orgánicos e inorgánicos
Acciones ejecutadas:
• Desarrollo de una (1) jornada de capacitación dirigida a recicladores sobre Aprovechamiento de Residuos Sólidos en el marco de la Economía Circular y la resolución 2184 de 2019, en el municipio de El Molino.
• Gestión y coordinación para el desarrollo del programa de formación Manejo de cultivo y Agricultura, impartido por el SENA, para dar a conocer las técnicas para la elaboración de compostaje. En este curso se matricularon 29 recicladores de oficio del distrito de Riohacha y de los corregimientos y/o localidades de Caricari, Ebanal, Matitas, Pelechúa, Puente Bomba, tigreras, del Distrito. El curso inició el 8 de junio de 2021. </t>
  </si>
  <si>
    <t xml:space="preserve">Siete (7) entes territoriales (Uribia, Hatonuevo, El Molino, Villanueva, Urumita, La Jagua del Pilar y Riohacha), con acompañamiento técnico para la implementación del comparendo ambiental. 
Acciones ejecutadas:
• Desarrollo de tres (3) jornadas de capacitación para la socialización del marco normativo vigente sobre comparendo ambiental y el programa de apoyo para la implementación del comparendo ambiental en La Guajira, formulado por Corpoguajira.
• Desarrollo de diez (10) mesas de trabajo para brindar asistencia técnica a las administraciones municipales, para la actualización de los actos administrativos por medio de los cuales las alcaldías instauraron y/o reglamentaron el comparendo ambiental en sus territorios, antes de la sanción de la Ley 1801 de 2016. Estas asistencias técnicas se han realizado mediante el desarrollo de mesas de trabajo y jornadas de capacitaciones con los municipios de Uribia, Hatonuevo, El Molino, Villanueva, Urumita, La Jagua del Pilar, y el distrito de Riohacha. </t>
  </si>
  <si>
    <t>Para el cumplimiento de esta actividad se han realizado gestiones que se pueden evidenciar a continuación: 
1. En aras de fortalecer este proceso y continuar promoviendo la sostenibilidad ambiental en las empresas públicas del Departamento, teniendo en cuenta el liderazgo y conocimiento en el tema de compras públicas sostenible, solicitamos el apoyo de la Agencia Publica Colombia Compra Eficiente para desarrollar un programa de capacitación a las entidades públicas del Departamento.</t>
  </si>
  <si>
    <t>Para el cumplimiento de esta actividad se han realizado gestiones que se pueden evidenciar a continuación: 
1. Desarrollo de reuniones interinstitucionales con los municipios de La Guajira, CORPOGUAJIRA, la Secretaría de Salud Departamental y los programas posconsumo a nivel nacional, para la planificación y coordinación de acciones de la VII Jornada Departamental de Recolección de Residuos Posconsumo en el departamento de La Guajira.  Se tiene proyectado el desarrollo de la jornada para los días 6 y 7 de octubre de 2021.</t>
  </si>
  <si>
    <t>Una (1) Estrategia de formación y sensibilización formulada y en ejecución.
Acciones ejecutadas: 
En el marco de la Estrategia de formación y sensibilización para promover la apropiación e implementación efectiva de la Política Nacional para la gestión integral de RAEE y el Programa de Posconsumo, se adelantaron las siguientes acciones:
1. Diseño y desarrollo de un plan de capacitaciones para la gestión integral de RAEE y residuos posconsumo, el cual será impartido por los Programas gestores y CORPOGUAJIRA, a la siguiente población objetivo: Grupos de recicladores, Alcaldías, Entidades Públicas y Privadas, representantes del sector agrícola, comunidades rurales, equipos de apoyo municipales, empresas aplicadores de plaguicidas, prestadoras del servicio de salud, veterinarias, Miembros de los CIDEA, rectores, docentes Instituciones educativas, Estudiantes de la universidad de La Guajira y el SENA y empresas prestadoras del servicio de aseo.</t>
  </si>
  <si>
    <t>No se han ejecutado acciones como parte de la Estrategia. Se tienen programadas actividades a partir del mes de septiembre de 2021.</t>
  </si>
  <si>
    <t xml:space="preserve">No se han ejecutado acciones.  Se tiene programado el desarrollo de esta capacitación para el mes de agosto de 2021. </t>
  </si>
  <si>
    <t>Sector agroindustrial con estrategia formulada para controlar la deforestación, conservar los ecosistemas y prevenir su degradación
Acciones ejecutadas
• Desarrollo de dos (2) jornadas de socialización de la Estrategia, para establecer compromisos y articular las actividades plasmadas en el Plan estratégico de acción.  En estas jornadas han participado los municipios de La Jagua del Pilar, Villanueva, Urumita y El Molino, San Juan del Cesar, Fonseca, Hatonuevo y Albania. 
• Desarrollo de una reunión interinstitucional con la Secretaría de Educación, I.E. la Esperanza – Municipio de Urumita y CORPOGUAJIRA, con el objeto de concertar la formulación del PRAES dirigido a la conservación del área protegida. La reunión fue realizada el jueves 06 de mayo de 2021.
• Desarrollo de una reunión virtual con líderes de la vereda Los Claros, la Secretaría de Educación, Rector de la I.E zona rural y secretario técnico del CIDEA del municipio de Urumita, con el fin de concertar con la comunidad la formulación e implementación de un PROCEDA, en el marco del cumplimiento de la Estrategia, dirigido a la conservación de la biodiversidad del área protegida donde se encuentran asentados. Además, se planificó la visita al sitio, donde el punto de encuentro fue en la Vereda la Esperanza, contando con la participación de líderes de diferentes veredas a los que se les socializó la estrategia de conservación. 
• Desarrollo de una reunión interinstitucional con la Secretaría de Educación, I.E del Municipio de Villanueva y CORPOGUAJIRA, en el marco de la estrategia de conservación para la Concertación del PRAE. La reunión fue realizada el 11 de junio de 2021.</t>
  </si>
  <si>
    <t>Se llevó a cabo reunión con funcionarios de la Secretaria de Planeación del Municipio de Fonseca, cuyo objeto fue articular acciones con el sector de la minería de subsistencia que derivan su sustento de la extracción de arena y gravas, adquiriendo el compromiso de impartir un curso en buenas prácticas ambientales en el sector de la minería.</t>
  </si>
  <si>
    <t xml:space="preserve">No se han ejecutado acciones. Se tiene proyectado el desarrollo de esta actividad para el mes de agosto de 2021. </t>
  </si>
  <si>
    <t>Sector agroindustrial con estrategias de formación y sensibilización implementadas para la prevención de incendios forestales.
Acciones ejecutadas:
Desarrollo de 11 talleres de sensibilización sobre "Prevención de incendios forestales y delitos ambientales, dirigidos a  agricultores, productores, lideres veredales y miembros de comunidades rurales,  en 7 municipios del Departamento, a saber: 
1. Barrancas: Se realizó la actividad con líderes rurales
2. Hatonuevo: Se realizaron dos talleres uno en horas de la mañana con Líderes Rurales y la otra en horas de la tarde con líderes comunales
3. Fonseca: Las Colonias
4. San Juan del Cesar: Corregimiento Los Pondores
5. El Molino: Vereda La Sierra y Faria los Tamacos
6. Urumita: Vereda la Esperanza
7. Distrito de Riohacha: Corregimiento de las Palmas: Vereda las casitas, Corregimiento de Tomarrazon: Vereda Los Monos y Las colonias.
• Se Diseñó del Plan de Educación Ambiental para la prevención de Incendios Forestales.</t>
  </si>
  <si>
    <t>Sectores turismo y manufacturero con acuerdo establecido para el aprovechamiento local de plásticos y la gestión de residuos de envases y empaques.  Hasta la fecha se logró la firma del acuerdo por parte de CORPOGUAJIRA, en los municipios de Fonseca y San Juan del Cesar.
Acciones ejecutadas:
• Gestión para la firma del Acuerdo de Voluntades con los sectores turismo y manufacturero de alimentos, para el aprovechamiento de los residuos sólidos de envases y empaques generados y en ejecución.  Hasta el momento se logró la firma del acuerdo por parte de los municipios de Fonseca y San Juan del Cesar. 
• Desarrollo del Primer Encuentro Ambiental de Turismo Sostenible para la Gestión de Residuos de Envases y Empaques, realizado el 11 de junio de 2021, contando con la participación del gerente de la empresa EKORED, y funcionarios de la Corporación como expositores. En el marco de este Encuentro, se socializó el acuerdo de voluntades con el sector turismo y manufacturero a todos los asistentes. 
• Desarrollo de una Jornada de limpieza de Playas del Distrito de Riohacha, en el marco del acuerdo de voluntades.  Esta actividad fue realizada el 29 de mayo de 2021, con la participación de la Secretaría de Turismo Distrital, Capitanía de Puerto, INTERASEO y el grupo de recuperadores ambientales RECIUNIDOS.
• Se han adelantado gestiones con los demás actores para promover la firma del acuerdo de voluntades, estamos a la espera del envío del manifiesto de aprobación.</t>
  </si>
  <si>
    <t xml:space="preserve">1. Desarrollo de una mesa de trabajo interinstitucional entre la Secretaría de Salud Departamental, Fundación Bioentorno, ICA y CORPOGUAJIRA, para la actualización del Acuerdo de Voluntades Interinstitucional para la gestión ambientalmente adecuada de residuos posconsumo de plaguicidas y de medicamentos veterinarios vencidos en el Departamento de La Guajira, establecido desde el 27 de junio de 2017, con el fin de fortalecer la gestión de residuos posconsumo que ofrece la Fundación Bioentorno para el sector agroindustrial y el desarrollo de rutas integrales en el casco urbano de los municipios y el fortalecimiento de las jornadas anuales de recolección.  Esta mesa de trabajo fue realizada el 28 de mayo de 2021 y se logró definir un primer borrador de la propuesta de actualización del Acuerdo. </t>
  </si>
  <si>
    <t>No se han ejecutado acciones Número de estrategias diseñadas e implementadas para la sensibilización ambiental en comunidades costeras.</t>
  </si>
  <si>
    <t>Se han formulado 11  PRAE que están en revisión para su mejoramiento; y se ha  iniciado la formulación de 4 PRAE, para un total de   14 Prae con acompañamiento por parte de Corpoguajira: 
Con el apoyo de El Cerrejón, se ha avanzado en   la formulación de los siguientes PRAE:
1) Municipio de Albania, internado Akuaipa (indígena) -Prae formulado en revisión
2) Municipio de Hatonuevo, IE Resguardo indígena Cerro de Hatonuevo --Prae formulado en revisión
3) Municipio de Barrancas, colegio Eloy Fernández
4) Municipio de Uribia, Institución etnoeducativa isidro Ibarra Fernández -Prae formulado en revisión
5) Municipio de Uribia, internado kamusüshiwo
6) Municipio de Maicao Centro etnoeducativo N0. 6 
La empresa BCC ha apoyado la formulación de  5 PRAE, el grupo de educación ambiental  ha avanzado en acompañamiento para el  fortalecimiento  de estos PRAE
7) Municipio de Distracción “Estrategias de gestión de residuos sólidos en el Centro Educativo Distracción sede La Duda”.
8) Municipio de San Juan “Estrategias didácticas que fomenten la generación de cultura ambiental en la comunidad del Tablazo”
9) Municipio de San Juan “Vivero escolar como estrategia para la educación ambiental en el Centro Educativo El Tablazo sede Los Pozos”
10) Municipio de Fonseca “Estrategias pedagógicas para manejo integral de los residuos sólidos en el centro educativo Almapoque sede Sitio Nuevo”
11) Municipio de Fonseca, “Estrategias de gestión encaminadas al manejo integral de residuos sólidos en el centro educativo Almapoque sede confuso.
12) Municipio de Uribia, Institución educativa Nuestra señora de Fátima: “Producción de abono orgánico a base de residuos sólidos para el desarrollo de huertos escolares pedagógicos 
12) Municipio de Riohacha, Institución educativa agropecuaria de Tomarrazón. Se  ha iniciado formulación de PRAE con énfasis en residuos sólidos
13) Municipio de Riohacha, corregimiento de Camarones, institución etnoeducativa Las delicias sede loma fresca, con énfasis en conservación y cuidado del  ambiente, en zona cercana al parque y santuario los Flamencos de camarones. 
14)  Municipio de Dibulla, Institución educativa INETRAM, se ha iniciado el apoyo al servicio social ambiental obligatorio, y se espera vincular esta actividad con el PRAE de la institución  .                    Igualmente, se ha acordado con la secretaría de educación de Villanueva el apoyo a la formulación de PRAE para el fortalecimiento de áreas protegidas, en coordinación con el proyecto de Gestión ambiental sectorial y Urbana.</t>
  </si>
  <si>
    <t xml:space="preserve">Para el desarrollo de los PRAE antes mencionados se ha iniciado el proceso de formación de formadores con base en la guía  de formación  de PRAE. </t>
  </si>
  <si>
    <t>Hay un acuerdo de voluntades entre la Asunción Temporal departamental de Educación y Corpoguajira ,  que cubre los 15 municipios del departamento.
En el marco de este acuerdo, se han desarrollado acciones conjuntas: 
• Con el municipio de Villanueva, donde la secretaría de educación se ha vinculado al fortalecimiento del Cidea municipal y participado de los procesos de levantamiento de información para la política departamental de educación  ambiental y el plan municipal de educación ambiental. Igualmente, se ha acordado con la secretaría de educación  el apoyo a la formulación de PRAE para el fortalecimiento de áreas protegidas, en coordinación con el proyecto de Gestión ambiental sectorial y Urbana.</t>
  </si>
  <si>
    <t>Se formuló la estrategia de educación ambiental en  Entornos saludables a partir de los lineamientos del MADS.  se han adelantado conversaciones con El Cerrejón para apoyar acciones orientadas por esta estrategia. Se diseñó instrumento de diagnóstico para incluir la estrategia de EESS en los PRAE y se ha aplicado en los proyectos apoyados por El Cerrejón. Acuerdo con la secretaría de salud-salud ambiental de Maicao para desarrollar PRAE con énfasis en entornos saludable-Escuela.</t>
  </si>
  <si>
    <t>Se ha avanzado con dos  instituciones educativas  (San Rafael de Albania y la Institución Educativa Rural Agropecuaria de Mingueo, INETRAM), en acuerdos  para realizar la actividad de las 80 horas sociales ambientales.
Con INETRAM, se firmó acuerdo de voluntades. La propuesta, se basa en la realización de talleres teóricos , en forma  virtual con actividades prácticas con el colegio, Ante las limitaciones causadas por la pandemia COVID 19, se proponen enviar talleres mediante fotografías a los dispositivos de los estudiantes para que sean diligenciados y enviados por el mismo medio. La propuesta fue aceptada por la docente encargada de la actividad, esto permitiría   que los jóvenes del grado once cumplan las horas reglamentarias y los estudiantes del grado decimo adelanten en su obligación.</t>
  </si>
  <si>
    <t>Se ha avanzado en formulación  de  propuesta de investigación   "Análisis espacial de potencialidades y problemáticas  ambientales  asociadas  a los contextos municipales y regionales de  las instituciones educativas del departamento de La Guajira". Se busca  con esta propuesta:
1) identificar y caracterizar   las problemáticas y potencialidades  ambientales propias del  contexto de las instituciones educativas del departamento por medio  de la construcción de una base de datos georreferenciada de las instituciones educativas y de  las dinámicas ambientales relevantes (cuencas hidrográficas, presencia de áreas protegidas, población, grupos étnicos, conflictos socioambientales, entre otras variables  de análisis). Con base en este análisis se propondrán  líneas temáticas y problemas que conformen  los  problema centrales de los PRAE en el departamento,  
2) Sistematización de experiencia de los PRAE en instituciones educativas con el fin de identificar fortalezas y debilidades  para elaborar propuesta de mejoramiento de las estrategias  de educación ambiental  en el sector educativo formal.</t>
  </si>
  <si>
    <t xml:space="preserve">Acompañamiento y capacitación  a miembros de Cidea para recolección de información de base  para la política departamental de educación ambiental. </t>
  </si>
  <si>
    <t>Con El Cerrejón se cuenta con  acuerdo para apoyar encuentros entre Cidea municipales en diciembre.</t>
  </si>
  <si>
    <t>Con El Cerrejón se cuenta con  acuerdo para apoyar encuentro e intercambio de experiencias entre PRAE  en diciembre.</t>
  </si>
  <si>
    <t>1. En el marco del proyecto servicio de educación ambiental asociado a los impactos ambientales en sectores turísticos de los corregimientos de palomino y Mingueo, municipio de Dibulla, la guajira se logró la formación de 40 persona para la solución de las diferentes problemática ambientales que se presentan en las comunidades, con este taller se buscó que los grupos capacitados expresaran y construyeran estrategias y acciones conjuntas con el propósito de hacer frente a cada una de las problemáticas encontradas.</t>
  </si>
  <si>
    <t xml:space="preserve">Acciones ejecutadas: Durante la jornada de prevención sobre incendios forestales, se acordó con la comunidad del corregimiento de las palmas del distrito de Riohacha, desarrollar una reunión con los líderes veredales y representantes del sector agroindustrial para la conformación de la red de vigías rurales (RVR) en el marco de la estrategia de educación y participación para la prevención de incendios forestales. </t>
  </si>
  <si>
    <t xml:space="preserve">Dentro de esta actividad se ha realizado gestión y coordinación con los responsables del área de ecosistema y biodiversidad de Corpoguajira, con el objetivo de articular la actividad con el proyecto de mercados verdes, que dentro de las metas para el 2021 tiene previsto realizar una feria ambiental.   </t>
  </si>
  <si>
    <t xml:space="preserve">Estrategia formulada. Acciones ejecutadas a través de la red de jóvenes. Se tiene acuerdo con Coprecam y organizaciones de mujeres  para iniciar en el segundo semestre la aplicación de estrategia de género en procesos de formación con  recicladores, en  corregimientos de Tigreras, Puente Bomba y comunidad de Carari. Se tiene solicitud del Instituto de Bienestar familiar para iniciar procesos de educación ambiental con niños y un  PRAE con la institución educativa Edad Feliz de Fonseca. </t>
  </si>
  <si>
    <t xml:space="preserve">Estrategia formulada con el apoyo y la asesoría de Uniguajira. La aplicación de la estrategia ha iniciado con la incorporación del enfoque etnoeducaivo en los PRAE. De los 14 PRAE que están e ejecución o formulación, 6  corresponden a centros etnoeducativos. </t>
  </si>
  <si>
    <t>Nuevo Espinal</t>
  </si>
  <si>
    <t>Acuerdo 009 de 2020 - Inscripción en RUNAP en 2021</t>
  </si>
  <si>
    <t>Grupo Ecosistemas y Biodiversidad</t>
  </si>
  <si>
    <t>Gregoria Fonseca Lindao</t>
  </si>
  <si>
    <t>g.fonseca@corpoguajira.gov.co</t>
  </si>
  <si>
    <t>(5) 7271225. Ext. 124</t>
  </si>
  <si>
    <t>Administración de la reserva</t>
  </si>
  <si>
    <t xml:space="preserve"> Montes de Oca</t>
  </si>
  <si>
    <t>RFP</t>
  </si>
  <si>
    <t>Adquisición de predios</t>
  </si>
  <si>
    <t>Control y vigilancia</t>
  </si>
  <si>
    <t>Demarcación de límites y señalización</t>
  </si>
  <si>
    <t>Educación ambiental, información y divulgación</t>
  </si>
  <si>
    <t>Restauración ecológica</t>
  </si>
  <si>
    <t>Acciones operativas-Recursos propios</t>
  </si>
  <si>
    <t>Obtención de semillas y producción de material vegetal de especies forestales</t>
  </si>
  <si>
    <t>Fomento de sistemas de producción agroforestal</t>
  </si>
  <si>
    <t>Estudio poblacional de especies faunísticas de interés</t>
  </si>
  <si>
    <t>Identificación de especies vegetales promisorias económicamente</t>
  </si>
  <si>
    <t>Adecuación de infraestructura para un proyecto comunitario de recreación ambiental y ecoturismo, en el sitio la quinta.</t>
  </si>
  <si>
    <t>Personal Mínimo Necesario</t>
  </si>
  <si>
    <t>Cerro Pintao</t>
  </si>
  <si>
    <t>PNR</t>
  </si>
  <si>
    <t>Control y Vigilancia</t>
  </si>
  <si>
    <t>Saneamiento Predial del área</t>
  </si>
  <si>
    <t>Manejo y control de áreas públicas naturales - Bosques alto andinos - Rondas y humedales.</t>
  </si>
  <si>
    <t>Estrategias para la conservación del agua fomentando su conocimiento e importancia para su buen uso y manejo.</t>
  </si>
  <si>
    <t>Identificación y conocimiento de la fauna y flora silvestre asociada al cordón de páramo de la serranía del Perijá.</t>
  </si>
  <si>
    <t>Comunicación Ambiental</t>
  </si>
  <si>
    <t>Guardaparques Comunitarios</t>
  </si>
  <si>
    <t>Control de Vertimientos y Monitoreo de la Calidad del Agua</t>
  </si>
  <si>
    <t>Sistema de Baños Ecológicos</t>
  </si>
  <si>
    <t>Gestión de Residuos Sólidos</t>
  </si>
  <si>
    <t>Diagnóstico y Plan de Acción para Mejorar el Ejercicio Institucional</t>
  </si>
  <si>
    <t>Fortalecimiento de la gobernabilidad y la gestión pública en el AP</t>
  </si>
  <si>
    <t>Concurrencia de Competencias para el Manejo Ambiental del Territorio y la Implementación del Plan de Manejo del AP.</t>
  </si>
  <si>
    <t>Plataforma de Interacción Interinstitucional</t>
  </si>
  <si>
    <t>Formulación Plan de Uso Público y Capacidades de Carga</t>
  </si>
  <si>
    <t>Señalización Informativa e Interpretativa</t>
  </si>
  <si>
    <t>Senderos, Albergue y Campamentos.</t>
  </si>
  <si>
    <t>Administración y manejo del DMI</t>
  </si>
  <si>
    <t>MUSICHI</t>
  </si>
  <si>
    <t>Construcción cabaña de administración</t>
  </si>
  <si>
    <t>Señalización del DMI y demarcación de linderos</t>
  </si>
  <si>
    <t>Restauración Ecológica</t>
  </si>
  <si>
    <t>Manejo de construcciones abandonadas y escombros de obras civiles</t>
  </si>
  <si>
    <t>Monitoreo y control de la salinidad en los cuerpos de agua del DMI</t>
  </si>
  <si>
    <t>Asistencia técnica a la actividad pesquera</t>
  </si>
  <si>
    <t>Saneamiento Básico</t>
  </si>
  <si>
    <t>Identificación y fomento de sistemas alternativos de producción</t>
  </si>
  <si>
    <t>Elaboración proyecto arquitectónico  y de ingeniería para el centro de visitantes</t>
  </si>
  <si>
    <t>Diseño del proyecto eco-turístico para el DMI</t>
  </si>
  <si>
    <t>Construcción del centro de visitantes</t>
  </si>
  <si>
    <t>Mejoramiento de viviendas en las Rancherías de Neimau y Clemont</t>
  </si>
  <si>
    <t>Divulgación y educación ambiental</t>
  </si>
  <si>
    <t>Construcción de senderos ecológico y de interpretación</t>
  </si>
  <si>
    <t>Evaluación de la pesca artesanal</t>
  </si>
  <si>
    <t>Uso del territorio y dinámica poblacional de los flamencos</t>
  </si>
  <si>
    <t>Monitoreo de aves acuáticas</t>
  </si>
  <si>
    <t>Prospección Arqueológica</t>
  </si>
  <si>
    <t>Caracterización biótica del área marina aledaña al DMI</t>
  </si>
  <si>
    <t>Bañaderos</t>
  </si>
  <si>
    <t>Acciones operativas-Recursos Propios</t>
  </si>
  <si>
    <t>Actualización catastral y registro del DMI</t>
  </si>
  <si>
    <t>Seguimiento y Monitoreo</t>
  </si>
  <si>
    <t>Fortalecimiento organizacional de la comunidad</t>
  </si>
  <si>
    <t>Producción de material de propagación de especies vegetales</t>
  </si>
  <si>
    <t>Mejoramiento de prácticas de cultivo y beneficio del café</t>
  </si>
  <si>
    <t>Zoocría de especies silvestres</t>
  </si>
  <si>
    <t>Fomento de prácticas agropecuarias sostenibles</t>
  </si>
  <si>
    <t>Ordenamiento Predial</t>
  </si>
  <si>
    <t>Alternativas para disminuir el consumo de leña</t>
  </si>
  <si>
    <t>Caracterización de la fauna silvestre del DMI</t>
  </si>
  <si>
    <t>Estado poblacional y patrones de comportamiento de la marimonda del magdalena (Ateles Hybridus)</t>
  </si>
  <si>
    <t>Administración y gestión</t>
  </si>
  <si>
    <t>Serranía de  Perijá</t>
  </si>
  <si>
    <t>Coordinación institucional y comunitaria</t>
  </si>
  <si>
    <t>Actualización catastral y registro del DMI ante oficina de instrumentos públicos</t>
  </si>
  <si>
    <t>Amojonamiento y señalización</t>
  </si>
  <si>
    <t>Educación y divulgación</t>
  </si>
  <si>
    <t>Seguimiento y monitoreo</t>
  </si>
  <si>
    <t>Manejo y disposición de residuos sólidos y vertimientos</t>
  </si>
  <si>
    <t>Diseño de un corredor biológico con la RFP Montes de Oca.</t>
  </si>
  <si>
    <t>Fomento de prácticas sostenibles de producción agropecuaria</t>
  </si>
  <si>
    <t>Adopción de mejores prácticas para el cultivo y beneficio del café</t>
  </si>
  <si>
    <t>Diseño de un proyecto de café ecológico</t>
  </si>
  <si>
    <t>Establecimiento de un zoocriadero</t>
  </si>
  <si>
    <t>Fomento de plantaciones forestales protectoras-productoras</t>
  </si>
  <si>
    <t>Identificación y fomento de bionegocios</t>
  </si>
  <si>
    <t>Inventarios de flora y fauna vertebrada</t>
  </si>
  <si>
    <t>Estatus poblacional de especies de fauna amenazada (primera fase)</t>
  </si>
  <si>
    <t>Monitoreo de especies de aves migratorias boreales</t>
  </si>
  <si>
    <t>Evaluación de la oferta hídrica</t>
  </si>
  <si>
    <t>Investigación y Monitoreo del Cangrejo Azul</t>
  </si>
  <si>
    <t>Delta Rio Ranchería</t>
  </si>
  <si>
    <t>Uso y manejo sostenible del Cangrejo Azul</t>
  </si>
  <si>
    <t>Investigación y Monitoreo del Cardenal Guajiro</t>
  </si>
  <si>
    <t>Zoocria para la reintroducción del Cardenal Guajiro</t>
  </si>
  <si>
    <t>Gestión para la conservación de los ecosistemas de manglar</t>
  </si>
  <si>
    <t>Restauración y Rehabilitación de las Coberturas Boscosas del AP Ranchería</t>
  </si>
  <si>
    <t>Prácticas Sostenibles y Ambientalmente Amigables</t>
  </si>
  <si>
    <t>Rescate Arqueológico en los sitios prioritarios o más amenazados según los criterios definidos en la prospección</t>
  </si>
  <si>
    <t>Prospección arqueológica sistematizada y proceso de autorización ante el Instituto Colombiano de Antropología e Historia (ICANH)</t>
  </si>
  <si>
    <t>Educación y divulgación Patrimonial y Actividades de Interpretación del Patrimonio Arqueológico</t>
  </si>
  <si>
    <t>Administración del área protegida</t>
  </si>
  <si>
    <t>Saneamiento predial</t>
  </si>
  <si>
    <t>Construcción de una cultura ambiental en el distrito de conservación de suelos del Delta del rio Ranchería</t>
  </si>
  <si>
    <t>Desarrollo de sistemas productivos y organización comunitaria.</t>
  </si>
  <si>
    <t xml:space="preserve">Administración y Manejo </t>
  </si>
  <si>
    <t>Cuenca Baja Rio Ranchería</t>
  </si>
  <si>
    <t>Actualización Catastral y registro</t>
  </si>
  <si>
    <t>Fortalecimiento organizacional y coordinación entre actores</t>
  </si>
  <si>
    <t>Educación ambiental</t>
  </si>
  <si>
    <t>Instalación y Mantenimiento De Sistemas De Captación, Tratamiento, Almacenamiento Y Distribución De Agua</t>
  </si>
  <si>
    <t>Prácticas Agropecuarias Sostenibles</t>
  </si>
  <si>
    <t>Alternativas para disminuir el consumo de leña - estufas ecológicas</t>
  </si>
  <si>
    <t>Zoocria de Especies Silvestres</t>
  </si>
  <si>
    <t>Caracterización de la flora y fauna vertebrada del DMI</t>
  </si>
  <si>
    <t>Dinámica del Bosque Seco Tropical</t>
  </si>
  <si>
    <t>Grupo de Ecosistemas y Biodiversidad</t>
  </si>
  <si>
    <t xml:space="preserve">(5) 7282672. </t>
  </si>
  <si>
    <t>Atención de focos reportados ; prevencion,  control y  erradicacion</t>
  </si>
  <si>
    <t>Caracol gigante africano 8 Achatina fulica)</t>
  </si>
  <si>
    <t>Recursos propios - acciones operativas</t>
  </si>
  <si>
    <t>Atención de focos reportados ; captura y reubicación.</t>
  </si>
  <si>
    <t>Abejas africanizadas ( Aphis melifera)</t>
  </si>
  <si>
    <t>Recursos propios -acciones operativas</t>
  </si>
  <si>
    <t>Grupo de Ecosistemas y Biodiversidad, Grupo Marino Costero</t>
  </si>
  <si>
    <t>Gregoria Fonseca Lindao, Maria del Rosario Guzman Vivas</t>
  </si>
  <si>
    <t xml:space="preserve">Profesional Especializado Grado 15, </t>
  </si>
  <si>
    <t>g.fonseca@corpoguajira.gov.cov.co</t>
  </si>
  <si>
    <t>Programa de conservacion; recuperacion rehabilitación y monitoreo</t>
  </si>
  <si>
    <t>Jaguar ( Panthera onca) CR</t>
  </si>
  <si>
    <t>Contrato No. 008 de 2020 - En ejecucion (incluido interventoria)</t>
  </si>
  <si>
    <t>Cardenal Guajiro ( Cardinalis phoeniceus)  VU</t>
  </si>
  <si>
    <t>Morrocoy ( Chelonoidis carbonari )  EN</t>
  </si>
  <si>
    <t>Abejas nativas ; Meliponas  VU</t>
  </si>
  <si>
    <t>Marimondas ( Ateles hybridus ) CR</t>
  </si>
  <si>
    <t>Guacamaya verde ( Ara militaris)</t>
  </si>
  <si>
    <t>Recursos propios- acciones operativas</t>
  </si>
  <si>
    <t>Grupo de Ecosistema y Biodiversidad, Grupo Marino Costero</t>
  </si>
  <si>
    <t>g.fonseca@corpoguajira.gov.co: mariaguzman@corpoguajira.gov.co</t>
  </si>
  <si>
    <t>Gregoria Fonseca</t>
  </si>
  <si>
    <t xml:space="preserve">Talleres </t>
  </si>
  <si>
    <t xml:space="preserve">Los POMIUAC de la Alta Guajira y VNSNSM están formulados y aprobados por las Comisiones Conjuntas de las Unidades Ambientales Costeras y se encuentran pendientes de adopción por consulta previa, por lo que se adelantan acciones de manejo integrado en la Zona Costera de la jurisdicción: En el marco del proyecto de la Agencia Alemana GIZ "Manejo Integrado Marino Costero"- MIMAC se avanza en Proyectos de cambio (Gobernanza) en Negocios Verdes de Turismo de naturaleza en Bahía Honda y Hondita (Uribia), Ordenación pesquera en un sector de la Alta Guajira (en Uribia), y Medida de Carbono Azul en manglares de Bahía Hondita (Uribia); en el fortalecimiento de capacidades Marino Costeras a partir del Diplomado "Herramientas para la gestión integrada marino costera en el contexto del Cambio Climático" que se tomará en el segundo semestre de 2021; y se participó de las reuniones de acercamiento con la ANDI para trabajar compensaciones del sector privado en áreas protegidas regionales declaradas o por declarar (como Bahía Honda y Hondita). Se participó de la planificacción de acciones del SIRAP Caribe para las áreas protegidas, incluyendo las marino-costeras (actualmente declaradas: Delta del Ranchería, Musichi y Sawairu, y para las que se declararán: Bahía Honda y Hondita, y Matúa Gran kayuschi).  Se participó y/o apoyó a la Subdirección de Autoridad Ambiental de la Corporación en la realización de evaluaciones o seguimientos ambientales a empresas licenciadads o permisionadas, relacionadas con la zona costera de La Guajira: Gecelca, Elecnorte, Pescadores artesanales y arrecifes artificiales. Se asistió a reunión con la Dirección de Asuntos Marinos Costeros y Recursos Acuáticos – DAMCRA del Minambiente de socializó del avance en la consolidación de indicadores para los Planes de Ordenación y Manejo Integrado de las Unidades Ambientales Costeras- POMIUACs. </t>
  </si>
  <si>
    <t>El número de operativos acumulados durante el primer semestre de 2021 es de 94 operativos de fauna.</t>
  </si>
  <si>
    <t xml:space="preserve">Con la Universidad de La Guajira, un acuerdo para el fortalecimiento de los procesos de investigación en educación ambiental  y la formulación  de una estrategia  etnoeducativa para el departamento, en el marco de la formulación del plan decenal de educación ambiental. </t>
  </si>
  <si>
    <t>En el marco del proyecto “Servicio de educación ambiental asociado a los impactos ambientales en sectores turísticos de los corregimientos de Palomino y Mingueo, municipio de Dibulla, La Guajira”, 45 personas capacitadas en los siguientes temas:
Sensibilización a propietarios y/o representantes de establecimientos turísticos en temas de: Manejo adecuado de vertimientos 
Sensibilización a propietarios y/o representantes de establecimientos turísticos en temas de: Manejo adecuado de residuos 
Sensibilización a propietarios y/o representantes de establecimientos turísticos en temas de: Manejo de impactos en el ambiente. 
Sensibilización a propietarios y/o representantes de establecimientos turísticos en temas de: Cultura del agua. "
En la conformación y acompañamiento para fortalecer los grupos de recicladores, con el apoyo del SENA-regional Guajira , se han capacitado en compostaje y huertas caseras, a 92 personas de Puente bomba, Tigreras, Ebanal y Caricari, Riohacha
35 personas capacitadas y sensibilizadas en Villa Fátima, Riohacha, sobre manejo de residuos sólidos 
46 personas capacitadas en residuos sólidos y compostaje en barrio 31 de octubre   en Riohacha                                               
53 personas formadas sobre manejo de residuos sólidos, durante Jornada de la implementación de la estrategia de orientación ambiental comunitaria, en el barrio San José  de Uribía, promovida por la alcaldía municipal.</t>
  </si>
  <si>
    <t>El Ministerio de Ambiente y Desarrollo Sostenible MADS, al considerar la propuesta de política departamental de educación ambiental, solicitó que se ampliara la información  documental de base. Pare ello se realizó reunión con MADS,  Corpoguajira, Procuraduría ambiental y agraria, gobernación, alcaldías municipales y Universidad  de la Guajira con el fin de evaluar la entrega de esta información  por parte de las administraciones municipales. A partir de esa reunión, las alcaldía y la gobernación adquirieron el compromiso  de hacer llegar dicha información. El equipo de educación ambiental ha realizado el acompañamiento a las alcaldías en este esfuerzo. A 30 de mayo, 10 alcaldías municipales suministraron información que fue remitida a la Univerrsidad de La Guajira que debe presentar informe de sistematización, de acuerdo con los lineamientos del MADS en el  mes de julio, con lo cual se reiniciará la ruta de presentacion de la política ante la Asambea departamental.</t>
  </si>
  <si>
    <t>Se han adelantado sesiones presenciales y virtuales con los CIDEA  Municipales de  Hatonuevo y  Fonseca. Con la alcaldía municipal el CIDEA de Uribia, se ha hecho coordinación  interinstitucional para la implementación de la estrategia de sensibilización y educación ambiental en el municipio de Uribia
Se cuenta con  una guía para el diagnóstico y fortalecimiento de los CIDEA municipales y  para la formulación de los planes  municipales de educación ambiental. 
Todos los siete municipios que no tienen PEAM cuentan con el diagnóstico  de base para la formulación del PEAM.</t>
  </si>
  <si>
    <t>1) Se formuló proceda en el municipio de Albania con nombre Reforestación Albania Verde, el cual iniciará a implementarse en el mes de julio con el apoyo del Cidea y las diferentes instituciones que la conforman. Con este proceda se desea recuperar zonas verdes del casco urbano para mejorar la estructura ecológica y dar una hermosa vista al municipio. 
2) Proceda reconversión socioeconómica  de recicladores en sitio de disposición final. Impulsado por Interaseo, Alcaldía de Riohacha y participación de Corpoguajira, el proceda busca apoyar un proceso de reinversión ocupacional de 180 recicladores que trabajan en el sitio de disposición final. Se cuenta con un  documento de proyecto. Se avanzó en una ´primera etapa del proyecto con un censo de caracterización de la población  y se ha iniciado  capacitación  laboral para apoyar planes de vida de los recicladores y su fortalecimiento organizacional y empresarial
3) Proceda En la Vía por La Vida. Con la Agencia Nacional de infraestructura -ANI-, el consorcio de la vía Santa Marta-Paraguachón, alcaldías municipales de Dibulla y Maicao, empresas prestadoras del servicio de aseo (Interaso y Aseo técnico), Corpoguajira y organizaciones sociales  y comunitarias . El proceda se orienta a desarrollar jornadas  de limpieza de la  vía,  asistencia a alcaldías municipales aplicación de comparendo ambiental  y jornadas y campañas de sensibilización, para mejorar la seguridad en la  vía y erradicar los puntos de riesgo originados en la presencia de botaderos satélite y residuos en la vía. Se han desarrollado reuniones con la comunidad en el municipio de Dibulla – corregimiento de Mingueo para el diagnóstico y ubicación de botaderos satélite;  calidad, frecuencia y cobertura de las rutas de recolección, labor  y rutas de carromuleros con el fin de definir el alcance y las actividades  del proceda. En la vía Maicao-Carraipía y Maicao-Cuatro vías se hizo la inspección,  ubicación y caracterización de 13 puntos de riesgo en la vía, en los cuales se realizarán  jornadas de limpieza, aplicación de comparendo ambiental y jornadas de sensibilización y capacitación
4) Proceda Medios de vida barrio 31 de octubre. Organizado por Coprecam, Interaseo, Fundación Panamericana para el Desarrollo (FUPAD), con el apoyo de Alcaldía de Riohacha y Corpoguajira.  20 familias beneficiadas con capacitación sobre compostaje, huertas caseras   y reciclaje; mejoramiento de entorno del barrio y de centro educativo infantil con arborización, jornadas de limpieza y  embellecimiento del parque con elementos hechos a partir de productos reciclados
5) Formación en reciclaje como oportunidad de ingreso en barrio Villa Fátima. Jornadas de limpieza;   capacitación en Reciclaje y en desarrollo empresarial y fortalecimiento de asociación de recicladores. Se desarrollan jornadas de limpieza, capacitación y formación empresarial todos los viernes, de acuerdo con programación  establecida.</t>
  </si>
  <si>
    <t xml:space="preserve">1. Con la ayuda de la policia ambiental se realizó en el corregimiento de Camarones, mas exactamente en la comunidad de loma fresca la proyeccion de una pelicula ambiental y una charla sobre el cuidado del medio ambiente enfocado al cuidado de la fauna silvestre (Flamencos) la cual tuvo una gran asistencia por toda la comunidad indigena. 
2. En articulación con el batallón de Rondón Buena Vista del municipio de distracción se realizó una capacitación sobre el uso y manejo adecuado de sustancias toxicas para el ser humano y el medio ambiente e igualmente se realizó una siembra de 300 árboles maderables.     
3. En articulación con la policía ambiental del municipio de San Juan del Cesar se logró realizar una sensibilización a la población sobre el cuidado del medio ambiente y una noche ecológica la cual fue disfrutada por todos los asistentes. </t>
  </si>
  <si>
    <t>El día 28 de mayo de 2021, en acompañamiento de Corpoguajira se conformó oficialmente mediante asamblea el Nodo de jóvenes de ambiente del municipio de Albania Guajira, quedando por unanimidad como coordinadora general Daniela Vanessa Vega Herrera.</t>
  </si>
  <si>
    <t>Estrategia de comunicación formulada. En desarrollo  de esta se han realizado las siguientes acciones de Apoyo, difusión, realización de piezas comunicativas y notas de prensa: 
Primer encuentro ambiental de turismo sostenible, 
Gestión de residuos de Envases y empaques de La Guajira (150 Beneficiarios)                                                11/06.  
Arborización (480 árboles),en los municipios de Uribia, Riohacha (Institución Educativa Nazareth), Distracción (Batallón Buenavista), Albania corregimiento Los remedios(Institución Educativa Guaré-Guaré), San Juan del Cesar ( Manantial de Cañaverales).  
Noches ecológicas (3) 150 asistentes.  
Jornada de capacitación virtual sobre Turismo Sostenible                              
Primera vitrina Expocomercial de Negocios Verdes, lugar Maicao
22/04. Día del Agua, Procesamiento de información para Redes y Medios de Comunicación, Elaboración de Boletines        
27/04. Procesamiento y entrega de información del Pelícano agredido por Arma Blanca en el Riito en Riohacha
03 y 08/05  GLOBAL BIRD DAY,  Procesamiento de la información y colaboración para organización del evento.                                                                   
 17/05  DIA INTERNACIONAL DEL RECICLAJE, Procesamiento de Información  23/05  
DIA MUNDIAL DE LA TORTUGA, Creación de contenido para redes.                                                      
26/05. TALLER DE GESTIÓN DE RIESGO Y CAMBIO CLIMÁTICO  Riohacha, manejo y procesamiento de información para redes y medios de comunicación.                              
 28/05. Creación del Nodo: JÓVENES DE AMBIENTE DE ALBANIA. Procesamiento de información para redes
03 -11/06  Organización de actividades y procesamiento de información de la semana para conmemorar el DIA MUNDIAL DEL MEDIO AMBIENTE.             
03, 04, 05, 07, 08, 09/06, publicación de información en prensa y redes       
10/06  Manejo de información resultante de la visita en campo a la Institución Etnoeducativa Integral Rural Isidro Ibarra Hernández. Aliados Cerrejón y Colombia Verde y Libre.                                                          12/06 Creación de contenido para jornada de siembra de árboles en los corregimientos de La Junta y Cañaverales en San Juan del Cesar.            13/06 Creación de contenido para la publicación referente a la Jornada de Limpieza del Riito, Riohacha      24/06 Cubrimiento y procesamiento de información para crear la Alianza que permita combatir el flagelo de la caza de la Tortuga para consumo humano.
Se formuló una propuesta de campaña para combatir  la caza, tráfico, comercialización y consumo de la Tortuga.</t>
  </si>
  <si>
    <t>22/04. WEBINAR:  Gestión Integral de cambio climático en el Dpto de La Guajira: Retos y Oportunidades.</t>
  </si>
  <si>
    <t>Se ha realizado en en el primer semestre la creacion de las diferentes bases de datos de las reuniones realizadas del grupo de Educación Ambiental.</t>
  </si>
  <si>
    <t>1. El día 3 de marzo de 2021 se compartió por correo electrónico a todas las instituciones educativas públicas y privadas del Departamento de la Guajira, 3 publicaciones ambientales en formato digital pdf de autoría propia de nuestra Corporación (Ordenamiento ambiental de los manglares de la alta, media y baja Guajira; Atlas Costero Marino de La Guajira; Atlas Ambiental del Departamento de La Guajira), como estrategia de divulgación y fortalecimiento al servicio de canje y donación dentro de la actividad de extensión bibliotecaria articulada entre Corpoguajira y las Bibliotecas Públicas en Instituciones Educativas en jurisdicción de Corpoguajira. 
2. El día 10 de mayo de 2021 se compartió por correo electrónico a todas las instituciones educativas públicas y privadas del Departamento de la Guajira 2 publicaciones ambientales en formato digital pdf dentro del apoyo de divulgación de información ambiental con la red del SINA; las publicaciones son; 1. Los Proyectos Ambientales Escolares PRAE en Colombia: Viveros de la nueva ciudadanía ambiental de un país que se construye en el escenario postconflicto y paz. MinAmbiente; 2.  Política Nacional para la Gestión Integral del Recurso Hídrico. MinAmbiente.  
3. El día 04 de junio de 2021 se compartió por correo electrónico a las Bibliotecas Públicas Municipales del Departamento de La Guajira y a los Centros de Documentación Ambiental adscritos a la Red del SINA las publicaciones; 1. Ordenamiento ambiental de los manglares de la alta, media y baja Guajira; 2. Atlas Costero Marino de La Guajira; 3. Atlas Ambiental del Departamento de La Guajira, publicaciones compartidas en formato pdf, dentro de la estrategia de divulgación de información ambiental y fortalecimiento al servicio de canje y donación entre Corpoguajira, las Bibliotecas Públicas Municipales de la Guajira y los Centros de Documentación adscritos al SINA.</t>
  </si>
  <si>
    <t xml:space="preserve">Hasta el segundo trimestre de 2021 se ha realizado el cargue de la Información de Bases de Datos Nacionales (VITAL y SNIF), esta se encuentra actualizada al 93% hasta el mes de marzo de  2021. 
Se trabajó en la organización de la base de datos con el fin de permitir el ingreso de información relacionada con salvoconducto único nacional en línea, dando cumplimiento a lo solicitado por la Contraloría Regional y lo solicitado en el SNIF del SIAC.
</t>
  </si>
  <si>
    <t>LEY DE PARAMOS 1930/17</t>
  </si>
  <si>
    <t>A la fecha se han realizado3 espacios de trabajo entre los que esta la primera reunión  del año 2021 del NORECCI y 2 mesas de trabajo para la formulación del Plan de acción del nuevo Nodo.  Lo anterior con Apoyo de Minambiente, GIZ y Fondo Acción.</t>
  </si>
  <si>
    <t>Con la ejecución del  proyecto "Restauración geomorfológica de un tramo del rio cañas, corregimiento de Mingueo, municipio de Dibulla.
70.706 m3 de Dragado para recuperación de la capacidad hidráulica por medio mecánico. Incluye retiro hasta una distancia máxima de 5 kms.                                           
También con la ejecución del proyecto "Construcción de obras de protección en el rio Cargabarros sectores los Totumitos, Catatumbo y Casiquillo municipio de El Molino La Guajira”
6.352  m3 de excavación mecánica para los espolones realizadas.                                   
4.058  m3 colocación de gavión en malla galvanizada triple torsión calibre 11.            
3.860 m2 de Limpieza de cauce, retiro de árboles caídos, empalizadas y escombros, L= 5 kms . A= 20 m.
16.021 m3 de  recuperación de la capacidad hidráulica por medio mecánico. Incluye retiro hasta una distancia máxima de 5 kms, realizados.          
16.021 m3 de Conformación de jarillones con material seleccionado  de la misma excavación con compactador, (incluye colocación y extensión).</t>
  </si>
  <si>
    <t>• Actualmente se ejecuta plan de trabajo en el marco del convenio suscrito en 2020. Se espera suscribir próximo convenio a partir del mes de Agosto de 2021, teniendo en cuenta la vigencia del actual.
• Durante el segundo trimestre de la vigencia 2021 se gestionó la suscripción de un convenio marco de cooperación entre CORPOGUAJIRA y la Universidad de La Guajira con el objeto de “Aunar esfuerzos humanos, orientados a desarrollar acciones y proyectos de investigación y monitoreo que aporten al conocimiento de la estructura ecológica principal, las áreas protegidas y corredores biológicos del departamento asociado al cambio climático, en lo que respecta  a integridad ecológica, conservación y uso de la biodiversidad  y  servicios ecosistémicos de la biodiversidad entre otros, sin perjuicio del ejercicio de las competencias y la autonomía correspondientes a cada una de las partes firmantes”. Lo anterior, con apoyo del SIRAP Caribe.</t>
  </si>
  <si>
    <t xml:space="preserve">Formulación de borrador de PD de Negocios Verdes - Se logró el apoyo de GIZ para la formulación
Se avanzó en las sigueintes acciones:
- Desarrollo de 5 talleres que dieron como resultado la formulacion del PDNV. taller 1 y 2, con el objeto Formulación plan de acción y socialización del proceso, construcción de situación deseada, explicación de líneas estratégica. Taller 3,4,5 formulación Plan de Acción 2021-2022, se elabora con las acciones a implementar en el corto plazo.
-Encuentros con GIZ, para coordinar el proyecto de cambio de NV y plan de trabajo para el apoyo en la formulación del plan de departamental.
-Articulación con el SENA, para el fortalecimiento en temas de capacitación a los negocios verdes beneficiados del proyecto. Se llevo a cabo el primer ciclo de capacitación “Aplicación de Metodologías para el análisis financiero”
-Reunión con el Director, Fundación Miramar GEB, con el objeto de coordinar acciones para la reactivación de la ventanilla verde.
-Acciones para la adición de Totumo App
- Articulación con Innpulsa en el marco de la reactivación de la economía circular.
-Articulación con AGI – Formulación de proyecto negocios verdes. </t>
  </si>
  <si>
    <t xml:space="preserve">Se formuló estrategia de educación, formación y sensibilización para adaptación y mitigación del cambio climático a partir del Plan Integral de Cambio Climático departamental y de los lineamientos del MADS. Se cuenta con una propuesta de PRAE con énfasis en cambio climático para presentar a cooperación internacional, con el apoyo del MADS. WEBINAR:  Gestión Integral de cambio climático en el Dpto de LA Guajira: Retos y Oportunidades.  250 Asistentes </t>
  </si>
  <si>
    <t>Se han realizado seguimientos a 9 PUEAA de 10 aprobados.</t>
  </si>
  <si>
    <t xml:space="preserve"> Se han realizado seguimientos a 17 PSMV de 18 aprobados.</t>
  </si>
  <si>
    <t xml:space="preserve">A corte 30 de junio de 2021 se han realizado seguimientos a 11 de 15 PGIRS de los municipios del departamento. </t>
  </si>
  <si>
    <t>Se han realizado seguimientos ambientales a 247 permisos de 363 priorizados.</t>
  </si>
  <si>
    <t xml:space="preserve">Acciones en el marco del Proyecto "Manejo Integrado Marino Costero - MIMAC". Y otras acciones en manejo integrado de Zonas Costeras. </t>
  </si>
  <si>
    <t>Revisión de Documento Síntesis para la Decalaratoria del Área Protegida en Bahía Honda y Hondita, que se enviará a INVEMAR.</t>
  </si>
  <si>
    <t>Compensación aprobada a ELECNORTE S.A.S E.S.P, que se llevará a cabo en el DRMI Delta del Ranchería y Musichi, involucra establecimiento de Manglar.</t>
  </si>
  <si>
    <t>Gestión del Proyecto "Adaptación Basada en Ecosistemas para la Protección Contra la Erosión Costera en un Clima Cambiante".</t>
  </si>
  <si>
    <t xml:space="preserve">4 especies amenazadas en estado Crítico
2 especies Vulnerables
2 especies en Peligro
</t>
  </si>
  <si>
    <t>2 Especies Invasoras con medidas de prevención, control y manejo en ejecución: Camarón Jumbo y Pez León.</t>
  </si>
  <si>
    <t xml:space="preserve">ODS 6. Agua Limpia y saneamiento
ODS 13. Acción por el clima.
ODS 15. Vida de Ecosistemas Terrestres
</t>
  </si>
  <si>
    <t xml:space="preserve">ODS 13. Acción por el clima.
ODS 14. Vida Submarina
</t>
  </si>
  <si>
    <t>ODS2: Hambre Cero
ODS 3: Salud y Bienestar
ODS 6: Agua Limpia y Saneamiento
ODS 8: Trabajo Decente y Crecimiento Económico
ODS 15: Vida de Ecosistemas Terrestres</t>
  </si>
  <si>
    <t>ODS 8: Trabajo Decente y Crecimiento Económico
ODS 9: Industria Innovación e Infraestructura
ODS 15: Vida de Ecosistemas Terrestres</t>
  </si>
  <si>
    <t>ODS 2: Hambre Cero
ODS 6: Agua Limpia y Saneamiento
ODS 11: Ciudades y Comunidades Sostenibles.
ODS 12: Producción y Consumo Responsables
ODS 13: Acción por el Clima
ODS 14: Vida Submarina
ODS 15: Vida de Ecosistemas Terrestres</t>
  </si>
  <si>
    <t>ODS 3: Salud y Bienestar
ODS 4: Educación de calidad
ODS 5: Igualdad de Género
ODS 6: Agua Limpia y Saneamiento
ODS 12: Producción y Consumo Responsables
ODS 13: Acción por el Clima
ODS 14: Vida Submarina
ODS 15: Vida de Ecosistemas Terrestres
ODS 16: Paz, Justicia e Instituciones Sólidas</t>
  </si>
  <si>
    <t>ODS 3: Salud y Bienestar
ODS 6: Agua Limpia y Saneamiento
ODS 7: Energía Asequible y No Contaminante
ODS 11: Ciudades y Comunidades Sostenibles
ODS 12: Producción y Consumo Responsables
ODS 14: Vida Submarina
ODS 15: Vida de Ecosistemas Terrestres</t>
  </si>
  <si>
    <t>ODS 1. Fin de la pobreza</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</si>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</sst>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3" formatCode="_-* #,##0.00_-;\-* #,##0.00_-;_-* &quot;-&quot;??_-;_-@_-"/>
    <numFmt numFmtId="164" formatCode="&quot;$&quot;\ #,##0;[Red]\-&quot;$&quot;\ #,##0"/>
    <numFmt numFmtId="165" formatCode="0.0"/>
    <numFmt numFmtId="166" formatCode="_-* #,##0_-;\-* #,##0_-;_-* &quot;-&quot;??_-;_-@_-"/>
    <numFmt numFmtId="167" formatCode="_(* #,##0.00_);_(* \(#,##0.00\);_(* &quot;-&quot;??_);_(@_)"/>
    <numFmt numFmtId="168" formatCode="_(* #,##0_);_(* \(#,##0\);_(* &quot;-&quot;??_);_(@_)"/>
    <numFmt numFmtId="169" formatCode="0.0%"/>
    <numFmt numFmtId="170" formatCode="&quot;$&quot;#,##0.00_-"/>
    <numFmt numFmtId="171" formatCode="_-* #,##0.00_-;\-* #,##0.00_-;_-* &quot;-&quot;_-;_-@_-"/>
  </numFmts>
  <fonts count="88" x14ac:knownFonts="1">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color indexed="10"/>
      <name val="Arial Narrow"/>
      <family val="2"/>
    </font>
    <font>
      <b/>
      <sz val="11"/>
      <name val="Arial Narrow"/>
      <family val="2"/>
    </font>
    <font>
      <b/>
      <sz val="8"/>
      <name val="Arial Narrow"/>
      <family val="2"/>
    </font>
    <font>
      <sz val="8"/>
      <name val="Arial Narrow"/>
      <family val="2"/>
    </font>
    <font>
      <b/>
      <sz val="9"/>
      <name val="Arial Narrow"/>
      <family val="2"/>
    </font>
    <font>
      <b/>
      <sz val="7"/>
      <name val="Arial Narrow"/>
      <family val="2"/>
    </font>
    <font>
      <sz val="7"/>
      <name val="Arial Narrow"/>
      <family val="2"/>
    </font>
    <font>
      <u/>
      <sz val="7"/>
      <name val="Arial Narrow"/>
      <family val="2"/>
    </font>
    <font>
      <b/>
      <sz val="10"/>
      <name val="Arial"/>
      <family val="2"/>
    </font>
    <font>
      <sz val="10"/>
      <name val="Arial"/>
      <family val="2"/>
    </font>
    <font>
      <b/>
      <sz val="11"/>
      <color theme="1"/>
      <name val="Arial Narrow"/>
      <family val="2"/>
    </font>
    <font>
      <b/>
      <sz val="9"/>
      <color theme="1"/>
      <name val="Verdana"/>
      <family val="2"/>
    </font>
    <font>
      <b/>
      <sz val="9"/>
      <name val="Verdana"/>
      <family val="2"/>
    </font>
    <font>
      <sz val="9"/>
      <color theme="1"/>
      <name val="Verdana"/>
      <family val="2"/>
    </font>
    <font>
      <b/>
      <sz val="9"/>
      <color rgb="FF000000"/>
      <name val="Verdana"/>
      <family val="2"/>
    </font>
    <font>
      <sz val="11"/>
      <name val="Calibri"/>
      <family val="2"/>
    </font>
    <font>
      <sz val="11"/>
      <color rgb="FF000000"/>
      <name val="Calibri"/>
      <family val="2"/>
    </font>
    <font>
      <sz val="9"/>
      <name val="Verdana"/>
      <family val="2"/>
    </font>
    <font>
      <sz val="9"/>
      <color rgb="FF000000"/>
      <name val="Verdana"/>
      <family val="2"/>
    </font>
    <font>
      <b/>
      <sz val="11"/>
      <color rgb="FF000000"/>
      <name val="Calibri"/>
      <family val="2"/>
    </font>
    <font>
      <b/>
      <sz val="10"/>
      <color rgb="FF000000"/>
      <name val="Arial Narrow"/>
      <family val="2"/>
    </font>
    <font>
      <b/>
      <sz val="10"/>
      <color rgb="FFFFFFFF"/>
      <name val="Arial Narrow"/>
      <family val="2"/>
    </font>
    <font>
      <sz val="10"/>
      <color theme="1"/>
      <name val="Arial Narrow"/>
      <family val="2"/>
    </font>
    <font>
      <b/>
      <sz val="10"/>
      <color theme="1"/>
      <name val="Arial Narrow"/>
      <family val="2"/>
    </font>
    <font>
      <sz val="10"/>
      <color rgb="FF000000"/>
      <name val="Arial Narrow"/>
      <family val="2"/>
    </font>
    <font>
      <b/>
      <sz val="10"/>
      <color indexed="8"/>
      <name val="Arial Narrow"/>
      <family val="2"/>
    </font>
    <font>
      <sz val="8"/>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sz val="9"/>
      <name val="Calibri"/>
      <family val="2"/>
      <scheme val="minor"/>
    </font>
    <font>
      <strike/>
      <sz val="8"/>
      <name val="Arial Narrow"/>
      <family val="2"/>
    </font>
    <font>
      <sz val="8"/>
      <name val="Calibri"/>
      <family val="2"/>
    </font>
    <font>
      <sz val="8"/>
      <color rgb="FF000000"/>
      <name val="Calibri"/>
      <family val="2"/>
    </font>
    <font>
      <b/>
      <sz val="9"/>
      <name val="Calibri"/>
      <family val="2"/>
    </font>
    <font>
      <sz val="9"/>
      <name val="Calibri"/>
      <family val="2"/>
    </font>
    <font>
      <sz val="8"/>
      <color theme="1"/>
      <name val="Calibri"/>
      <family val="2"/>
    </font>
    <font>
      <sz val="8"/>
      <color theme="1"/>
      <name val="Arial"/>
      <family val="2"/>
    </font>
    <font>
      <sz val="8"/>
      <color rgb="FF000000"/>
      <name val="Arial"/>
      <family val="2"/>
    </font>
    <font>
      <sz val="8"/>
      <name val="Arial"/>
      <family val="2"/>
    </font>
    <font>
      <b/>
      <sz val="8"/>
      <color rgb="FF000000"/>
      <name val="Arial"/>
      <family val="2"/>
    </font>
    <font>
      <b/>
      <sz val="8"/>
      <name val="Arial"/>
      <family val="2"/>
    </font>
    <font>
      <b/>
      <sz val="8"/>
      <name val="Calibri"/>
      <family val="2"/>
    </font>
    <font>
      <b/>
      <sz val="10"/>
      <color indexed="81"/>
      <name val="Tahoma"/>
      <family val="2"/>
    </font>
    <font>
      <b/>
      <sz val="9"/>
      <name val="Calibri"/>
      <family val="2"/>
      <scheme val="minor"/>
    </font>
    <font>
      <i/>
      <sz val="8"/>
      <color rgb="FF000000"/>
      <name val="Calibri"/>
      <family val="2"/>
      <scheme val="minor"/>
    </font>
    <font>
      <i/>
      <sz val="9"/>
      <name val="Calibri"/>
      <family val="2"/>
      <scheme val="minor"/>
    </font>
    <font>
      <sz val="11"/>
      <name val="Calibri"/>
      <family val="2"/>
      <scheme val="minor"/>
    </font>
    <font>
      <u/>
      <sz val="9"/>
      <color theme="10"/>
      <name val="Calibri"/>
      <family val="2"/>
      <scheme val="minor"/>
    </font>
    <font>
      <sz val="9"/>
      <color rgb="FFFF0000"/>
      <name val="Verdana"/>
      <family val="2"/>
    </font>
    <font>
      <sz val="10"/>
      <color rgb="FFFF0000"/>
      <name val="Arial Narrow"/>
      <family val="2"/>
    </font>
    <font>
      <b/>
      <sz val="8"/>
      <color theme="1"/>
      <name val="Verdana"/>
      <family val="2"/>
    </font>
    <font>
      <sz val="8"/>
      <color theme="1"/>
      <name val="Verdana"/>
      <family val="2"/>
    </font>
  </fonts>
  <fills count="38">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rgb="FF92D050"/>
      </patternFill>
    </fill>
    <fill>
      <patternFill patternType="solid">
        <fgColor rgb="FFE2EFD9"/>
        <bgColor rgb="FFE2EFD9"/>
      </patternFill>
    </fill>
    <fill>
      <patternFill patternType="solid">
        <fgColor rgb="FFA8D08D"/>
        <bgColor rgb="FFA8D08D"/>
      </patternFill>
    </fill>
    <fill>
      <patternFill patternType="solid">
        <fgColor rgb="FFC5E0B3"/>
        <bgColor rgb="FFC5E0B3"/>
      </patternFill>
    </fill>
    <fill>
      <patternFill patternType="solid">
        <fgColor rgb="FF70AD47"/>
        <bgColor rgb="FF70AD47"/>
      </patternFill>
    </fill>
    <fill>
      <patternFill patternType="solid">
        <fgColor indexed="1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99"/>
        <bgColor indexed="64"/>
      </patternFill>
    </fill>
    <fill>
      <patternFill patternType="solid">
        <fgColor theme="9"/>
        <bgColor indexed="64"/>
      </patternFill>
    </fill>
    <fill>
      <patternFill patternType="solid">
        <fgColor rgb="FF00B0F0"/>
        <bgColor indexed="64"/>
      </patternFill>
    </fill>
    <fill>
      <patternFill patternType="solid">
        <fgColor rgb="FFCCFFCC"/>
        <bgColor indexed="64"/>
      </patternFill>
    </fill>
    <fill>
      <patternFill patternType="solid">
        <fgColor theme="7" tint="0.59999389629810485"/>
        <bgColor indexed="64"/>
      </patternFill>
    </fill>
  </fills>
  <borders count="9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8"/>
      </right>
      <top style="medium">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rgb="FF000000"/>
      </left>
      <right style="double">
        <color rgb="FF000000"/>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s>
  <cellStyleXfs count="12">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cellStyleXfs>
  <cellXfs count="2021">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8" fillId="0" borderId="6"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4" fillId="0" borderId="7"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3" fillId="0" borderId="1" xfId="0" applyFont="1" applyBorder="1" applyAlignment="1">
      <alignment vertical="top" wrapText="1"/>
    </xf>
    <xf numFmtId="0" fontId="4" fillId="0" borderId="0"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3" fontId="4" fillId="4" borderId="8" xfId="0" applyNumberFormat="1" applyFont="1" applyFill="1" applyBorder="1" applyAlignment="1">
      <alignment vertical="top" wrapText="1"/>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5"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pplyProtection="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lignment vertical="top" wrapText="1"/>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9" fontId="4" fillId="4" borderId="14" xfId="0" applyNumberFormat="1" applyFont="1" applyFill="1" applyBorder="1" applyAlignment="1" applyProtection="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pplyProtection="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6" fontId="4" fillId="4" borderId="12" xfId="4" applyNumberFormat="1" applyFont="1" applyFill="1" applyBorder="1" applyAlignment="1">
      <alignment horizontal="center" vertical="top" wrapText="1"/>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0" fontId="23" fillId="6" borderId="18" xfId="1" applyFont="1" applyFill="1" applyBorder="1" applyAlignment="1" applyProtection="1">
      <alignmen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8"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0" fontId="0" fillId="0" borderId="9" xfId="0" applyBorder="1" applyProtection="1">
      <protection locked="0"/>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14" fillId="0" borderId="16" xfId="0" applyFont="1" applyBorder="1" applyAlignment="1" applyProtection="1">
      <alignment horizontal="left" vertical="top"/>
    </xf>
    <xf numFmtId="0" fontId="24" fillId="0" borderId="16" xfId="2" applyFont="1" applyBorder="1" applyAlignment="1" applyProtection="1">
      <alignment horizontal="lef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7"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0" fontId="4" fillId="0" borderId="12" xfId="0" applyFont="1" applyBorder="1" applyAlignment="1" applyProtection="1">
      <alignment vertical="top"/>
    </xf>
    <xf numFmtId="0" fontId="12" fillId="0" borderId="12"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pplyProtection="1">
      <alignment vertical="top"/>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3" fontId="4" fillId="0" borderId="8" xfId="0" applyNumberFormat="1" applyFont="1" applyFill="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0" fontId="0" fillId="0" borderId="0" xfId="0"/>
    <xf numFmtId="0" fontId="0" fillId="0" borderId="0" xfId="0"/>
    <xf numFmtId="9" fontId="4" fillId="0" borderId="16" xfId="0" applyNumberFormat="1" applyFont="1" applyFill="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Border="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4" fillId="0" borderId="14" xfId="0" applyFont="1" applyBorder="1" applyAlignment="1" applyProtection="1">
      <alignment vertical="top"/>
      <protection locked="0"/>
    </xf>
    <xf numFmtId="0" fontId="28" fillId="0" borderId="16" xfId="0" applyFont="1" applyBorder="1" applyAlignment="1">
      <alignment vertical="top" wrapText="1"/>
    </xf>
    <xf numFmtId="0" fontId="4" fillId="0" borderId="7"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5" xfId="0" applyFont="1" applyBorder="1" applyAlignment="1">
      <alignment vertical="top"/>
    </xf>
    <xf numFmtId="0" fontId="4" fillId="0" borderId="8" xfId="0" applyFont="1" applyBorder="1" applyAlignment="1">
      <alignment horizontal="center" vertical="top" wrapText="1"/>
    </xf>
    <xf numFmtId="0" fontId="8" fillId="0" borderId="7" xfId="0" applyFont="1" applyBorder="1" applyAlignment="1">
      <alignment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9" fontId="4" fillId="4" borderId="8" xfId="3" applyFont="1" applyFill="1" applyBorder="1" applyAlignment="1" applyProtection="1">
      <alignment horizontal="right" vertical="top"/>
    </xf>
    <xf numFmtId="0" fontId="4"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0" fillId="3" borderId="16" xfId="0" applyFill="1" applyBorder="1" applyAlignment="1" applyProtection="1">
      <alignment horizont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0" fillId="0" borderId="2" xfId="0" applyBorder="1" applyAlignment="1">
      <alignment vertical="top"/>
    </xf>
    <xf numFmtId="0" fontId="0" fillId="0" borderId="4" xfId="0" applyBorder="1" applyAlignment="1">
      <alignment vertical="top"/>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pplyProtection="1">
      <alignment vertical="top" wrapText="1"/>
    </xf>
    <xf numFmtId="3" fontId="4" fillId="3" borderId="13" xfId="0" applyNumberFormat="1" applyFont="1" applyFill="1" applyBorder="1" applyAlignment="1" applyProtection="1">
      <alignment vertical="top" wrapText="1"/>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5" fontId="4" fillId="3" borderId="8" xfId="0" applyNumberFormat="1" applyFont="1" applyFill="1" applyBorder="1" applyAlignment="1" applyProtection="1">
      <alignment horizontal="center" vertical="top"/>
      <protection locked="0"/>
    </xf>
    <xf numFmtId="166"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0" fontId="4" fillId="3" borderId="6" xfId="0" applyFont="1" applyFill="1" applyBorder="1" applyAlignment="1" applyProtection="1">
      <alignment vertical="top"/>
      <protection locked="0"/>
    </xf>
    <xf numFmtId="0" fontId="4" fillId="3" borderId="6" xfId="0" applyFont="1" applyFill="1" applyBorder="1" applyAlignment="1" applyProtection="1">
      <alignment horizontal="left" vertical="center"/>
      <protection locked="0"/>
    </xf>
    <xf numFmtId="9" fontId="4" fillId="4" borderId="13" xfId="3" applyFont="1" applyFill="1" applyBorder="1" applyAlignment="1">
      <alignment horizontal="center" vertical="top" wrapText="1"/>
    </xf>
    <xf numFmtId="0" fontId="4" fillId="3" borderId="32" xfId="0" applyFont="1" applyFill="1" applyBorder="1" applyAlignment="1" applyProtection="1">
      <alignment vertical="top"/>
      <protection locked="0"/>
    </xf>
    <xf numFmtId="0" fontId="4" fillId="3" borderId="33" xfId="0" applyFont="1" applyFill="1" applyBorder="1" applyAlignment="1" applyProtection="1">
      <alignment vertical="top"/>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4" fillId="0" borderId="14" xfId="0" applyFont="1" applyBorder="1" applyAlignment="1" applyProtection="1">
      <alignment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6" xfId="0" applyBorder="1" applyAlignment="1" applyProtection="1">
      <alignment vertical="center"/>
    </xf>
    <xf numFmtId="0" fontId="0" fillId="0" borderId="16" xfId="0" applyBorder="1" applyAlignment="1" applyProtection="1">
      <alignment horizontal="center" vertical="center"/>
    </xf>
    <xf numFmtId="0" fontId="4" fillId="0" borderId="6" xfId="0" applyFont="1" applyBorder="1" applyAlignment="1" applyProtection="1">
      <alignment vertical="top" wrapText="1"/>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0" fillId="6" borderId="16" xfId="3" applyNumberFormat="1" applyFont="1" applyFill="1" applyBorder="1" applyAlignment="1" applyProtection="1">
      <alignment horizontal="left" vertical="top"/>
    </xf>
    <xf numFmtId="0" fontId="0" fillId="0" borderId="16" xfId="0" applyBorder="1" applyAlignment="1" applyProtection="1">
      <alignment vertical="center"/>
      <protection locked="0"/>
    </xf>
    <xf numFmtId="9" fontId="0" fillId="0" borderId="16" xfId="0" applyNumberFormat="1"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7" fillId="0" borderId="18" xfId="0" applyFont="1" applyBorder="1" applyAlignment="1" applyProtection="1">
      <alignment horizontal="center" vertical="center"/>
    </xf>
    <xf numFmtId="0" fontId="7" fillId="0" borderId="20" xfId="0" applyFont="1" applyBorder="1" applyAlignment="1" applyProtection="1">
      <alignment horizontal="center" vertical="center"/>
      <protection locked="0"/>
    </xf>
    <xf numFmtId="0" fontId="7" fillId="6" borderId="20" xfId="3" applyNumberFormat="1" applyFont="1" applyFill="1" applyBorder="1" applyAlignment="1" applyProtection="1">
      <alignment horizontal="left" vertical="top"/>
      <protection locked="0"/>
    </xf>
    <xf numFmtId="0" fontId="7" fillId="0" borderId="19" xfId="0" applyFont="1" applyBorder="1" applyAlignment="1" applyProtection="1">
      <alignment horizontal="center" vertical="center"/>
    </xf>
    <xf numFmtId="0" fontId="7" fillId="6" borderId="19" xfId="3" applyNumberFormat="1" applyFont="1" applyFill="1" applyBorder="1" applyAlignment="1" applyProtection="1">
      <alignment horizontal="left" vertical="top"/>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0" fontId="4" fillId="0" borderId="13" xfId="0" applyFont="1" applyBorder="1" applyAlignment="1" applyProtection="1">
      <alignment vertical="top"/>
    </xf>
    <xf numFmtId="3" fontId="4" fillId="4" borderId="13" xfId="0" applyNumberFormat="1" applyFont="1" applyFill="1" applyBorder="1" applyAlignment="1" applyProtection="1">
      <alignment vertical="top"/>
    </xf>
    <xf numFmtId="9" fontId="4" fillId="4" borderId="8" xfId="3" applyFont="1" applyFill="1" applyBorder="1" applyAlignment="1" applyProtection="1">
      <alignment vertical="top"/>
    </xf>
    <xf numFmtId="9" fontId="0" fillId="0" borderId="0" xfId="0" applyNumberFormat="1" applyProtection="1"/>
    <xf numFmtId="9" fontId="4" fillId="4" borderId="12" xfId="0" applyNumberFormat="1" applyFont="1" applyFill="1" applyBorder="1" applyAlignment="1" applyProtection="1">
      <alignment horizontal="center" vertical="top"/>
    </xf>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9" fontId="0" fillId="6" borderId="0" xfId="3" applyFont="1" applyFill="1" applyAlignment="1" applyProtection="1">
      <alignment horizontal="center" vertical="top"/>
      <protection hidden="1"/>
    </xf>
    <xf numFmtId="9" fontId="0" fillId="6" borderId="16" xfId="3" applyFont="1" applyFill="1" applyBorder="1" applyAlignment="1" applyProtection="1">
      <alignment horizontal="center" vertical="top"/>
      <protection hidden="1"/>
    </xf>
    <xf numFmtId="0" fontId="7" fillId="6" borderId="16" xfId="3" applyNumberFormat="1" applyFont="1" applyFill="1" applyBorder="1" applyAlignment="1" applyProtection="1">
      <alignment horizontal="left" vertical="top" wrapText="1"/>
      <protection hidden="1"/>
    </xf>
    <xf numFmtId="0" fontId="7" fillId="6" borderId="18" xfId="3" applyNumberFormat="1" applyFont="1" applyFill="1" applyBorder="1" applyAlignment="1" applyProtection="1">
      <alignment horizontal="left" vertical="top" wrapText="1"/>
      <protection hidden="1"/>
    </xf>
    <xf numFmtId="0" fontId="4" fillId="0" borderId="6" xfId="0" applyFont="1" applyBorder="1" applyAlignment="1" applyProtection="1">
      <alignment horizontal="center" vertical="top"/>
    </xf>
    <xf numFmtId="0" fontId="4" fillId="3" borderId="7" xfId="0" applyFont="1" applyFill="1" applyBorder="1" applyAlignment="1" applyProtection="1">
      <alignment horizontal="center" vertical="top"/>
    </xf>
    <xf numFmtId="0" fontId="4" fillId="0" borderId="0" xfId="0" applyFont="1" applyBorder="1" applyAlignment="1" applyProtection="1">
      <alignment horizontal="right" vertical="top" wrapText="1"/>
    </xf>
    <xf numFmtId="0" fontId="30" fillId="0" borderId="0" xfId="0" applyFont="1" applyFill="1" applyAlignment="1">
      <alignment vertical="center" wrapText="1"/>
    </xf>
    <xf numFmtId="0" fontId="30" fillId="0" borderId="0" xfId="0" applyFont="1" applyBorder="1" applyAlignment="1">
      <alignment vertical="center"/>
    </xf>
    <xf numFmtId="0" fontId="30" fillId="0" borderId="0" xfId="5" applyFont="1" applyFill="1" applyAlignment="1">
      <alignment vertical="center" wrapText="1"/>
    </xf>
    <xf numFmtId="0" fontId="30" fillId="0" borderId="0" xfId="5" applyFont="1" applyBorder="1" applyAlignment="1">
      <alignment vertical="center"/>
    </xf>
    <xf numFmtId="3" fontId="37" fillId="0" borderId="40" xfId="5" applyNumberFormat="1" applyFont="1" applyFill="1" applyBorder="1" applyAlignment="1">
      <alignment vertical="center" wrapText="1"/>
    </xf>
    <xf numFmtId="0" fontId="33" fillId="0" borderId="9" xfId="5" applyFont="1" applyFill="1" applyBorder="1" applyAlignment="1">
      <alignment horizontal="center" vertical="top" wrapText="1"/>
    </xf>
    <xf numFmtId="3" fontId="36" fillId="0" borderId="42" xfId="5" applyNumberFormat="1" applyFont="1" applyFill="1" applyBorder="1" applyAlignment="1">
      <alignment vertical="center" wrapText="1"/>
    </xf>
    <xf numFmtId="3" fontId="37" fillId="0" borderId="43" xfId="5" applyNumberFormat="1" applyFont="1" applyFill="1" applyBorder="1" applyAlignment="1">
      <alignment vertical="center" wrapText="1"/>
    </xf>
    <xf numFmtId="3" fontId="37" fillId="0" borderId="44" xfId="5" applyNumberFormat="1" applyFont="1" applyFill="1" applyBorder="1" applyAlignment="1">
      <alignment vertical="center" wrapText="1"/>
    </xf>
    <xf numFmtId="3" fontId="36" fillId="0" borderId="44" xfId="5" applyNumberFormat="1" applyFont="1" applyFill="1" applyBorder="1" applyAlignment="1">
      <alignment vertical="center" wrapText="1"/>
    </xf>
    <xf numFmtId="3" fontId="36" fillId="0" borderId="43" xfId="5" applyNumberFormat="1" applyFont="1" applyFill="1" applyBorder="1" applyAlignment="1">
      <alignment vertical="center" wrapText="1"/>
    </xf>
    <xf numFmtId="3" fontId="37" fillId="0" borderId="46" xfId="5" applyNumberFormat="1" applyFont="1" applyFill="1" applyBorder="1" applyAlignment="1">
      <alignment vertical="center" wrapText="1"/>
    </xf>
    <xf numFmtId="3" fontId="36" fillId="0" borderId="47" xfId="5" applyNumberFormat="1" applyFont="1" applyFill="1" applyBorder="1" applyAlignment="1">
      <alignment vertical="center" wrapText="1"/>
    </xf>
    <xf numFmtId="3" fontId="36" fillId="0" borderId="46" xfId="5" applyNumberFormat="1" applyFont="1" applyFill="1" applyBorder="1" applyAlignment="1">
      <alignment vertical="center" wrapText="1"/>
    </xf>
    <xf numFmtId="3" fontId="37" fillId="0" borderId="48" xfId="5" applyNumberFormat="1" applyFont="1" applyFill="1" applyBorder="1" applyAlignment="1">
      <alignment vertical="center" wrapText="1"/>
    </xf>
    <xf numFmtId="3" fontId="36" fillId="0" borderId="49" xfId="5" applyNumberFormat="1" applyFont="1" applyFill="1" applyBorder="1" applyAlignment="1">
      <alignment vertical="center" wrapText="1"/>
    </xf>
    <xf numFmtId="3" fontId="36" fillId="0" borderId="48" xfId="5" applyNumberFormat="1" applyFont="1" applyFill="1" applyBorder="1" applyAlignment="1">
      <alignment vertical="center" wrapText="1"/>
    </xf>
    <xf numFmtId="3" fontId="36" fillId="0" borderId="51" xfId="5" applyNumberFormat="1" applyFont="1" applyFill="1" applyBorder="1" applyAlignment="1">
      <alignment vertical="center" wrapText="1"/>
    </xf>
    <xf numFmtId="0" fontId="37" fillId="0" borderId="41" xfId="5" applyFont="1" applyFill="1" applyBorder="1" applyAlignment="1">
      <alignment vertical="center" wrapText="1"/>
    </xf>
    <xf numFmtId="0" fontId="37" fillId="0" borderId="46" xfId="5" applyFont="1" applyFill="1" applyBorder="1" applyAlignment="1">
      <alignment vertical="center" wrapText="1"/>
    </xf>
    <xf numFmtId="0" fontId="37" fillId="0" borderId="47" xfId="5" applyFont="1" applyFill="1" applyBorder="1" applyAlignment="1">
      <alignment vertical="center" wrapText="1"/>
    </xf>
    <xf numFmtId="0" fontId="37" fillId="0" borderId="49" xfId="5" applyFont="1" applyFill="1" applyBorder="1" applyAlignment="1">
      <alignment vertical="center" wrapText="1"/>
    </xf>
    <xf numFmtId="0" fontId="34" fillId="13" borderId="7" xfId="5" applyFont="1" applyFill="1" applyBorder="1" applyAlignment="1">
      <alignment horizontal="center" vertical="center" wrapText="1"/>
    </xf>
    <xf numFmtId="3" fontId="36" fillId="13" borderId="12" xfId="5" applyNumberFormat="1" applyFont="1" applyFill="1" applyBorder="1" applyAlignment="1">
      <alignment vertical="center" wrapText="1"/>
    </xf>
    <xf numFmtId="0" fontId="33" fillId="0" borderId="0" xfId="5" applyFont="1" applyBorder="1" applyAlignment="1">
      <alignment horizontal="right" vertical="top"/>
    </xf>
    <xf numFmtId="0" fontId="33" fillId="0" borderId="0" xfId="5" applyFont="1" applyFill="1" applyBorder="1" applyAlignment="1">
      <alignment horizontal="center" vertical="center" wrapText="1"/>
    </xf>
    <xf numFmtId="0" fontId="33" fillId="0" borderId="0" xfId="5" applyFont="1" applyFill="1" applyBorder="1" applyAlignment="1">
      <alignment horizontal="left" vertical="center" wrapText="1"/>
    </xf>
    <xf numFmtId="0" fontId="32" fillId="0" borderId="0" xfId="5" applyAlignment="1">
      <alignment vertical="center"/>
    </xf>
    <xf numFmtId="0" fontId="39" fillId="13" borderId="1" xfId="5" applyFont="1" applyFill="1" applyBorder="1" applyAlignment="1">
      <alignment horizontal="center" vertical="center" wrapText="1"/>
    </xf>
    <xf numFmtId="0" fontId="39" fillId="0" borderId="44" xfId="5" applyFont="1" applyBorder="1" applyAlignment="1">
      <alignment vertical="center" wrapText="1"/>
    </xf>
    <xf numFmtId="0" fontId="40" fillId="0" borderId="44" xfId="5" applyFont="1" applyBorder="1" applyAlignment="1">
      <alignment horizontal="justify" vertical="center" wrapText="1"/>
    </xf>
    <xf numFmtId="0" fontId="39" fillId="0" borderId="49" xfId="5" applyFont="1" applyBorder="1" applyAlignment="1">
      <alignment vertical="center" wrapText="1"/>
    </xf>
    <xf numFmtId="0" fontId="40" fillId="0" borderId="49" xfId="5" applyFont="1" applyBorder="1" applyAlignment="1">
      <alignment horizontal="justify" vertical="center" wrapText="1"/>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4" xfId="5" applyFont="1" applyFill="1" applyBorder="1" applyAlignment="1">
      <alignment vertical="center" wrapText="1"/>
    </xf>
    <xf numFmtId="0" fontId="31" fillId="12" borderId="15" xfId="5" applyFont="1" applyFill="1" applyBorder="1" applyAlignment="1">
      <alignment vertical="center" wrapText="1"/>
    </xf>
    <xf numFmtId="0" fontId="31" fillId="12" borderId="7"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30" fillId="11" borderId="14" xfId="0" applyFont="1" applyFill="1" applyBorder="1" applyAlignment="1">
      <alignment vertical="center" wrapText="1"/>
    </xf>
    <xf numFmtId="0" fontId="30" fillId="11" borderId="15" xfId="0" applyFont="1" applyFill="1" applyBorder="1" applyAlignment="1">
      <alignment vertical="center" wrapText="1"/>
    </xf>
    <xf numFmtId="0" fontId="30" fillId="11" borderId="7" xfId="0" applyFont="1" applyFill="1" applyBorder="1" applyAlignment="1">
      <alignment vertical="center" wrapText="1"/>
    </xf>
    <xf numFmtId="0" fontId="4" fillId="3" borderId="30" xfId="0" applyFont="1" applyFill="1" applyBorder="1" applyAlignment="1" applyProtection="1">
      <alignment vertical="top" wrapText="1"/>
    </xf>
    <xf numFmtId="49" fontId="45" fillId="0" borderId="59" xfId="5" applyNumberFormat="1" applyFont="1" applyBorder="1" applyAlignment="1">
      <alignment vertical="center" wrapText="1"/>
    </xf>
    <xf numFmtId="49" fontId="45" fillId="0" borderId="59" xfId="5" quotePrefix="1" applyNumberFormat="1" applyFont="1" applyBorder="1" applyAlignment="1">
      <alignment vertical="center" wrapText="1"/>
    </xf>
    <xf numFmtId="0" fontId="45" fillId="0" borderId="59" xfId="5" applyFont="1" applyBorder="1" applyAlignment="1">
      <alignment vertical="center" wrapText="1"/>
    </xf>
    <xf numFmtId="49" fontId="45" fillId="0" borderId="58" xfId="5" applyNumberFormat="1" applyFont="1" applyBorder="1" applyAlignment="1">
      <alignment horizontal="center" vertical="center" wrapText="1"/>
    </xf>
    <xf numFmtId="49" fontId="46" fillId="0" borderId="58" xfId="5" applyNumberFormat="1" applyFont="1" applyBorder="1" applyAlignment="1">
      <alignment horizontal="center" vertical="center" wrapText="1"/>
    </xf>
    <xf numFmtId="49" fontId="45" fillId="9" borderId="58" xfId="5" applyNumberFormat="1" applyFont="1" applyFill="1" applyBorder="1" applyAlignment="1">
      <alignment horizontal="center" vertical="center" wrapText="1"/>
    </xf>
    <xf numFmtId="0" fontId="22" fillId="0" borderId="0" xfId="0" applyFont="1" applyAlignment="1">
      <alignment horizontal="center" wrapText="1"/>
    </xf>
    <xf numFmtId="49" fontId="45" fillId="19" borderId="58" xfId="5" applyNumberFormat="1" applyFont="1" applyFill="1" applyBorder="1" applyAlignment="1">
      <alignment horizontal="center" vertical="center"/>
    </xf>
    <xf numFmtId="49" fontId="47" fillId="19" borderId="58" xfId="5" applyNumberFormat="1" applyFont="1" applyFill="1" applyBorder="1" applyAlignment="1">
      <alignment horizontal="center" vertical="center"/>
    </xf>
    <xf numFmtId="0" fontId="47" fillId="19" borderId="58" xfId="5" applyNumberFormat="1" applyFont="1" applyFill="1" applyBorder="1" applyAlignment="1">
      <alignment horizontal="left" vertical="center"/>
    </xf>
    <xf numFmtId="0" fontId="45" fillId="19" borderId="58" xfId="5" applyFont="1" applyFill="1" applyBorder="1" applyAlignment="1">
      <alignment horizontal="left" vertical="center"/>
    </xf>
    <xf numFmtId="168" fontId="45" fillId="19" borderId="58" xfId="4" applyNumberFormat="1" applyFont="1" applyFill="1" applyBorder="1" applyAlignment="1">
      <alignment horizontal="right" vertical="center"/>
    </xf>
    <xf numFmtId="10" fontId="45" fillId="19" borderId="58" xfId="3" applyNumberFormat="1" applyFont="1" applyFill="1" applyBorder="1" applyAlignment="1">
      <alignment horizontal="right" vertical="center"/>
    </xf>
    <xf numFmtId="49" fontId="45" fillId="0" borderId="0" xfId="5" applyNumberFormat="1" applyFont="1" applyFill="1" applyBorder="1" applyAlignment="1">
      <alignment horizontal="center" vertical="center"/>
    </xf>
    <xf numFmtId="0" fontId="45" fillId="20" borderId="58" xfId="5" applyNumberFormat="1" applyFont="1" applyFill="1" applyBorder="1" applyAlignment="1">
      <alignment horizontal="center" vertical="center"/>
    </xf>
    <xf numFmtId="49" fontId="45" fillId="20" borderId="58" xfId="5" applyNumberFormat="1" applyFont="1" applyFill="1" applyBorder="1" applyAlignment="1">
      <alignment horizontal="center" vertical="center"/>
    </xf>
    <xf numFmtId="49" fontId="47" fillId="20" borderId="58" xfId="5" applyNumberFormat="1" applyFont="1" applyFill="1" applyBorder="1" applyAlignment="1">
      <alignment horizontal="center" vertical="center"/>
    </xf>
    <xf numFmtId="0" fontId="45" fillId="20" borderId="58" xfId="5" applyNumberFormat="1" applyFont="1" applyFill="1" applyBorder="1" applyAlignment="1">
      <alignment horizontal="left" vertical="center"/>
    </xf>
    <xf numFmtId="168" fontId="45" fillId="20" borderId="58" xfId="4" applyNumberFormat="1" applyFont="1" applyFill="1" applyBorder="1" applyAlignment="1">
      <alignment horizontal="right" vertical="center"/>
    </xf>
    <xf numFmtId="10" fontId="45" fillId="20" borderId="58" xfId="3" applyNumberFormat="1" applyFont="1" applyFill="1" applyBorder="1" applyAlignment="1">
      <alignment horizontal="right" vertical="center"/>
    </xf>
    <xf numFmtId="0" fontId="45" fillId="20" borderId="58" xfId="5" applyFont="1" applyFill="1" applyBorder="1" applyAlignment="1">
      <alignment horizontal="center" vertical="center"/>
    </xf>
    <xf numFmtId="0" fontId="45" fillId="21" borderId="58" xfId="5" applyNumberFormat="1" applyFont="1" applyFill="1" applyBorder="1" applyAlignment="1">
      <alignment horizontal="center" vertical="center"/>
    </xf>
    <xf numFmtId="49" fontId="45" fillId="21" borderId="58" xfId="5" applyNumberFormat="1" applyFont="1" applyFill="1" applyBorder="1" applyAlignment="1">
      <alignment horizontal="center" vertical="center"/>
    </xf>
    <xf numFmtId="49" fontId="47" fillId="21" borderId="58" xfId="5" applyNumberFormat="1" applyFont="1" applyFill="1" applyBorder="1" applyAlignment="1">
      <alignment horizontal="center" vertical="center"/>
    </xf>
    <xf numFmtId="0" fontId="45" fillId="21" borderId="58" xfId="5" applyNumberFormat="1" applyFont="1" applyFill="1" applyBorder="1" applyAlignment="1">
      <alignment horizontal="left" vertical="center"/>
    </xf>
    <xf numFmtId="168" fontId="45" fillId="21" borderId="58" xfId="4" applyNumberFormat="1" applyFont="1" applyFill="1" applyBorder="1" applyAlignment="1">
      <alignment horizontal="right" vertical="center"/>
    </xf>
    <xf numFmtId="10" fontId="45" fillId="21" borderId="58" xfId="3" applyNumberFormat="1" applyFont="1" applyFill="1" applyBorder="1" applyAlignment="1">
      <alignment horizontal="right" vertical="center"/>
    </xf>
    <xf numFmtId="0" fontId="45" fillId="21" borderId="58" xfId="5" applyFont="1" applyFill="1" applyBorder="1" applyAlignment="1">
      <alignment horizontal="center" vertical="center"/>
    </xf>
    <xf numFmtId="0" fontId="45" fillId="22" borderId="58" xfId="5" applyNumberFormat="1" applyFont="1" applyFill="1" applyBorder="1" applyAlignment="1">
      <alignment horizontal="center" vertical="center"/>
    </xf>
    <xf numFmtId="49" fontId="45" fillId="22" borderId="58" xfId="5" applyNumberFormat="1" applyFont="1" applyFill="1" applyBorder="1" applyAlignment="1">
      <alignment horizontal="center" vertical="center"/>
    </xf>
    <xf numFmtId="49" fontId="47" fillId="22" borderId="58" xfId="5" applyNumberFormat="1" applyFont="1" applyFill="1" applyBorder="1" applyAlignment="1">
      <alignment horizontal="center" vertical="center"/>
    </xf>
    <xf numFmtId="0" fontId="45" fillId="22" borderId="58" xfId="5" applyNumberFormat="1" applyFont="1" applyFill="1" applyBorder="1" applyAlignment="1">
      <alignment horizontal="left" vertical="center"/>
    </xf>
    <xf numFmtId="168" fontId="45" fillId="22" borderId="58" xfId="4" applyNumberFormat="1" applyFont="1" applyFill="1" applyBorder="1" applyAlignment="1">
      <alignment horizontal="right" vertical="center"/>
    </xf>
    <xf numFmtId="10" fontId="45" fillId="22" borderId="58" xfId="3" applyNumberFormat="1" applyFont="1" applyFill="1" applyBorder="1" applyAlignment="1">
      <alignment horizontal="right" vertical="center"/>
    </xf>
    <xf numFmtId="0" fontId="45" fillId="22" borderId="58" xfId="5" applyFont="1" applyFill="1" applyBorder="1" applyAlignment="1">
      <alignment horizontal="center" vertical="center"/>
    </xf>
    <xf numFmtId="49" fontId="45" fillId="0" borderId="58" xfId="5" applyNumberFormat="1" applyFont="1" applyBorder="1" applyAlignment="1">
      <alignment horizontal="center" vertical="center"/>
    </xf>
    <xf numFmtId="49" fontId="45" fillId="0" borderId="58" xfId="5" applyNumberFormat="1" applyFont="1" applyFill="1" applyBorder="1" applyAlignment="1">
      <alignment horizontal="center" vertical="center"/>
    </xf>
    <xf numFmtId="49" fontId="47" fillId="0" borderId="58" xfId="5" applyNumberFormat="1" applyFont="1" applyBorder="1" applyAlignment="1">
      <alignment horizontal="center" vertical="center"/>
    </xf>
    <xf numFmtId="0" fontId="45" fillId="0" borderId="58" xfId="5" applyNumberFormat="1" applyFont="1" applyBorder="1" applyAlignment="1">
      <alignment horizontal="left" vertical="center"/>
    </xf>
    <xf numFmtId="168" fontId="45" fillId="0" borderId="58" xfId="4" applyNumberFormat="1" applyFont="1" applyBorder="1" applyAlignment="1">
      <alignment horizontal="right" vertical="center"/>
    </xf>
    <xf numFmtId="10" fontId="45" fillId="0" borderId="58" xfId="3" applyNumberFormat="1" applyFont="1" applyBorder="1" applyAlignment="1">
      <alignment horizontal="right" vertical="center"/>
    </xf>
    <xf numFmtId="0" fontId="45" fillId="0" borderId="58" xfId="5" applyNumberFormat="1" applyFont="1" applyBorder="1" applyAlignment="1">
      <alignment horizontal="center" vertical="center"/>
    </xf>
    <xf numFmtId="0" fontId="45" fillId="0" borderId="58" xfId="5" applyFont="1" applyBorder="1" applyAlignment="1">
      <alignment horizontal="center" vertical="center"/>
    </xf>
    <xf numFmtId="49" fontId="47" fillId="0" borderId="58" xfId="5" applyNumberFormat="1" applyFont="1" applyFill="1" applyBorder="1" applyAlignment="1">
      <alignment horizontal="center" vertical="center"/>
    </xf>
    <xf numFmtId="0" fontId="47" fillId="0" borderId="58" xfId="5" applyNumberFormat="1" applyFont="1" applyBorder="1" applyAlignment="1">
      <alignment horizontal="left" vertical="center"/>
    </xf>
    <xf numFmtId="168" fontId="47" fillId="0" borderId="58" xfId="4" applyNumberFormat="1" applyFont="1" applyBorder="1" applyAlignment="1">
      <alignment horizontal="right" vertical="center"/>
    </xf>
    <xf numFmtId="10" fontId="47" fillId="0" borderId="58" xfId="3" applyNumberFormat="1" applyFont="1" applyBorder="1" applyAlignment="1">
      <alignment horizontal="right" vertical="center"/>
    </xf>
    <xf numFmtId="0" fontId="47" fillId="0" borderId="58" xfId="5" applyNumberFormat="1" applyFont="1" applyBorder="1" applyAlignment="1">
      <alignment horizontal="center" vertical="center"/>
    </xf>
    <xf numFmtId="0" fontId="47" fillId="0" borderId="58" xfId="5" applyFont="1" applyBorder="1" applyAlignment="1">
      <alignment horizontal="center" vertical="center"/>
    </xf>
    <xf numFmtId="0" fontId="0" fillId="0" borderId="0" xfId="0" applyFont="1"/>
    <xf numFmtId="0" fontId="45" fillId="0" borderId="58" xfId="5" applyNumberFormat="1" applyFont="1" applyFill="1" applyBorder="1" applyAlignment="1">
      <alignment horizontal="left" vertical="center"/>
    </xf>
    <xf numFmtId="168" fontId="45" fillId="0" borderId="58" xfId="4" applyNumberFormat="1" applyFont="1" applyFill="1" applyBorder="1" applyAlignment="1">
      <alignment horizontal="right" vertical="center"/>
    </xf>
    <xf numFmtId="10" fontId="45" fillId="0" borderId="58" xfId="3" applyNumberFormat="1" applyFont="1" applyFill="1" applyBorder="1" applyAlignment="1">
      <alignment horizontal="right" vertical="center"/>
    </xf>
    <xf numFmtId="0" fontId="47" fillId="0" borderId="58" xfId="5" applyNumberFormat="1" applyFont="1" applyFill="1" applyBorder="1" applyAlignment="1">
      <alignment horizontal="left" vertical="center"/>
    </xf>
    <xf numFmtId="168" fontId="47" fillId="0" borderId="58" xfId="4" applyNumberFormat="1" applyFont="1" applyFill="1" applyBorder="1" applyAlignment="1">
      <alignment horizontal="right" vertical="center"/>
    </xf>
    <xf numFmtId="10" fontId="47" fillId="0" borderId="58" xfId="3" applyNumberFormat="1" applyFont="1" applyFill="1" applyBorder="1" applyAlignment="1">
      <alignment horizontal="right" vertical="center"/>
    </xf>
    <xf numFmtId="49" fontId="47" fillId="0" borderId="0" xfId="5" applyNumberFormat="1" applyFont="1" applyFill="1" applyBorder="1" applyAlignment="1">
      <alignment horizontal="center" vertical="center"/>
    </xf>
    <xf numFmtId="43" fontId="45" fillId="22" borderId="58" xfId="4" applyFont="1" applyFill="1" applyBorder="1" applyAlignment="1">
      <alignment horizontal="right" vertical="center"/>
    </xf>
    <xf numFmtId="43" fontId="45" fillId="0" borderId="58" xfId="4" applyFont="1" applyFill="1" applyBorder="1" applyAlignment="1">
      <alignment horizontal="right" vertical="center"/>
    </xf>
    <xf numFmtId="43" fontId="47" fillId="0" borderId="58" xfId="4" applyFont="1" applyFill="1" applyBorder="1" applyAlignment="1">
      <alignment horizontal="right" vertical="center"/>
    </xf>
    <xf numFmtId="43" fontId="45" fillId="0" borderId="58" xfId="4" applyFont="1" applyBorder="1" applyAlignment="1">
      <alignment horizontal="right" vertical="center"/>
    </xf>
    <xf numFmtId="43" fontId="47" fillId="0" borderId="58" xfId="4" applyFont="1" applyBorder="1" applyAlignment="1">
      <alignment horizontal="right" vertical="center"/>
    </xf>
    <xf numFmtId="43" fontId="45" fillId="21" borderId="58" xfId="4" applyFont="1" applyFill="1" applyBorder="1" applyAlignment="1">
      <alignment horizontal="right" vertical="center"/>
    </xf>
    <xf numFmtId="43" fontId="45" fillId="0" borderId="58" xfId="4" applyFont="1" applyBorder="1" applyAlignment="1">
      <alignment horizontal="left" vertical="center"/>
    </xf>
    <xf numFmtId="10" fontId="45" fillId="0" borderId="58" xfId="3" applyNumberFormat="1" applyFont="1" applyBorder="1" applyAlignment="1">
      <alignment horizontal="left" vertical="center"/>
    </xf>
    <xf numFmtId="43" fontId="47" fillId="0" borderId="58" xfId="4" applyFont="1" applyBorder="1" applyAlignment="1">
      <alignment horizontal="left" vertical="center"/>
    </xf>
    <xf numFmtId="10" fontId="47" fillId="0" borderId="58" xfId="3" applyNumberFormat="1" applyFont="1" applyBorder="1" applyAlignment="1">
      <alignment horizontal="left" vertical="center"/>
    </xf>
    <xf numFmtId="43" fontId="45" fillId="22" borderId="58" xfId="4" applyFont="1" applyFill="1" applyBorder="1" applyAlignment="1">
      <alignment horizontal="left" vertical="center"/>
    </xf>
    <xf numFmtId="10" fontId="45" fillId="22" borderId="58" xfId="3" applyNumberFormat="1" applyFont="1" applyFill="1" applyBorder="1" applyAlignment="1">
      <alignment horizontal="left" vertical="center"/>
    </xf>
    <xf numFmtId="49" fontId="45" fillId="21" borderId="58" xfId="5" applyNumberFormat="1" applyFont="1" applyFill="1" applyBorder="1" applyAlignment="1">
      <alignment horizontal="left" vertical="center"/>
    </xf>
    <xf numFmtId="43" fontId="45" fillId="21" borderId="58" xfId="4" applyFont="1" applyFill="1" applyBorder="1" applyAlignment="1">
      <alignment horizontal="center" vertical="center"/>
    </xf>
    <xf numFmtId="10" fontId="45" fillId="21" borderId="58" xfId="3" applyNumberFormat="1" applyFont="1" applyFill="1" applyBorder="1" applyAlignment="1">
      <alignment horizontal="center" vertical="center"/>
    </xf>
    <xf numFmtId="43" fontId="47" fillId="0" borderId="58" xfId="4" applyFont="1" applyFill="1" applyBorder="1" applyAlignment="1">
      <alignment horizontal="left" vertical="center"/>
    </xf>
    <xf numFmtId="10" fontId="47" fillId="0" borderId="58" xfId="3" applyNumberFormat="1" applyFont="1" applyFill="1" applyBorder="1" applyAlignment="1">
      <alignment horizontal="left" vertical="center"/>
    </xf>
    <xf numFmtId="0" fontId="47" fillId="0" borderId="58" xfId="5" applyFont="1" applyFill="1" applyBorder="1" applyAlignment="1">
      <alignment horizontal="center" vertical="center"/>
    </xf>
    <xf numFmtId="0" fontId="0" fillId="0" borderId="0" xfId="0" applyFont="1" applyFill="1"/>
    <xf numFmtId="43" fontId="45" fillId="0" borderId="58" xfId="4" applyFont="1" applyFill="1" applyBorder="1" applyAlignment="1">
      <alignment horizontal="left" vertical="center"/>
    </xf>
    <xf numFmtId="10" fontId="45" fillId="0" borderId="58" xfId="3" applyNumberFormat="1" applyFont="1" applyFill="1" applyBorder="1" applyAlignment="1">
      <alignment horizontal="left" vertical="center"/>
    </xf>
    <xf numFmtId="0" fontId="22" fillId="0" borderId="0" xfId="0" applyFont="1" applyFill="1"/>
    <xf numFmtId="43" fontId="45" fillId="21" borderId="58" xfId="4" applyFont="1" applyFill="1" applyBorder="1" applyAlignment="1">
      <alignment horizontal="left" vertical="center"/>
    </xf>
    <xf numFmtId="10" fontId="45" fillId="21" borderId="58" xfId="3" applyNumberFormat="1" applyFont="1" applyFill="1" applyBorder="1" applyAlignment="1">
      <alignment horizontal="left" vertical="center"/>
    </xf>
    <xf numFmtId="0" fontId="0" fillId="0" borderId="0" xfId="0" applyFont="1" applyAlignment="1"/>
    <xf numFmtId="167" fontId="0" fillId="0" borderId="0" xfId="0" applyNumberFormat="1" applyFont="1" applyAlignment="1"/>
    <xf numFmtId="0" fontId="46" fillId="0" borderId="62" xfId="0" applyFont="1" applyBorder="1" applyAlignment="1">
      <alignment horizontal="center" vertical="center"/>
    </xf>
    <xf numFmtId="49" fontId="48" fillId="23" borderId="63" xfId="0" applyNumberFormat="1" applyFont="1" applyFill="1" applyBorder="1" applyAlignment="1">
      <alignment horizontal="center" vertical="center" wrapText="1"/>
    </xf>
    <xf numFmtId="167" fontId="48" fillId="23" borderId="63" xfId="0" applyNumberFormat="1" applyFont="1" applyFill="1" applyBorder="1" applyAlignment="1">
      <alignment horizontal="center" vertical="center" wrapText="1"/>
    </xf>
    <xf numFmtId="49" fontId="48" fillId="24" borderId="64" xfId="0" applyNumberFormat="1" applyFont="1" applyFill="1" applyBorder="1" applyAlignment="1">
      <alignment horizontal="center" vertical="center"/>
    </xf>
    <xf numFmtId="0" fontId="33" fillId="24" borderId="64" xfId="0" applyFont="1" applyFill="1" applyBorder="1"/>
    <xf numFmtId="49" fontId="48" fillId="25" borderId="64" xfId="0" applyNumberFormat="1" applyFont="1" applyFill="1" applyBorder="1" applyAlignment="1">
      <alignment horizontal="center" vertical="center"/>
    </xf>
    <xf numFmtId="0" fontId="33" fillId="25" borderId="64" xfId="0" applyFont="1" applyFill="1" applyBorder="1"/>
    <xf numFmtId="0" fontId="48" fillId="25" borderId="64" xfId="0" applyFont="1" applyFill="1" applyBorder="1" applyAlignment="1">
      <alignment horizontal="center" vertical="center"/>
    </xf>
    <xf numFmtId="0" fontId="52" fillId="0" borderId="64" xfId="0" applyFont="1" applyBorder="1" applyAlignment="1">
      <alignment horizontal="center" vertical="center"/>
    </xf>
    <xf numFmtId="49" fontId="52" fillId="0" borderId="64" xfId="0" applyNumberFormat="1" applyFont="1" applyBorder="1" applyAlignment="1">
      <alignment horizontal="center" vertical="center"/>
    </xf>
    <xf numFmtId="49" fontId="48" fillId="0" borderId="64" xfId="0" applyNumberFormat="1" applyFont="1" applyBorder="1" applyAlignment="1">
      <alignment horizontal="center" vertical="center"/>
    </xf>
    <xf numFmtId="0" fontId="30" fillId="0" borderId="64" xfId="0" applyFont="1" applyBorder="1"/>
    <xf numFmtId="0" fontId="53" fillId="0" borderId="0" xfId="0" applyFont="1" applyAlignment="1"/>
    <xf numFmtId="0" fontId="48" fillId="26" borderId="64" xfId="0" applyFont="1" applyFill="1" applyBorder="1" applyAlignment="1">
      <alignment horizontal="center" vertical="center"/>
    </xf>
    <xf numFmtId="49" fontId="48" fillId="26" borderId="64" xfId="0" applyNumberFormat="1" applyFont="1" applyFill="1" applyBorder="1" applyAlignment="1">
      <alignment horizontal="center" vertical="center"/>
    </xf>
    <xf numFmtId="0" fontId="33" fillId="26" borderId="64" xfId="0" applyFont="1" applyFill="1" applyBorder="1"/>
    <xf numFmtId="0" fontId="52" fillId="0" borderId="64" xfId="0" applyFont="1" applyFill="1" applyBorder="1" applyAlignment="1">
      <alignment horizontal="center" vertical="center"/>
    </xf>
    <xf numFmtId="49" fontId="52" fillId="0" borderId="64" xfId="0" applyNumberFormat="1" applyFont="1" applyFill="1" applyBorder="1" applyAlignment="1">
      <alignment horizontal="center" vertical="center"/>
    </xf>
    <xf numFmtId="0" fontId="30" fillId="0" borderId="64" xfId="0" applyFont="1" applyFill="1" applyBorder="1"/>
    <xf numFmtId="0" fontId="50" fillId="0" borderId="0" xfId="0" applyFont="1" applyFill="1" applyAlignment="1"/>
    <xf numFmtId="0" fontId="30" fillId="0" borderId="64" xfId="0" applyFont="1" applyBorder="1" applyAlignment="1"/>
    <xf numFmtId="0" fontId="48" fillId="0" borderId="64" xfId="0" applyFont="1" applyFill="1" applyBorder="1" applyAlignment="1">
      <alignment horizontal="center" vertical="center"/>
    </xf>
    <xf numFmtId="49" fontId="48" fillId="0" borderId="64" xfId="0" applyNumberFormat="1" applyFont="1" applyFill="1" applyBorder="1" applyAlignment="1">
      <alignment horizontal="center" vertical="center"/>
    </xf>
    <xf numFmtId="0" fontId="33" fillId="0" borderId="64" xfId="0" applyFont="1" applyFill="1" applyBorder="1"/>
    <xf numFmtId="0" fontId="0" fillId="0" borderId="0" xfId="0" applyFont="1" applyFill="1" applyAlignment="1"/>
    <xf numFmtId="0" fontId="50" fillId="0" borderId="0" xfId="0" applyFont="1" applyAlignment="1"/>
    <xf numFmtId="0" fontId="52" fillId="26" borderId="64" xfId="0" applyFont="1" applyFill="1" applyBorder="1" applyAlignment="1">
      <alignment horizontal="center" vertical="center"/>
    </xf>
    <xf numFmtId="49" fontId="52" fillId="26" borderId="64" xfId="0" applyNumberFormat="1" applyFont="1" applyFill="1" applyBorder="1" applyAlignment="1">
      <alignment horizontal="center" vertical="center"/>
    </xf>
    <xf numFmtId="0" fontId="52" fillId="25" borderId="64" xfId="0" applyFont="1" applyFill="1" applyBorder="1" applyAlignment="1">
      <alignment horizontal="center" vertical="center"/>
    </xf>
    <xf numFmtId="0" fontId="30" fillId="25" borderId="64" xfId="0" applyFont="1" applyFill="1" applyBorder="1"/>
    <xf numFmtId="0" fontId="30" fillId="26" borderId="64" xfId="0" quotePrefix="1" applyFont="1" applyFill="1" applyBorder="1" applyAlignment="1">
      <alignment horizontal="left"/>
    </xf>
    <xf numFmtId="0" fontId="30" fillId="0" borderId="64" xfId="0" quotePrefix="1" applyFont="1" applyBorder="1" applyAlignment="1">
      <alignment horizontal="left"/>
    </xf>
    <xf numFmtId="0" fontId="30" fillId="26" borderId="64" xfId="0" quotePrefix="1" applyFont="1" applyFill="1" applyBorder="1" applyAlignment="1">
      <alignment horizontal="center"/>
    </xf>
    <xf numFmtId="49" fontId="48" fillId="27" borderId="64" xfId="0" applyNumberFormat="1" applyFont="1" applyFill="1" applyBorder="1" applyAlignment="1">
      <alignment horizontal="center" vertical="center"/>
    </xf>
    <xf numFmtId="0" fontId="52" fillId="27" borderId="64" xfId="0" applyFont="1" applyFill="1" applyBorder="1" applyAlignment="1">
      <alignment horizontal="center" vertical="center"/>
    </xf>
    <xf numFmtId="0" fontId="54" fillId="27" borderId="64" xfId="0" applyFont="1" applyFill="1" applyBorder="1" applyAlignment="1">
      <alignment vertical="center" wrapText="1"/>
    </xf>
    <xf numFmtId="0" fontId="56" fillId="0" borderId="0" xfId="0" applyFont="1" applyAlignment="1">
      <alignment horizontal="left" vertical="center"/>
    </xf>
    <xf numFmtId="0" fontId="33" fillId="13" borderId="12" xfId="5" applyFont="1" applyFill="1" applyBorder="1" applyAlignment="1">
      <alignment horizontal="center" vertical="center" wrapText="1"/>
    </xf>
    <xf numFmtId="49" fontId="57" fillId="0" borderId="55" xfId="5" quotePrefix="1" applyNumberFormat="1" applyFont="1" applyBorder="1" applyAlignment="1">
      <alignment horizontal="left" vertical="center" wrapText="1"/>
    </xf>
    <xf numFmtId="0" fontId="58" fillId="0" borderId="55" xfId="0" quotePrefix="1" applyFont="1" applyBorder="1" applyAlignment="1">
      <alignment horizontal="left" vertical="center" wrapText="1"/>
    </xf>
    <xf numFmtId="49" fontId="57" fillId="0" borderId="58" xfId="5" applyNumberFormat="1" applyFont="1" applyBorder="1" applyAlignment="1">
      <alignment horizontal="left" vertical="center" wrapText="1"/>
    </xf>
    <xf numFmtId="0" fontId="58" fillId="0" borderId="55" xfId="0" applyFont="1" applyBorder="1" applyAlignment="1">
      <alignment vertical="center" wrapText="1"/>
    </xf>
    <xf numFmtId="49" fontId="33" fillId="0" borderId="58" xfId="5" applyNumberFormat="1" applyFont="1" applyBorder="1" applyAlignment="1">
      <alignment horizontal="left" vertical="center" wrapText="1"/>
    </xf>
    <xf numFmtId="49" fontId="57" fillId="9" borderId="58" xfId="5" applyNumberFormat="1" applyFont="1" applyFill="1" applyBorder="1" applyAlignment="1">
      <alignment horizontal="left" vertical="center" wrapText="1"/>
    </xf>
    <xf numFmtId="49" fontId="57" fillId="9" borderId="59" xfId="5" applyNumberFormat="1" applyFont="1" applyFill="1" applyBorder="1" applyAlignment="1">
      <alignment horizontal="left" vertical="center" wrapText="1"/>
    </xf>
    <xf numFmtId="49" fontId="57" fillId="0" borderId="59" xfId="5" applyNumberFormat="1" applyFont="1" applyBorder="1" applyAlignment="1">
      <alignment horizontal="left" vertical="center" wrapText="1"/>
    </xf>
    <xf numFmtId="49" fontId="56" fillId="0" borderId="58" xfId="5" quotePrefix="1" applyNumberFormat="1" applyFont="1" applyBorder="1" applyAlignment="1">
      <alignment horizontal="left" vertical="center" wrapText="1"/>
    </xf>
    <xf numFmtId="49" fontId="57" fillId="0" borderId="58" xfId="5" quotePrefix="1" applyNumberFormat="1" applyFont="1" applyBorder="1" applyAlignment="1">
      <alignment horizontal="left" vertical="center" wrapText="1"/>
    </xf>
    <xf numFmtId="0" fontId="56" fillId="0" borderId="0" xfId="0" applyFont="1"/>
    <xf numFmtId="0" fontId="30" fillId="0" borderId="16" xfId="2" applyFont="1" applyBorder="1" applyAlignment="1" applyProtection="1">
      <alignment horizontal="left" vertical="top"/>
    </xf>
    <xf numFmtId="3" fontId="36" fillId="0" borderId="19" xfId="5" applyNumberFormat="1" applyFont="1" applyFill="1" applyBorder="1" applyAlignment="1">
      <alignment vertical="center" wrapText="1"/>
    </xf>
    <xf numFmtId="3" fontId="36" fillId="0" borderId="22" xfId="5" applyNumberFormat="1" applyFont="1" applyFill="1" applyBorder="1" applyAlignment="1">
      <alignment vertical="center" wrapText="1"/>
    </xf>
    <xf numFmtId="3" fontId="36" fillId="0" borderId="41" xfId="5" applyNumberFormat="1" applyFont="1" applyFill="1" applyBorder="1" applyAlignment="1">
      <alignment vertical="center" wrapText="1"/>
    </xf>
    <xf numFmtId="3" fontId="36" fillId="0" borderId="45" xfId="5" applyNumberFormat="1" applyFont="1" applyFill="1" applyBorder="1" applyAlignment="1">
      <alignment vertical="center" wrapText="1"/>
    </xf>
    <xf numFmtId="3" fontId="36" fillId="0" borderId="30" xfId="5" applyNumberFormat="1" applyFont="1" applyFill="1" applyBorder="1" applyAlignment="1">
      <alignment vertical="center" wrapText="1"/>
    </xf>
    <xf numFmtId="3" fontId="36" fillId="0" borderId="66" xfId="5" applyNumberFormat="1" applyFont="1" applyFill="1" applyBorder="1" applyAlignment="1">
      <alignment vertical="center" wrapText="1"/>
    </xf>
    <xf numFmtId="9" fontId="37" fillId="0" borderId="44" xfId="3" applyFont="1" applyFill="1" applyBorder="1" applyAlignment="1">
      <alignment vertical="center" wrapText="1"/>
    </xf>
    <xf numFmtId="9" fontId="37" fillId="0" borderId="43" xfId="3" applyFont="1" applyFill="1" applyBorder="1" applyAlignment="1">
      <alignment vertical="center" wrapText="1"/>
    </xf>
    <xf numFmtId="169" fontId="37" fillId="0" borderId="44" xfId="3" applyNumberFormat="1" applyFont="1" applyFill="1" applyBorder="1" applyAlignment="1">
      <alignment vertical="center" wrapText="1"/>
    </xf>
    <xf numFmtId="10" fontId="37" fillId="0" borderId="44" xfId="3" applyNumberFormat="1" applyFont="1" applyFill="1" applyBorder="1" applyAlignment="1">
      <alignment vertical="center" wrapText="1"/>
    </xf>
    <xf numFmtId="10" fontId="36" fillId="0" borderId="43" xfId="3" applyNumberFormat="1" applyFont="1" applyFill="1" applyBorder="1" applyAlignment="1">
      <alignment vertical="center" wrapText="1"/>
    </xf>
    <xf numFmtId="9" fontId="36" fillId="0" borderId="44" xfId="3" applyFont="1" applyFill="1" applyBorder="1" applyAlignment="1">
      <alignment vertical="center" wrapText="1"/>
    </xf>
    <xf numFmtId="10" fontId="34" fillId="13" borderId="7" xfId="3" applyNumberFormat="1" applyFont="1" applyFill="1" applyBorder="1" applyAlignment="1">
      <alignment horizontal="center" vertical="center" wrapText="1"/>
    </xf>
    <xf numFmtId="10" fontId="36" fillId="13" borderId="12" xfId="3" applyNumberFormat="1" applyFont="1" applyFill="1" applyBorder="1" applyAlignment="1">
      <alignment vertical="center" wrapText="1"/>
    </xf>
    <xf numFmtId="9" fontId="4" fillId="3" borderId="7" xfId="0" applyNumberFormat="1" applyFont="1" applyFill="1" applyBorder="1" applyAlignment="1" applyProtection="1">
      <alignment vertical="top"/>
      <protection locked="0"/>
    </xf>
    <xf numFmtId="49" fontId="45" fillId="0" borderId="58" xfId="5" applyNumberFormat="1" applyFont="1" applyBorder="1" applyAlignment="1">
      <alignment horizontal="center" vertical="center"/>
    </xf>
    <xf numFmtId="169" fontId="4" fillId="6" borderId="8" xfId="0" applyNumberFormat="1" applyFont="1" applyFill="1" applyBorder="1" applyAlignment="1" applyProtection="1">
      <alignment horizontal="center" vertical="top"/>
    </xf>
    <xf numFmtId="10" fontId="4" fillId="4" borderId="8" xfId="0" applyNumberFormat="1" applyFont="1" applyFill="1" applyBorder="1" applyAlignment="1" applyProtection="1">
      <alignment horizontal="center" vertical="top"/>
    </xf>
    <xf numFmtId="10" fontId="25" fillId="6" borderId="8" xfId="0" applyNumberFormat="1" applyFont="1" applyFill="1" applyBorder="1" applyAlignment="1" applyProtection="1">
      <alignment horizontal="center" vertical="top"/>
    </xf>
    <xf numFmtId="10" fontId="36" fillId="0" borderId="41" xfId="3" applyNumberFormat="1" applyFont="1" applyFill="1" applyBorder="1" applyAlignment="1">
      <alignment vertical="center" wrapText="1"/>
    </xf>
    <xf numFmtId="166" fontId="36" fillId="13" borderId="12" xfId="4" applyNumberFormat="1" applyFont="1" applyFill="1" applyBorder="1" applyAlignment="1">
      <alignment vertical="center" wrapText="1"/>
    </xf>
    <xf numFmtId="166" fontId="36" fillId="0" borderId="51" xfId="4" applyNumberFormat="1" applyFont="1" applyFill="1" applyBorder="1" applyAlignment="1">
      <alignment vertical="center" wrapText="1"/>
    </xf>
    <xf numFmtId="166" fontId="36" fillId="0" borderId="43" xfId="4" applyNumberFormat="1" applyFont="1" applyFill="1" applyBorder="1" applyAlignment="1">
      <alignment vertical="center" wrapText="1"/>
    </xf>
    <xf numFmtId="166" fontId="36" fillId="0" borderId="46" xfId="4" applyNumberFormat="1" applyFont="1" applyFill="1" applyBorder="1" applyAlignment="1">
      <alignment vertical="center" wrapText="1"/>
    </xf>
    <xf numFmtId="166" fontId="36" fillId="0" borderId="48" xfId="4" applyNumberFormat="1" applyFont="1" applyFill="1" applyBorder="1" applyAlignment="1">
      <alignment vertical="center" wrapText="1"/>
    </xf>
    <xf numFmtId="166" fontId="36" fillId="0" borderId="42" xfId="4" applyNumberFormat="1" applyFont="1" applyFill="1" applyBorder="1" applyAlignment="1">
      <alignment vertical="center" wrapText="1"/>
    </xf>
    <xf numFmtId="166" fontId="36" fillId="0" borderId="44" xfId="4" applyNumberFormat="1" applyFont="1" applyFill="1" applyBorder="1" applyAlignment="1">
      <alignment vertical="center" wrapText="1"/>
    </xf>
    <xf numFmtId="166" fontId="36" fillId="0" borderId="47" xfId="4" applyNumberFormat="1" applyFont="1" applyFill="1" applyBorder="1" applyAlignment="1">
      <alignment vertical="center" wrapText="1"/>
    </xf>
    <xf numFmtId="166" fontId="36" fillId="0" borderId="49" xfId="4" applyNumberFormat="1" applyFont="1" applyFill="1" applyBorder="1" applyAlignment="1">
      <alignment vertical="center" wrapText="1"/>
    </xf>
    <xf numFmtId="0" fontId="4" fillId="29" borderId="8" xfId="0" applyFont="1" applyFill="1" applyBorder="1" applyAlignment="1">
      <alignment vertical="top" wrapText="1"/>
    </xf>
    <xf numFmtId="49" fontId="45" fillId="0" borderId="58" xfId="5" applyNumberFormat="1" applyFont="1" applyBorder="1" applyAlignment="1">
      <alignment horizontal="center" vertical="center"/>
    </xf>
    <xf numFmtId="49" fontId="45" fillId="0" borderId="58" xfId="5" applyNumberFormat="1" applyFont="1" applyBorder="1" applyAlignment="1">
      <alignment horizontal="center" vertical="center"/>
    </xf>
    <xf numFmtId="0" fontId="47" fillId="29" borderId="58" xfId="5" applyNumberFormat="1" applyFont="1" applyFill="1" applyBorder="1" applyAlignment="1">
      <alignment horizontal="center" vertical="center"/>
    </xf>
    <xf numFmtId="49" fontId="47" fillId="29" borderId="58" xfId="5" applyNumberFormat="1" applyFont="1" applyFill="1" applyBorder="1" applyAlignment="1">
      <alignment horizontal="center" vertical="center"/>
    </xf>
    <xf numFmtId="49" fontId="45" fillId="29" borderId="58" xfId="5" applyNumberFormat="1" applyFont="1" applyFill="1" applyBorder="1" applyAlignment="1">
      <alignment horizontal="center" vertical="center"/>
    </xf>
    <xf numFmtId="0" fontId="45" fillId="29" borderId="58" xfId="5" applyNumberFormat="1" applyFont="1" applyFill="1" applyBorder="1" applyAlignment="1">
      <alignment horizontal="left" vertical="center"/>
    </xf>
    <xf numFmtId="43" fontId="47" fillId="29" borderId="58" xfId="4" applyFont="1" applyFill="1" applyBorder="1" applyAlignment="1">
      <alignment horizontal="right" vertical="center"/>
    </xf>
    <xf numFmtId="10" fontId="47" fillId="29" borderId="58" xfId="3" applyNumberFormat="1" applyFont="1" applyFill="1" applyBorder="1" applyAlignment="1">
      <alignment horizontal="right" vertical="center"/>
    </xf>
    <xf numFmtId="0" fontId="47" fillId="29" borderId="58" xfId="5" applyFont="1" applyFill="1" applyBorder="1" applyAlignment="1">
      <alignment horizontal="center" vertical="center"/>
    </xf>
    <xf numFmtId="49" fontId="45" fillId="29" borderId="0" xfId="5" applyNumberFormat="1" applyFont="1" applyFill="1" applyBorder="1" applyAlignment="1">
      <alignment horizontal="center" vertical="center"/>
    </xf>
    <xf numFmtId="0" fontId="0" fillId="29" borderId="0" xfId="0" applyFill="1"/>
    <xf numFmtId="0" fontId="45" fillId="29" borderId="58" xfId="5" applyNumberFormat="1" applyFont="1" applyFill="1" applyBorder="1" applyAlignment="1">
      <alignment horizontal="center" vertical="center"/>
    </xf>
    <xf numFmtId="43" fontId="45" fillId="29" borderId="58" xfId="4" applyFont="1" applyFill="1" applyBorder="1" applyAlignment="1">
      <alignment horizontal="right" vertical="center"/>
    </xf>
    <xf numFmtId="10" fontId="45" fillId="29" borderId="58" xfId="3" applyNumberFormat="1" applyFont="1" applyFill="1" applyBorder="1" applyAlignment="1">
      <alignment horizontal="right" vertical="center"/>
    </xf>
    <xf numFmtId="0" fontId="22" fillId="29" borderId="0" xfId="0" applyFont="1" applyFill="1"/>
    <xf numFmtId="0" fontId="45" fillId="29" borderId="58" xfId="5" applyFont="1" applyFill="1" applyBorder="1" applyAlignment="1">
      <alignment horizontal="center" vertical="center"/>
    </xf>
    <xf numFmtId="0" fontId="45" fillId="0" borderId="58" xfId="5" applyFont="1" applyBorder="1" applyAlignment="1">
      <alignment horizontal="left" vertical="center"/>
    </xf>
    <xf numFmtId="0" fontId="47" fillId="0" borderId="58" xfId="5" applyFont="1" applyBorder="1" applyAlignment="1">
      <alignment horizontal="left" vertical="center"/>
    </xf>
    <xf numFmtId="0" fontId="45" fillId="9" borderId="58" xfId="5" applyFont="1" applyFill="1" applyBorder="1" applyAlignment="1">
      <alignment horizontal="left" vertical="center"/>
    </xf>
    <xf numFmtId="0" fontId="47" fillId="9" borderId="58" xfId="5" applyFont="1" applyFill="1" applyBorder="1" applyAlignment="1">
      <alignment horizontal="left" vertical="center"/>
    </xf>
    <xf numFmtId="0" fontId="0" fillId="0" borderId="0" xfId="0"/>
    <xf numFmtId="0" fontId="0" fillId="0" borderId="0" xfId="0" applyFill="1"/>
    <xf numFmtId="0" fontId="45" fillId="0" borderId="59" xfId="5" applyFont="1" applyBorder="1" applyAlignment="1">
      <alignment vertical="center" wrapText="1"/>
    </xf>
    <xf numFmtId="10" fontId="45" fillId="22" borderId="58" xfId="3" applyNumberFormat="1" applyFont="1" applyFill="1" applyBorder="1" applyAlignment="1">
      <alignment horizontal="right" vertical="center"/>
    </xf>
    <xf numFmtId="0" fontId="0" fillId="0" borderId="0" xfId="0" applyFont="1"/>
    <xf numFmtId="10" fontId="45" fillId="0" borderId="58" xfId="3" applyNumberFormat="1" applyFont="1" applyFill="1" applyBorder="1" applyAlignment="1">
      <alignment horizontal="right" vertical="center"/>
    </xf>
    <xf numFmtId="10" fontId="47" fillId="0" borderId="58" xfId="3" applyNumberFormat="1" applyFont="1" applyFill="1" applyBorder="1" applyAlignment="1">
      <alignment horizontal="right" vertical="center"/>
    </xf>
    <xf numFmtId="0" fontId="33" fillId="0" borderId="0" xfId="5" applyFont="1" applyFill="1" applyBorder="1" applyAlignment="1">
      <alignment horizontal="left" vertical="center" wrapText="1"/>
    </xf>
    <xf numFmtId="0" fontId="33" fillId="0" borderId="0" xfId="5" applyFont="1" applyFill="1" applyBorder="1" applyAlignment="1">
      <alignment horizontal="center" vertical="center" wrapText="1"/>
    </xf>
    <xf numFmtId="0" fontId="34" fillId="13" borderId="7" xfId="5" applyFont="1" applyFill="1" applyBorder="1" applyAlignment="1">
      <alignment horizontal="center" vertical="center" wrapText="1"/>
    </xf>
    <xf numFmtId="166" fontId="47" fillId="0" borderId="58" xfId="4" applyNumberFormat="1" applyFont="1" applyFill="1" applyBorder="1" applyAlignment="1">
      <alignment horizontal="left" vertical="center"/>
    </xf>
    <xf numFmtId="166" fontId="45" fillId="19" borderId="58" xfId="4" applyNumberFormat="1" applyFont="1" applyFill="1" applyBorder="1" applyAlignment="1">
      <alignment horizontal="left" vertical="center"/>
    </xf>
    <xf numFmtId="166" fontId="45" fillId="0" borderId="58" xfId="4" applyNumberFormat="1" applyFont="1" applyFill="1" applyBorder="1" applyAlignment="1">
      <alignment horizontal="left" vertical="center"/>
    </xf>
    <xf numFmtId="10" fontId="47" fillId="20" borderId="58" xfId="3" applyNumberFormat="1" applyFont="1" applyFill="1" applyBorder="1" applyAlignment="1">
      <alignment horizontal="right" vertical="center"/>
    </xf>
    <xf numFmtId="49" fontId="45" fillId="0" borderId="58" xfId="5" applyNumberFormat="1" applyFont="1" applyFill="1" applyBorder="1" applyAlignment="1">
      <alignment horizontal="left" vertical="center"/>
    </xf>
    <xf numFmtId="9" fontId="36" fillId="0" borderId="51" xfId="3" applyFont="1" applyFill="1" applyBorder="1" applyAlignment="1">
      <alignment vertical="center" wrapText="1"/>
    </xf>
    <xf numFmtId="0" fontId="36" fillId="15" borderId="14" xfId="5" applyFont="1" applyFill="1" applyBorder="1" applyAlignment="1">
      <alignment horizontal="center" vertical="top" wrapText="1"/>
    </xf>
    <xf numFmtId="0" fontId="36" fillId="15" borderId="12" xfId="5" applyFont="1" applyFill="1" applyBorder="1" applyAlignment="1">
      <alignment horizontal="center" vertical="center" wrapText="1"/>
    </xf>
    <xf numFmtId="3" fontId="37" fillId="0" borderId="41" xfId="5" applyNumberFormat="1" applyFont="1" applyFill="1" applyBorder="1" applyAlignment="1">
      <alignment vertical="center" wrapText="1"/>
    </xf>
    <xf numFmtId="10" fontId="37" fillId="0" borderId="51" xfId="3" applyNumberFormat="1" applyFont="1" applyFill="1" applyBorder="1" applyAlignment="1">
      <alignment vertical="center" wrapText="1"/>
    </xf>
    <xf numFmtId="10" fontId="30" fillId="0" borderId="5" xfId="3" applyNumberFormat="1" applyFont="1" applyFill="1" applyBorder="1" applyAlignment="1">
      <alignment horizontal="right" vertical="top" wrapText="1"/>
    </xf>
    <xf numFmtId="9" fontId="33" fillId="0" borderId="5" xfId="3" applyFont="1" applyFill="1" applyBorder="1" applyAlignment="1">
      <alignment horizontal="right" vertical="top" wrapText="1"/>
    </xf>
    <xf numFmtId="3" fontId="36" fillId="0" borderId="25" xfId="5" applyNumberFormat="1" applyFont="1" applyFill="1" applyBorder="1" applyAlignment="1">
      <alignment vertical="center" wrapText="1"/>
    </xf>
    <xf numFmtId="0" fontId="36" fillId="18" borderId="1" xfId="5" applyFont="1" applyFill="1" applyBorder="1" applyAlignment="1">
      <alignment horizontal="center" vertical="center" wrapText="1"/>
    </xf>
    <xf numFmtId="0" fontId="30" fillId="0" borderId="0" xfId="5" applyFont="1" applyFill="1" applyAlignment="1">
      <alignment horizontal="center" vertical="center" wrapText="1"/>
    </xf>
    <xf numFmtId="0" fontId="36" fillId="18" borderId="13" xfId="5" applyFont="1" applyFill="1" applyBorder="1" applyAlignment="1">
      <alignment horizontal="center" vertical="center" wrapText="1"/>
    </xf>
    <xf numFmtId="1" fontId="37" fillId="0" borderId="41" xfId="5" applyNumberFormat="1" applyFont="1" applyFill="1" applyBorder="1" applyAlignment="1">
      <alignment vertical="center" wrapText="1"/>
    </xf>
    <xf numFmtId="1" fontId="37" fillId="0" borderId="43" xfId="5" applyNumberFormat="1" applyFont="1" applyFill="1" applyBorder="1" applyAlignment="1">
      <alignment vertical="center" wrapText="1"/>
    </xf>
    <xf numFmtId="1" fontId="37" fillId="0" borderId="46" xfId="5" applyNumberFormat="1" applyFont="1" applyFill="1" applyBorder="1" applyAlignment="1">
      <alignment vertical="center" wrapText="1"/>
    </xf>
    <xf numFmtId="1" fontId="37" fillId="0" borderId="48" xfId="5" applyNumberFormat="1" applyFont="1" applyFill="1" applyBorder="1" applyAlignment="1">
      <alignment vertical="center" wrapText="1"/>
    </xf>
    <xf numFmtId="3" fontId="37" fillId="0" borderId="9" xfId="5" applyNumberFormat="1" applyFont="1" applyFill="1" applyBorder="1" applyAlignment="1">
      <alignment vertical="center" wrapText="1"/>
    </xf>
    <xf numFmtId="1" fontId="37" fillId="0" borderId="9" xfId="5" applyNumberFormat="1" applyFont="1" applyFill="1" applyBorder="1" applyAlignment="1">
      <alignment vertical="center" wrapText="1"/>
    </xf>
    <xf numFmtId="3" fontId="36" fillId="0" borderId="5" xfId="5" applyNumberFormat="1" applyFont="1" applyFill="1" applyBorder="1" applyAlignment="1">
      <alignment vertical="center" wrapText="1"/>
    </xf>
    <xf numFmtId="166" fontId="36" fillId="0" borderId="5" xfId="4" applyNumberFormat="1" applyFont="1" applyFill="1" applyBorder="1" applyAlignment="1">
      <alignment vertical="center" wrapText="1"/>
    </xf>
    <xf numFmtId="3" fontId="37" fillId="0" borderId="2" xfId="5" applyNumberFormat="1" applyFont="1" applyFill="1" applyBorder="1" applyAlignment="1">
      <alignment vertical="center" wrapText="1"/>
    </xf>
    <xf numFmtId="0" fontId="36" fillId="0" borderId="12" xfId="5" applyFont="1" applyFill="1" applyBorder="1" applyAlignment="1">
      <alignment vertical="top" wrapText="1"/>
    </xf>
    <xf numFmtId="3" fontId="37" fillId="15" borderId="30" xfId="0" applyNumberFormat="1" applyFont="1" applyFill="1" applyBorder="1" applyAlignment="1">
      <alignment horizontal="center" vertical="center" wrapText="1"/>
    </xf>
    <xf numFmtId="9" fontId="37" fillId="15" borderId="30" xfId="3" applyFont="1" applyFill="1" applyBorder="1" applyAlignment="1">
      <alignment horizontal="center" vertical="center" wrapText="1"/>
    </xf>
    <xf numFmtId="0" fontId="7" fillId="0" borderId="20" xfId="0" applyFont="1" applyBorder="1" applyAlignment="1">
      <alignment horizontal="justify" vertical="top" wrapText="1"/>
    </xf>
    <xf numFmtId="3" fontId="37" fillId="15" borderId="16" xfId="0" applyNumberFormat="1" applyFont="1" applyFill="1" applyBorder="1" applyAlignment="1">
      <alignment horizontal="center" vertical="center" wrapText="1"/>
    </xf>
    <xf numFmtId="9" fontId="37" fillId="15" borderId="16" xfId="3" applyFont="1" applyFill="1" applyBorder="1" applyAlignment="1">
      <alignment horizontal="center" vertical="center" wrapText="1"/>
    </xf>
    <xf numFmtId="9" fontId="37" fillId="0" borderId="43" xfId="3" applyFont="1" applyFill="1" applyBorder="1" applyAlignment="1">
      <alignment horizontal="center" vertical="center" wrapText="1"/>
    </xf>
    <xf numFmtId="0" fontId="7" fillId="32" borderId="34" xfId="0" applyFont="1" applyFill="1" applyBorder="1" applyAlignment="1">
      <alignment horizontal="justify" vertical="top" wrapText="1"/>
    </xf>
    <xf numFmtId="9" fontId="37" fillId="0" borderId="43" xfId="5" applyNumberFormat="1" applyFont="1" applyFill="1" applyBorder="1" applyAlignment="1">
      <alignment horizontal="center" vertical="center" wrapText="1"/>
    </xf>
    <xf numFmtId="0" fontId="65" fillId="0" borderId="34" xfId="0" applyFont="1" applyBorder="1" applyAlignment="1">
      <alignment horizontal="justify" vertical="top" wrapText="1"/>
    </xf>
    <xf numFmtId="9" fontId="66" fillId="15" borderId="16" xfId="0" applyNumberFormat="1" applyFont="1" applyFill="1" applyBorder="1" applyAlignment="1">
      <alignment horizontal="center" vertical="center" wrapText="1"/>
    </xf>
    <xf numFmtId="9" fontId="37" fillId="15" borderId="16" xfId="0" applyNumberFormat="1" applyFont="1" applyFill="1" applyBorder="1" applyAlignment="1">
      <alignment horizontal="center" vertical="center" wrapText="1"/>
    </xf>
    <xf numFmtId="0" fontId="7" fillId="0" borderId="20" xfId="0" applyFont="1" applyFill="1" applyBorder="1" applyAlignment="1">
      <alignment horizontal="justify" vertical="top" wrapText="1"/>
    </xf>
    <xf numFmtId="0" fontId="65" fillId="32" borderId="20" xfId="0" applyFont="1" applyFill="1" applyBorder="1" applyAlignment="1">
      <alignment horizontal="justify" vertical="top" wrapText="1"/>
    </xf>
    <xf numFmtId="3" fontId="37" fillId="15" borderId="16" xfId="3" applyNumberFormat="1" applyFont="1" applyFill="1" applyBorder="1" applyAlignment="1">
      <alignment horizontal="center" vertical="center" wrapText="1"/>
    </xf>
    <xf numFmtId="3" fontId="37" fillId="0" borderId="43" xfId="5" applyNumberFormat="1" applyFont="1" applyFill="1" applyBorder="1" applyAlignment="1">
      <alignment horizontal="center" vertical="center" wrapText="1"/>
    </xf>
    <xf numFmtId="0" fontId="7" fillId="32" borderId="0" xfId="0" applyFont="1" applyFill="1" applyBorder="1" applyAlignment="1">
      <alignment horizontal="justify" vertical="top" wrapText="1"/>
    </xf>
    <xf numFmtId="3" fontId="37" fillId="15" borderId="37" xfId="0" applyNumberFormat="1" applyFont="1" applyFill="1" applyBorder="1" applyAlignment="1">
      <alignment horizontal="center" vertical="center" wrapText="1"/>
    </xf>
    <xf numFmtId="9" fontId="37" fillId="15" borderId="37" xfId="3" applyFont="1" applyFill="1" applyBorder="1" applyAlignment="1">
      <alignment horizontal="center" vertical="center" wrapText="1"/>
    </xf>
    <xf numFmtId="9" fontId="37" fillId="0" borderId="46" xfId="3" applyFont="1" applyFill="1" applyBorder="1" applyAlignment="1">
      <alignment horizontal="center" vertical="center" wrapText="1"/>
    </xf>
    <xf numFmtId="3" fontId="37" fillId="0" borderId="14" xfId="5" applyNumberFormat="1" applyFont="1" applyFill="1" applyBorder="1" applyAlignment="1">
      <alignment vertical="center" wrapText="1"/>
    </xf>
    <xf numFmtId="3" fontId="67" fillId="33" borderId="37" xfId="0" applyNumberFormat="1" applyFont="1" applyFill="1" applyBorder="1" applyAlignment="1">
      <alignment horizontal="center" vertical="center" wrapText="1"/>
    </xf>
    <xf numFmtId="9" fontId="67" fillId="33" borderId="25" xfId="3" applyFont="1" applyFill="1" applyBorder="1" applyAlignment="1">
      <alignment horizontal="center" vertical="center" wrapText="1"/>
    </xf>
    <xf numFmtId="9" fontId="37" fillId="0" borderId="41" xfId="3" applyFont="1" applyFill="1" applyBorder="1" applyAlignment="1">
      <alignment horizontal="center" vertical="center" wrapText="1"/>
    </xf>
    <xf numFmtId="0" fontId="68" fillId="0" borderId="45" xfId="0" applyFont="1" applyFill="1" applyBorder="1" applyAlignment="1">
      <alignment horizontal="justify" vertical="top" wrapText="1"/>
    </xf>
    <xf numFmtId="2" fontId="67" fillId="15" borderId="37" xfId="0" applyNumberFormat="1" applyFont="1" applyFill="1" applyBorder="1" applyAlignment="1">
      <alignment horizontal="center" vertical="center" wrapText="1"/>
    </xf>
    <xf numFmtId="1" fontId="67" fillId="33" borderId="19" xfId="5" applyNumberFormat="1" applyFont="1" applyFill="1" applyBorder="1" applyAlignment="1">
      <alignment horizontal="center" vertical="center" wrapText="1"/>
    </xf>
    <xf numFmtId="0" fontId="28" fillId="0" borderId="43" xfId="0" applyFont="1" applyFill="1" applyBorder="1" applyAlignment="1">
      <alignment horizontal="justify" vertical="top" wrapText="1"/>
    </xf>
    <xf numFmtId="3" fontId="67" fillId="15" borderId="37" xfId="0" applyNumberFormat="1" applyFont="1" applyFill="1" applyBorder="1" applyAlignment="1">
      <alignment horizontal="center" vertical="center" wrapText="1"/>
    </xf>
    <xf numFmtId="9" fontId="67" fillId="33" borderId="19" xfId="3" applyFont="1" applyFill="1" applyBorder="1" applyAlignment="1">
      <alignment horizontal="center" vertical="center" wrapText="1"/>
    </xf>
    <xf numFmtId="0" fontId="8" fillId="0" borderId="0" xfId="0" applyFont="1" applyFill="1" applyBorder="1" applyAlignment="1">
      <alignment horizontal="justify" vertical="top" wrapText="1"/>
    </xf>
    <xf numFmtId="0" fontId="67" fillId="33" borderId="19" xfId="5" applyFont="1" applyFill="1" applyBorder="1" applyAlignment="1">
      <alignment horizontal="center" vertical="center" wrapText="1"/>
    </xf>
    <xf numFmtId="0" fontId="8" fillId="0" borderId="20" xfId="0" applyFont="1" applyFill="1" applyBorder="1" applyAlignment="1">
      <alignment horizontal="justify" vertical="top" wrapText="1"/>
    </xf>
    <xf numFmtId="0" fontId="8" fillId="0" borderId="0" xfId="0" applyFont="1" applyBorder="1" applyAlignment="1">
      <alignment horizontal="justify" vertical="top" wrapText="1"/>
    </xf>
    <xf numFmtId="0" fontId="8" fillId="0" borderId="19" xfId="0" applyFont="1" applyFill="1" applyBorder="1" applyAlignment="1">
      <alignment horizontal="justify" vertical="top" wrapText="1"/>
    </xf>
    <xf numFmtId="9" fontId="37" fillId="33" borderId="19" xfId="3" applyFont="1" applyFill="1" applyBorder="1" applyAlignment="1">
      <alignment horizontal="center" vertical="center" wrapText="1"/>
    </xf>
    <xf numFmtId="0" fontId="8" fillId="32" borderId="0" xfId="0" applyFont="1" applyFill="1" applyBorder="1" applyAlignment="1">
      <alignment horizontal="justify" vertical="top" wrapText="1"/>
    </xf>
    <xf numFmtId="0" fontId="36" fillId="33" borderId="47" xfId="5" applyFont="1" applyFill="1" applyBorder="1" applyAlignment="1">
      <alignment horizontal="center" vertical="center" wrapText="1"/>
    </xf>
    <xf numFmtId="9" fontId="37" fillId="33" borderId="22" xfId="3" applyFont="1" applyFill="1" applyBorder="1" applyAlignment="1">
      <alignment horizontal="center" vertical="center" wrapText="1"/>
    </xf>
    <xf numFmtId="0" fontId="36" fillId="33" borderId="32" xfId="5" applyFont="1" applyFill="1" applyBorder="1" applyAlignment="1">
      <alignment horizontal="center" vertical="center" wrapText="1"/>
    </xf>
    <xf numFmtId="9" fontId="37" fillId="33" borderId="25" xfId="3" applyFont="1" applyFill="1" applyBorder="1" applyAlignment="1">
      <alignment horizontal="center" vertical="center" wrapText="1"/>
    </xf>
    <xf numFmtId="0" fontId="28" fillId="0" borderId="16" xfId="0" applyFont="1" applyFill="1" applyBorder="1" applyAlignment="1">
      <alignment horizontal="justify" vertical="top" wrapText="1"/>
    </xf>
    <xf numFmtId="2" fontId="67" fillId="15" borderId="16" xfId="0" applyNumberFormat="1" applyFont="1" applyFill="1" applyBorder="1" applyAlignment="1">
      <alignment horizontal="center" vertical="center" wrapText="1"/>
    </xf>
    <xf numFmtId="0" fontId="37" fillId="33" borderId="19" xfId="5" applyFont="1" applyFill="1" applyBorder="1" applyAlignment="1">
      <alignment horizontal="center" vertical="center" wrapText="1"/>
    </xf>
    <xf numFmtId="0" fontId="28" fillId="0" borderId="18" xfId="0" applyFont="1" applyFill="1" applyBorder="1" applyAlignment="1">
      <alignment horizontal="justify" vertical="top" wrapText="1"/>
    </xf>
    <xf numFmtId="0" fontId="36" fillId="33" borderId="18" xfId="5" applyFont="1" applyFill="1" applyBorder="1" applyAlignment="1">
      <alignment horizontal="center" vertical="center" wrapText="1"/>
    </xf>
    <xf numFmtId="9" fontId="37" fillId="0" borderId="19" xfId="3" applyFont="1" applyFill="1" applyBorder="1" applyAlignment="1">
      <alignment horizontal="center" vertical="center" wrapText="1"/>
    </xf>
    <xf numFmtId="0" fontId="28" fillId="0" borderId="18" xfId="0" applyFont="1" applyBorder="1" applyAlignment="1">
      <alignment horizontal="justify" vertical="top" wrapText="1"/>
    </xf>
    <xf numFmtId="3" fontId="37" fillId="0" borderId="19" xfId="5" applyNumberFormat="1" applyFont="1" applyFill="1" applyBorder="1" applyAlignment="1">
      <alignment horizontal="center" vertical="center" wrapText="1"/>
    </xf>
    <xf numFmtId="0" fontId="28" fillId="0" borderId="43" xfId="0" applyFont="1" applyBorder="1" applyAlignment="1">
      <alignment horizontal="justify" vertical="top" wrapText="1"/>
    </xf>
    <xf numFmtId="0" fontId="28" fillId="0" borderId="0" xfId="0" applyFont="1" applyFill="1" applyBorder="1" applyAlignment="1">
      <alignment horizontal="justify" vertical="top" wrapText="1"/>
    </xf>
    <xf numFmtId="2" fontId="67" fillId="15" borderId="21" xfId="0" applyNumberFormat="1" applyFont="1" applyFill="1" applyBorder="1" applyAlignment="1">
      <alignment horizontal="center" vertical="center" wrapText="1"/>
    </xf>
    <xf numFmtId="3" fontId="37" fillId="33" borderId="37" xfId="5" applyNumberFormat="1" applyFont="1" applyFill="1" applyBorder="1" applyAlignment="1">
      <alignment horizontal="center" vertical="center" wrapText="1"/>
    </xf>
    <xf numFmtId="3" fontId="37" fillId="0" borderId="22" xfId="5" applyNumberFormat="1" applyFont="1" applyFill="1" applyBorder="1" applyAlignment="1">
      <alignment horizontal="center" vertical="center" wrapText="1"/>
    </xf>
    <xf numFmtId="0" fontId="67" fillId="0" borderId="45" xfId="5" applyFont="1" applyFill="1" applyBorder="1" applyAlignment="1">
      <alignment horizontal="justify" vertical="top" wrapText="1"/>
    </xf>
    <xf numFmtId="2" fontId="67" fillId="15" borderId="27" xfId="0" applyNumberFormat="1" applyFont="1" applyFill="1" applyBorder="1" applyAlignment="1">
      <alignment horizontal="center" vertical="center" wrapText="1"/>
    </xf>
    <xf numFmtId="3" fontId="37" fillId="33" borderId="68" xfId="5" applyNumberFormat="1" applyFont="1" applyFill="1" applyBorder="1" applyAlignment="1">
      <alignment horizontal="center" vertical="center" wrapText="1"/>
    </xf>
    <xf numFmtId="0" fontId="70" fillId="0" borderId="25" xfId="5" applyFont="1" applyFill="1" applyBorder="1" applyAlignment="1">
      <alignment horizontal="center" vertical="center" wrapText="1"/>
    </xf>
    <xf numFmtId="0" fontId="67" fillId="0" borderId="16" xfId="5" applyFont="1" applyFill="1" applyBorder="1" applyAlignment="1">
      <alignment horizontal="justify" vertical="top" wrapText="1"/>
    </xf>
    <xf numFmtId="0" fontId="70" fillId="33" borderId="16" xfId="5" applyFont="1" applyFill="1" applyBorder="1" applyAlignment="1">
      <alignment horizontal="center" vertical="center" wrapText="1"/>
    </xf>
    <xf numFmtId="0" fontId="70" fillId="0" borderId="19" xfId="5" applyFont="1" applyFill="1" applyBorder="1" applyAlignment="1">
      <alignment horizontal="center" vertical="center" wrapText="1"/>
    </xf>
    <xf numFmtId="0" fontId="67" fillId="32" borderId="16" xfId="5" applyFont="1" applyFill="1" applyBorder="1" applyAlignment="1">
      <alignment horizontal="justify" vertical="top" wrapText="1"/>
    </xf>
    <xf numFmtId="9" fontId="67" fillId="15" borderId="21" xfId="3" applyFont="1" applyFill="1" applyBorder="1" applyAlignment="1">
      <alignment horizontal="center" vertical="center" wrapText="1"/>
    </xf>
    <xf numFmtId="9" fontId="70" fillId="33" borderId="16" xfId="3" applyFont="1" applyFill="1" applyBorder="1" applyAlignment="1">
      <alignment horizontal="center" vertical="center" wrapText="1"/>
    </xf>
    <xf numFmtId="9" fontId="70" fillId="0" borderId="19" xfId="3" applyFont="1" applyFill="1" applyBorder="1" applyAlignment="1">
      <alignment horizontal="center" vertical="center" wrapText="1"/>
    </xf>
    <xf numFmtId="0" fontId="71" fillId="0" borderId="16" xfId="0" applyFont="1" applyFill="1" applyBorder="1" applyAlignment="1">
      <alignment horizontal="justify" vertical="top" wrapText="1"/>
    </xf>
    <xf numFmtId="0" fontId="67" fillId="0" borderId="43" xfId="5" applyFont="1" applyFill="1" applyBorder="1" applyAlignment="1">
      <alignment horizontal="justify" vertical="top" wrapText="1"/>
    </xf>
    <xf numFmtId="0" fontId="67" fillId="0" borderId="78" xfId="5" applyFont="1" applyFill="1" applyBorder="1" applyAlignment="1">
      <alignment horizontal="justify" vertical="top" wrapText="1"/>
    </xf>
    <xf numFmtId="0" fontId="70" fillId="0" borderId="51" xfId="5" applyFont="1" applyFill="1" applyBorder="1" applyAlignment="1">
      <alignment horizontal="justify" vertical="top" wrapText="1"/>
    </xf>
    <xf numFmtId="2" fontId="67" fillId="15" borderId="1" xfId="0" applyNumberFormat="1" applyFont="1" applyFill="1" applyBorder="1" applyAlignment="1">
      <alignment horizontal="center" vertical="center" wrapText="1"/>
    </xf>
    <xf numFmtId="2" fontId="67" fillId="15" borderId="47" xfId="0" applyNumberFormat="1" applyFont="1" applyFill="1" applyBorder="1" applyAlignment="1">
      <alignment horizontal="center" vertical="center" wrapText="1"/>
    </xf>
    <xf numFmtId="0" fontId="70" fillId="33" borderId="19" xfId="5" applyFont="1" applyFill="1" applyBorder="1" applyAlignment="1">
      <alignment horizontal="center" vertical="center" wrapText="1"/>
    </xf>
    <xf numFmtId="3" fontId="37" fillId="33" borderId="43" xfId="5" applyNumberFormat="1" applyFont="1" applyFill="1" applyBorder="1" applyAlignment="1">
      <alignment horizontal="center" vertical="center" wrapText="1"/>
    </xf>
    <xf numFmtId="0" fontId="70" fillId="0" borderId="5" xfId="5" applyFont="1" applyFill="1" applyBorder="1" applyAlignment="1">
      <alignment horizontal="justify" vertical="top" wrapText="1"/>
    </xf>
    <xf numFmtId="3" fontId="37" fillId="33" borderId="46" xfId="5" applyNumberFormat="1" applyFont="1" applyFill="1" applyBorder="1" applyAlignment="1">
      <alignment horizontal="center" vertical="center" wrapText="1"/>
    </xf>
    <xf numFmtId="0" fontId="69" fillId="33" borderId="7" xfId="5" applyFont="1" applyFill="1" applyBorder="1" applyAlignment="1">
      <alignment vertical="top" wrapText="1"/>
    </xf>
    <xf numFmtId="0" fontId="69" fillId="0" borderId="8" xfId="5" applyFont="1" applyFill="1" applyBorder="1" applyAlignment="1">
      <alignment vertical="top"/>
    </xf>
    <xf numFmtId="9" fontId="73" fillId="33" borderId="32" xfId="0" applyNumberFormat="1" applyFont="1" applyFill="1" applyBorder="1" applyAlignment="1">
      <alignment horizontal="center" vertical="center"/>
    </xf>
    <xf numFmtId="9" fontId="73" fillId="33" borderId="16" xfId="0" applyNumberFormat="1" applyFont="1" applyFill="1" applyBorder="1" applyAlignment="1">
      <alignment horizontal="center" vertical="center"/>
    </xf>
    <xf numFmtId="0" fontId="74" fillId="33" borderId="20" xfId="0" applyFont="1" applyFill="1" applyBorder="1" applyAlignment="1">
      <alignment horizontal="center" vertical="center"/>
    </xf>
    <xf numFmtId="0" fontId="74" fillId="33" borderId="16" xfId="3" applyNumberFormat="1" applyFont="1" applyFill="1" applyBorder="1" applyAlignment="1">
      <alignment horizontal="center" vertical="center"/>
    </xf>
    <xf numFmtId="3" fontId="37" fillId="0" borderId="46" xfId="5" applyNumberFormat="1" applyFont="1" applyFill="1" applyBorder="1" applyAlignment="1">
      <alignment horizontal="center" vertical="center" wrapText="1"/>
    </xf>
    <xf numFmtId="0" fontId="70" fillId="0" borderId="12" xfId="5" applyFont="1" applyFill="1" applyBorder="1" applyAlignment="1">
      <alignment horizontal="justify" vertical="top" wrapText="1"/>
    </xf>
    <xf numFmtId="1" fontId="37" fillId="0" borderId="46" xfId="3" applyNumberFormat="1" applyFont="1" applyFill="1" applyBorder="1" applyAlignment="1">
      <alignment horizontal="center" vertical="center" wrapText="1"/>
    </xf>
    <xf numFmtId="0" fontId="70" fillId="0" borderId="67" xfId="5" applyFont="1" applyFill="1" applyBorder="1" applyAlignment="1">
      <alignment horizontal="justify" vertical="top" wrapText="1"/>
    </xf>
    <xf numFmtId="2" fontId="67" fillId="15" borderId="5" xfId="0" applyNumberFormat="1" applyFont="1" applyFill="1" applyBorder="1" applyAlignment="1">
      <alignment horizontal="center" vertical="center" wrapText="1"/>
    </xf>
    <xf numFmtId="0" fontId="74" fillId="0" borderId="9" xfId="5" applyFont="1" applyFill="1" applyBorder="1" applyAlignment="1">
      <alignment horizontal="justify" vertical="top" wrapText="1"/>
    </xf>
    <xf numFmtId="0" fontId="74" fillId="0" borderId="19" xfId="5" applyFont="1" applyFill="1" applyBorder="1" applyAlignment="1">
      <alignment horizontal="justify" vertical="top" wrapText="1"/>
    </xf>
    <xf numFmtId="0" fontId="37" fillId="0" borderId="79" xfId="5" applyFont="1" applyFill="1" applyBorder="1" applyAlignment="1">
      <alignment horizontal="center" vertical="center" wrapText="1"/>
    </xf>
    <xf numFmtId="0" fontId="73" fillId="33" borderId="44" xfId="0" applyFont="1" applyFill="1" applyBorder="1" applyAlignment="1">
      <alignment horizontal="center" vertical="center" wrapText="1"/>
    </xf>
    <xf numFmtId="0" fontId="74" fillId="0" borderId="18" xfId="5" applyFont="1" applyFill="1" applyBorder="1" applyAlignment="1">
      <alignment horizontal="justify" vertical="top" wrapText="1"/>
    </xf>
    <xf numFmtId="3" fontId="37" fillId="0" borderId="20" xfId="5" applyNumberFormat="1" applyFont="1" applyFill="1" applyBorder="1" applyAlignment="1">
      <alignment horizontal="center" vertical="center" wrapText="1"/>
    </xf>
    <xf numFmtId="0" fontId="73" fillId="33" borderId="16" xfId="0" applyFont="1" applyFill="1" applyBorder="1" applyAlignment="1">
      <alignment horizontal="center" vertical="center" wrapText="1"/>
    </xf>
    <xf numFmtId="0" fontId="73" fillId="33" borderId="37" xfId="0" applyFont="1" applyFill="1" applyBorder="1" applyAlignment="1">
      <alignment horizontal="center" vertical="center" wrapText="1"/>
    </xf>
    <xf numFmtId="3" fontId="37" fillId="0" borderId="12" xfId="5" applyNumberFormat="1" applyFont="1" applyFill="1" applyBorder="1" applyAlignment="1">
      <alignment vertical="center" wrapText="1"/>
    </xf>
    <xf numFmtId="3" fontId="37" fillId="0" borderId="10" xfId="5" applyNumberFormat="1" applyFont="1" applyFill="1" applyBorder="1" applyAlignment="1">
      <alignment vertical="center" wrapText="1"/>
    </xf>
    <xf numFmtId="0" fontId="72" fillId="0" borderId="30" xfId="0" applyFont="1" applyFill="1" applyBorder="1" applyAlignment="1">
      <alignment horizontal="justify" vertical="top" wrapText="1"/>
    </xf>
    <xf numFmtId="0" fontId="73" fillId="33" borderId="30" xfId="0" applyFont="1" applyFill="1" applyBorder="1" applyAlignment="1">
      <alignment horizontal="center" vertical="center" wrapText="1"/>
    </xf>
    <xf numFmtId="3" fontId="37" fillId="0" borderId="9" xfId="5" applyNumberFormat="1" applyFont="1" applyFill="1" applyBorder="1" applyAlignment="1">
      <alignment horizontal="center" vertical="center" wrapText="1"/>
    </xf>
    <xf numFmtId="0" fontId="72" fillId="0" borderId="16" xfId="0" applyFont="1" applyFill="1" applyBorder="1" applyAlignment="1">
      <alignment horizontal="justify" vertical="top" wrapText="1"/>
    </xf>
    <xf numFmtId="0" fontId="74" fillId="0" borderId="16" xfId="0" applyFont="1" applyFill="1" applyBorder="1" applyAlignment="1">
      <alignment horizontal="center" vertical="center" wrapText="1"/>
    </xf>
    <xf numFmtId="0" fontId="74" fillId="0" borderId="16" xfId="0" applyFont="1" applyFill="1" applyBorder="1" applyAlignment="1">
      <alignment horizontal="justify" vertical="top" wrapText="1"/>
    </xf>
    <xf numFmtId="0" fontId="74" fillId="0" borderId="16" xfId="0" applyFont="1" applyFill="1" applyBorder="1" applyAlignment="1">
      <alignment horizontal="center" vertical="center"/>
    </xf>
    <xf numFmtId="0" fontId="72" fillId="0" borderId="16" xfId="0" applyFont="1" applyFill="1" applyBorder="1" applyAlignment="1">
      <alignment horizontal="center" vertical="center"/>
    </xf>
    <xf numFmtId="0" fontId="72" fillId="0" borderId="16" xfId="0" applyFont="1" applyFill="1" applyBorder="1" applyAlignment="1">
      <alignment horizontal="center" vertical="center" wrapText="1"/>
    </xf>
    <xf numFmtId="0" fontId="74" fillId="0" borderId="67" xfId="5" applyFont="1" applyFill="1" applyBorder="1" applyAlignment="1">
      <alignment horizontal="justify" vertical="top" wrapText="1"/>
    </xf>
    <xf numFmtId="9" fontId="72" fillId="0" borderId="37" xfId="3" applyFont="1" applyFill="1" applyBorder="1" applyAlignment="1">
      <alignment horizontal="center" vertical="center" wrapText="1"/>
    </xf>
    <xf numFmtId="0" fontId="74" fillId="0" borderId="30" xfId="0" applyFont="1" applyFill="1" applyBorder="1" applyAlignment="1">
      <alignment horizontal="justify" vertical="top" wrapText="1"/>
    </xf>
    <xf numFmtId="0" fontId="73" fillId="0" borderId="16" xfId="0" applyFont="1" applyFill="1" applyBorder="1" applyAlignment="1">
      <alignment horizontal="justify" vertical="top" wrapText="1"/>
    </xf>
    <xf numFmtId="0" fontId="74" fillId="32" borderId="67" xfId="5" applyFont="1" applyFill="1" applyBorder="1" applyAlignment="1">
      <alignment horizontal="justify" vertical="top" wrapText="1"/>
    </xf>
    <xf numFmtId="3" fontId="37" fillId="0" borderId="0" xfId="5" applyNumberFormat="1" applyFont="1" applyFill="1" applyBorder="1" applyAlignment="1">
      <alignment horizontal="center" vertical="center" wrapText="1"/>
    </xf>
    <xf numFmtId="3" fontId="74" fillId="33" borderId="44" xfId="5" applyNumberFormat="1" applyFont="1" applyFill="1" applyBorder="1" applyAlignment="1">
      <alignment horizontal="center" vertical="center" wrapText="1"/>
    </xf>
    <xf numFmtId="9" fontId="37" fillId="0" borderId="22" xfId="3" applyFont="1" applyFill="1" applyBorder="1" applyAlignment="1">
      <alignment horizontal="center" vertical="center" wrapText="1"/>
    </xf>
    <xf numFmtId="3" fontId="74" fillId="33" borderId="79" xfId="5" applyNumberFormat="1" applyFont="1" applyFill="1" applyBorder="1" applyAlignment="1">
      <alignment horizontal="center" vertical="center" wrapText="1"/>
    </xf>
    <xf numFmtId="9" fontId="74" fillId="33" borderId="47" xfId="3" applyFont="1" applyFill="1" applyBorder="1" applyAlignment="1">
      <alignment horizontal="center" vertical="center" wrapText="1"/>
    </xf>
    <xf numFmtId="3" fontId="37" fillId="0" borderId="12" xfId="5" applyNumberFormat="1" applyFont="1" applyFill="1" applyBorder="1" applyAlignment="1">
      <alignment horizontal="center" vertical="center" wrapText="1"/>
    </xf>
    <xf numFmtId="9" fontId="74" fillId="33" borderId="51" xfId="3" applyFont="1" applyFill="1" applyBorder="1" applyAlignment="1">
      <alignment horizontal="center" vertical="center" wrapText="1"/>
    </xf>
    <xf numFmtId="9" fontId="37" fillId="0" borderId="25" xfId="3" applyFont="1" applyFill="1" applyBorder="1" applyAlignment="1">
      <alignment horizontal="center" vertical="center" wrapText="1"/>
    </xf>
    <xf numFmtId="9" fontId="37" fillId="0" borderId="9" xfId="3" applyFont="1" applyFill="1" applyBorder="1" applyAlignment="1">
      <alignment horizontal="center" vertical="center" wrapText="1"/>
    </xf>
    <xf numFmtId="9" fontId="74" fillId="33" borderId="44" xfId="3" applyFont="1" applyFill="1" applyBorder="1" applyAlignment="1">
      <alignment horizontal="center" vertical="center" wrapText="1"/>
    </xf>
    <xf numFmtId="9" fontId="37" fillId="0" borderId="44" xfId="3" applyFont="1" applyFill="1" applyBorder="1" applyAlignment="1">
      <alignment horizontal="center" vertical="center" wrapText="1"/>
    </xf>
    <xf numFmtId="3" fontId="37" fillId="0" borderId="44" xfId="5" applyNumberFormat="1" applyFont="1" applyFill="1" applyBorder="1" applyAlignment="1">
      <alignment horizontal="center" vertical="center" wrapText="1"/>
    </xf>
    <xf numFmtId="1" fontId="37" fillId="0" borderId="19" xfId="3" applyNumberFormat="1" applyFont="1" applyFill="1" applyBorder="1" applyAlignment="1">
      <alignment horizontal="center" vertical="center" wrapText="1"/>
    </xf>
    <xf numFmtId="3" fontId="74" fillId="33" borderId="47" xfId="5" applyNumberFormat="1" applyFont="1" applyFill="1" applyBorder="1" applyAlignment="1">
      <alignment horizontal="center" vertical="center" wrapText="1"/>
    </xf>
    <xf numFmtId="3" fontId="37" fillId="0" borderId="47" xfId="5" applyNumberFormat="1" applyFont="1" applyFill="1" applyBorder="1" applyAlignment="1">
      <alignment horizontal="center" vertical="center" wrapText="1"/>
    </xf>
    <xf numFmtId="9" fontId="37" fillId="0" borderId="47" xfId="3" applyFont="1" applyFill="1" applyBorder="1" applyAlignment="1">
      <alignment horizontal="center" vertical="center" wrapText="1"/>
    </xf>
    <xf numFmtId="0" fontId="74" fillId="0" borderId="78" xfId="5" applyFont="1" applyFill="1" applyBorder="1" applyAlignment="1">
      <alignment horizontal="justify" vertical="top" wrapText="1"/>
    </xf>
    <xf numFmtId="9" fontId="37" fillId="0" borderId="48" xfId="3" applyFont="1" applyFill="1" applyBorder="1" applyAlignment="1">
      <alignment horizontal="center" vertical="center" wrapText="1"/>
    </xf>
    <xf numFmtId="0" fontId="76" fillId="34" borderId="12" xfId="5" applyFont="1" applyFill="1" applyBorder="1" applyAlignment="1">
      <alignment horizontal="justify" vertical="top" wrapText="1"/>
    </xf>
    <xf numFmtId="3" fontId="37" fillId="0" borderId="14" xfId="5" applyNumberFormat="1" applyFont="1" applyFill="1" applyBorder="1" applyAlignment="1">
      <alignment horizontal="center" vertical="center" wrapText="1"/>
    </xf>
    <xf numFmtId="0" fontId="37" fillId="0" borderId="41" xfId="5" applyFont="1" applyFill="1" applyBorder="1" applyAlignment="1">
      <alignment horizontal="center" vertical="center" wrapText="1"/>
    </xf>
    <xf numFmtId="0" fontId="37" fillId="0" borderId="46" xfId="5" applyFont="1" applyFill="1" applyBorder="1" applyAlignment="1">
      <alignment horizontal="center" vertical="center" wrapText="1"/>
    </xf>
    <xf numFmtId="9" fontId="60" fillId="0" borderId="41" xfId="3" applyFont="1" applyFill="1" applyBorder="1" applyAlignment="1">
      <alignment horizontal="center" vertical="center" wrapText="1"/>
    </xf>
    <xf numFmtId="3" fontId="60" fillId="0" borderId="43" xfId="5" applyNumberFormat="1" applyFont="1" applyFill="1" applyBorder="1" applyAlignment="1">
      <alignment horizontal="center" vertical="center" wrapText="1"/>
    </xf>
    <xf numFmtId="9" fontId="60" fillId="0" borderId="43" xfId="3" applyFont="1" applyFill="1" applyBorder="1" applyAlignment="1">
      <alignment horizontal="center" vertical="center" wrapText="1"/>
    </xf>
    <xf numFmtId="9" fontId="60" fillId="0" borderId="46" xfId="3" applyFont="1" applyFill="1" applyBorder="1" applyAlignment="1">
      <alignment horizontal="center" vertical="center" wrapText="1"/>
    </xf>
    <xf numFmtId="3" fontId="37" fillId="0" borderId="41" xfId="5" applyNumberFormat="1" applyFont="1" applyFill="1" applyBorder="1" applyAlignment="1">
      <alignment horizontal="center" vertical="center" wrapText="1"/>
    </xf>
    <xf numFmtId="9" fontId="73" fillId="0" borderId="12" xfId="0" applyNumberFormat="1" applyFont="1" applyFill="1" applyBorder="1" applyAlignment="1">
      <alignment horizontal="center" vertical="center"/>
    </xf>
    <xf numFmtId="9" fontId="73" fillId="0" borderId="12" xfId="3" applyFont="1" applyBorder="1" applyAlignment="1">
      <alignment horizontal="center" vertical="center"/>
    </xf>
    <xf numFmtId="9" fontId="73" fillId="0" borderId="42" xfId="0" applyNumberFormat="1" applyFont="1" applyFill="1" applyBorder="1" applyAlignment="1">
      <alignment horizontal="center" vertical="center"/>
    </xf>
    <xf numFmtId="9" fontId="73" fillId="0" borderId="13" xfId="0" applyNumberFormat="1" applyFont="1" applyBorder="1" applyAlignment="1">
      <alignment horizontal="center" vertical="center"/>
    </xf>
    <xf numFmtId="0" fontId="73" fillId="0" borderId="13" xfId="0" applyNumberFormat="1" applyFont="1" applyBorder="1" applyAlignment="1">
      <alignment horizontal="center" vertical="center"/>
    </xf>
    <xf numFmtId="9" fontId="37" fillId="0" borderId="1" xfId="3" applyFont="1" applyFill="1" applyBorder="1" applyAlignment="1">
      <alignment horizontal="center" vertical="center" wrapText="1"/>
    </xf>
    <xf numFmtId="9" fontId="37" fillId="0" borderId="42" xfId="3" applyFont="1" applyFill="1" applyBorder="1" applyAlignment="1">
      <alignment horizontal="center" vertical="center" wrapText="1"/>
    </xf>
    <xf numFmtId="3" fontId="37" fillId="0" borderId="49" xfId="5" applyNumberFormat="1" applyFont="1" applyFill="1" applyBorder="1" applyAlignment="1">
      <alignment horizontal="center" vertical="center" wrapText="1"/>
    </xf>
    <xf numFmtId="9" fontId="37" fillId="0" borderId="20" xfId="3" applyFont="1" applyFill="1" applyBorder="1" applyAlignment="1">
      <alignment horizontal="center" vertical="center" wrapText="1"/>
    </xf>
    <xf numFmtId="1" fontId="37" fillId="0" borderId="20" xfId="3" applyNumberFormat="1" applyFont="1" applyFill="1" applyBorder="1" applyAlignment="1">
      <alignment horizontal="center" vertical="center" wrapText="1"/>
    </xf>
    <xf numFmtId="3" fontId="37" fillId="0" borderId="23" xfId="5" applyNumberFormat="1" applyFont="1" applyFill="1" applyBorder="1" applyAlignment="1">
      <alignment horizontal="center" vertical="center" wrapText="1"/>
    </xf>
    <xf numFmtId="3" fontId="37" fillId="0" borderId="82" xfId="5" applyNumberFormat="1" applyFont="1" applyFill="1" applyBorder="1" applyAlignment="1">
      <alignment vertical="center" wrapText="1"/>
    </xf>
    <xf numFmtId="9" fontId="37" fillId="0" borderId="23" xfId="3" applyFont="1" applyFill="1" applyBorder="1" applyAlignment="1">
      <alignment horizontal="center" vertical="center" wrapText="1"/>
    </xf>
    <xf numFmtId="3" fontId="37" fillId="0" borderId="13" xfId="5" applyNumberFormat="1" applyFont="1" applyFill="1" applyBorder="1" applyAlignment="1">
      <alignment vertical="center" wrapText="1"/>
    </xf>
    <xf numFmtId="0" fontId="72" fillId="0" borderId="30" xfId="0" applyFont="1" applyFill="1" applyBorder="1" applyAlignment="1">
      <alignment horizontal="center" vertical="center"/>
    </xf>
    <xf numFmtId="9" fontId="74" fillId="0" borderId="37" xfId="3" applyFont="1" applyFill="1" applyBorder="1" applyAlignment="1">
      <alignment horizontal="center" vertical="center"/>
    </xf>
    <xf numFmtId="3" fontId="37" fillId="0" borderId="51" xfId="5" applyNumberFormat="1" applyFont="1" applyFill="1" applyBorder="1" applyAlignment="1">
      <alignment horizontal="center" vertical="center" wrapText="1"/>
    </xf>
    <xf numFmtId="3" fontId="37" fillId="0" borderId="5" xfId="5" applyNumberFormat="1" applyFont="1" applyFill="1" applyBorder="1" applyAlignment="1">
      <alignment horizontal="center" vertical="center" wrapText="1"/>
    </xf>
    <xf numFmtId="3" fontId="37" fillId="0" borderId="79" xfId="5" applyNumberFormat="1" applyFont="1" applyFill="1" applyBorder="1" applyAlignment="1">
      <alignment horizontal="center" vertical="center" wrapText="1"/>
    </xf>
    <xf numFmtId="3" fontId="37" fillId="0" borderId="6" xfId="5" applyNumberFormat="1" applyFont="1" applyFill="1" applyBorder="1" applyAlignment="1">
      <alignment horizontal="center" vertical="center" wrapText="1"/>
    </xf>
    <xf numFmtId="0" fontId="30" fillId="0" borderId="44" xfId="5" applyFont="1" applyFill="1" applyBorder="1" applyAlignment="1">
      <alignment vertical="center" wrapText="1"/>
    </xf>
    <xf numFmtId="3" fontId="37" fillId="0" borderId="1" xfId="5" applyNumberFormat="1" applyFont="1" applyFill="1" applyBorder="1" applyAlignment="1">
      <alignment vertical="center" wrapText="1"/>
    </xf>
    <xf numFmtId="3" fontId="37" fillId="0" borderId="40" xfId="5" applyNumberFormat="1" applyFont="1" applyFill="1" applyBorder="1" applyAlignment="1">
      <alignment horizontal="center" vertical="center" wrapText="1"/>
    </xf>
    <xf numFmtId="3" fontId="36" fillId="0" borderId="14" xfId="5" applyNumberFormat="1" applyFont="1" applyFill="1" applyBorder="1" applyAlignment="1">
      <alignment vertical="center" wrapText="1"/>
    </xf>
    <xf numFmtId="3" fontId="67" fillId="0" borderId="15" xfId="5" applyNumberFormat="1" applyFont="1" applyFill="1" applyBorder="1" applyAlignment="1">
      <alignment vertical="center" wrapText="1"/>
    </xf>
    <xf numFmtId="3" fontId="36" fillId="0" borderId="84" xfId="5" applyNumberFormat="1" applyFont="1" applyFill="1" applyBorder="1" applyAlignment="1">
      <alignment vertical="center" wrapText="1"/>
    </xf>
    <xf numFmtId="3" fontId="36" fillId="0" borderId="85" xfId="5" applyNumberFormat="1" applyFont="1" applyFill="1" applyBorder="1" applyAlignment="1">
      <alignment vertical="center" wrapText="1"/>
    </xf>
    <xf numFmtId="3" fontId="67" fillId="0" borderId="25" xfId="5" applyNumberFormat="1" applyFont="1" applyFill="1" applyBorder="1" applyAlignment="1">
      <alignment vertical="center" wrapText="1"/>
    </xf>
    <xf numFmtId="3" fontId="67" fillId="0" borderId="30" xfId="5" applyNumberFormat="1" applyFont="1" applyFill="1" applyBorder="1" applyAlignment="1">
      <alignment horizontal="justify" vertical="top" wrapText="1"/>
    </xf>
    <xf numFmtId="3" fontId="67" fillId="0" borderId="66" xfId="5" applyNumberFormat="1" applyFont="1" applyFill="1" applyBorder="1" applyAlignment="1">
      <alignment horizontal="justify" vertical="top" wrapText="1"/>
    </xf>
    <xf numFmtId="3" fontId="67" fillId="0" borderId="35" xfId="5" applyNumberFormat="1" applyFont="1" applyFill="1" applyBorder="1" applyAlignment="1">
      <alignment horizontal="justify" vertical="top" wrapText="1"/>
    </xf>
    <xf numFmtId="3" fontId="37" fillId="0" borderId="19" xfId="5" applyNumberFormat="1" applyFont="1" applyFill="1" applyBorder="1" applyAlignment="1">
      <alignment vertical="center" wrapText="1"/>
    </xf>
    <xf numFmtId="3" fontId="77" fillId="0" borderId="35" xfId="5" applyNumberFormat="1" applyFont="1" applyFill="1" applyBorder="1" applyAlignment="1">
      <alignment horizontal="justify" vertical="top" wrapText="1"/>
    </xf>
    <xf numFmtId="3" fontId="77" fillId="0" borderId="86" xfId="5" applyNumberFormat="1" applyFont="1" applyFill="1" applyBorder="1" applyAlignment="1">
      <alignment horizontal="justify" vertical="top" wrapText="1"/>
    </xf>
    <xf numFmtId="3" fontId="36" fillId="0" borderId="15" xfId="5" applyNumberFormat="1" applyFont="1" applyFill="1" applyBorder="1" applyAlignment="1">
      <alignment vertical="center" wrapText="1"/>
    </xf>
    <xf numFmtId="3" fontId="77" fillId="0" borderId="85" xfId="5" applyNumberFormat="1" applyFont="1" applyFill="1" applyBorder="1" applyAlignment="1">
      <alignment horizontal="justify" vertical="top" wrapText="1"/>
    </xf>
    <xf numFmtId="3" fontId="67" fillId="0" borderId="19" xfId="5" applyNumberFormat="1" applyFont="1" applyFill="1" applyBorder="1" applyAlignment="1">
      <alignment vertical="center" wrapText="1"/>
    </xf>
    <xf numFmtId="3" fontId="67" fillId="0" borderId="86" xfId="5" applyNumberFormat="1" applyFont="1" applyFill="1" applyBorder="1" applyAlignment="1">
      <alignment horizontal="justify" vertical="top" wrapText="1"/>
    </xf>
    <xf numFmtId="3" fontId="67" fillId="0" borderId="22" xfId="5" applyNumberFormat="1" applyFont="1" applyFill="1" applyBorder="1" applyAlignment="1">
      <alignment vertical="center" wrapText="1"/>
    </xf>
    <xf numFmtId="3" fontId="36" fillId="0" borderId="11" xfId="5" applyNumberFormat="1" applyFont="1" applyFill="1" applyBorder="1" applyAlignment="1">
      <alignment vertical="center" wrapText="1"/>
    </xf>
    <xf numFmtId="3" fontId="77" fillId="0" borderId="75" xfId="5" applyNumberFormat="1" applyFont="1" applyFill="1" applyBorder="1" applyAlignment="1">
      <alignment horizontal="justify" vertical="top" wrapText="1"/>
    </xf>
    <xf numFmtId="0" fontId="28" fillId="0" borderId="16" xfId="0" applyFont="1" applyBorder="1" applyAlignment="1">
      <alignment horizontal="center" vertical="center" wrapText="1"/>
    </xf>
    <xf numFmtId="3" fontId="67" fillId="0" borderId="19" xfId="5" applyNumberFormat="1" applyFont="1" applyFill="1" applyBorder="1" applyAlignment="1">
      <alignment horizontal="justify" vertical="top" wrapText="1"/>
    </xf>
    <xf numFmtId="0" fontId="28" fillId="0" borderId="37" xfId="0" applyFont="1" applyBorder="1" applyAlignment="1">
      <alignment horizontal="justify" vertical="top" wrapText="1"/>
    </xf>
    <xf numFmtId="0" fontId="72" fillId="0" borderId="16" xfId="0" applyFont="1" applyBorder="1" applyAlignment="1">
      <alignment horizontal="justify" vertical="top" wrapText="1"/>
    </xf>
    <xf numFmtId="0" fontId="72" fillId="0" borderId="30" xfId="0" applyFont="1" applyBorder="1" applyAlignment="1">
      <alignment horizontal="justify" vertical="top" wrapText="1"/>
    </xf>
    <xf numFmtId="0" fontId="28" fillId="0" borderId="30" xfId="0" applyFont="1" applyBorder="1" applyAlignment="1">
      <alignment horizontal="justify" vertical="top" wrapText="1"/>
    </xf>
    <xf numFmtId="0" fontId="28" fillId="0" borderId="16" xfId="0" applyFont="1" applyBorder="1" applyAlignment="1">
      <alignment horizontal="justify" vertical="top" wrapText="1"/>
    </xf>
    <xf numFmtId="3" fontId="37" fillId="0" borderId="19" xfId="5" applyNumberFormat="1" applyFont="1" applyFill="1" applyBorder="1" applyAlignment="1">
      <alignment horizontal="justify" vertical="top" wrapText="1"/>
    </xf>
    <xf numFmtId="3" fontId="36" fillId="0" borderId="0" xfId="5" applyNumberFormat="1" applyFont="1" applyFill="1" applyBorder="1" applyAlignment="1">
      <alignment vertical="center" wrapText="1"/>
    </xf>
    <xf numFmtId="3" fontId="36" fillId="0" borderId="7" xfId="5" applyNumberFormat="1" applyFont="1" applyFill="1" applyBorder="1" applyAlignment="1">
      <alignment vertical="center" wrapText="1"/>
    </xf>
    <xf numFmtId="0" fontId="4" fillId="0" borderId="5" xfId="0" applyFont="1" applyBorder="1" applyAlignment="1">
      <alignment vertical="top" wrapText="1"/>
    </xf>
    <xf numFmtId="0" fontId="17" fillId="0" borderId="35" xfId="2" applyBorder="1" applyAlignment="1">
      <alignment vertical="center"/>
    </xf>
    <xf numFmtId="0" fontId="4" fillId="3" borderId="7" xfId="0" applyFont="1" applyFill="1" applyBorder="1" applyAlignment="1" applyProtection="1">
      <alignment horizontal="center" vertical="center"/>
      <protection locked="0"/>
    </xf>
    <xf numFmtId="3" fontId="4" fillId="4" borderId="8" xfId="0" applyNumberFormat="1" applyFont="1" applyFill="1" applyBorder="1" applyAlignment="1" applyProtection="1">
      <alignment horizontal="center" vertical="center"/>
    </xf>
    <xf numFmtId="3" fontId="4" fillId="3" borderId="8" xfId="0" applyNumberFormat="1" applyFont="1" applyFill="1" applyBorder="1" applyAlignment="1" applyProtection="1">
      <alignment horizontal="center" vertical="center"/>
      <protection locked="0"/>
    </xf>
    <xf numFmtId="0" fontId="65" fillId="3" borderId="8" xfId="0" applyFont="1" applyFill="1" applyBorder="1" applyAlignment="1" applyProtection="1">
      <alignment vertical="top" wrapText="1"/>
      <protection locked="0"/>
    </xf>
    <xf numFmtId="0" fontId="8" fillId="3" borderId="8" xfId="0" applyFont="1" applyFill="1" applyBorder="1" applyAlignment="1" applyProtection="1">
      <alignment vertical="top" wrapText="1"/>
      <protection locked="0"/>
    </xf>
    <xf numFmtId="0" fontId="17" fillId="3" borderId="8" xfId="2" applyFill="1" applyBorder="1" applyAlignment="1" applyProtection="1">
      <alignment vertical="top"/>
      <protection locked="0"/>
    </xf>
    <xf numFmtId="9" fontId="8" fillId="3" borderId="30" xfId="0" applyNumberFormat="1" applyFont="1" applyFill="1" applyBorder="1" applyAlignment="1">
      <alignment horizontal="center" vertical="center" wrapText="1"/>
    </xf>
    <xf numFmtId="0" fontId="14" fillId="3" borderId="12" xfId="0" applyFont="1" applyFill="1" applyBorder="1" applyAlignment="1">
      <alignment horizontal="justify" vertical="top" wrapText="1"/>
    </xf>
    <xf numFmtId="0" fontId="65" fillId="3" borderId="49" xfId="0" applyFont="1" applyFill="1" applyBorder="1" applyAlignment="1">
      <alignment horizontal="justify" vertical="top"/>
    </xf>
    <xf numFmtId="0" fontId="65" fillId="3" borderId="5" xfId="0" applyFont="1" applyFill="1" applyBorder="1" applyAlignment="1">
      <alignment horizontal="justify" vertical="top"/>
    </xf>
    <xf numFmtId="0" fontId="25" fillId="3" borderId="38" xfId="0" applyFont="1" applyFill="1" applyBorder="1" applyAlignment="1" applyProtection="1">
      <alignment horizontal="justify" vertical="top" wrapText="1"/>
      <protection locked="0"/>
    </xf>
    <xf numFmtId="9" fontId="4" fillId="3" borderId="30" xfId="0" applyNumberFormat="1" applyFont="1" applyFill="1" applyBorder="1" applyAlignment="1" applyProtection="1">
      <alignment horizontal="center" vertical="center"/>
      <protection locked="0"/>
    </xf>
    <xf numFmtId="9" fontId="4" fillId="3" borderId="16" xfId="0" applyNumberFormat="1" applyFont="1" applyFill="1" applyBorder="1" applyAlignment="1" applyProtection="1">
      <alignment horizontal="center" vertical="center"/>
      <protection locked="0"/>
    </xf>
    <xf numFmtId="9" fontId="4" fillId="3" borderId="0" xfId="0" applyNumberFormat="1" applyFont="1" applyFill="1" applyBorder="1" applyAlignment="1" applyProtection="1">
      <alignment horizontal="center" vertical="center"/>
      <protection locked="0"/>
    </xf>
    <xf numFmtId="0" fontId="65" fillId="3" borderId="34" xfId="0" applyFont="1" applyFill="1" applyBorder="1" applyAlignment="1" applyProtection="1">
      <alignment horizontal="justify" vertical="top" wrapText="1"/>
      <protection locked="0"/>
    </xf>
    <xf numFmtId="0" fontId="4" fillId="3" borderId="16" xfId="0" applyFont="1" applyFill="1" applyBorder="1" applyAlignment="1" applyProtection="1">
      <alignment vertical="top" wrapText="1"/>
      <protection locked="0"/>
    </xf>
    <xf numFmtId="0" fontId="4" fillId="3" borderId="16" xfId="0" applyFont="1" applyFill="1" applyBorder="1" applyAlignment="1" applyProtection="1">
      <alignment horizontal="justify" vertical="top" wrapText="1"/>
      <protection locked="0"/>
    </xf>
    <xf numFmtId="0" fontId="65" fillId="3" borderId="1" xfId="0" applyFont="1" applyFill="1" applyBorder="1" applyAlignment="1" applyProtection="1">
      <alignment horizontal="justify" vertical="top" wrapText="1"/>
      <protection locked="0"/>
    </xf>
    <xf numFmtId="0" fontId="19" fillId="3" borderId="16" xfId="0" applyFont="1" applyFill="1" applyBorder="1" applyAlignment="1" applyProtection="1">
      <alignment vertical="top" wrapText="1"/>
      <protection locked="0"/>
    </xf>
    <xf numFmtId="0" fontId="65" fillId="3" borderId="16" xfId="0" applyFont="1" applyFill="1" applyBorder="1" applyAlignment="1" applyProtection="1">
      <alignment horizontal="justify" vertical="top" wrapText="1"/>
      <protection locked="0"/>
    </xf>
    <xf numFmtId="0" fontId="65" fillId="3" borderId="16" xfId="0" applyFont="1" applyFill="1" applyBorder="1" applyAlignment="1">
      <alignment horizontal="justify" vertical="top" wrapText="1"/>
    </xf>
    <xf numFmtId="0" fontId="19" fillId="3" borderId="12" xfId="0" applyFont="1" applyFill="1" applyBorder="1" applyAlignment="1" applyProtection="1">
      <alignment horizontal="justify" vertical="top" wrapText="1"/>
      <protection locked="0"/>
    </xf>
    <xf numFmtId="0" fontId="25" fillId="3" borderId="8" xfId="0" applyFont="1" applyFill="1" applyBorder="1" applyAlignment="1" applyProtection="1">
      <alignment horizontal="justify" vertical="top" wrapText="1"/>
      <protection locked="0"/>
    </xf>
    <xf numFmtId="0" fontId="8" fillId="3" borderId="45" xfId="0" applyFont="1" applyFill="1" applyBorder="1" applyAlignment="1" applyProtection="1">
      <alignment horizontal="justify" vertical="top" wrapText="1"/>
      <protection locked="0"/>
    </xf>
    <xf numFmtId="0" fontId="25" fillId="3" borderId="12" xfId="0" applyFont="1" applyFill="1" applyBorder="1" applyAlignment="1" applyProtection="1">
      <alignment horizontal="justify" vertical="top" wrapText="1"/>
      <protection locked="0"/>
    </xf>
    <xf numFmtId="0" fontId="25" fillId="3" borderId="12" xfId="0" applyFont="1" applyFill="1" applyBorder="1" applyAlignment="1" applyProtection="1">
      <alignment horizontal="justify" vertical="top"/>
      <protection locked="0"/>
    </xf>
    <xf numFmtId="0" fontId="4" fillId="3" borderId="7" xfId="0" applyFont="1" applyFill="1" applyBorder="1" applyAlignment="1" applyProtection="1">
      <alignment horizontal="center" vertical="center" wrapText="1"/>
      <protection locked="0"/>
    </xf>
    <xf numFmtId="0" fontId="65" fillId="3" borderId="7"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8" fillId="3" borderId="16" xfId="0" applyFont="1" applyFill="1" applyBorder="1" applyAlignment="1" applyProtection="1">
      <alignment vertical="center" wrapText="1"/>
      <protection locked="0"/>
    </xf>
    <xf numFmtId="0" fontId="8" fillId="3" borderId="16"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top" wrapText="1"/>
      <protection locked="0"/>
    </xf>
    <xf numFmtId="0" fontId="65" fillId="3" borderId="16" xfId="0" applyFont="1" applyFill="1" applyBorder="1" applyAlignment="1" applyProtection="1">
      <alignment horizontal="center" vertical="center" wrapText="1"/>
      <protection locked="0"/>
    </xf>
    <xf numFmtId="0" fontId="60" fillId="3" borderId="16" xfId="0" applyFont="1" applyFill="1" applyBorder="1" applyAlignment="1" applyProtection="1">
      <alignment horizontal="center" vertical="top" wrapText="1"/>
      <protection locked="0"/>
    </xf>
    <xf numFmtId="0" fontId="65" fillId="3" borderId="7" xfId="0" applyFont="1" applyFill="1" applyBorder="1" applyAlignment="1" applyProtection="1">
      <alignment horizontal="center" vertical="top" wrapText="1"/>
      <protection locked="0"/>
    </xf>
    <xf numFmtId="0" fontId="7" fillId="3" borderId="37" xfId="0" applyFont="1" applyFill="1" applyBorder="1" applyAlignment="1" applyProtection="1">
      <alignment horizontal="center" vertical="top"/>
      <protection locked="0"/>
    </xf>
    <xf numFmtId="0" fontId="65" fillId="3" borderId="8" xfId="0"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4" fillId="3" borderId="8" xfId="0" applyFont="1" applyFill="1" applyBorder="1" applyAlignment="1" applyProtection="1">
      <alignment vertical="center"/>
      <protection locked="0"/>
    </xf>
    <xf numFmtId="3" fontId="4" fillId="3" borderId="7" xfId="0" applyNumberFormat="1" applyFont="1" applyFill="1" applyBorder="1" applyAlignment="1" applyProtection="1">
      <alignment horizontal="center" vertical="top" wrapText="1"/>
      <protection locked="0"/>
    </xf>
    <xf numFmtId="3" fontId="4" fillId="3" borderId="7" xfId="0" applyNumberFormat="1" applyFont="1" applyFill="1" applyBorder="1" applyAlignment="1" applyProtection="1">
      <alignment horizontal="center" vertical="center" wrapText="1"/>
      <protection locked="0"/>
    </xf>
    <xf numFmtId="0" fontId="33" fillId="13" borderId="13" xfId="5" applyFont="1" applyFill="1" applyBorder="1" applyAlignment="1">
      <alignment horizontal="center" vertical="center" wrapText="1"/>
    </xf>
    <xf numFmtId="0" fontId="74" fillId="0" borderId="51" xfId="5" applyFont="1" applyFill="1" applyBorder="1" applyAlignment="1">
      <alignment horizontal="justify" vertical="top" wrapText="1"/>
    </xf>
    <xf numFmtId="0" fontId="74" fillId="0" borderId="18" xfId="5" applyFont="1" applyFill="1" applyBorder="1" applyAlignment="1">
      <alignment horizontal="justify" vertical="top" wrapText="1"/>
    </xf>
    <xf numFmtId="0" fontId="74" fillId="0" borderId="21" xfId="5" applyFont="1" applyFill="1" applyBorder="1" applyAlignment="1">
      <alignment horizontal="justify" vertical="top" wrapText="1"/>
    </xf>
    <xf numFmtId="0" fontId="74" fillId="0" borderId="9" xfId="5" applyFont="1" applyFill="1" applyBorder="1" applyAlignment="1">
      <alignment horizontal="justify" vertical="top" wrapText="1"/>
    </xf>
    <xf numFmtId="1" fontId="37" fillId="0" borderId="12" xfId="5" applyNumberFormat="1" applyFont="1" applyFill="1" applyBorder="1" applyAlignment="1">
      <alignment vertical="center" wrapText="1"/>
    </xf>
    <xf numFmtId="10" fontId="37" fillId="0" borderId="47" xfId="3" applyNumberFormat="1" applyFont="1" applyFill="1" applyBorder="1" applyAlignment="1">
      <alignment horizontal="center" vertical="center" wrapText="1"/>
    </xf>
    <xf numFmtId="10" fontId="37" fillId="0" borderId="51" xfId="3" applyNumberFormat="1" applyFont="1" applyFill="1" applyBorder="1" applyAlignment="1">
      <alignment horizontal="center" vertical="center" wrapText="1"/>
    </xf>
    <xf numFmtId="0" fontId="74" fillId="0" borderId="18" xfId="5" applyFont="1" applyFill="1" applyBorder="1" applyAlignment="1">
      <alignment horizontal="justify" vertical="top" wrapText="1"/>
    </xf>
    <xf numFmtId="0" fontId="65" fillId="0" borderId="20" xfId="0" applyFont="1" applyBorder="1" applyAlignment="1">
      <alignment horizontal="justify" vertical="top" wrapText="1"/>
    </xf>
    <xf numFmtId="0" fontId="7" fillId="0" borderId="19" xfId="0" applyFont="1" applyFill="1" applyBorder="1" applyAlignment="1">
      <alignment horizontal="justify" vertical="top" wrapText="1"/>
    </xf>
    <xf numFmtId="0" fontId="68" fillId="0" borderId="28" xfId="0" applyFont="1" applyFill="1" applyBorder="1" applyAlignment="1">
      <alignment horizontal="justify" vertical="top" wrapText="1"/>
    </xf>
    <xf numFmtId="0" fontId="8" fillId="0" borderId="23" xfId="0" applyFont="1" applyFill="1" applyBorder="1" applyAlignment="1">
      <alignment horizontal="justify" vertical="top" wrapText="1"/>
    </xf>
    <xf numFmtId="0" fontId="28" fillId="0" borderId="23" xfId="0" applyFont="1" applyBorder="1" applyAlignment="1">
      <alignment horizontal="justify" vertical="top" wrapText="1"/>
    </xf>
    <xf numFmtId="0" fontId="28" fillId="0" borderId="25" xfId="0" applyFont="1" applyFill="1" applyBorder="1" applyAlignment="1">
      <alignment horizontal="justify" vertical="top" wrapText="1"/>
    </xf>
    <xf numFmtId="0" fontId="67" fillId="0" borderId="0" xfId="5" applyFont="1" applyFill="1" applyBorder="1" applyAlignment="1">
      <alignment horizontal="justify" vertical="top" wrapText="1"/>
    </xf>
    <xf numFmtId="0" fontId="67" fillId="0" borderId="21" xfId="5" applyFont="1" applyFill="1" applyBorder="1" applyAlignment="1">
      <alignment horizontal="justify" vertical="top" wrapText="1"/>
    </xf>
    <xf numFmtId="0" fontId="67" fillId="32" borderId="21" xfId="5" applyFont="1" applyFill="1" applyBorder="1" applyAlignment="1">
      <alignment horizontal="justify" vertical="top" wrapText="1"/>
    </xf>
    <xf numFmtId="0" fontId="71" fillId="0" borderId="21" xfId="0" applyFont="1" applyFill="1" applyBorder="1" applyAlignment="1">
      <alignment horizontal="justify" vertical="top" wrapText="1"/>
    </xf>
    <xf numFmtId="0" fontId="67" fillId="0" borderId="22" xfId="5" applyFont="1" applyFill="1" applyBorder="1" applyAlignment="1">
      <alignment horizontal="justify" vertical="top" wrapText="1"/>
    </xf>
    <xf numFmtId="0" fontId="72" fillId="0" borderId="6" xfId="0" applyFont="1" applyBorder="1" applyAlignment="1">
      <alignment horizontal="justify" vertical="top" wrapText="1"/>
    </xf>
    <xf numFmtId="0" fontId="70" fillId="32" borderId="9" xfId="5" applyFont="1" applyFill="1" applyBorder="1" applyAlignment="1">
      <alignment horizontal="justify" vertical="top" wrapText="1"/>
    </xf>
    <xf numFmtId="0" fontId="70" fillId="0" borderId="9" xfId="5" applyFont="1" applyFill="1" applyBorder="1" applyAlignment="1">
      <alignment horizontal="justify" vertical="top" wrapText="1"/>
    </xf>
    <xf numFmtId="0" fontId="74" fillId="0" borderId="22" xfId="5" applyFont="1" applyFill="1" applyBorder="1" applyAlignment="1">
      <alignment horizontal="justify" vertical="top" wrapText="1"/>
    </xf>
    <xf numFmtId="0" fontId="74" fillId="0" borderId="25" xfId="5" applyFont="1" applyFill="1" applyBorder="1" applyAlignment="1">
      <alignment horizontal="justify" vertical="top" wrapText="1"/>
    </xf>
    <xf numFmtId="0" fontId="74" fillId="32" borderId="28" xfId="5" applyFont="1" applyFill="1" applyBorder="1" applyAlignment="1">
      <alignment horizontal="justify" vertical="top" wrapText="1"/>
    </xf>
    <xf numFmtId="0" fontId="74" fillId="32" borderId="22" xfId="5" applyFont="1" applyFill="1" applyBorder="1" applyAlignment="1">
      <alignment horizontal="justify" vertical="top" wrapText="1"/>
    </xf>
    <xf numFmtId="0" fontId="28" fillId="0" borderId="20" xfId="0" applyFont="1" applyBorder="1" applyAlignment="1">
      <alignment horizontal="justify" vertical="top" wrapText="1"/>
    </xf>
    <xf numFmtId="0" fontId="33" fillId="13" borderId="16" xfId="5" applyFont="1" applyFill="1" applyBorder="1" applyAlignment="1">
      <alignment horizontal="center" vertical="center" wrapText="1"/>
    </xf>
    <xf numFmtId="0" fontId="28" fillId="32" borderId="20" xfId="0" applyFont="1" applyFill="1" applyBorder="1" applyAlignment="1">
      <alignment horizontal="justify" vertical="top" wrapText="1"/>
    </xf>
    <xf numFmtId="0" fontId="7" fillId="0" borderId="16" xfId="0" applyFont="1" applyBorder="1" applyAlignment="1">
      <alignment horizontal="justify" vertical="top" wrapText="1"/>
    </xf>
    <xf numFmtId="0" fontId="7" fillId="0" borderId="16" xfId="0" applyFont="1" applyFill="1" applyBorder="1" applyAlignment="1">
      <alignment horizontal="justify" vertical="top" wrapText="1"/>
    </xf>
    <xf numFmtId="0" fontId="8" fillId="0" borderId="16" xfId="0" applyFont="1" applyFill="1" applyBorder="1" applyAlignment="1">
      <alignment horizontal="justify" vertical="top" wrapText="1"/>
    </xf>
    <xf numFmtId="0" fontId="8" fillId="0" borderId="16" xfId="0" applyFont="1" applyBorder="1" applyAlignment="1">
      <alignment horizontal="justify" vertical="top" wrapText="1"/>
    </xf>
    <xf numFmtId="0" fontId="8" fillId="32" borderId="39" xfId="0" applyFont="1" applyFill="1" applyBorder="1" applyAlignment="1">
      <alignment horizontal="justify" vertical="top" wrapText="1"/>
    </xf>
    <xf numFmtId="9" fontId="37" fillId="33" borderId="18" xfId="3" applyFont="1" applyFill="1" applyBorder="1" applyAlignment="1">
      <alignment horizontal="center" vertical="center" wrapText="1"/>
    </xf>
    <xf numFmtId="3" fontId="37" fillId="0" borderId="16" xfId="5" applyNumberFormat="1" applyFont="1" applyFill="1" applyBorder="1" applyAlignment="1">
      <alignment horizontal="center" vertical="center" wrapText="1"/>
    </xf>
    <xf numFmtId="1" fontId="37" fillId="0" borderId="14" xfId="5" applyNumberFormat="1" applyFont="1" applyFill="1" applyBorder="1" applyAlignment="1">
      <alignment vertical="center" wrapText="1"/>
    </xf>
    <xf numFmtId="9" fontId="37" fillId="0" borderId="14" xfId="3" applyFont="1" applyFill="1" applyBorder="1" applyAlignment="1">
      <alignment horizontal="center" vertical="center" wrapText="1"/>
    </xf>
    <xf numFmtId="0" fontId="7" fillId="32" borderId="37" xfId="0" applyFont="1" applyFill="1" applyBorder="1" applyAlignment="1">
      <alignment horizontal="justify" vertical="top" wrapText="1"/>
    </xf>
    <xf numFmtId="0" fontId="28" fillId="32" borderId="41" xfId="0" applyFont="1" applyFill="1" applyBorder="1" applyAlignment="1">
      <alignment horizontal="justify" vertical="top" wrapText="1"/>
    </xf>
    <xf numFmtId="0" fontId="28" fillId="32" borderId="30" xfId="0" applyFont="1" applyFill="1" applyBorder="1" applyAlignment="1">
      <alignment horizontal="justify" vertical="top" wrapText="1"/>
    </xf>
    <xf numFmtId="3" fontId="67" fillId="33" borderId="68" xfId="0" applyNumberFormat="1" applyFont="1" applyFill="1" applyBorder="1" applyAlignment="1">
      <alignment horizontal="center" vertical="center" wrapText="1"/>
    </xf>
    <xf numFmtId="2" fontId="67" fillId="33" borderId="37" xfId="0" applyNumberFormat="1" applyFont="1" applyFill="1" applyBorder="1" applyAlignment="1">
      <alignment horizontal="center" vertical="center" wrapText="1"/>
    </xf>
    <xf numFmtId="0" fontId="36" fillId="33" borderId="12" xfId="5" applyFont="1" applyFill="1" applyBorder="1" applyAlignment="1">
      <alignment vertical="top" wrapText="1"/>
    </xf>
    <xf numFmtId="0" fontId="28" fillId="0" borderId="31" xfId="0" applyFont="1" applyFill="1" applyBorder="1" applyAlignment="1">
      <alignment horizontal="justify" vertical="top" wrapText="1"/>
    </xf>
    <xf numFmtId="0" fontId="28" fillId="0" borderId="74" xfId="0" applyFont="1" applyFill="1" applyBorder="1" applyAlignment="1">
      <alignment horizontal="justify" vertical="top" wrapText="1"/>
    </xf>
    <xf numFmtId="0" fontId="67" fillId="0" borderId="21" xfId="5" applyFont="1" applyFill="1" applyBorder="1" applyAlignment="1">
      <alignment horizontal="center" vertical="center" wrapText="1"/>
    </xf>
    <xf numFmtId="9" fontId="70" fillId="0" borderId="16" xfId="3" applyFont="1" applyFill="1" applyBorder="1" applyAlignment="1">
      <alignment horizontal="center" vertical="center" wrapText="1"/>
    </xf>
    <xf numFmtId="9" fontId="70" fillId="0" borderId="16" xfId="5" applyNumberFormat="1" applyFont="1" applyFill="1" applyBorder="1" applyAlignment="1">
      <alignment horizontal="center" vertical="center" wrapText="1"/>
    </xf>
    <xf numFmtId="0" fontId="70" fillId="0" borderId="16" xfId="5" applyFont="1" applyFill="1" applyBorder="1" applyAlignment="1">
      <alignment horizontal="center" vertical="center" wrapText="1"/>
    </xf>
    <xf numFmtId="1" fontId="37" fillId="0" borderId="16" xfId="5" applyNumberFormat="1" applyFont="1" applyFill="1" applyBorder="1" applyAlignment="1">
      <alignment vertical="center" wrapText="1"/>
    </xf>
    <xf numFmtId="0" fontId="70" fillId="0" borderId="41" xfId="5" applyFont="1" applyFill="1" applyBorder="1" applyAlignment="1">
      <alignment horizontal="justify" vertical="top" wrapText="1"/>
    </xf>
    <xf numFmtId="0" fontId="70" fillId="0" borderId="41" xfId="5" applyFont="1" applyFill="1" applyBorder="1" applyAlignment="1">
      <alignment horizontal="left" vertical="top" wrapText="1"/>
    </xf>
    <xf numFmtId="2" fontId="67" fillId="15" borderId="81" xfId="0" applyNumberFormat="1" applyFont="1" applyFill="1" applyBorder="1" applyAlignment="1">
      <alignment horizontal="center" vertical="center" wrapText="1"/>
    </xf>
    <xf numFmtId="0" fontId="70" fillId="0" borderId="16" xfId="5" applyFont="1" applyFill="1" applyBorder="1" applyAlignment="1">
      <alignment horizontal="justify" vertical="top" wrapText="1"/>
    </xf>
    <xf numFmtId="0" fontId="69" fillId="31" borderId="5" xfId="5" applyFont="1" applyFill="1" applyBorder="1" applyAlignment="1">
      <alignment vertical="top"/>
    </xf>
    <xf numFmtId="0" fontId="72" fillId="32" borderId="16" xfId="0" applyFont="1" applyFill="1" applyBorder="1" applyAlignment="1">
      <alignment horizontal="justify" vertical="top" wrapText="1"/>
    </xf>
    <xf numFmtId="0" fontId="72" fillId="32" borderId="30" xfId="0" applyFont="1" applyFill="1" applyBorder="1" applyAlignment="1">
      <alignment horizontal="justify" vertical="top" wrapText="1"/>
    </xf>
    <xf numFmtId="0" fontId="69" fillId="31" borderId="12" xfId="5" applyFont="1" applyFill="1" applyBorder="1" applyAlignment="1">
      <alignment vertical="top"/>
    </xf>
    <xf numFmtId="0" fontId="72" fillId="0" borderId="9" xfId="0" applyFont="1" applyFill="1" applyBorder="1" applyAlignment="1">
      <alignment horizontal="justify" vertical="top" wrapText="1"/>
    </xf>
    <xf numFmtId="0" fontId="72" fillId="0" borderId="0" xfId="0" applyFont="1" applyBorder="1" applyAlignment="1">
      <alignment horizontal="justify" vertical="center" wrapText="1"/>
    </xf>
    <xf numFmtId="0" fontId="72" fillId="32" borderId="11" xfId="0" applyFont="1" applyFill="1" applyBorder="1" applyAlignment="1">
      <alignment horizontal="justify" vertical="top" wrapText="1"/>
    </xf>
    <xf numFmtId="0" fontId="70" fillId="32" borderId="2" xfId="5" applyFont="1" applyFill="1" applyBorder="1" applyAlignment="1">
      <alignment horizontal="justify" vertical="top" wrapText="1"/>
    </xf>
    <xf numFmtId="0" fontId="70" fillId="32" borderId="16" xfId="5" applyFont="1" applyFill="1" applyBorder="1" applyAlignment="1">
      <alignment horizontal="justify" vertical="top" wrapText="1"/>
    </xf>
    <xf numFmtId="0" fontId="70" fillId="0" borderId="14" xfId="5" applyFont="1" applyFill="1" applyBorder="1" applyAlignment="1">
      <alignment horizontal="justify" vertical="top" wrapText="1"/>
    </xf>
    <xf numFmtId="0" fontId="70" fillId="32" borderId="14" xfId="5" applyFont="1" applyFill="1" applyBorder="1" applyAlignment="1">
      <alignment horizontal="justify" vertical="top" wrapText="1"/>
    </xf>
    <xf numFmtId="0" fontId="70" fillId="32" borderId="37" xfId="5" applyFont="1" applyFill="1" applyBorder="1" applyAlignment="1">
      <alignment horizontal="justify" vertical="top" wrapText="1"/>
    </xf>
    <xf numFmtId="0" fontId="74" fillId="32" borderId="16" xfId="5" applyFont="1" applyFill="1" applyBorder="1" applyAlignment="1">
      <alignment horizontal="justify" vertical="top" wrapText="1"/>
    </xf>
    <xf numFmtId="0" fontId="74" fillId="32" borderId="0" xfId="5" applyFont="1" applyFill="1" applyBorder="1" applyAlignment="1">
      <alignment horizontal="justify" vertical="top" wrapText="1"/>
    </xf>
    <xf numFmtId="0" fontId="74" fillId="32" borderId="81" xfId="5" applyFont="1" applyFill="1" applyBorder="1" applyAlignment="1">
      <alignment horizontal="justify" vertical="top" wrapText="1"/>
    </xf>
    <xf numFmtId="0" fontId="74" fillId="32" borderId="20" xfId="5" applyFont="1" applyFill="1" applyBorder="1" applyAlignment="1">
      <alignment horizontal="justify" vertical="top" wrapText="1"/>
    </xf>
    <xf numFmtId="0" fontId="74" fillId="0" borderId="81" xfId="5" applyFont="1" applyFill="1" applyBorder="1" applyAlignment="1">
      <alignment horizontal="justify" vertical="top" wrapText="1"/>
    </xf>
    <xf numFmtId="0" fontId="74" fillId="32" borderId="70" xfId="5" applyFont="1" applyFill="1" applyBorder="1" applyAlignment="1">
      <alignment horizontal="justify" vertical="top" wrapText="1"/>
    </xf>
    <xf numFmtId="0" fontId="74" fillId="32" borderId="34" xfId="5" applyFont="1" applyFill="1" applyBorder="1" applyAlignment="1">
      <alignment horizontal="justify" vertical="top" wrapText="1"/>
    </xf>
    <xf numFmtId="0" fontId="74" fillId="0" borderId="34" xfId="5" applyFont="1" applyFill="1" applyBorder="1" applyAlignment="1">
      <alignment horizontal="justify" vertical="top" wrapText="1"/>
    </xf>
    <xf numFmtId="0" fontId="74" fillId="0" borderId="16" xfId="5" applyFont="1" applyFill="1" applyBorder="1" applyAlignment="1">
      <alignment horizontal="justify" vertical="top" wrapText="1"/>
    </xf>
    <xf numFmtId="0" fontId="73" fillId="33" borderId="79" xfId="0" applyFont="1" applyFill="1" applyBorder="1" applyAlignment="1">
      <alignment horizontal="center" vertical="center" wrapText="1"/>
    </xf>
    <xf numFmtId="0" fontId="74" fillId="0" borderId="20" xfId="5" applyFont="1" applyFill="1" applyBorder="1" applyAlignment="1">
      <alignment horizontal="justify" vertical="top" wrapText="1"/>
    </xf>
    <xf numFmtId="0" fontId="74" fillId="0" borderId="37" xfId="5" applyFont="1" applyFill="1" applyBorder="1" applyAlignment="1">
      <alignment horizontal="justify" vertical="top" wrapText="1"/>
    </xf>
    <xf numFmtId="0" fontId="70" fillId="33" borderId="37" xfId="5" applyFont="1" applyFill="1" applyBorder="1" applyAlignment="1">
      <alignment horizontal="center" vertical="center" wrapText="1"/>
    </xf>
    <xf numFmtId="1" fontId="37" fillId="0" borderId="37" xfId="5" applyNumberFormat="1" applyFont="1" applyFill="1" applyBorder="1" applyAlignment="1">
      <alignment vertical="center" wrapText="1"/>
    </xf>
    <xf numFmtId="10" fontId="37" fillId="0" borderId="81" xfId="3" applyNumberFormat="1" applyFont="1" applyFill="1" applyBorder="1" applyAlignment="1">
      <alignment vertical="center" wrapText="1"/>
    </xf>
    <xf numFmtId="0" fontId="70" fillId="33" borderId="26" xfId="5" applyFont="1" applyFill="1" applyBorder="1" applyAlignment="1">
      <alignment horizontal="center" vertical="center" wrapText="1"/>
    </xf>
    <xf numFmtId="3" fontId="37" fillId="0" borderId="0" xfId="5" applyNumberFormat="1" applyFont="1" applyFill="1" applyBorder="1" applyAlignment="1">
      <alignment vertical="center" wrapText="1"/>
    </xf>
    <xf numFmtId="3" fontId="37" fillId="0" borderId="16" xfId="5" applyNumberFormat="1" applyFont="1" applyFill="1" applyBorder="1" applyAlignment="1">
      <alignment vertical="center" wrapText="1"/>
    </xf>
    <xf numFmtId="0" fontId="72" fillId="0" borderId="30" xfId="0" applyFont="1" applyFill="1" applyBorder="1" applyAlignment="1">
      <alignment horizontal="center" vertical="center" wrapText="1"/>
    </xf>
    <xf numFmtId="0" fontId="74" fillId="32" borderId="37" xfId="5" applyFont="1" applyFill="1" applyBorder="1" applyAlignment="1">
      <alignment horizontal="justify" vertical="top" wrapText="1"/>
    </xf>
    <xf numFmtId="0" fontId="75" fillId="33" borderId="37" xfId="0" applyFont="1" applyFill="1" applyBorder="1" applyAlignment="1">
      <alignment horizontal="center" vertical="center" wrapText="1"/>
    </xf>
    <xf numFmtId="3" fontId="76" fillId="33" borderId="81" xfId="5" applyNumberFormat="1" applyFont="1" applyFill="1" applyBorder="1" applyAlignment="1">
      <alignment horizontal="center" vertical="center" wrapText="1"/>
    </xf>
    <xf numFmtId="0" fontId="73" fillId="0" borderId="16" xfId="0" applyFont="1" applyBorder="1" applyAlignment="1">
      <alignment horizontal="justify" vertical="top" wrapText="1"/>
    </xf>
    <xf numFmtId="0" fontId="74" fillId="0" borderId="30" xfId="5" applyFont="1" applyFill="1" applyBorder="1" applyAlignment="1">
      <alignment horizontal="justify" vertical="top" wrapText="1"/>
    </xf>
    <xf numFmtId="0" fontId="73" fillId="0" borderId="37" xfId="0" applyFont="1" applyBorder="1" applyAlignment="1">
      <alignment horizontal="justify" vertical="top" wrapText="1"/>
    </xf>
    <xf numFmtId="0" fontId="73" fillId="0" borderId="37" xfId="0" applyFont="1" applyBorder="1" applyAlignment="1">
      <alignment horizontal="justify" vertical="center" wrapText="1"/>
    </xf>
    <xf numFmtId="3" fontId="74" fillId="33" borderId="77" xfId="5" applyNumberFormat="1" applyFont="1" applyFill="1" applyBorder="1" applyAlignment="1">
      <alignment horizontal="center" vertical="center" wrapText="1"/>
    </xf>
    <xf numFmtId="0" fontId="68" fillId="0" borderId="16" xfId="0" applyFont="1" applyFill="1" applyBorder="1" applyAlignment="1">
      <alignment horizontal="justify" vertical="top" wrapText="1"/>
    </xf>
    <xf numFmtId="0" fontId="74" fillId="32" borderId="36" xfId="5" applyFont="1" applyFill="1" applyBorder="1" applyAlignment="1">
      <alignment horizontal="justify" vertical="top" wrapText="1"/>
    </xf>
    <xf numFmtId="1" fontId="37" fillId="0" borderId="30" xfId="5" applyNumberFormat="1" applyFont="1" applyFill="1" applyBorder="1" applyAlignment="1">
      <alignment vertical="center" wrapText="1"/>
    </xf>
    <xf numFmtId="9" fontId="74" fillId="33" borderId="79" xfId="3" applyFont="1" applyFill="1" applyBorder="1" applyAlignment="1">
      <alignment horizontal="center" vertical="center" wrapText="1"/>
    </xf>
    <xf numFmtId="0" fontId="74" fillId="0" borderId="6" xfId="5" applyFont="1" applyFill="1" applyBorder="1" applyAlignment="1">
      <alignment horizontal="justify" vertical="top" wrapText="1"/>
    </xf>
    <xf numFmtId="0" fontId="74" fillId="0" borderId="80" xfId="5" applyFont="1" applyFill="1" applyBorder="1" applyAlignment="1">
      <alignment horizontal="justify" vertical="top" wrapText="1"/>
    </xf>
    <xf numFmtId="3" fontId="74" fillId="33" borderId="81" xfId="5" applyNumberFormat="1" applyFont="1" applyFill="1" applyBorder="1" applyAlignment="1">
      <alignment horizontal="center" vertical="center" wrapText="1"/>
    </xf>
    <xf numFmtId="0" fontId="74" fillId="32" borderId="46" xfId="5" applyFont="1" applyFill="1" applyBorder="1" applyAlignment="1">
      <alignment horizontal="justify" vertical="top" wrapText="1"/>
    </xf>
    <xf numFmtId="3" fontId="74" fillId="33" borderId="6" xfId="5" applyNumberFormat="1" applyFont="1" applyFill="1" applyBorder="1" applyAlignment="1">
      <alignment horizontal="center" vertical="center" wrapText="1"/>
    </xf>
    <xf numFmtId="0" fontId="74" fillId="33" borderId="22" xfId="5" applyFont="1" applyFill="1" applyBorder="1" applyAlignment="1">
      <alignment horizontal="center" vertical="center" wrapText="1"/>
    </xf>
    <xf numFmtId="0" fontId="34" fillId="13" borderId="7" xfId="5" applyFont="1" applyFill="1" applyBorder="1" applyAlignment="1">
      <alignment vertical="center" wrapText="1"/>
    </xf>
    <xf numFmtId="1" fontId="37" fillId="0" borderId="43" xfId="5" applyNumberFormat="1" applyFont="1" applyFill="1" applyBorder="1" applyAlignment="1">
      <alignment horizontal="center" vertical="center" wrapText="1"/>
    </xf>
    <xf numFmtId="10" fontId="37" fillId="0" borderId="44" xfId="3" applyNumberFormat="1" applyFont="1" applyFill="1" applyBorder="1" applyAlignment="1">
      <alignment horizontal="center" vertical="center" wrapText="1"/>
    </xf>
    <xf numFmtId="1" fontId="37" fillId="0" borderId="46" xfId="5" applyNumberFormat="1" applyFont="1" applyFill="1" applyBorder="1" applyAlignment="1">
      <alignment horizontal="center" vertical="center" wrapText="1"/>
    </xf>
    <xf numFmtId="1" fontId="37" fillId="0" borderId="9" xfId="5" applyNumberFormat="1" applyFont="1" applyFill="1" applyBorder="1" applyAlignment="1">
      <alignment horizontal="center" vertical="center" wrapText="1"/>
    </xf>
    <xf numFmtId="1" fontId="37" fillId="0" borderId="48" xfId="5" applyNumberFormat="1" applyFont="1" applyFill="1" applyBorder="1" applyAlignment="1">
      <alignment horizontal="center" vertical="center" wrapText="1"/>
    </xf>
    <xf numFmtId="1" fontId="37" fillId="0" borderId="40" xfId="5" applyNumberFormat="1" applyFont="1" applyFill="1" applyBorder="1" applyAlignment="1">
      <alignment horizontal="center" vertical="center" wrapText="1"/>
    </xf>
    <xf numFmtId="0" fontId="4" fillId="0" borderId="5" xfId="0" applyFont="1" applyBorder="1" applyAlignment="1">
      <alignment vertical="top" wrapText="1"/>
    </xf>
    <xf numFmtId="0" fontId="4" fillId="0" borderId="8" xfId="0" applyFont="1" applyBorder="1" applyAlignment="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lignment vertical="top" wrapText="1"/>
    </xf>
    <xf numFmtId="3" fontId="4" fillId="3" borderId="13"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vertical="top" wrapText="1"/>
      <protection locked="0"/>
    </xf>
    <xf numFmtId="9" fontId="4" fillId="3" borderId="8" xfId="0" applyNumberFormat="1" applyFont="1" applyFill="1" applyBorder="1" applyAlignment="1" applyProtection="1">
      <alignment horizontal="center" vertical="center"/>
      <protection locked="0"/>
    </xf>
    <xf numFmtId="0" fontId="4" fillId="3" borderId="11" xfId="0" applyFont="1" applyFill="1" applyBorder="1" applyAlignment="1">
      <alignment vertical="top" wrapText="1"/>
    </xf>
    <xf numFmtId="0" fontId="8" fillId="3" borderId="1" xfId="0" applyFont="1" applyFill="1" applyBorder="1" applyAlignment="1" applyProtection="1">
      <alignment vertical="top" wrapText="1"/>
      <protection locked="0"/>
    </xf>
    <xf numFmtId="0" fontId="4" fillId="3" borderId="8" xfId="0" applyFont="1" applyFill="1" applyBorder="1" applyAlignment="1">
      <alignment horizontal="justify" vertical="top" wrapText="1"/>
    </xf>
    <xf numFmtId="0" fontId="4" fillId="3" borderId="11" xfId="0" applyFont="1" applyFill="1" applyBorder="1" applyAlignment="1">
      <alignment horizontal="justify" vertical="top" wrapText="1"/>
    </xf>
    <xf numFmtId="0" fontId="8" fillId="3" borderId="12" xfId="0" applyFont="1" applyFill="1" applyBorder="1" applyAlignment="1" applyProtection="1">
      <alignment vertical="top" wrapText="1"/>
      <protection locked="0"/>
    </xf>
    <xf numFmtId="0" fontId="4" fillId="3" borderId="1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justify" vertical="top" wrapText="1"/>
      <protection locked="0"/>
    </xf>
    <xf numFmtId="0" fontId="82" fillId="3" borderId="12" xfId="0" applyFont="1" applyFill="1" applyBorder="1" applyAlignment="1" applyProtection="1">
      <alignment horizontal="center" vertical="center"/>
      <protection locked="0"/>
    </xf>
    <xf numFmtId="0" fontId="0" fillId="3" borderId="12" xfId="0" applyFill="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1" fontId="70" fillId="0" borderId="16" xfId="5" applyNumberFormat="1" applyFont="1" applyFill="1" applyBorder="1" applyAlignment="1">
      <alignment horizontal="center" vertical="center" wrapText="1"/>
    </xf>
    <xf numFmtId="0" fontId="8" fillId="3" borderId="16" xfId="0" applyFont="1" applyFill="1" applyBorder="1" applyAlignment="1" applyProtection="1">
      <alignment horizontal="justify" vertical="center" wrapText="1"/>
      <protection locked="0"/>
    </xf>
    <xf numFmtId="166" fontId="8" fillId="3" borderId="16" xfId="4" applyNumberFormat="1" applyFont="1" applyFill="1" applyBorder="1" applyAlignment="1" applyProtection="1">
      <alignment horizontal="right" vertical="center"/>
      <protection locked="0"/>
    </xf>
    <xf numFmtId="0" fontId="8" fillId="3" borderId="16" xfId="0" applyFont="1" applyFill="1" applyBorder="1" applyAlignment="1" applyProtection="1">
      <alignment horizontal="center" vertical="center"/>
      <protection locked="0"/>
    </xf>
    <xf numFmtId="0" fontId="8" fillId="0" borderId="16" xfId="0" applyFont="1" applyFill="1" applyBorder="1" applyAlignment="1" applyProtection="1">
      <alignment horizontal="justify" vertical="center" wrapText="1"/>
      <protection locked="0"/>
    </xf>
    <xf numFmtId="0" fontId="8" fillId="0" borderId="16" xfId="0" applyFont="1" applyFill="1" applyBorder="1" applyAlignment="1" applyProtection="1">
      <alignment horizontal="center" vertical="center" wrapText="1"/>
      <protection locked="0"/>
    </xf>
    <xf numFmtId="9" fontId="8" fillId="3" borderId="16" xfId="0" applyNumberFormat="1" applyFont="1" applyFill="1" applyBorder="1" applyAlignment="1" applyProtection="1">
      <alignment horizontal="center" vertical="center"/>
      <protection locked="0"/>
    </xf>
    <xf numFmtId="9" fontId="8" fillId="0" borderId="16" xfId="0" applyNumberFormat="1" applyFont="1" applyFill="1" applyBorder="1" applyAlignment="1" applyProtection="1">
      <alignment horizontal="center" vertical="center"/>
      <protection locked="0"/>
    </xf>
    <xf numFmtId="0" fontId="4" fillId="3" borderId="8" xfId="0" applyFont="1" applyFill="1" applyBorder="1" applyAlignment="1">
      <alignment horizontal="left" vertical="center" wrapText="1"/>
    </xf>
    <xf numFmtId="0" fontId="83" fillId="3" borderId="8" xfId="2" applyFont="1" applyFill="1" applyBorder="1" applyAlignment="1">
      <alignment horizontal="left" vertical="center" wrapText="1"/>
    </xf>
    <xf numFmtId="0" fontId="7" fillId="3" borderId="16" xfId="0" applyFont="1" applyFill="1" applyBorder="1" applyAlignment="1" applyProtection="1">
      <alignment horizontal="center" vertical="center"/>
      <protection locked="0"/>
    </xf>
    <xf numFmtId="0" fontId="4" fillId="3" borderId="16" xfId="0" applyFont="1" applyFill="1" applyBorder="1" applyAlignment="1">
      <alignment horizontal="left" vertical="center" wrapText="1"/>
    </xf>
    <xf numFmtId="0" fontId="4" fillId="3" borderId="16" xfId="0" applyFont="1" applyFill="1" applyBorder="1" applyAlignment="1">
      <alignment vertical="center" wrapText="1"/>
    </xf>
    <xf numFmtId="166" fontId="7" fillId="3" borderId="16" xfId="4" applyNumberFormat="1" applyFont="1" applyFill="1" applyBorder="1" applyAlignment="1" applyProtection="1">
      <alignment horizontal="left" vertical="center"/>
      <protection locked="0"/>
    </xf>
    <xf numFmtId="43" fontId="7" fillId="3" borderId="16" xfId="4" applyFont="1" applyFill="1" applyBorder="1" applyAlignment="1" applyProtection="1">
      <alignment horizontal="left" vertical="center"/>
      <protection locked="0"/>
    </xf>
    <xf numFmtId="0" fontId="4" fillId="0" borderId="16" xfId="0" applyFont="1" applyFill="1" applyBorder="1" applyAlignment="1" applyProtection="1">
      <alignment horizontal="center" vertical="center"/>
      <protection locked="0"/>
    </xf>
    <xf numFmtId="0" fontId="4" fillId="0" borderId="16" xfId="0" applyFont="1" applyFill="1" applyBorder="1" applyAlignment="1">
      <alignment horizontal="left" vertical="center" wrapText="1"/>
    </xf>
    <xf numFmtId="0" fontId="4" fillId="0" borderId="16" xfId="0" applyFont="1" applyFill="1" applyBorder="1" applyAlignment="1">
      <alignment vertical="center" wrapText="1"/>
    </xf>
    <xf numFmtId="0" fontId="4" fillId="3" borderId="16" xfId="0" applyFont="1" applyFill="1" applyBorder="1" applyAlignment="1" applyProtection="1">
      <alignment horizontal="center" vertical="center"/>
      <protection locked="0"/>
    </xf>
    <xf numFmtId="0" fontId="7" fillId="3" borderId="16" xfId="0" applyFont="1" applyFill="1" applyBorder="1" applyAlignment="1">
      <alignment horizontal="left" vertical="center" wrapText="1"/>
    </xf>
    <xf numFmtId="0" fontId="4" fillId="3" borderId="16" xfId="0" applyFont="1" applyFill="1" applyBorder="1" applyAlignment="1">
      <alignment horizontal="center" vertical="center"/>
    </xf>
    <xf numFmtId="0" fontId="4" fillId="0" borderId="16" xfId="0" applyFont="1" applyFill="1" applyBorder="1" applyAlignment="1">
      <alignment horizontal="center" vertical="center"/>
    </xf>
    <xf numFmtId="9" fontId="7" fillId="3" borderId="16" xfId="0" applyNumberFormat="1" applyFont="1" applyFill="1" applyBorder="1" applyAlignment="1">
      <alignment horizontal="center" vertical="center"/>
    </xf>
    <xf numFmtId="9" fontId="7" fillId="0" borderId="16" xfId="0" applyNumberFormat="1" applyFont="1" applyFill="1" applyBorder="1" applyAlignment="1">
      <alignment horizontal="center" vertical="center"/>
    </xf>
    <xf numFmtId="9" fontId="7" fillId="3" borderId="16" xfId="3" applyNumberFormat="1" applyFont="1" applyFill="1" applyBorder="1" applyAlignment="1">
      <alignment horizontal="center" vertical="center"/>
    </xf>
    <xf numFmtId="1" fontId="37" fillId="0" borderId="22" xfId="3" applyNumberFormat="1" applyFont="1" applyFill="1" applyBorder="1" applyAlignment="1">
      <alignment horizontal="center" vertical="center" wrapText="1"/>
    </xf>
    <xf numFmtId="1" fontId="37" fillId="0" borderId="16" xfId="3" applyNumberFormat="1" applyFont="1" applyFill="1" applyBorder="1" applyAlignment="1">
      <alignment horizontal="center" vertical="center" wrapText="1"/>
    </xf>
    <xf numFmtId="43" fontId="7" fillId="3" borderId="12" xfId="4" applyFont="1" applyFill="1" applyBorder="1" applyAlignment="1" applyProtection="1">
      <alignment horizontal="center" vertical="center"/>
      <protection locked="0"/>
    </xf>
    <xf numFmtId="43" fontId="4" fillId="3" borderId="8" xfId="4" applyFont="1" applyFill="1" applyBorder="1" applyAlignment="1" applyProtection="1">
      <alignment horizontal="center" vertical="center" wrapText="1"/>
      <protection locked="0"/>
    </xf>
    <xf numFmtId="43" fontId="4" fillId="3" borderId="12" xfId="4" applyFont="1" applyFill="1" applyBorder="1" applyAlignment="1" applyProtection="1">
      <alignment horizontal="center" vertical="center" wrapText="1"/>
      <protection locked="0"/>
    </xf>
    <xf numFmtId="0" fontId="17" fillId="3" borderId="8" xfId="2" applyFill="1" applyBorder="1" applyAlignment="1" applyProtection="1">
      <alignment horizontal="left" vertical="top"/>
      <protection locked="0"/>
    </xf>
    <xf numFmtId="9" fontId="36" fillId="0" borderId="43" xfId="3" applyFont="1" applyFill="1" applyBorder="1" applyAlignment="1">
      <alignment vertical="center" wrapText="1"/>
    </xf>
    <xf numFmtId="0" fontId="4" fillId="3" borderId="8" xfId="0" applyFont="1" applyFill="1" applyBorder="1" applyAlignment="1" applyProtection="1">
      <alignment horizontal="center" vertical="center"/>
      <protection locked="0"/>
    </xf>
    <xf numFmtId="9" fontId="37" fillId="0" borderId="46" xfId="3" applyNumberFormat="1" applyFont="1" applyFill="1" applyBorder="1" applyAlignment="1">
      <alignment horizontal="center" vertical="center" wrapText="1"/>
    </xf>
    <xf numFmtId="9" fontId="37" fillId="0" borderId="5" xfId="3" applyFont="1" applyFill="1" applyBorder="1" applyAlignment="1">
      <alignment vertical="center" wrapText="1"/>
    </xf>
    <xf numFmtId="41" fontId="45" fillId="19" borderId="58" xfId="11" applyFont="1" applyFill="1" applyBorder="1" applyAlignment="1">
      <alignment horizontal="right" vertical="center"/>
    </xf>
    <xf numFmtId="41" fontId="45" fillId="0" borderId="58" xfId="11" applyFont="1" applyFill="1" applyBorder="1" applyAlignment="1">
      <alignment horizontal="right" vertical="center"/>
    </xf>
    <xf numFmtId="41" fontId="45" fillId="20" borderId="58" xfId="11" applyFont="1" applyFill="1" applyBorder="1" applyAlignment="1">
      <alignment horizontal="right" vertical="center"/>
    </xf>
    <xf numFmtId="41" fontId="45" fillId="21" borderId="58" xfId="11" applyFont="1" applyFill="1" applyBorder="1" applyAlignment="1">
      <alignment horizontal="right" vertical="center"/>
    </xf>
    <xf numFmtId="41" fontId="45" fillId="22" borderId="58" xfId="11" applyFont="1" applyFill="1" applyBorder="1" applyAlignment="1">
      <alignment horizontal="right" vertical="center"/>
    </xf>
    <xf numFmtId="170" fontId="0" fillId="0" borderId="0" xfId="0" applyNumberFormat="1"/>
    <xf numFmtId="41" fontId="47" fillId="0" borderId="58" xfId="11" applyFont="1" applyFill="1" applyBorder="1" applyAlignment="1">
      <alignment horizontal="right" vertical="center"/>
    </xf>
    <xf numFmtId="41" fontId="47" fillId="32" borderId="58" xfId="11" applyFont="1" applyFill="1" applyBorder="1" applyAlignment="1">
      <alignment horizontal="right" vertical="center"/>
    </xf>
    <xf numFmtId="41" fontId="47" fillId="3" borderId="58" xfId="11" applyFont="1" applyFill="1" applyBorder="1" applyAlignment="1">
      <alignment horizontal="right" vertical="center"/>
    </xf>
    <xf numFmtId="41" fontId="47" fillId="0" borderId="58" xfId="11" applyFont="1" applyBorder="1" applyAlignment="1">
      <alignment horizontal="right" vertical="center"/>
    </xf>
    <xf numFmtId="41" fontId="45" fillId="0" borderId="58" xfId="11" applyFont="1" applyBorder="1" applyAlignment="1">
      <alignment horizontal="right" vertical="center"/>
    </xf>
    <xf numFmtId="41" fontId="45" fillId="3" borderId="58" xfId="11" applyFont="1" applyFill="1" applyBorder="1" applyAlignment="1">
      <alignment horizontal="right" vertical="center"/>
    </xf>
    <xf numFmtId="41" fontId="84" fillId="0" borderId="58" xfId="11" applyFont="1" applyBorder="1" applyAlignment="1">
      <alignment horizontal="right" vertical="center"/>
    </xf>
    <xf numFmtId="41" fontId="47" fillId="20" borderId="58" xfId="11" applyFont="1" applyFill="1" applyBorder="1" applyAlignment="1">
      <alignment horizontal="right" vertical="center"/>
    </xf>
    <xf numFmtId="168" fontId="47" fillId="32" borderId="58" xfId="4" applyNumberFormat="1" applyFont="1" applyFill="1" applyBorder="1" applyAlignment="1">
      <alignment horizontal="right" vertical="center"/>
    </xf>
    <xf numFmtId="41" fontId="47" fillId="35" borderId="58" xfId="11" applyFont="1" applyFill="1" applyBorder="1" applyAlignment="1">
      <alignment horizontal="right" vertical="center"/>
    </xf>
    <xf numFmtId="41" fontId="45" fillId="22" borderId="58" xfId="11" applyFont="1" applyFill="1" applyBorder="1" applyAlignment="1">
      <alignment horizontal="left" vertical="center"/>
    </xf>
    <xf numFmtId="41" fontId="45" fillId="0" borderId="58" xfId="11" applyFont="1" applyFill="1" applyBorder="1" applyAlignment="1">
      <alignment horizontal="left" vertical="center"/>
    </xf>
    <xf numFmtId="41" fontId="47" fillId="0" borderId="58" xfId="11" applyFont="1" applyFill="1" applyBorder="1" applyAlignment="1">
      <alignment horizontal="left" vertical="center"/>
    </xf>
    <xf numFmtId="41" fontId="45" fillId="19" borderId="58" xfId="11" applyFont="1" applyFill="1" applyBorder="1" applyAlignment="1">
      <alignment horizontal="left" vertical="center"/>
    </xf>
    <xf numFmtId="41" fontId="47" fillId="32" borderId="58" xfId="11" applyFont="1" applyFill="1" applyBorder="1" applyAlignment="1">
      <alignment horizontal="left" vertical="center"/>
    </xf>
    <xf numFmtId="41" fontId="33" fillId="25" borderId="64" xfId="11" applyFont="1" applyFill="1" applyBorder="1" applyAlignment="1">
      <alignment horizontal="center"/>
    </xf>
    <xf numFmtId="41" fontId="33" fillId="24" borderId="64" xfId="11" applyFont="1" applyFill="1" applyBorder="1" applyAlignment="1">
      <alignment horizontal="center"/>
    </xf>
    <xf numFmtId="0" fontId="85" fillId="0" borderId="64" xfId="0" applyFont="1" applyBorder="1" applyAlignment="1">
      <alignment vertical="center"/>
    </xf>
    <xf numFmtId="41" fontId="30" fillId="29" borderId="64" xfId="11" applyFont="1" applyFill="1" applyBorder="1" applyAlignment="1">
      <alignment horizontal="left"/>
    </xf>
    <xf numFmtId="41" fontId="51" fillId="0" borderId="62" xfId="11" applyFont="1" applyBorder="1" applyAlignment="1">
      <alignment horizontal="left" vertical="center"/>
    </xf>
    <xf numFmtId="41" fontId="30" fillId="0" borderId="64" xfId="11" applyFont="1" applyBorder="1" applyAlignment="1">
      <alignment horizontal="center"/>
    </xf>
    <xf numFmtId="41" fontId="33" fillId="26" borderId="64" xfId="11" applyFont="1" applyFill="1" applyBorder="1" applyAlignment="1">
      <alignment horizontal="center"/>
    </xf>
    <xf numFmtId="41" fontId="30" fillId="0" borderId="64" xfId="11" applyFont="1" applyFill="1" applyBorder="1" applyAlignment="1">
      <alignment horizontal="center"/>
    </xf>
    <xf numFmtId="41" fontId="85" fillId="0" borderId="64" xfId="11" applyFont="1" applyBorder="1" applyAlignment="1">
      <alignment horizontal="center" vertical="center"/>
    </xf>
    <xf numFmtId="41" fontId="30" fillId="29" borderId="64" xfId="11" applyFont="1" applyFill="1" applyBorder="1" applyAlignment="1">
      <alignment horizontal="center"/>
    </xf>
    <xf numFmtId="41" fontId="33" fillId="0" borderId="64" xfId="11" applyFont="1" applyFill="1" applyBorder="1" applyAlignment="1">
      <alignment horizontal="center"/>
    </xf>
    <xf numFmtId="41" fontId="30" fillId="26" borderId="64" xfId="11" applyFont="1" applyFill="1" applyBorder="1" applyAlignment="1">
      <alignment horizontal="center"/>
    </xf>
    <xf numFmtId="41" fontId="33" fillId="25" borderId="64" xfId="11" applyFont="1" applyFill="1" applyBorder="1"/>
    <xf numFmtId="41" fontId="33" fillId="26" borderId="64" xfId="11" applyFont="1" applyFill="1" applyBorder="1"/>
    <xf numFmtId="41" fontId="30" fillId="0" borderId="64" xfId="11" applyFont="1" applyBorder="1"/>
    <xf numFmtId="41" fontId="30" fillId="25" borderId="64" xfId="11" applyFont="1" applyFill="1" applyBorder="1"/>
    <xf numFmtId="41" fontId="30" fillId="26" borderId="64" xfId="11" quotePrefix="1" applyFont="1" applyFill="1" applyBorder="1" applyAlignment="1">
      <alignment horizontal="left"/>
    </xf>
    <xf numFmtId="41" fontId="30" fillId="0" borderId="64" xfId="11" quotePrefix="1" applyFont="1" applyBorder="1" applyAlignment="1">
      <alignment horizontal="left"/>
    </xf>
    <xf numFmtId="9" fontId="37" fillId="0" borderId="47" xfId="5" applyNumberFormat="1" applyFont="1" applyFill="1" applyBorder="1" applyAlignment="1">
      <alignment vertical="center" wrapText="1"/>
    </xf>
    <xf numFmtId="9" fontId="36" fillId="0" borderId="5" xfId="3" applyFont="1" applyFill="1" applyBorder="1" applyAlignment="1">
      <alignment vertical="center" wrapText="1"/>
    </xf>
    <xf numFmtId="9" fontId="36" fillId="0" borderId="47" xfId="3" applyFont="1" applyFill="1" applyBorder="1" applyAlignment="1">
      <alignment vertical="center" wrapText="1"/>
    </xf>
    <xf numFmtId="9" fontId="36" fillId="13" borderId="12" xfId="5" applyNumberFormat="1" applyFont="1" applyFill="1" applyBorder="1" applyAlignment="1">
      <alignment horizontal="center" vertical="center" wrapText="1"/>
    </xf>
    <xf numFmtId="9" fontId="76" fillId="13" borderId="7" xfId="3" applyFont="1" applyFill="1" applyBorder="1" applyAlignment="1">
      <alignment horizontal="center" vertical="center" wrapText="1"/>
    </xf>
    <xf numFmtId="9" fontId="36" fillId="0" borderId="12" xfId="3" applyFont="1" applyFill="1" applyBorder="1" applyAlignment="1">
      <alignment horizontal="center" vertical="center" wrapText="1"/>
    </xf>
    <xf numFmtId="9" fontId="36" fillId="0" borderId="44" xfId="3" applyFont="1" applyFill="1" applyBorder="1" applyAlignment="1">
      <alignment horizontal="center" vertical="center" wrapText="1"/>
    </xf>
    <xf numFmtId="0" fontId="17" fillId="3" borderId="8" xfId="2" applyFill="1" applyBorder="1" applyAlignment="1">
      <alignment horizontal="left" vertical="top"/>
    </xf>
    <xf numFmtId="3" fontId="4" fillId="3" borderId="68" xfId="0" applyNumberFormat="1" applyFont="1" applyFill="1" applyBorder="1" applyAlignment="1" applyProtection="1">
      <alignment horizontal="center" vertical="center" wrapText="1"/>
      <protection locked="0"/>
    </xf>
    <xf numFmtId="3" fontId="4" fillId="3" borderId="68" xfId="0" applyNumberFormat="1" applyFont="1" applyFill="1" applyBorder="1" applyAlignment="1" applyProtection="1">
      <alignment vertical="center" wrapText="1"/>
      <protection locked="0"/>
    </xf>
    <xf numFmtId="3" fontId="4" fillId="3" borderId="74" xfId="0" applyNumberFormat="1" applyFont="1" applyFill="1" applyBorder="1" applyAlignment="1" applyProtection="1">
      <alignment vertical="center" wrapText="1"/>
      <protection locked="0"/>
    </xf>
    <xf numFmtId="0" fontId="4" fillId="3" borderId="45" xfId="0" applyFont="1" applyFill="1" applyBorder="1" applyAlignment="1" applyProtection="1">
      <alignment horizontal="justify" vertical="top" wrapText="1"/>
      <protection locked="0"/>
    </xf>
    <xf numFmtId="9" fontId="65" fillId="3" borderId="16" xfId="0" applyNumberFormat="1" applyFont="1" applyFill="1" applyBorder="1" applyAlignment="1" applyProtection="1">
      <alignment horizontal="center" vertical="top"/>
      <protection locked="0"/>
    </xf>
    <xf numFmtId="9" fontId="79" fillId="3" borderId="16" xfId="0" applyNumberFormat="1" applyFont="1" applyFill="1" applyBorder="1" applyAlignment="1" applyProtection="1">
      <alignment horizontal="center" vertical="top"/>
      <protection locked="0"/>
    </xf>
    <xf numFmtId="0" fontId="4" fillId="3" borderId="34" xfId="0" applyFont="1" applyFill="1" applyBorder="1" applyAlignment="1" applyProtection="1">
      <alignment horizontal="justify" vertical="top" wrapText="1"/>
      <protection locked="0"/>
    </xf>
    <xf numFmtId="9" fontId="79" fillId="3" borderId="16"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justify" vertical="top" wrapText="1"/>
      <protection locked="0"/>
    </xf>
    <xf numFmtId="0" fontId="4" fillId="3" borderId="16" xfId="0" applyFont="1" applyFill="1" applyBorder="1" applyAlignment="1" applyProtection="1">
      <alignment vertical="center" wrapText="1"/>
      <protection locked="0"/>
    </xf>
    <xf numFmtId="0" fontId="7" fillId="3" borderId="14" xfId="0" applyFont="1" applyFill="1" applyBorder="1" applyAlignment="1">
      <alignment vertical="center"/>
    </xf>
    <xf numFmtId="0" fontId="7" fillId="3" borderId="12" xfId="0" applyFont="1" applyFill="1" applyBorder="1" applyAlignment="1">
      <alignment horizontal="left" vertical="center"/>
    </xf>
    <xf numFmtId="0" fontId="7" fillId="3" borderId="15" xfId="0" applyFont="1" applyFill="1" applyBorder="1" applyAlignment="1">
      <alignment horizontal="left" vertical="center"/>
    </xf>
    <xf numFmtId="0" fontId="4" fillId="3" borderId="12" xfId="0" applyFont="1" applyFill="1" applyBorder="1" applyAlignment="1" applyProtection="1">
      <alignment horizontal="left" vertical="center" wrapText="1"/>
      <protection locked="0"/>
    </xf>
    <xf numFmtId="0" fontId="7" fillId="3" borderId="14" xfId="0" applyFont="1" applyFill="1" applyBorder="1" applyAlignment="1">
      <alignment wrapText="1"/>
    </xf>
    <xf numFmtId="0" fontId="7" fillId="3" borderId="15" xfId="0" applyFont="1" applyFill="1" applyBorder="1" applyAlignment="1">
      <alignment horizontal="left" vertical="center" wrapText="1"/>
    </xf>
    <xf numFmtId="0" fontId="4" fillId="3" borderId="14" xfId="0" applyFont="1" applyFill="1" applyBorder="1" applyAlignment="1" applyProtection="1">
      <alignment vertical="center" wrapText="1"/>
      <protection locked="0"/>
    </xf>
    <xf numFmtId="0" fontId="4" fillId="3" borderId="15" xfId="0" applyFont="1" applyFill="1" applyBorder="1" applyAlignment="1" applyProtection="1">
      <alignment horizontal="left" vertical="center" wrapText="1"/>
      <protection locked="0"/>
    </xf>
    <xf numFmtId="3" fontId="4" fillId="3" borderId="15" xfId="0" applyNumberFormat="1" applyFont="1" applyFill="1" applyBorder="1" applyAlignment="1" applyProtection="1">
      <alignment horizontal="left" vertical="center" wrapText="1"/>
      <protection locked="0"/>
    </xf>
    <xf numFmtId="0" fontId="4" fillId="3" borderId="10" xfId="0" applyFont="1" applyFill="1" applyBorder="1" applyAlignment="1" applyProtection="1">
      <alignment vertical="center" wrapText="1"/>
      <protection locked="0"/>
    </xf>
    <xf numFmtId="0" fontId="4" fillId="3" borderId="13"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7" fillId="3" borderId="13" xfId="0" applyFont="1" applyFill="1" applyBorder="1" applyAlignment="1">
      <alignment horizontal="left" vertical="center"/>
    </xf>
    <xf numFmtId="3" fontId="4" fillId="3" borderId="11" xfId="0" applyNumberFormat="1" applyFont="1" applyFill="1" applyBorder="1" applyAlignment="1" applyProtection="1">
      <alignment horizontal="left" vertical="center" wrapText="1"/>
      <protection locked="0"/>
    </xf>
    <xf numFmtId="3" fontId="27" fillId="3" borderId="8" xfId="0" applyNumberFormat="1" applyFont="1" applyFill="1" applyBorder="1" applyAlignment="1" applyProtection="1">
      <alignment horizontal="center" vertical="center"/>
      <protection locked="0"/>
    </xf>
    <xf numFmtId="0" fontId="4" fillId="3" borderId="8" xfId="0" applyFont="1" applyFill="1" applyBorder="1" applyAlignment="1" applyProtection="1">
      <alignment horizontal="justify" vertical="top"/>
      <protection locked="0"/>
    </xf>
    <xf numFmtId="0" fontId="8" fillId="3" borderId="8" xfId="0" applyFont="1" applyFill="1" applyBorder="1" applyAlignment="1" applyProtection="1">
      <alignment horizontal="justify" vertical="top" wrapText="1"/>
      <protection locked="0"/>
    </xf>
    <xf numFmtId="3" fontId="4" fillId="3" borderId="8" xfId="0" applyNumberFormat="1"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protection locked="0"/>
    </xf>
    <xf numFmtId="0" fontId="4" fillId="0" borderId="5" xfId="0" applyFont="1" applyBorder="1" applyAlignment="1">
      <alignment vertical="top" wrapText="1"/>
    </xf>
    <xf numFmtId="10" fontId="37" fillId="0" borderId="43" xfId="3" applyNumberFormat="1" applyFont="1" applyFill="1" applyBorder="1" applyAlignment="1">
      <alignment horizontal="center" vertical="center" wrapText="1"/>
    </xf>
    <xf numFmtId="1" fontId="37" fillId="0" borderId="30" xfId="5" applyNumberFormat="1" applyFont="1" applyFill="1" applyBorder="1" applyAlignment="1">
      <alignment horizontal="center" vertical="center" wrapText="1"/>
    </xf>
    <xf numFmtId="0" fontId="83" fillId="3" borderId="8" xfId="2" applyFont="1" applyFill="1" applyBorder="1" applyAlignment="1" applyProtection="1">
      <alignment vertical="top"/>
      <protection locked="0"/>
    </xf>
    <xf numFmtId="0" fontId="4" fillId="33" borderId="31" xfId="0" applyFont="1" applyFill="1" applyBorder="1" applyAlignment="1">
      <alignment horizontal="center" vertical="top"/>
    </xf>
    <xf numFmtId="0" fontId="4" fillId="33" borderId="32" xfId="0" applyFont="1" applyFill="1" applyBorder="1" applyAlignment="1" applyProtection="1">
      <alignment vertical="top"/>
      <protection locked="0"/>
    </xf>
    <xf numFmtId="0" fontId="4" fillId="33" borderId="32" xfId="0" applyFont="1" applyFill="1" applyBorder="1" applyAlignment="1" applyProtection="1">
      <alignment horizontal="center" vertical="center"/>
      <protection locked="0"/>
    </xf>
    <xf numFmtId="3" fontId="4" fillId="33" borderId="32" xfId="0" applyNumberFormat="1" applyFont="1" applyFill="1" applyBorder="1" applyAlignment="1" applyProtection="1">
      <alignment vertical="top"/>
      <protection locked="0"/>
    </xf>
    <xf numFmtId="3" fontId="4" fillId="33" borderId="33" xfId="0" applyNumberFormat="1" applyFont="1" applyFill="1" applyBorder="1" applyAlignment="1" applyProtection="1">
      <alignment vertical="top"/>
      <protection locked="0"/>
    </xf>
    <xf numFmtId="0" fontId="4" fillId="33" borderId="34" xfId="0" applyFont="1" applyFill="1" applyBorder="1" applyAlignment="1">
      <alignment horizontal="center" vertical="top"/>
    </xf>
    <xf numFmtId="0" fontId="4" fillId="33" borderId="16" xfId="0" applyFont="1" applyFill="1" applyBorder="1" applyAlignment="1" applyProtection="1">
      <alignment vertical="top"/>
      <protection locked="0"/>
    </xf>
    <xf numFmtId="0" fontId="4" fillId="33" borderId="16" xfId="0" applyFont="1" applyFill="1" applyBorder="1" applyAlignment="1" applyProtection="1">
      <alignment horizontal="center" vertical="center"/>
      <protection locked="0"/>
    </xf>
    <xf numFmtId="3" fontId="8" fillId="33" borderId="16" xfId="0" applyNumberFormat="1" applyFont="1" applyFill="1" applyBorder="1" applyAlignment="1" applyProtection="1">
      <alignment vertical="top"/>
      <protection locked="0"/>
    </xf>
    <xf numFmtId="3" fontId="4" fillId="33" borderId="35" xfId="0" applyNumberFormat="1" applyFont="1" applyFill="1" applyBorder="1" applyAlignment="1" applyProtection="1">
      <alignment vertical="top"/>
      <protection locked="0"/>
    </xf>
    <xf numFmtId="3" fontId="4" fillId="33" borderId="16" xfId="0" applyNumberFormat="1" applyFont="1" applyFill="1" applyBorder="1" applyAlignment="1" applyProtection="1">
      <alignment vertical="top"/>
      <protection locked="0"/>
    </xf>
    <xf numFmtId="0" fontId="4" fillId="33" borderId="16" xfId="0" applyFont="1" applyFill="1" applyBorder="1" applyAlignment="1" applyProtection="1">
      <alignment vertical="top" wrapText="1"/>
      <protection locked="0"/>
    </xf>
    <xf numFmtId="0" fontId="4" fillId="33" borderId="16" xfId="0" applyFont="1" applyFill="1" applyBorder="1" applyAlignment="1" applyProtection="1">
      <alignment horizontal="justify" vertical="top" wrapText="1"/>
      <protection locked="0"/>
    </xf>
    <xf numFmtId="0" fontId="4" fillId="32" borderId="34" xfId="0" applyFont="1" applyFill="1" applyBorder="1" applyAlignment="1">
      <alignment horizontal="center" vertical="top"/>
    </xf>
    <xf numFmtId="0" fontId="4" fillId="32" borderId="16" xfId="0" applyFont="1" applyFill="1" applyBorder="1" applyAlignment="1" applyProtection="1">
      <alignment vertical="top"/>
      <protection locked="0"/>
    </xf>
    <xf numFmtId="0" fontId="4" fillId="32" borderId="16" xfId="0" applyFont="1" applyFill="1" applyBorder="1" applyAlignment="1" applyProtection="1">
      <alignment horizontal="center" vertical="center"/>
      <protection locked="0"/>
    </xf>
    <xf numFmtId="3" fontId="8" fillId="32" borderId="16" xfId="0" applyNumberFormat="1" applyFont="1" applyFill="1" applyBorder="1" applyAlignment="1" applyProtection="1">
      <alignment vertical="top"/>
      <protection locked="0"/>
    </xf>
    <xf numFmtId="3" fontId="4" fillId="32" borderId="35" xfId="0" applyNumberFormat="1" applyFont="1" applyFill="1" applyBorder="1" applyAlignment="1" applyProtection="1">
      <alignment vertical="top"/>
      <protection locked="0"/>
    </xf>
    <xf numFmtId="3" fontId="8" fillId="32" borderId="16" xfId="0" applyNumberFormat="1" applyFont="1" applyFill="1" applyBorder="1" applyAlignment="1" applyProtection="1">
      <alignment horizontal="center" vertical="center"/>
      <protection locked="0"/>
    </xf>
    <xf numFmtId="0" fontId="4" fillId="32" borderId="34" xfId="0" applyFont="1" applyFill="1" applyBorder="1" applyAlignment="1">
      <alignment horizontal="center" vertical="center"/>
    </xf>
    <xf numFmtId="0" fontId="4" fillId="32" borderId="16" xfId="0" applyFont="1" applyFill="1" applyBorder="1" applyAlignment="1" applyProtection="1">
      <alignment vertical="center"/>
      <protection locked="0"/>
    </xf>
    <xf numFmtId="0" fontId="4" fillId="32" borderId="16" xfId="0" applyFont="1" applyFill="1" applyBorder="1" applyAlignment="1" applyProtection="1">
      <alignment horizontal="justify" vertical="top" wrapText="1"/>
      <protection locked="0"/>
    </xf>
    <xf numFmtId="0" fontId="4" fillId="36" borderId="34" xfId="0" applyFont="1" applyFill="1" applyBorder="1" applyAlignment="1">
      <alignment horizontal="center" vertical="top"/>
    </xf>
    <xf numFmtId="0" fontId="4" fillId="36" borderId="16" xfId="0" applyFont="1" applyFill="1" applyBorder="1" applyAlignment="1" applyProtection="1">
      <alignment vertical="top"/>
      <protection locked="0"/>
    </xf>
    <xf numFmtId="0" fontId="4" fillId="36" borderId="16" xfId="0" applyFont="1" applyFill="1" applyBorder="1" applyAlignment="1" applyProtection="1">
      <alignment horizontal="center" vertical="center"/>
      <protection locked="0"/>
    </xf>
    <xf numFmtId="3" fontId="8" fillId="36" borderId="16" xfId="0" applyNumberFormat="1" applyFont="1" applyFill="1" applyBorder="1" applyAlignment="1" applyProtection="1">
      <alignment vertical="top"/>
      <protection locked="0"/>
    </xf>
    <xf numFmtId="3" fontId="4" fillId="36" borderId="35" xfId="0" applyNumberFormat="1" applyFont="1" applyFill="1" applyBorder="1" applyAlignment="1" applyProtection="1">
      <alignment vertical="top"/>
      <protection locked="0"/>
    </xf>
    <xf numFmtId="3" fontId="4" fillId="36" borderId="16" xfId="0" applyNumberFormat="1" applyFont="1" applyFill="1" applyBorder="1" applyAlignment="1" applyProtection="1">
      <alignment vertical="top"/>
      <protection locked="0"/>
    </xf>
    <xf numFmtId="0" fontId="4" fillId="36" borderId="16" xfId="0" applyFont="1" applyFill="1" applyBorder="1" applyAlignment="1" applyProtection="1">
      <alignment horizontal="justify" vertical="top" wrapText="1"/>
      <protection locked="0"/>
    </xf>
    <xf numFmtId="0" fontId="4" fillId="36" borderId="16" xfId="0" applyFont="1" applyFill="1" applyBorder="1" applyAlignment="1" applyProtection="1">
      <alignment vertical="top" wrapText="1"/>
      <protection locked="0"/>
    </xf>
    <xf numFmtId="0" fontId="4" fillId="0" borderId="34" xfId="0" applyFont="1" applyBorder="1" applyAlignment="1">
      <alignment horizontal="center" vertical="top"/>
    </xf>
    <xf numFmtId="0" fontId="4" fillId="7" borderId="16" xfId="0" applyFont="1" applyFill="1" applyBorder="1" applyAlignment="1" applyProtection="1">
      <alignment vertical="top"/>
      <protection locked="0"/>
    </xf>
    <xf numFmtId="0" fontId="4" fillId="7" borderId="16" xfId="0" applyFont="1" applyFill="1" applyBorder="1" applyAlignment="1" applyProtection="1">
      <alignment horizontal="center" vertical="center"/>
      <protection locked="0"/>
    </xf>
    <xf numFmtId="3" fontId="4" fillId="7" borderId="16" xfId="0" applyNumberFormat="1" applyFont="1" applyFill="1" applyBorder="1" applyAlignment="1" applyProtection="1">
      <alignment vertical="top"/>
      <protection locked="0"/>
    </xf>
    <xf numFmtId="3" fontId="4" fillId="7" borderId="35" xfId="0" applyNumberFormat="1" applyFont="1" applyFill="1" applyBorder="1" applyAlignment="1" applyProtection="1">
      <alignment vertical="top"/>
      <protection locked="0"/>
    </xf>
    <xf numFmtId="0" fontId="4" fillId="7" borderId="16" xfId="0" applyFont="1" applyFill="1" applyBorder="1" applyAlignment="1" applyProtection="1">
      <alignment horizontal="justify" vertical="top" wrapText="1"/>
      <protection locked="0"/>
    </xf>
    <xf numFmtId="0" fontId="4" fillId="7" borderId="16" xfId="0" applyFont="1" applyFill="1" applyBorder="1" applyAlignment="1" applyProtection="1">
      <alignment vertical="top" wrapText="1"/>
      <protection locked="0"/>
    </xf>
    <xf numFmtId="0" fontId="4" fillId="8" borderId="16" xfId="0" applyFont="1" applyFill="1" applyBorder="1" applyAlignment="1" applyProtection="1">
      <alignment horizontal="justify" vertical="top" wrapText="1"/>
      <protection locked="0"/>
    </xf>
    <xf numFmtId="0" fontId="4" fillId="8" borderId="16" xfId="0" applyFont="1" applyFill="1" applyBorder="1" applyAlignment="1" applyProtection="1">
      <alignment vertical="top" wrapText="1"/>
      <protection locked="0"/>
    </xf>
    <xf numFmtId="0" fontId="4" fillId="8" borderId="16" xfId="0" applyFont="1" applyFill="1" applyBorder="1" applyAlignment="1" applyProtection="1">
      <alignment vertical="top"/>
      <protection locked="0"/>
    </xf>
    <xf numFmtId="0" fontId="4" fillId="8" borderId="16" xfId="0" applyFont="1" applyFill="1" applyBorder="1" applyAlignment="1" applyProtection="1">
      <alignment horizontal="center" vertical="center"/>
      <protection locked="0"/>
    </xf>
    <xf numFmtId="3" fontId="4" fillId="8" borderId="16" xfId="0" applyNumberFormat="1" applyFont="1" applyFill="1" applyBorder="1" applyAlignment="1" applyProtection="1">
      <alignment vertical="top"/>
      <protection locked="0"/>
    </xf>
    <xf numFmtId="3" fontId="4" fillId="8" borderId="35" xfId="0" applyNumberFormat="1" applyFont="1" applyFill="1" applyBorder="1" applyAlignment="1" applyProtection="1">
      <alignment vertical="top"/>
      <protection locked="0"/>
    </xf>
    <xf numFmtId="0" fontId="4" fillId="8" borderId="16" xfId="0" applyFont="1" applyFill="1" applyBorder="1" applyAlignment="1" applyProtection="1">
      <alignment vertical="center" wrapText="1"/>
      <protection locked="0"/>
    </xf>
    <xf numFmtId="3" fontId="8" fillId="8" borderId="16" xfId="0" applyNumberFormat="1" applyFont="1" applyFill="1" applyBorder="1" applyAlignment="1" applyProtection="1">
      <alignment vertical="center"/>
      <protection locked="0"/>
    </xf>
    <xf numFmtId="0" fontId="4" fillId="37" borderId="34" xfId="0" applyFont="1" applyFill="1" applyBorder="1" applyAlignment="1">
      <alignment horizontal="center" vertical="top"/>
    </xf>
    <xf numFmtId="0" fontId="4" fillId="37" borderId="16" xfId="0" applyFont="1" applyFill="1" applyBorder="1" applyAlignment="1" applyProtection="1">
      <alignment horizontal="justify" vertical="center" wrapText="1"/>
      <protection locked="0"/>
    </xf>
    <xf numFmtId="0" fontId="4" fillId="37" borderId="16" xfId="0" applyFont="1" applyFill="1" applyBorder="1" applyAlignment="1" applyProtection="1">
      <alignment vertical="top" wrapText="1"/>
      <protection locked="0"/>
    </xf>
    <xf numFmtId="0" fontId="4" fillId="37" borderId="16" xfId="0" applyFont="1" applyFill="1" applyBorder="1" applyAlignment="1" applyProtection="1">
      <alignment vertical="top"/>
      <protection locked="0"/>
    </xf>
    <xf numFmtId="3" fontId="8" fillId="37" borderId="16" xfId="0" applyNumberFormat="1" applyFont="1" applyFill="1" applyBorder="1" applyAlignment="1" applyProtection="1">
      <alignment vertical="center"/>
      <protection locked="0"/>
    </xf>
    <xf numFmtId="3" fontId="4" fillId="37" borderId="35" xfId="0" applyNumberFormat="1" applyFont="1" applyFill="1" applyBorder="1" applyAlignment="1" applyProtection="1">
      <alignment vertical="top"/>
      <protection locked="0"/>
    </xf>
    <xf numFmtId="0" fontId="4" fillId="19" borderId="34" xfId="0" applyFont="1" applyFill="1" applyBorder="1" applyAlignment="1">
      <alignment horizontal="center" vertical="top"/>
    </xf>
    <xf numFmtId="0" fontId="4" fillId="19" borderId="16" xfId="0" applyFont="1" applyFill="1" applyBorder="1" applyAlignment="1" applyProtection="1">
      <alignment horizontal="justify" vertical="center" wrapText="1"/>
      <protection locked="0"/>
    </xf>
    <xf numFmtId="0" fontId="4" fillId="19" borderId="16" xfId="0" applyFont="1" applyFill="1" applyBorder="1" applyAlignment="1" applyProtection="1">
      <alignment vertical="top" wrapText="1"/>
      <protection locked="0"/>
    </xf>
    <xf numFmtId="0" fontId="4" fillId="19" borderId="16" xfId="0" applyFont="1" applyFill="1" applyBorder="1" applyAlignment="1" applyProtection="1">
      <alignment vertical="top"/>
      <protection locked="0"/>
    </xf>
    <xf numFmtId="3" fontId="8" fillId="19" borderId="16" xfId="0" applyNumberFormat="1" applyFont="1" applyFill="1" applyBorder="1" applyAlignment="1" applyProtection="1">
      <alignment vertical="center"/>
      <protection locked="0"/>
    </xf>
    <xf numFmtId="3" fontId="4" fillId="19" borderId="35" xfId="0" applyNumberFormat="1" applyFont="1" applyFill="1" applyBorder="1" applyAlignment="1" applyProtection="1">
      <alignment vertical="top"/>
      <protection locked="0"/>
    </xf>
    <xf numFmtId="3" fontId="7" fillId="19" borderId="16" xfId="0" applyNumberFormat="1" applyFont="1" applyFill="1" applyBorder="1" applyAlignment="1" applyProtection="1">
      <alignment horizontal="center" vertical="center"/>
      <protection locked="0"/>
    </xf>
    <xf numFmtId="0" fontId="28" fillId="19" borderId="16" xfId="0" applyFont="1" applyFill="1" applyBorder="1" applyAlignment="1" applyProtection="1">
      <alignment vertical="top" wrapText="1"/>
      <protection locked="0"/>
    </xf>
    <xf numFmtId="3" fontId="8" fillId="19" borderId="30" xfId="0" applyNumberFormat="1" applyFont="1" applyFill="1" applyBorder="1" applyAlignment="1" applyProtection="1">
      <alignment vertical="center"/>
      <protection locked="0"/>
    </xf>
    <xf numFmtId="3" fontId="4" fillId="19" borderId="66" xfId="0" applyNumberFormat="1" applyFont="1" applyFill="1" applyBorder="1" applyAlignment="1" applyProtection="1">
      <alignment vertical="top"/>
      <protection locked="0"/>
    </xf>
    <xf numFmtId="0" fontId="4" fillId="19" borderId="38" xfId="0" applyFont="1" applyFill="1" applyBorder="1" applyAlignment="1">
      <alignment horizontal="center" vertical="top"/>
    </xf>
    <xf numFmtId="0" fontId="4" fillId="19" borderId="36" xfId="0" applyFont="1" applyFill="1" applyBorder="1" applyAlignment="1" applyProtection="1">
      <alignment horizontal="justify" vertical="center" wrapText="1"/>
      <protection locked="0"/>
    </xf>
    <xf numFmtId="0" fontId="4" fillId="19" borderId="36" xfId="0" applyFont="1" applyFill="1" applyBorder="1" applyAlignment="1" applyProtection="1">
      <alignment vertical="top" wrapText="1"/>
      <protection locked="0"/>
    </xf>
    <xf numFmtId="0" fontId="4" fillId="19" borderId="36" xfId="0" applyFont="1" applyFill="1" applyBorder="1" applyAlignment="1" applyProtection="1">
      <alignment vertical="top"/>
      <protection locked="0"/>
    </xf>
    <xf numFmtId="3" fontId="8" fillId="19" borderId="36" xfId="0" applyNumberFormat="1" applyFont="1" applyFill="1" applyBorder="1" applyAlignment="1" applyProtection="1">
      <alignment vertical="center"/>
      <protection locked="0"/>
    </xf>
    <xf numFmtId="3" fontId="4" fillId="19" borderId="39" xfId="0" applyNumberFormat="1" applyFont="1" applyFill="1" applyBorder="1" applyAlignment="1" applyProtection="1">
      <alignment vertical="top"/>
      <protection locked="0"/>
    </xf>
    <xf numFmtId="3" fontId="4" fillId="3" borderId="12" xfId="0" applyNumberFormat="1" applyFont="1" applyFill="1" applyBorder="1" applyAlignment="1" applyProtection="1">
      <alignment horizontal="center" vertical="center"/>
      <protection locked="0"/>
    </xf>
    <xf numFmtId="0" fontId="4" fillId="3" borderId="13" xfId="0" applyFont="1" applyFill="1" applyBorder="1" applyAlignment="1" applyProtection="1">
      <alignment vertical="top" wrapText="1"/>
      <protection locked="0"/>
    </xf>
    <xf numFmtId="0" fontId="4" fillId="3" borderId="7" xfId="0" applyFont="1" applyFill="1" applyBorder="1" applyAlignment="1" applyProtection="1">
      <alignment vertical="center" wrapText="1"/>
      <protection locked="0"/>
    </xf>
    <xf numFmtId="0" fontId="8" fillId="3" borderId="7" xfId="0" applyFont="1" applyFill="1" applyBorder="1" applyAlignment="1" applyProtection="1">
      <alignment vertical="center" wrapText="1"/>
      <protection locked="0"/>
    </xf>
    <xf numFmtId="0" fontId="8" fillId="3" borderId="8" xfId="0" applyFont="1" applyFill="1" applyBorder="1" applyAlignment="1" applyProtection="1">
      <alignment vertical="center" wrapText="1"/>
      <protection locked="0"/>
    </xf>
    <xf numFmtId="41" fontId="7" fillId="3" borderId="10" xfId="0" applyNumberFormat="1" applyFont="1" applyFill="1" applyBorder="1" applyAlignment="1">
      <alignment horizontal="center" vertical="center"/>
    </xf>
    <xf numFmtId="41" fontId="7" fillId="3" borderId="13" xfId="0" applyNumberFormat="1" applyFont="1" applyFill="1" applyBorder="1" applyAlignment="1">
      <alignment horizontal="center" vertical="center"/>
    </xf>
    <xf numFmtId="3" fontId="7" fillId="3" borderId="8" xfId="0" applyNumberFormat="1" applyFont="1" applyFill="1" applyBorder="1" applyAlignment="1" applyProtection="1">
      <alignment horizontal="center" vertical="center"/>
      <protection locked="0"/>
    </xf>
    <xf numFmtId="0" fontId="28" fillId="3" borderId="8" xfId="0" applyFont="1" applyFill="1" applyBorder="1" applyAlignment="1" applyProtection="1">
      <alignment vertical="top" wrapText="1"/>
      <protection locked="0"/>
    </xf>
    <xf numFmtId="3" fontId="7" fillId="3" borderId="7"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center" wrapText="1"/>
      <protection locked="0"/>
    </xf>
    <xf numFmtId="3" fontId="4" fillId="0" borderId="1" xfId="0" applyNumberFormat="1" applyFont="1" applyFill="1" applyBorder="1" applyAlignment="1" applyProtection="1">
      <alignment horizontal="center" vertical="center"/>
      <protection locked="0"/>
    </xf>
    <xf numFmtId="0" fontId="4" fillId="0" borderId="12" xfId="0" applyFont="1" applyFill="1" applyBorder="1" applyAlignment="1" applyProtection="1">
      <alignment horizontal="left" vertical="top" wrapText="1"/>
      <protection locked="0"/>
    </xf>
    <xf numFmtId="0" fontId="8" fillId="0" borderId="12" xfId="0" applyFont="1" applyFill="1" applyBorder="1" applyAlignment="1" applyProtection="1">
      <alignment horizontal="center" vertical="center" wrapText="1"/>
      <protection locked="0"/>
    </xf>
    <xf numFmtId="3" fontId="4" fillId="0" borderId="12" xfId="0" applyNumberFormat="1" applyFont="1" applyFill="1" applyBorder="1" applyAlignment="1" applyProtection="1">
      <alignment horizontal="center" vertical="center"/>
      <protection locked="0"/>
    </xf>
    <xf numFmtId="0" fontId="25" fillId="3" borderId="1" xfId="0" applyFont="1" applyFill="1" applyBorder="1" applyAlignment="1" applyProtection="1">
      <alignment vertical="top" wrapText="1"/>
      <protection locked="0"/>
    </xf>
    <xf numFmtId="0" fontId="25" fillId="3" borderId="13" xfId="0" applyFont="1" applyFill="1" applyBorder="1" applyAlignment="1" applyProtection="1">
      <alignment vertical="top" wrapText="1"/>
      <protection locked="0"/>
    </xf>
    <xf numFmtId="0" fontId="8" fillId="3" borderId="1" xfId="0" applyFont="1" applyFill="1" applyBorder="1" applyAlignment="1" applyProtection="1">
      <alignment vertical="center" wrapText="1"/>
      <protection locked="0"/>
    </xf>
    <xf numFmtId="0" fontId="8" fillId="3" borderId="13" xfId="0" applyFont="1" applyFill="1" applyBorder="1" applyAlignment="1" applyProtection="1">
      <alignment vertical="center" wrapText="1"/>
      <protection locked="0"/>
    </xf>
    <xf numFmtId="3" fontId="4" fillId="3" borderId="1" xfId="0" applyNumberFormat="1" applyFont="1" applyFill="1" applyBorder="1" applyAlignment="1" applyProtection="1">
      <alignment vertical="center"/>
      <protection locked="0"/>
    </xf>
    <xf numFmtId="0" fontId="4" fillId="3" borderId="1" xfId="0" applyFont="1" applyFill="1" applyBorder="1" applyAlignment="1" applyProtection="1">
      <alignment vertical="center" wrapText="1"/>
      <protection locked="0"/>
    </xf>
    <xf numFmtId="3" fontId="4" fillId="3" borderId="13" xfId="0" applyNumberFormat="1" applyFont="1" applyFill="1" applyBorder="1" applyAlignment="1" applyProtection="1">
      <alignment vertical="center"/>
      <protection locked="0"/>
    </xf>
    <xf numFmtId="0" fontId="4" fillId="3" borderId="13" xfId="0" applyFont="1" applyFill="1" applyBorder="1" applyAlignment="1" applyProtection="1">
      <alignment vertical="center" wrapText="1"/>
      <protection locked="0"/>
    </xf>
    <xf numFmtId="1" fontId="4" fillId="3" borderId="7" xfId="4" applyNumberFormat="1" applyFont="1" applyFill="1" applyBorder="1" applyAlignment="1" applyProtection="1">
      <alignment horizontal="center" vertical="center" wrapText="1"/>
      <protection locked="0"/>
    </xf>
    <xf numFmtId="43" fontId="4" fillId="3" borderId="8" xfId="4" applyFont="1" applyFill="1" applyBorder="1" applyAlignment="1" applyProtection="1">
      <alignment vertical="top" wrapText="1"/>
      <protection locked="0"/>
    </xf>
    <xf numFmtId="0" fontId="73" fillId="3" borderId="2" xfId="0" applyFont="1" applyFill="1" applyBorder="1" applyAlignment="1">
      <alignment horizontal="justify" vertical="center" wrapText="1"/>
    </xf>
    <xf numFmtId="0" fontId="4" fillId="3" borderId="12"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vertical="center" wrapText="1"/>
      <protection locked="0"/>
    </xf>
    <xf numFmtId="0" fontId="73" fillId="3" borderId="14" xfId="0" applyFont="1" applyFill="1" applyBorder="1" applyAlignment="1">
      <alignment horizontal="justify" vertical="center" wrapText="1"/>
    </xf>
    <xf numFmtId="0" fontId="73" fillId="3" borderId="9" xfId="0" applyFont="1" applyFill="1" applyBorder="1" applyAlignment="1">
      <alignment horizontal="justify" vertical="center" wrapText="1"/>
    </xf>
    <xf numFmtId="9" fontId="4" fillId="3" borderId="8" xfId="0" applyNumberFormat="1" applyFont="1" applyFill="1" applyBorder="1" applyAlignment="1" applyProtection="1">
      <alignment horizontal="right" vertical="center"/>
      <protection locked="0"/>
    </xf>
    <xf numFmtId="9" fontId="4" fillId="3" borderId="7" xfId="0" applyNumberFormat="1" applyFont="1" applyFill="1" applyBorder="1" applyAlignment="1" applyProtection="1">
      <alignment horizontal="right" vertical="center"/>
      <protection locked="0"/>
    </xf>
    <xf numFmtId="43" fontId="4" fillId="3" borderId="7" xfId="4" applyFont="1" applyFill="1" applyBorder="1" applyAlignment="1" applyProtection="1">
      <alignment horizontal="right" vertical="center" wrapText="1"/>
      <protection locked="0"/>
    </xf>
    <xf numFmtId="1" fontId="37" fillId="0" borderId="30" xfId="5" applyNumberFormat="1" applyFont="1" applyFill="1" applyBorder="1" applyAlignment="1">
      <alignment horizontal="center" vertical="center" wrapText="1"/>
    </xf>
    <xf numFmtId="10" fontId="37" fillId="0" borderId="16" xfId="3" applyNumberFormat="1" applyFont="1" applyFill="1" applyBorder="1" applyAlignment="1">
      <alignment horizontal="center" vertical="center" wrapText="1"/>
    </xf>
    <xf numFmtId="9" fontId="37" fillId="0" borderId="30" xfId="3" applyFont="1" applyFill="1" applyBorder="1" applyAlignment="1">
      <alignment horizontal="center" vertical="center" wrapText="1"/>
    </xf>
    <xf numFmtId="9" fontId="37" fillId="0" borderId="16" xfId="3" applyFont="1" applyFill="1" applyBorder="1" applyAlignment="1">
      <alignment horizontal="center" vertical="center" wrapText="1"/>
    </xf>
    <xf numFmtId="49" fontId="45" fillId="0" borderId="58" xfId="5" applyNumberFormat="1" applyFont="1" applyBorder="1" applyAlignment="1">
      <alignment horizontal="center" vertical="center" wrapText="1"/>
    </xf>
    <xf numFmtId="0" fontId="44" fillId="0" borderId="54" xfId="0" applyFont="1" applyBorder="1" applyAlignment="1">
      <alignment horizontal="center" vertical="center"/>
    </xf>
    <xf numFmtId="49" fontId="45" fillId="9" borderId="57" xfId="5" applyNumberFormat="1" applyFont="1" applyFill="1" applyBorder="1" applyAlignment="1">
      <alignment horizontal="center" vertical="center" wrapText="1"/>
    </xf>
    <xf numFmtId="0" fontId="45" fillId="0" borderId="59" xfId="5" applyFont="1" applyBorder="1" applyAlignment="1">
      <alignment horizontal="center" vertical="center" wrapText="1"/>
    </xf>
    <xf numFmtId="0" fontId="0" fillId="0" borderId="0" xfId="0" applyAlignment="1"/>
    <xf numFmtId="9" fontId="36" fillId="0" borderId="1" xfId="3" applyFont="1" applyFill="1" applyBorder="1" applyAlignment="1">
      <alignment horizontal="center" vertical="center" wrapText="1"/>
    </xf>
    <xf numFmtId="10" fontId="36" fillId="0" borderId="44" xfId="3" applyNumberFormat="1" applyFont="1" applyFill="1" applyBorder="1" applyAlignment="1">
      <alignment horizontal="center" vertical="center" wrapText="1"/>
    </xf>
    <xf numFmtId="9" fontId="36" fillId="0" borderId="43" xfId="3" applyFont="1" applyFill="1" applyBorder="1" applyAlignment="1">
      <alignment horizontal="center" vertical="center" wrapText="1"/>
    </xf>
    <xf numFmtId="3" fontId="37" fillId="0" borderId="43" xfId="5" applyNumberFormat="1" applyFont="1" applyFill="1" applyBorder="1" applyAlignment="1">
      <alignment horizontal="justify" vertical="top" wrapText="1"/>
    </xf>
    <xf numFmtId="0" fontId="7" fillId="32" borderId="92" xfId="0" applyFont="1" applyFill="1" applyBorder="1" applyAlignment="1">
      <alignment horizontal="justify" vertical="top" wrapText="1"/>
    </xf>
    <xf numFmtId="0" fontId="7" fillId="32" borderId="32" xfId="0" applyFont="1" applyFill="1" applyBorder="1" applyAlignment="1">
      <alignment horizontal="justify" vertical="top" wrapText="1"/>
    </xf>
    <xf numFmtId="3" fontId="37" fillId="0" borderId="46" xfId="5" applyNumberFormat="1" applyFont="1" applyFill="1" applyBorder="1" applyAlignment="1">
      <alignment horizontal="justify" vertical="top" wrapText="1"/>
    </xf>
    <xf numFmtId="10" fontId="36" fillId="0" borderId="12" xfId="3" applyNumberFormat="1" applyFont="1" applyFill="1" applyBorder="1" applyAlignment="1">
      <alignment horizontal="center" vertical="center" wrapText="1"/>
    </xf>
    <xf numFmtId="3" fontId="37" fillId="0" borderId="48" xfId="5" applyNumberFormat="1" applyFont="1" applyFill="1" applyBorder="1" applyAlignment="1">
      <alignment horizontal="justify" vertical="top" wrapText="1"/>
    </xf>
    <xf numFmtId="3" fontId="37" fillId="0" borderId="40" xfId="5" applyNumberFormat="1" applyFont="1" applyFill="1" applyBorder="1" applyAlignment="1">
      <alignment horizontal="justify" vertical="top" wrapText="1"/>
    </xf>
    <xf numFmtId="1" fontId="37" fillId="0" borderId="19" xfId="5" applyNumberFormat="1" applyFont="1" applyFill="1" applyBorder="1" applyAlignment="1">
      <alignment horizontal="center" vertical="center" wrapText="1"/>
    </xf>
    <xf numFmtId="1" fontId="37" fillId="0" borderId="22" xfId="5" applyNumberFormat="1" applyFont="1" applyFill="1" applyBorder="1" applyAlignment="1">
      <alignment horizontal="center" vertical="center" wrapText="1"/>
    </xf>
    <xf numFmtId="169" fontId="36" fillId="0" borderId="12" xfId="3" applyNumberFormat="1" applyFont="1" applyFill="1" applyBorder="1" applyAlignment="1">
      <alignment horizontal="center" vertical="center" wrapText="1"/>
    </xf>
    <xf numFmtId="9" fontId="36" fillId="0" borderId="14" xfId="3" applyFont="1" applyFill="1" applyBorder="1" applyAlignment="1">
      <alignment horizontal="center" vertical="center" wrapText="1"/>
    </xf>
    <xf numFmtId="1" fontId="37" fillId="0" borderId="89" xfId="5" applyNumberFormat="1" applyFont="1" applyFill="1" applyBorder="1" applyAlignment="1">
      <alignment horizontal="center" vertical="center" wrapText="1"/>
    </xf>
    <xf numFmtId="1" fontId="37" fillId="0" borderId="31" xfId="5" applyNumberFormat="1" applyFont="1" applyFill="1" applyBorder="1" applyAlignment="1">
      <alignment horizontal="center" vertical="center" wrapText="1"/>
    </xf>
    <xf numFmtId="10" fontId="37" fillId="0" borderId="79" xfId="3" applyNumberFormat="1" applyFont="1" applyFill="1" applyBorder="1" applyAlignment="1">
      <alignment horizontal="center" vertical="center" wrapText="1"/>
    </xf>
    <xf numFmtId="169" fontId="37" fillId="0" borderId="43" xfId="3" applyNumberFormat="1" applyFont="1" applyFill="1" applyBorder="1" applyAlignment="1">
      <alignment horizontal="center" vertical="center" wrapText="1"/>
    </xf>
    <xf numFmtId="1" fontId="37" fillId="0" borderId="16" xfId="5" applyNumberFormat="1" applyFont="1" applyFill="1" applyBorder="1" applyAlignment="1">
      <alignment horizontal="center" vertical="center" wrapText="1"/>
    </xf>
    <xf numFmtId="10" fontId="70" fillId="0" borderId="16" xfId="3" applyNumberFormat="1" applyFont="1" applyFill="1" applyBorder="1" applyAlignment="1">
      <alignment horizontal="center" vertical="center" wrapText="1"/>
    </xf>
    <xf numFmtId="3" fontId="37" fillId="0" borderId="9" xfId="5" applyNumberFormat="1" applyFont="1" applyFill="1" applyBorder="1" applyAlignment="1">
      <alignment horizontal="justify" vertical="top" wrapText="1"/>
    </xf>
    <xf numFmtId="3" fontId="37" fillId="0" borderId="16" xfId="5" applyNumberFormat="1" applyFont="1" applyFill="1" applyBorder="1" applyAlignment="1">
      <alignment horizontal="justify" vertical="top" wrapText="1"/>
    </xf>
    <xf numFmtId="0" fontId="4" fillId="6" borderId="8" xfId="0" applyFont="1" applyFill="1" applyBorder="1" applyAlignment="1" applyProtection="1">
      <alignment horizontal="center" vertical="top"/>
    </xf>
    <xf numFmtId="10" fontId="4" fillId="3" borderId="8" xfId="0" applyNumberFormat="1" applyFont="1" applyFill="1" applyBorder="1" applyAlignment="1" applyProtection="1">
      <alignment horizontal="center" vertical="center"/>
      <protection locked="0"/>
    </xf>
    <xf numFmtId="2" fontId="37" fillId="0" borderId="16" xfId="5" applyNumberFormat="1" applyFont="1" applyFill="1" applyBorder="1" applyAlignment="1">
      <alignment horizontal="center" vertical="center" wrapText="1"/>
    </xf>
    <xf numFmtId="10" fontId="4" fillId="3" borderId="8" xfId="0" applyNumberFormat="1" applyFont="1" applyFill="1" applyBorder="1" applyAlignment="1" applyProtection="1">
      <alignment horizontal="center" vertical="top"/>
      <protection locked="0"/>
    </xf>
    <xf numFmtId="0" fontId="37" fillId="0" borderId="0" xfId="5" applyFont="1" applyFill="1" applyAlignment="1">
      <alignment horizontal="center" vertical="center" wrapText="1"/>
    </xf>
    <xf numFmtId="10" fontId="36" fillId="0" borderId="7" xfId="3" applyNumberFormat="1" applyFont="1" applyFill="1" applyBorder="1" applyAlignment="1">
      <alignment horizontal="center" vertical="center" wrapText="1"/>
    </xf>
    <xf numFmtId="10" fontId="37" fillId="0" borderId="80" xfId="3" applyNumberFormat="1" applyFont="1" applyFill="1" applyBorder="1" applyAlignment="1">
      <alignment horizontal="center" vertical="center" wrapText="1"/>
    </xf>
    <xf numFmtId="10" fontId="36" fillId="0" borderId="79" xfId="3" applyNumberFormat="1" applyFont="1" applyFill="1" applyBorder="1" applyAlignment="1">
      <alignment horizontal="center" vertical="center" wrapText="1"/>
    </xf>
    <xf numFmtId="9" fontId="37" fillId="0" borderId="12" xfId="3" applyFont="1" applyFill="1" applyBorder="1" applyAlignment="1">
      <alignment horizontal="center" vertical="center" wrapText="1"/>
    </xf>
    <xf numFmtId="41" fontId="45" fillId="3" borderId="58" xfId="11" applyFont="1" applyFill="1" applyBorder="1" applyAlignment="1">
      <alignment horizontal="center" vertical="center" wrapText="1"/>
    </xf>
    <xf numFmtId="49" fontId="45" fillId="0" borderId="59" xfId="5" applyNumberFormat="1" applyFont="1" applyBorder="1" applyAlignment="1">
      <alignment horizontal="center" vertical="center" wrapText="1"/>
    </xf>
    <xf numFmtId="49" fontId="86" fillId="19" borderId="58" xfId="5" applyNumberFormat="1" applyFont="1" applyFill="1" applyBorder="1" applyAlignment="1">
      <alignment horizontal="center" vertical="center"/>
    </xf>
    <xf numFmtId="0" fontId="86" fillId="19" borderId="58" xfId="5" applyFont="1" applyFill="1" applyBorder="1" applyAlignment="1">
      <alignment horizontal="left" vertical="center"/>
    </xf>
    <xf numFmtId="0" fontId="86" fillId="20" borderId="58" xfId="5" applyFont="1" applyFill="1" applyBorder="1" applyAlignment="1">
      <alignment horizontal="center" vertical="center"/>
    </xf>
    <xf numFmtId="49" fontId="86" fillId="20" borderId="58" xfId="5" applyNumberFormat="1" applyFont="1" applyFill="1" applyBorder="1" applyAlignment="1">
      <alignment horizontal="center" vertical="center"/>
    </xf>
    <xf numFmtId="0" fontId="45" fillId="20" borderId="58" xfId="5" applyFont="1" applyFill="1" applyBorder="1" applyAlignment="1">
      <alignment horizontal="left" vertical="center"/>
    </xf>
    <xf numFmtId="0" fontId="86" fillId="21" borderId="58" xfId="5" applyFont="1" applyFill="1" applyBorder="1" applyAlignment="1">
      <alignment horizontal="center" vertical="center"/>
    </xf>
    <xf numFmtId="49" fontId="86" fillId="21" borderId="58" xfId="5" applyNumberFormat="1" applyFont="1" applyFill="1" applyBorder="1" applyAlignment="1">
      <alignment horizontal="center" vertical="center"/>
    </xf>
    <xf numFmtId="0" fontId="45" fillId="21" borderId="58" xfId="5" applyFont="1" applyFill="1" applyBorder="1" applyAlignment="1">
      <alignment horizontal="left" vertical="center"/>
    </xf>
    <xf numFmtId="0" fontId="86" fillId="22" borderId="58" xfId="5" applyFont="1" applyFill="1" applyBorder="1" applyAlignment="1">
      <alignment horizontal="center" vertical="center"/>
    </xf>
    <xf numFmtId="49" fontId="86" fillId="22" borderId="58" xfId="5" applyNumberFormat="1" applyFont="1" applyFill="1" applyBorder="1" applyAlignment="1">
      <alignment horizontal="center" vertical="center"/>
    </xf>
    <xf numFmtId="0" fontId="45" fillId="22" borderId="58" xfId="5" applyFont="1" applyFill="1" applyBorder="1" applyAlignment="1">
      <alignment horizontal="left" vertical="center"/>
    </xf>
    <xf numFmtId="0" fontId="86" fillId="0" borderId="58" xfId="5" applyFont="1" applyBorder="1" applyAlignment="1">
      <alignment horizontal="center" vertical="center"/>
    </xf>
    <xf numFmtId="49" fontId="86" fillId="0" borderId="58" xfId="5" applyNumberFormat="1" applyFont="1" applyBorder="1" applyAlignment="1">
      <alignment horizontal="center" vertical="center"/>
    </xf>
    <xf numFmtId="0" fontId="87" fillId="0" borderId="58" xfId="5" applyFont="1" applyBorder="1" applyAlignment="1">
      <alignment horizontal="center" vertical="center"/>
    </xf>
    <xf numFmtId="49" fontId="87" fillId="0" borderId="58" xfId="5" applyNumberFormat="1" applyFont="1" applyBorder="1" applyAlignment="1">
      <alignment horizontal="center" vertical="center"/>
    </xf>
    <xf numFmtId="1" fontId="87" fillId="0" borderId="58" xfId="5" applyNumberFormat="1" applyFont="1" applyBorder="1" applyAlignment="1">
      <alignment horizontal="center" vertical="center"/>
    </xf>
    <xf numFmtId="49" fontId="87" fillId="22" borderId="58" xfId="5" applyNumberFormat="1" applyFont="1" applyFill="1" applyBorder="1" applyAlignment="1">
      <alignment horizontal="center" vertical="center"/>
    </xf>
    <xf numFmtId="0" fontId="87" fillId="21" borderId="58" xfId="5" applyFont="1" applyFill="1" applyBorder="1" applyAlignment="1">
      <alignment horizontal="center" vertical="center"/>
    </xf>
    <xf numFmtId="49" fontId="87" fillId="21" borderId="58" xfId="5" applyNumberFormat="1" applyFont="1" applyFill="1" applyBorder="1" applyAlignment="1">
      <alignment horizontal="center" vertical="center"/>
    </xf>
    <xf numFmtId="49" fontId="87" fillId="19" borderId="58" xfId="5" applyNumberFormat="1" applyFont="1" applyFill="1" applyBorder="1" applyAlignment="1">
      <alignment horizontal="center" vertical="center"/>
    </xf>
    <xf numFmtId="0" fontId="87" fillId="19" borderId="58" xfId="5" applyFont="1" applyFill="1" applyBorder="1" applyAlignment="1">
      <alignment horizontal="left" vertical="center"/>
    </xf>
    <xf numFmtId="41" fontId="30" fillId="0" borderId="64" xfId="11" quotePrefix="1" applyFont="1" applyFill="1" applyBorder="1" applyAlignment="1">
      <alignment horizontal="left"/>
    </xf>
    <xf numFmtId="41" fontId="55" fillId="27" borderId="64" xfId="11" applyFont="1" applyFill="1" applyBorder="1" applyAlignment="1">
      <alignment vertical="center" wrapText="1"/>
    </xf>
    <xf numFmtId="0" fontId="36" fillId="33" borderId="14" xfId="5" applyFont="1" applyFill="1" applyBorder="1" applyAlignment="1">
      <alignment horizontal="center" vertical="center" wrapText="1"/>
    </xf>
    <xf numFmtId="0" fontId="36" fillId="33" borderId="12" xfId="5" applyFont="1" applyFill="1" applyBorder="1" applyAlignment="1">
      <alignment horizontal="center" vertical="center" wrapText="1"/>
    </xf>
    <xf numFmtId="1" fontId="37" fillId="0" borderId="14" xfId="5" applyNumberFormat="1" applyFont="1" applyFill="1" applyBorder="1" applyAlignment="1">
      <alignment horizontal="center" vertical="center" wrapText="1"/>
    </xf>
    <xf numFmtId="0" fontId="36" fillId="0" borderId="12" xfId="5" applyFont="1" applyFill="1" applyBorder="1" applyAlignment="1">
      <alignment horizontal="center" vertical="center" wrapText="1"/>
    </xf>
    <xf numFmtId="0" fontId="36" fillId="0" borderId="15" xfId="5" applyFont="1" applyFill="1" applyBorder="1" applyAlignment="1">
      <alignment horizontal="center" vertical="center" wrapText="1"/>
    </xf>
    <xf numFmtId="1" fontId="37" fillId="0" borderId="41" xfId="5" applyNumberFormat="1" applyFont="1" applyFill="1" applyBorder="1" applyAlignment="1">
      <alignment horizontal="center" vertical="center" wrapText="1"/>
    </xf>
    <xf numFmtId="1" fontId="37" fillId="0" borderId="0" xfId="5" applyNumberFormat="1" applyFont="1" applyFill="1" applyBorder="1" applyAlignment="1">
      <alignment horizontal="center" vertical="center" wrapText="1"/>
    </xf>
    <xf numFmtId="165" fontId="37" fillId="0" borderId="16" xfId="5" applyNumberFormat="1" applyFont="1" applyFill="1" applyBorder="1" applyAlignment="1">
      <alignment horizontal="center" vertical="center" wrapText="1"/>
    </xf>
    <xf numFmtId="169" fontId="37" fillId="0" borderId="16" xfId="3" applyNumberFormat="1" applyFont="1" applyFill="1" applyBorder="1" applyAlignment="1">
      <alignment horizontal="center" vertical="center" wrapText="1"/>
    </xf>
    <xf numFmtId="0" fontId="69" fillId="31" borderId="12" xfId="5" applyFont="1" applyFill="1" applyBorder="1" applyAlignment="1">
      <alignment horizontal="center" vertical="top" wrapText="1"/>
    </xf>
    <xf numFmtId="1" fontId="37" fillId="0" borderId="36" xfId="5" applyNumberFormat="1" applyFont="1" applyFill="1" applyBorder="1" applyAlignment="1">
      <alignment horizontal="center" vertical="center" wrapText="1"/>
    </xf>
    <xf numFmtId="1" fontId="37" fillId="0" borderId="88" xfId="5" applyNumberFormat="1" applyFont="1" applyFill="1" applyBorder="1" applyAlignment="1">
      <alignment horizontal="center" vertical="center" wrapText="1"/>
    </xf>
    <xf numFmtId="10" fontId="37" fillId="0" borderId="81" xfId="3" applyNumberFormat="1" applyFont="1" applyFill="1" applyBorder="1" applyAlignment="1">
      <alignment horizontal="center" vertical="center" wrapText="1"/>
    </xf>
    <xf numFmtId="1" fontId="37" fillId="0" borderId="12" xfId="5" applyNumberFormat="1" applyFont="1" applyFill="1" applyBorder="1" applyAlignment="1">
      <alignment horizontal="center" vertical="center" wrapText="1"/>
    </xf>
    <xf numFmtId="10" fontId="36" fillId="0" borderId="16" xfId="3" applyNumberFormat="1" applyFont="1" applyFill="1" applyBorder="1" applyAlignment="1">
      <alignment horizontal="center" vertical="center" wrapText="1"/>
    </xf>
    <xf numFmtId="3" fontId="37" fillId="0" borderId="7" xfId="5" applyNumberFormat="1" applyFont="1" applyFill="1" applyBorder="1" applyAlignment="1">
      <alignment horizontal="center" vertical="center" wrapText="1"/>
    </xf>
    <xf numFmtId="9" fontId="36" fillId="0" borderId="47" xfId="3" applyFont="1" applyFill="1" applyBorder="1" applyAlignment="1">
      <alignment horizontal="center" vertical="center" wrapText="1"/>
    </xf>
    <xf numFmtId="3" fontId="74" fillId="33" borderId="5" xfId="5" applyNumberFormat="1" applyFont="1" applyFill="1" applyBorder="1" applyAlignment="1">
      <alignment horizontal="center" vertical="center" wrapText="1"/>
    </xf>
    <xf numFmtId="1" fontId="37" fillId="0" borderId="37" xfId="5" applyNumberFormat="1" applyFont="1" applyFill="1" applyBorder="1" applyAlignment="1">
      <alignment horizontal="center" vertical="center" wrapText="1"/>
    </xf>
    <xf numFmtId="3" fontId="74" fillId="0" borderId="3" xfId="5" applyNumberFormat="1" applyFont="1" applyFill="1" applyBorder="1" applyAlignment="1">
      <alignment horizontal="center" vertical="center" wrapText="1"/>
    </xf>
    <xf numFmtId="169" fontId="37" fillId="0" borderId="9" xfId="3" applyNumberFormat="1" applyFont="1" applyFill="1" applyBorder="1" applyAlignment="1">
      <alignment horizontal="center" vertical="center" wrapText="1"/>
    </xf>
    <xf numFmtId="10" fontId="37" fillId="0" borderId="9" xfId="3" applyNumberFormat="1" applyFont="1" applyFill="1" applyBorder="1" applyAlignment="1">
      <alignment horizontal="center" vertical="center" wrapText="1"/>
    </xf>
    <xf numFmtId="0" fontId="69" fillId="0" borderId="14" xfId="5" applyFont="1" applyFill="1" applyBorder="1" applyAlignment="1">
      <alignment horizontal="center" vertical="top" wrapText="1"/>
    </xf>
    <xf numFmtId="0" fontId="69" fillId="0" borderId="12" xfId="5" applyFont="1" applyFill="1" applyBorder="1" applyAlignment="1">
      <alignment horizontal="center" vertical="top" wrapText="1"/>
    </xf>
    <xf numFmtId="0" fontId="69" fillId="0" borderId="15" xfId="5" applyFont="1" applyFill="1" applyBorder="1" applyAlignment="1">
      <alignment horizontal="center" vertical="top" wrapText="1"/>
    </xf>
    <xf numFmtId="1" fontId="37" fillId="0" borderId="15" xfId="5" applyNumberFormat="1" applyFont="1" applyFill="1" applyBorder="1" applyAlignment="1">
      <alignment horizontal="center" vertical="center" wrapText="1"/>
    </xf>
    <xf numFmtId="169" fontId="37" fillId="0" borderId="30" xfId="3" applyNumberFormat="1" applyFont="1" applyFill="1" applyBorder="1" applyAlignment="1">
      <alignment horizontal="center" vertical="center" wrapText="1"/>
    </xf>
    <xf numFmtId="10" fontId="37" fillId="0" borderId="41" xfId="3" applyNumberFormat="1" applyFont="1" applyFill="1" applyBorder="1" applyAlignment="1">
      <alignment horizontal="center" vertical="center" wrapText="1"/>
    </xf>
    <xf numFmtId="165" fontId="37" fillId="0" borderId="46" xfId="5" applyNumberFormat="1" applyFont="1" applyFill="1" applyBorder="1" applyAlignment="1">
      <alignment horizontal="center" vertical="center" wrapText="1"/>
    </xf>
    <xf numFmtId="9" fontId="36" fillId="0" borderId="3" xfId="3" applyFont="1" applyFill="1" applyBorder="1" applyAlignment="1">
      <alignment horizontal="center" vertical="top" wrapText="1"/>
    </xf>
    <xf numFmtId="9" fontId="36" fillId="0" borderId="15" xfId="3" applyFont="1" applyFill="1" applyBorder="1" applyAlignment="1">
      <alignment horizontal="center" vertical="center" wrapText="1"/>
    </xf>
    <xf numFmtId="43" fontId="36" fillId="0" borderId="1" xfId="4" applyFont="1" applyFill="1" applyBorder="1" applyAlignment="1">
      <alignment vertical="center" wrapText="1"/>
    </xf>
    <xf numFmtId="43" fontId="36" fillId="0" borderId="12" xfId="4" applyFont="1" applyFill="1" applyBorder="1" applyAlignment="1">
      <alignment vertical="center" wrapText="1"/>
    </xf>
    <xf numFmtId="171" fontId="36" fillId="0" borderId="5" xfId="11" applyNumberFormat="1" applyFont="1" applyFill="1" applyBorder="1" applyAlignment="1">
      <alignment vertical="center" wrapText="1"/>
    </xf>
    <xf numFmtId="43" fontId="37" fillId="0" borderId="51" xfId="4" applyFont="1" applyFill="1" applyBorder="1" applyAlignment="1">
      <alignment vertical="center" wrapText="1"/>
    </xf>
    <xf numFmtId="43" fontId="37" fillId="0" borderId="41" xfId="4" applyFont="1" applyFill="1" applyBorder="1" applyAlignment="1">
      <alignment vertical="center" wrapText="1"/>
    </xf>
    <xf numFmtId="9" fontId="36" fillId="0" borderId="46" xfId="3" applyFont="1" applyFill="1" applyBorder="1" applyAlignment="1">
      <alignment vertical="center" wrapText="1"/>
    </xf>
    <xf numFmtId="9" fontId="36" fillId="0" borderId="48" xfId="3" applyFont="1" applyFill="1" applyBorder="1" applyAlignment="1">
      <alignment vertical="center" wrapText="1"/>
    </xf>
    <xf numFmtId="9" fontId="36" fillId="0" borderId="42" xfId="3" applyFont="1" applyFill="1" applyBorder="1" applyAlignment="1">
      <alignment vertical="center" wrapText="1"/>
    </xf>
    <xf numFmtId="9" fontId="36" fillId="0" borderId="49" xfId="3" applyFont="1" applyFill="1" applyBorder="1" applyAlignment="1">
      <alignment vertical="center" wrapText="1"/>
    </xf>
    <xf numFmtId="9" fontId="36" fillId="13" borderId="12" xfId="3" applyFont="1" applyFill="1" applyBorder="1" applyAlignment="1">
      <alignment horizontal="center" vertical="center" wrapText="1"/>
    </xf>
    <xf numFmtId="9" fontId="36" fillId="0" borderId="43" xfId="3" applyNumberFormat="1" applyFont="1" applyFill="1" applyBorder="1" applyAlignment="1">
      <alignment vertical="center" wrapText="1"/>
    </xf>
    <xf numFmtId="9" fontId="36" fillId="0" borderId="44" xfId="3" applyNumberFormat="1" applyFont="1" applyFill="1" applyBorder="1" applyAlignment="1">
      <alignment vertical="center" wrapText="1"/>
    </xf>
    <xf numFmtId="9" fontId="36" fillId="0" borderId="47" xfId="3" applyNumberFormat="1" applyFont="1" applyFill="1" applyBorder="1" applyAlignment="1">
      <alignment vertical="center" wrapText="1"/>
    </xf>
    <xf numFmtId="9" fontId="36" fillId="0" borderId="49" xfId="3" applyNumberFormat="1" applyFont="1" applyFill="1" applyBorder="1" applyAlignment="1">
      <alignment vertical="center" wrapText="1"/>
    </xf>
    <xf numFmtId="9" fontId="51" fillId="0" borderId="62" xfId="3" applyFont="1" applyBorder="1" applyAlignment="1">
      <alignment horizontal="left" vertical="center"/>
    </xf>
    <xf numFmtId="43" fontId="69" fillId="0" borderId="14" xfId="4" applyFont="1" applyFill="1" applyBorder="1" applyAlignment="1">
      <alignment vertical="center" wrapText="1"/>
    </xf>
    <xf numFmtId="169" fontId="37" fillId="0" borderId="5" xfId="3" applyNumberFormat="1" applyFont="1" applyFill="1" applyBorder="1" applyAlignment="1">
      <alignment vertical="center" wrapText="1"/>
    </xf>
    <xf numFmtId="169" fontId="37" fillId="0" borderId="40" xfId="3" applyNumberFormat="1" applyFont="1" applyFill="1" applyBorder="1" applyAlignment="1">
      <alignment vertical="center" wrapText="1"/>
    </xf>
    <xf numFmtId="169" fontId="37" fillId="0" borderId="43" xfId="3" applyNumberFormat="1" applyFont="1" applyFill="1" applyBorder="1" applyAlignment="1">
      <alignment vertical="center" wrapText="1"/>
    </xf>
    <xf numFmtId="169" fontId="37" fillId="0" borderId="46" xfId="3" applyNumberFormat="1" applyFont="1" applyFill="1" applyBorder="1" applyAlignment="1">
      <alignment vertical="center" wrapText="1"/>
    </xf>
    <xf numFmtId="169" fontId="37" fillId="0" borderId="48" xfId="3" applyNumberFormat="1" applyFont="1" applyFill="1" applyBorder="1" applyAlignment="1">
      <alignment vertical="center" wrapText="1"/>
    </xf>
    <xf numFmtId="1" fontId="37" fillId="0" borderId="5" xfId="3" applyNumberFormat="1" applyFont="1" applyFill="1" applyBorder="1" applyAlignment="1">
      <alignment vertical="center" wrapText="1"/>
    </xf>
    <xf numFmtId="169" fontId="36" fillId="0" borderId="5" xfId="3" applyNumberFormat="1" applyFont="1" applyFill="1" applyBorder="1" applyAlignment="1">
      <alignment vertical="center" wrapText="1"/>
    </xf>
    <xf numFmtId="1" fontId="37" fillId="0" borderId="43" xfId="3" applyNumberFormat="1" applyFont="1" applyFill="1" applyBorder="1" applyAlignment="1">
      <alignment horizontal="center" vertical="center" wrapText="1"/>
    </xf>
    <xf numFmtId="3" fontId="36" fillId="0" borderId="34" xfId="5" applyNumberFormat="1" applyFont="1" applyFill="1" applyBorder="1" applyAlignment="1">
      <alignment vertical="center" wrapText="1"/>
    </xf>
    <xf numFmtId="3" fontId="37" fillId="0" borderId="34" xfId="5" applyNumberFormat="1" applyFont="1" applyFill="1" applyBorder="1" applyAlignment="1">
      <alignment vertical="center" wrapText="1"/>
    </xf>
    <xf numFmtId="0" fontId="14" fillId="0" borderId="0" xfId="0" applyFont="1" applyFill="1" applyBorder="1" applyAlignment="1" applyProtection="1">
      <alignment vertical="top" wrapText="1"/>
      <protection locked="0"/>
    </xf>
    <xf numFmtId="0" fontId="31" fillId="12" borderId="14"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34" fillId="13" borderId="14" xfId="5" applyFont="1" applyFill="1" applyBorder="1" applyAlignment="1">
      <alignment horizontal="left" vertical="center" wrapText="1"/>
    </xf>
    <xf numFmtId="0" fontId="34" fillId="13" borderId="7" xfId="5" applyFont="1" applyFill="1" applyBorder="1" applyAlignment="1">
      <alignment horizontal="left" vertical="center" wrapText="1"/>
    </xf>
    <xf numFmtId="1" fontId="37" fillId="0" borderId="68" xfId="5" applyNumberFormat="1" applyFont="1" applyFill="1" applyBorder="1" applyAlignment="1">
      <alignment horizontal="center" vertical="center" wrapText="1"/>
    </xf>
    <xf numFmtId="1" fontId="37" fillId="0" borderId="30" xfId="5" applyNumberFormat="1" applyFont="1" applyFill="1" applyBorder="1" applyAlignment="1">
      <alignment horizontal="center" vertical="center" wrapText="1"/>
    </xf>
    <xf numFmtId="0" fontId="69" fillId="31" borderId="14" xfId="5" applyFont="1" applyFill="1" applyBorder="1" applyAlignment="1">
      <alignment horizontal="left" vertical="top" wrapText="1"/>
    </xf>
    <xf numFmtId="0" fontId="69" fillId="31" borderId="7" xfId="5" applyFont="1" applyFill="1" applyBorder="1" applyAlignment="1">
      <alignment horizontal="left" vertical="top" wrapText="1"/>
    </xf>
    <xf numFmtId="0" fontId="69" fillId="30" borderId="14" xfId="5" applyFont="1" applyFill="1" applyBorder="1" applyAlignment="1">
      <alignment horizontal="left" vertical="top" wrapText="1"/>
    </xf>
    <xf numFmtId="0" fontId="69" fillId="30" borderId="15" xfId="5" applyFont="1" applyFill="1" applyBorder="1" applyAlignment="1">
      <alignment horizontal="left" vertical="top" wrapText="1"/>
    </xf>
    <xf numFmtId="0" fontId="69" fillId="31" borderId="15" xfId="5" applyFont="1" applyFill="1" applyBorder="1" applyAlignment="1">
      <alignment horizontal="left" vertical="top" wrapText="1"/>
    </xf>
    <xf numFmtId="0" fontId="74" fillId="0" borderId="87" xfId="5" applyFont="1" applyFill="1" applyBorder="1" applyAlignment="1">
      <alignment horizontal="center" vertical="center" wrapText="1"/>
    </xf>
    <xf numFmtId="0" fontId="74" fillId="0" borderId="27" xfId="5" applyFont="1" applyFill="1" applyBorder="1" applyAlignment="1">
      <alignment horizontal="center" vertical="center" wrapText="1"/>
    </xf>
    <xf numFmtId="0" fontId="74" fillId="0" borderId="24" xfId="5" applyFont="1" applyFill="1" applyBorder="1" applyAlignment="1">
      <alignment horizontal="center" vertical="center" wrapText="1"/>
    </xf>
    <xf numFmtId="0" fontId="74" fillId="0" borderId="46" xfId="5" applyFont="1" applyFill="1" applyBorder="1" applyAlignment="1">
      <alignment horizontal="justify" vertical="top" wrapText="1"/>
    </xf>
    <xf numFmtId="0" fontId="74" fillId="0" borderId="51" xfId="5" applyFont="1" applyFill="1" applyBorder="1" applyAlignment="1">
      <alignment horizontal="justify" vertical="top" wrapText="1"/>
    </xf>
    <xf numFmtId="0" fontId="74" fillId="0" borderId="30" xfId="5" applyFont="1" applyFill="1" applyBorder="1" applyAlignment="1">
      <alignment horizontal="justify" vertical="top" wrapText="1"/>
    </xf>
    <xf numFmtId="0" fontId="74" fillId="0" borderId="16" xfId="5" applyFont="1" applyFill="1" applyBorder="1" applyAlignment="1">
      <alignment horizontal="justify" vertical="top" wrapText="1"/>
    </xf>
    <xf numFmtId="0" fontId="74" fillId="0" borderId="16" xfId="5" applyFont="1" applyFill="1" applyBorder="1" applyAlignment="1">
      <alignment horizontal="center" vertical="center" wrapText="1"/>
    </xf>
    <xf numFmtId="0" fontId="74" fillId="0" borderId="37" xfId="5" applyFont="1" applyFill="1" applyBorder="1" applyAlignment="1">
      <alignment horizontal="center" vertical="center" wrapText="1"/>
    </xf>
    <xf numFmtId="0" fontId="69" fillId="32" borderId="14" xfId="5" applyFont="1" applyFill="1" applyBorder="1" applyAlignment="1">
      <alignment horizontal="left" vertical="top" wrapText="1"/>
    </xf>
    <xf numFmtId="0" fontId="69" fillId="32" borderId="7" xfId="5" applyFont="1" applyFill="1" applyBorder="1" applyAlignment="1">
      <alignment horizontal="left" vertical="top" wrapText="1"/>
    </xf>
    <xf numFmtId="0" fontId="69" fillId="32" borderId="16" xfId="5" applyFont="1" applyFill="1" applyBorder="1" applyAlignment="1">
      <alignment horizontal="left" vertical="top" wrapText="1"/>
    </xf>
    <xf numFmtId="0" fontId="74" fillId="0" borderId="46" xfId="5" applyFont="1" applyFill="1" applyBorder="1" applyAlignment="1">
      <alignment horizontal="justify" vertical="center" wrapText="1"/>
    </xf>
    <xf numFmtId="0" fontId="74" fillId="0" borderId="9" xfId="5" applyFont="1" applyFill="1" applyBorder="1" applyAlignment="1">
      <alignment horizontal="justify" vertical="center" wrapText="1"/>
    </xf>
    <xf numFmtId="0" fontId="74" fillId="0" borderId="41" xfId="5" applyFont="1" applyFill="1" applyBorder="1" applyAlignment="1">
      <alignment horizontal="justify" vertical="center" wrapText="1"/>
    </xf>
    <xf numFmtId="0" fontId="74" fillId="0" borderId="18" xfId="5" applyFont="1" applyFill="1" applyBorder="1" applyAlignment="1">
      <alignment horizontal="justify" vertical="top" wrapText="1"/>
    </xf>
    <xf numFmtId="0" fontId="74" fillId="0" borderId="21" xfId="5" applyFont="1" applyFill="1" applyBorder="1" applyAlignment="1">
      <alignment horizontal="justify" vertical="top" wrapText="1"/>
    </xf>
    <xf numFmtId="0" fontId="74" fillId="0" borderId="70" xfId="5" applyFont="1" applyFill="1" applyBorder="1" applyAlignment="1">
      <alignment horizontal="justify" vertical="center" wrapText="1"/>
    </xf>
    <xf numFmtId="0" fontId="74" fillId="0" borderId="67" xfId="5" applyFont="1" applyFill="1" applyBorder="1" applyAlignment="1">
      <alignment horizontal="justify" vertical="center" wrapText="1"/>
    </xf>
    <xf numFmtId="0" fontId="74" fillId="0" borderId="45" xfId="5" applyFont="1" applyFill="1" applyBorder="1" applyAlignment="1">
      <alignment horizontal="justify" vertical="center" wrapText="1"/>
    </xf>
    <xf numFmtId="0" fontId="74" fillId="0" borderId="16" xfId="5" applyFont="1" applyFill="1" applyBorder="1" applyAlignment="1">
      <alignment horizontal="justify" vertical="center" wrapText="1"/>
    </xf>
    <xf numFmtId="0" fontId="74" fillId="0" borderId="24" xfId="5" applyFont="1" applyFill="1" applyBorder="1" applyAlignment="1">
      <alignment horizontal="justify" vertical="top" wrapText="1"/>
    </xf>
    <xf numFmtId="0" fontId="69" fillId="30" borderId="83" xfId="5" applyFont="1" applyFill="1" applyBorder="1" applyAlignment="1">
      <alignment horizontal="left" vertical="top" wrapText="1"/>
    </xf>
    <xf numFmtId="0" fontId="69" fillId="30" borderId="84" xfId="5" applyFont="1" applyFill="1" applyBorder="1" applyAlignment="1">
      <alignment horizontal="left" vertical="top" wrapText="1"/>
    </xf>
    <xf numFmtId="0" fontId="69" fillId="30" borderId="7" xfId="5" applyFont="1" applyFill="1" applyBorder="1" applyAlignment="1">
      <alignment horizontal="left" vertical="top" wrapText="1"/>
    </xf>
    <xf numFmtId="0" fontId="69" fillId="32" borderId="14" xfId="5" applyFont="1" applyFill="1" applyBorder="1" applyAlignment="1">
      <alignment horizontal="justify" vertical="top" wrapText="1"/>
    </xf>
    <xf numFmtId="0" fontId="69" fillId="32" borderId="7" xfId="5" applyFont="1" applyFill="1" applyBorder="1" applyAlignment="1">
      <alignment horizontal="justify" vertical="top" wrapText="1"/>
    </xf>
    <xf numFmtId="0" fontId="69" fillId="30" borderId="14" xfId="5" applyFont="1" applyFill="1" applyBorder="1" applyAlignment="1">
      <alignment horizontal="left" vertical="center" wrapText="1"/>
    </xf>
    <xf numFmtId="0" fontId="69" fillId="30" borderId="7" xfId="5" applyFont="1" applyFill="1" applyBorder="1" applyAlignment="1">
      <alignment horizontal="left" vertical="center" wrapText="1"/>
    </xf>
    <xf numFmtId="0" fontId="36" fillId="17" borderId="1" xfId="5" applyFont="1" applyFill="1" applyBorder="1" applyAlignment="1">
      <alignment horizontal="center" vertical="center" wrapText="1"/>
    </xf>
    <xf numFmtId="0" fontId="36" fillId="17" borderId="13" xfId="5" applyFont="1" applyFill="1" applyBorder="1" applyAlignment="1">
      <alignment horizontal="center" vertical="center" wrapText="1"/>
    </xf>
    <xf numFmtId="3" fontId="77" fillId="0" borderId="72" xfId="5" applyNumberFormat="1" applyFont="1" applyFill="1" applyBorder="1" applyAlignment="1">
      <alignment horizontal="center" vertical="center" wrapText="1"/>
    </xf>
    <xf numFmtId="3" fontId="77" fillId="0" borderId="69" xfId="5" applyNumberFormat="1" applyFont="1" applyFill="1" applyBorder="1" applyAlignment="1">
      <alignment horizontal="center" vertical="center" wrapText="1"/>
    </xf>
    <xf numFmtId="3" fontId="77" fillId="0" borderId="66" xfId="5" applyNumberFormat="1" applyFont="1" applyFill="1" applyBorder="1" applyAlignment="1">
      <alignment horizontal="center" vertical="center" wrapText="1"/>
    </xf>
    <xf numFmtId="10" fontId="37" fillId="0" borderId="30" xfId="3" applyNumberFormat="1" applyFont="1" applyFill="1" applyBorder="1" applyAlignment="1">
      <alignment horizontal="center" vertical="center" wrapText="1"/>
    </xf>
    <xf numFmtId="10" fontId="37" fillId="0" borderId="16" xfId="3" applyNumberFormat="1" applyFont="1" applyFill="1" applyBorder="1" applyAlignment="1">
      <alignment horizontal="center" vertical="center" wrapText="1"/>
    </xf>
    <xf numFmtId="9" fontId="37" fillId="0" borderId="67" xfId="3" applyFont="1" applyFill="1" applyBorder="1" applyAlignment="1">
      <alignment horizontal="center" vertical="center" wrapText="1"/>
    </xf>
    <xf numFmtId="9" fontId="37" fillId="0" borderId="45" xfId="3" applyFont="1" applyFill="1" applyBorder="1" applyAlignment="1">
      <alignment horizontal="center" vertical="center" wrapText="1"/>
    </xf>
    <xf numFmtId="0" fontId="36" fillId="15" borderId="4" xfId="5" applyFont="1" applyFill="1" applyBorder="1" applyAlignment="1">
      <alignment horizontal="center" vertical="center" wrapText="1"/>
    </xf>
    <xf numFmtId="0" fontId="36" fillId="15" borderId="13" xfId="5" applyFont="1" applyFill="1" applyBorder="1" applyAlignment="1">
      <alignment horizontal="center" vertical="center" wrapText="1"/>
    </xf>
    <xf numFmtId="0" fontId="69" fillId="31" borderId="14" xfId="5" applyFont="1" applyFill="1" applyBorder="1" applyAlignment="1">
      <alignment vertical="top" wrapText="1"/>
    </xf>
    <xf numFmtId="0" fontId="69" fillId="31" borderId="15" xfId="5" applyFont="1" applyFill="1" applyBorder="1" applyAlignment="1">
      <alignment vertical="top" wrapText="1"/>
    </xf>
    <xf numFmtId="0" fontId="69" fillId="31" borderId="7" xfId="5" applyFont="1" applyFill="1" applyBorder="1" applyAlignment="1">
      <alignment vertical="top" wrapText="1"/>
    </xf>
    <xf numFmtId="0" fontId="70" fillId="0" borderId="46" xfId="5" applyFont="1" applyFill="1" applyBorder="1" applyAlignment="1">
      <alignment horizontal="center" vertical="center" wrapText="1"/>
    </xf>
    <xf numFmtId="0" fontId="70" fillId="0" borderId="9" xfId="5" applyFont="1" applyFill="1" applyBorder="1" applyAlignment="1">
      <alignment horizontal="center" vertical="center" wrapText="1"/>
    </xf>
    <xf numFmtId="0" fontId="70" fillId="0" borderId="41" xfId="5" applyFont="1" applyFill="1" applyBorder="1" applyAlignment="1">
      <alignment horizontal="center" vertical="center" wrapText="1"/>
    </xf>
    <xf numFmtId="0" fontId="74" fillId="32" borderId="46" xfId="5" applyFont="1" applyFill="1" applyBorder="1" applyAlignment="1">
      <alignment horizontal="justify" vertical="top" wrapText="1"/>
    </xf>
    <xf numFmtId="0" fontId="74" fillId="32" borderId="9" xfId="5" applyFont="1" applyFill="1" applyBorder="1" applyAlignment="1">
      <alignment horizontal="justify" vertical="top" wrapText="1"/>
    </xf>
    <xf numFmtId="0" fontId="74" fillId="32" borderId="41" xfId="5" applyFont="1" applyFill="1" applyBorder="1" applyAlignment="1">
      <alignment horizontal="justify" vertical="top" wrapText="1"/>
    </xf>
    <xf numFmtId="9" fontId="37" fillId="0" borderId="30" xfId="3" applyFont="1" applyFill="1" applyBorder="1" applyAlignment="1">
      <alignment horizontal="center" vertical="center" wrapText="1"/>
    </xf>
    <xf numFmtId="9" fontId="37" fillId="0" borderId="16" xfId="3" applyFont="1" applyFill="1" applyBorder="1" applyAlignment="1">
      <alignment horizontal="center" vertical="center" wrapText="1"/>
    </xf>
    <xf numFmtId="0" fontId="69" fillId="31" borderId="83" xfId="5" applyFont="1" applyFill="1" applyBorder="1" applyAlignment="1">
      <alignment horizontal="left" vertical="top" wrapText="1"/>
    </xf>
    <xf numFmtId="0" fontId="69" fillId="31" borderId="85" xfId="5" applyFont="1" applyFill="1" applyBorder="1" applyAlignment="1">
      <alignment horizontal="left" vertical="top" wrapText="1"/>
    </xf>
    <xf numFmtId="3" fontId="37" fillId="33" borderId="30" xfId="5" applyNumberFormat="1" applyFont="1" applyFill="1" applyBorder="1" applyAlignment="1">
      <alignment horizontal="center" vertical="center" wrapText="1"/>
    </xf>
    <xf numFmtId="3" fontId="37" fillId="33" borderId="16" xfId="5" applyNumberFormat="1" applyFont="1" applyFill="1" applyBorder="1" applyAlignment="1">
      <alignment horizontal="center" vertical="center" wrapText="1"/>
    </xf>
    <xf numFmtId="3" fontId="37" fillId="0" borderId="5" xfId="5" applyNumberFormat="1" applyFont="1" applyFill="1" applyBorder="1" applyAlignment="1">
      <alignment horizontal="left" vertical="center" wrapText="1"/>
    </xf>
    <xf numFmtId="0" fontId="36" fillId="31" borderId="48" xfId="5" applyFont="1" applyFill="1" applyBorder="1" applyAlignment="1">
      <alignment horizontal="left" vertical="top" wrapText="1"/>
    </xf>
    <xf numFmtId="0" fontId="36" fillId="31" borderId="50" xfId="5" applyFont="1" applyFill="1" applyBorder="1" applyAlignment="1">
      <alignment horizontal="left" vertical="top" wrapText="1"/>
    </xf>
    <xf numFmtId="43" fontId="37" fillId="0" borderId="47" xfId="4" applyFont="1" applyFill="1" applyBorder="1" applyAlignment="1">
      <alignment horizontal="center" vertical="center" wrapText="1"/>
    </xf>
    <xf numFmtId="43" fontId="37" fillId="0" borderId="5" xfId="4" applyFont="1" applyFill="1" applyBorder="1" applyAlignment="1">
      <alignment horizontal="center" vertical="center" wrapText="1"/>
    </xf>
    <xf numFmtId="43" fontId="37" fillId="0" borderId="51" xfId="4" applyFont="1" applyFill="1" applyBorder="1" applyAlignment="1">
      <alignment horizontal="center" vertical="center" wrapText="1"/>
    </xf>
    <xf numFmtId="3" fontId="37" fillId="0" borderId="69" xfId="5" applyNumberFormat="1" applyFont="1" applyFill="1" applyBorder="1" applyAlignment="1">
      <alignment horizontal="left" vertical="center" wrapText="1"/>
    </xf>
    <xf numFmtId="10" fontId="37" fillId="0" borderId="47" xfId="3" applyNumberFormat="1" applyFont="1" applyFill="1" applyBorder="1" applyAlignment="1">
      <alignment horizontal="right" vertical="center" wrapText="1"/>
    </xf>
    <xf numFmtId="10" fontId="37" fillId="0" borderId="5" xfId="3" applyNumberFormat="1" applyFont="1" applyFill="1" applyBorder="1" applyAlignment="1">
      <alignment horizontal="right" vertical="center" wrapText="1"/>
    </xf>
    <xf numFmtId="10" fontId="37" fillId="0" borderId="51" xfId="3" applyNumberFormat="1" applyFont="1" applyFill="1" applyBorder="1" applyAlignment="1">
      <alignment horizontal="right" vertical="center" wrapText="1"/>
    </xf>
    <xf numFmtId="0" fontId="33" fillId="0" borderId="0" xfId="5" applyFont="1" applyFill="1" applyBorder="1" applyAlignment="1">
      <alignment horizontal="left" vertical="center" wrapText="1"/>
    </xf>
    <xf numFmtId="0" fontId="37" fillId="0" borderId="0" xfId="5" applyFont="1" applyFill="1" applyBorder="1" applyAlignment="1">
      <alignment horizontal="justify" vertical="center" wrapText="1"/>
    </xf>
    <xf numFmtId="0" fontId="30" fillId="0" borderId="0" xfId="5" applyFont="1" applyFill="1" applyBorder="1" applyAlignment="1">
      <alignment horizontal="left" vertical="center" wrapText="1"/>
    </xf>
    <xf numFmtId="0" fontId="33" fillId="0" borderId="0" xfId="5" applyFont="1" applyFill="1" applyBorder="1" applyAlignment="1">
      <alignment horizontal="center" vertical="center" wrapText="1"/>
    </xf>
    <xf numFmtId="0" fontId="31" fillId="14" borderId="14" xfId="5" applyFont="1" applyFill="1" applyBorder="1" applyAlignment="1">
      <alignment horizontal="center" vertical="top" wrapText="1"/>
    </xf>
    <xf numFmtId="0" fontId="31" fillId="14" borderId="15" xfId="5" applyFont="1" applyFill="1" applyBorder="1" applyAlignment="1">
      <alignment horizontal="center" vertical="top" wrapText="1"/>
    </xf>
    <xf numFmtId="0" fontId="30" fillId="0" borderId="3" xfId="5" applyFont="1" applyFill="1" applyBorder="1" applyAlignment="1">
      <alignment horizontal="left" vertical="top" wrapText="1"/>
    </xf>
    <xf numFmtId="0" fontId="36" fillId="15" borderId="14" xfId="5" applyFont="1" applyFill="1" applyBorder="1" applyAlignment="1">
      <alignment horizontal="center" vertical="center" wrapText="1"/>
    </xf>
    <xf numFmtId="0" fontId="36" fillId="15" borderId="7" xfId="5" applyFont="1" applyFill="1" applyBorder="1" applyAlignment="1">
      <alignment horizontal="center" vertical="center" wrapText="1"/>
    </xf>
    <xf numFmtId="0" fontId="36" fillId="15" borderId="1" xfId="5" applyFont="1" applyFill="1" applyBorder="1" applyAlignment="1">
      <alignment horizontal="center" vertical="center" wrapText="1"/>
    </xf>
    <xf numFmtId="0" fontId="36" fillId="13" borderId="1" xfId="5" applyFont="1" applyFill="1" applyBorder="1" applyAlignment="1">
      <alignment horizontal="center" vertical="center" wrapText="1"/>
    </xf>
    <xf numFmtId="0" fontId="36" fillId="13" borderId="5" xfId="5" applyFont="1" applyFill="1" applyBorder="1" applyAlignment="1">
      <alignment horizontal="center" vertical="center" wrapText="1"/>
    </xf>
    <xf numFmtId="0" fontId="36" fillId="13" borderId="13" xfId="5" applyFont="1" applyFill="1" applyBorder="1" applyAlignment="1">
      <alignment horizontal="center" vertical="center" wrapText="1"/>
    </xf>
    <xf numFmtId="0" fontId="33" fillId="13" borderId="1" xfId="5" applyFont="1" applyFill="1" applyBorder="1" applyAlignment="1">
      <alignment horizontal="center" vertical="center" wrapText="1"/>
    </xf>
    <xf numFmtId="0" fontId="33" fillId="13" borderId="9" xfId="5" applyFont="1" applyFill="1" applyBorder="1" applyAlignment="1">
      <alignment horizontal="center" vertical="center" wrapText="1"/>
    </xf>
    <xf numFmtId="0" fontId="33" fillId="13" borderId="13" xfId="5" applyFont="1" applyFill="1" applyBorder="1" applyAlignment="1">
      <alignment horizontal="center" vertical="center" wrapText="1"/>
    </xf>
    <xf numFmtId="0" fontId="35" fillId="13" borderId="2" xfId="5" applyFont="1" applyFill="1" applyBorder="1" applyAlignment="1">
      <alignment horizontal="center" vertical="top" wrapText="1"/>
    </xf>
    <xf numFmtId="0" fontId="35" fillId="13" borderId="3" xfId="5" applyFont="1" applyFill="1" applyBorder="1" applyAlignment="1">
      <alignment horizontal="center" vertical="top" wrapText="1"/>
    </xf>
    <xf numFmtId="0" fontId="35" fillId="13" borderId="4" xfId="5" applyFont="1" applyFill="1" applyBorder="1" applyAlignment="1">
      <alignment horizontal="center" vertical="top" wrapText="1"/>
    </xf>
    <xf numFmtId="0" fontId="36" fillId="18" borderId="1" xfId="5" applyFont="1" applyFill="1" applyBorder="1" applyAlignment="1">
      <alignment horizontal="center" vertical="center" wrapText="1"/>
    </xf>
    <xf numFmtId="0" fontId="36" fillId="18" borderId="13" xfId="5" applyFont="1" applyFill="1" applyBorder="1" applyAlignment="1">
      <alignment horizontal="center" vertical="center" wrapText="1"/>
    </xf>
    <xf numFmtId="0" fontId="36" fillId="30" borderId="40" xfId="5" applyFont="1" applyFill="1" applyBorder="1" applyAlignment="1">
      <alignment horizontal="left" vertical="top" wrapText="1"/>
    </xf>
    <xf numFmtId="0" fontId="36" fillId="30" borderId="76" xfId="5" applyFont="1" applyFill="1" applyBorder="1" applyAlignment="1">
      <alignment horizontal="left" vertical="top" wrapText="1"/>
    </xf>
    <xf numFmtId="0" fontId="36" fillId="30" borderId="4" xfId="5" applyFont="1" applyFill="1" applyBorder="1" applyAlignment="1">
      <alignment horizontal="left" vertical="top" wrapText="1"/>
    </xf>
    <xf numFmtId="0" fontId="69" fillId="31" borderId="14" xfId="5" applyFont="1" applyFill="1" applyBorder="1" applyAlignment="1">
      <alignment horizontal="left" vertical="center" wrapText="1"/>
    </xf>
    <xf numFmtId="0" fontId="69" fillId="31" borderId="15" xfId="5" applyFont="1" applyFill="1" applyBorder="1" applyAlignment="1">
      <alignment horizontal="left" vertical="center" wrapText="1"/>
    </xf>
    <xf numFmtId="0" fontId="69" fillId="31" borderId="7" xfId="5" applyFont="1" applyFill="1" applyBorder="1" applyAlignment="1">
      <alignment horizontal="left" vertical="center" wrapText="1"/>
    </xf>
    <xf numFmtId="0" fontId="67" fillId="32" borderId="37" xfId="5" applyFont="1" applyFill="1" applyBorder="1" applyAlignment="1">
      <alignment horizontal="justify" vertical="center" wrapText="1"/>
    </xf>
    <xf numFmtId="0" fontId="67" fillId="32" borderId="30" xfId="5" applyFont="1" applyFill="1" applyBorder="1" applyAlignment="1">
      <alignment horizontal="justify" vertical="center" wrapText="1"/>
    </xf>
    <xf numFmtId="0" fontId="38" fillId="31" borderId="14" xfId="5" applyFont="1" applyFill="1" applyBorder="1" applyAlignment="1">
      <alignment horizontal="left" vertical="top" wrapText="1"/>
    </xf>
    <xf numFmtId="0" fontId="38" fillId="31" borderId="7" xfId="5" applyFont="1" applyFill="1" applyBorder="1" applyAlignment="1">
      <alignment horizontal="left" vertical="top" wrapText="1"/>
    </xf>
    <xf numFmtId="0" fontId="36" fillId="31" borderId="14" xfId="5" applyFont="1" applyFill="1" applyBorder="1" applyAlignment="1">
      <alignment horizontal="left" vertical="center" wrapText="1"/>
    </xf>
    <xf numFmtId="0" fontId="36" fillId="31" borderId="7" xfId="5" applyFont="1" applyFill="1" applyBorder="1" applyAlignment="1">
      <alignment horizontal="left" vertical="center" wrapText="1"/>
    </xf>
    <xf numFmtId="0" fontId="31" fillId="12" borderId="2" xfId="5" applyFont="1" applyFill="1" applyBorder="1" applyAlignment="1">
      <alignment horizontal="center" vertical="center" wrapText="1"/>
    </xf>
    <xf numFmtId="0" fontId="31" fillId="12" borderId="3" xfId="5" applyFont="1" applyFill="1" applyBorder="1" applyAlignment="1">
      <alignment horizontal="center" vertical="center" wrapText="1"/>
    </xf>
    <xf numFmtId="0" fontId="31" fillId="12" borderId="4" xfId="5" applyFont="1" applyFill="1" applyBorder="1" applyAlignment="1">
      <alignment horizontal="center" vertical="center" wrapText="1"/>
    </xf>
    <xf numFmtId="0" fontId="31" fillId="12" borderId="10" xfId="5" applyFont="1" applyFill="1" applyBorder="1" applyAlignment="1">
      <alignment horizontal="center" vertical="center" wrapText="1"/>
    </xf>
    <xf numFmtId="0" fontId="31" fillId="12" borderId="11" xfId="5" applyFont="1" applyFill="1" applyBorder="1" applyAlignment="1">
      <alignment horizontal="center" vertical="center" wrapText="1"/>
    </xf>
    <xf numFmtId="0" fontId="31" fillId="12" borderId="8" xfId="5" applyFont="1" applyFill="1" applyBorder="1" applyAlignment="1">
      <alignment horizontal="center" vertical="center" wrapText="1"/>
    </xf>
    <xf numFmtId="0" fontId="30" fillId="11" borderId="14" xfId="5" applyFont="1" applyFill="1" applyBorder="1" applyAlignment="1">
      <alignment horizontal="center" vertical="center" wrapText="1"/>
    </xf>
    <xf numFmtId="0" fontId="30" fillId="11" borderId="15" xfId="5" applyFont="1" applyFill="1" applyBorder="1" applyAlignment="1">
      <alignment horizontal="center" vertical="center" wrapText="1"/>
    </xf>
    <xf numFmtId="0" fontId="30" fillId="11" borderId="7" xfId="5" applyFont="1" applyFill="1" applyBorder="1" applyAlignment="1">
      <alignment horizontal="center" vertical="center" wrapText="1"/>
    </xf>
    <xf numFmtId="0" fontId="36" fillId="16" borderId="1" xfId="5" applyFont="1" applyFill="1" applyBorder="1" applyAlignment="1">
      <alignment horizontal="center" vertical="center" wrapText="1"/>
    </xf>
    <xf numFmtId="0" fontId="36" fillId="16" borderId="13" xfId="5" applyFont="1" applyFill="1" applyBorder="1" applyAlignment="1">
      <alignment horizontal="center" vertical="center" wrapText="1"/>
    </xf>
    <xf numFmtId="0" fontId="59" fillId="28" borderId="70" xfId="0" applyFont="1" applyFill="1" applyBorder="1" applyAlignment="1" applyProtection="1">
      <alignment horizontal="center" vertical="center" wrapText="1"/>
      <protection locked="0"/>
    </xf>
    <xf numFmtId="0" fontId="59" fillId="28" borderId="67" xfId="0" applyFont="1" applyFill="1" applyBorder="1" applyAlignment="1" applyProtection="1">
      <alignment horizontal="center" vertical="center" wrapText="1"/>
      <protection locked="0"/>
    </xf>
    <xf numFmtId="0" fontId="59" fillId="28" borderId="73" xfId="0" applyFont="1" applyFill="1" applyBorder="1" applyAlignment="1" applyProtection="1">
      <alignment horizontal="center" vertical="center" wrapText="1"/>
      <protection locked="0"/>
    </xf>
    <xf numFmtId="0" fontId="59" fillId="28" borderId="71" xfId="0" applyFont="1" applyFill="1" applyBorder="1" applyAlignment="1" applyProtection="1">
      <alignment horizontal="center" vertical="center" wrapText="1"/>
      <protection locked="0"/>
    </xf>
    <xf numFmtId="0" fontId="59" fillId="28" borderId="68" xfId="0" applyFont="1" applyFill="1" applyBorder="1" applyAlignment="1" applyProtection="1">
      <alignment horizontal="center" vertical="center" wrapText="1"/>
      <protection locked="0"/>
    </xf>
    <xf numFmtId="0" fontId="59" fillId="28" borderId="74" xfId="0" applyFont="1" applyFill="1" applyBorder="1" applyAlignment="1" applyProtection="1">
      <alignment horizontal="center" vertical="center" wrapText="1"/>
      <protection locked="0"/>
    </xf>
    <xf numFmtId="0" fontId="59" fillId="28" borderId="72" xfId="0" applyFont="1" applyFill="1" applyBorder="1" applyAlignment="1" applyProtection="1">
      <alignment horizontal="center" vertical="center" wrapText="1"/>
      <protection locked="0"/>
    </xf>
    <xf numFmtId="0" fontId="59" fillId="28" borderId="69" xfId="0" applyFont="1" applyFill="1" applyBorder="1" applyAlignment="1" applyProtection="1">
      <alignment horizontal="center" vertical="center" wrapText="1"/>
      <protection locked="0"/>
    </xf>
    <xf numFmtId="0" fontId="59" fillId="28" borderId="75" xfId="0" applyFont="1" applyFill="1" applyBorder="1" applyAlignment="1" applyProtection="1">
      <alignment horizontal="center" vertical="center" wrapText="1"/>
      <protection locked="0"/>
    </xf>
    <xf numFmtId="10" fontId="37" fillId="0" borderId="47" xfId="3" applyNumberFormat="1" applyFont="1" applyFill="1" applyBorder="1" applyAlignment="1">
      <alignment horizontal="center" vertical="center" wrapText="1"/>
    </xf>
    <xf numFmtId="10" fontId="37" fillId="0" borderId="5" xfId="3" applyNumberFormat="1" applyFont="1" applyFill="1" applyBorder="1" applyAlignment="1">
      <alignment horizontal="center" vertical="center" wrapText="1"/>
    </xf>
    <xf numFmtId="3" fontId="77" fillId="0" borderId="86" xfId="5" applyNumberFormat="1" applyFont="1" applyFill="1" applyBorder="1" applyAlignment="1">
      <alignment horizontal="center" vertical="top" wrapText="1"/>
    </xf>
    <xf numFmtId="3" fontId="77" fillId="0" borderId="69" xfId="5" applyNumberFormat="1" applyFont="1" applyFill="1" applyBorder="1" applyAlignment="1">
      <alignment horizontal="center" vertical="top" wrapText="1"/>
    </xf>
    <xf numFmtId="3" fontId="77" fillId="0" borderId="66" xfId="5" applyNumberFormat="1" applyFont="1" applyFill="1" applyBorder="1" applyAlignment="1">
      <alignment horizontal="center" vertical="top" wrapText="1"/>
    </xf>
    <xf numFmtId="3" fontId="77" fillId="0" borderId="86" xfId="5" applyNumberFormat="1" applyFont="1" applyFill="1" applyBorder="1" applyAlignment="1">
      <alignment horizontal="right" vertical="top" wrapText="1"/>
    </xf>
    <xf numFmtId="3" fontId="77" fillId="0" borderId="69" xfId="5" applyNumberFormat="1" applyFont="1" applyFill="1" applyBorder="1" applyAlignment="1">
      <alignment horizontal="right" vertical="top" wrapText="1"/>
    </xf>
    <xf numFmtId="3" fontId="77" fillId="0" borderId="66" xfId="5" applyNumberFormat="1" applyFont="1" applyFill="1" applyBorder="1" applyAlignment="1">
      <alignment horizontal="right" vertical="top" wrapText="1"/>
    </xf>
    <xf numFmtId="3" fontId="77" fillId="0" borderId="75" xfId="5" applyNumberFormat="1" applyFont="1" applyFill="1" applyBorder="1" applyAlignment="1">
      <alignment horizontal="center" vertical="top" wrapText="1"/>
    </xf>
    <xf numFmtId="3" fontId="77" fillId="0" borderId="72" xfId="5" applyNumberFormat="1" applyFont="1" applyFill="1" applyBorder="1" applyAlignment="1">
      <alignment horizontal="center" vertical="top" wrapText="1"/>
    </xf>
    <xf numFmtId="3" fontId="77" fillId="0" borderId="4" xfId="5" applyNumberFormat="1" applyFont="1" applyFill="1" applyBorder="1" applyAlignment="1">
      <alignment horizontal="center" vertical="top" wrapText="1"/>
    </xf>
    <xf numFmtId="3" fontId="77" fillId="0" borderId="6" xfId="5" applyNumberFormat="1" applyFont="1" applyFill="1" applyBorder="1" applyAlignment="1">
      <alignment horizontal="center" vertical="top" wrapText="1"/>
    </xf>
    <xf numFmtId="3" fontId="77" fillId="0" borderId="80" xfId="5" applyNumberFormat="1" applyFont="1" applyFill="1" applyBorder="1" applyAlignment="1">
      <alignment horizontal="center" vertical="top" wrapText="1"/>
    </xf>
    <xf numFmtId="0" fontId="38" fillId="11" borderId="11" xfId="5" applyFont="1" applyFill="1" applyBorder="1" applyAlignment="1">
      <alignment horizontal="center" vertical="center"/>
    </xf>
    <xf numFmtId="0" fontId="38" fillId="13" borderId="2" xfId="5" applyFont="1" applyFill="1" applyBorder="1" applyAlignment="1">
      <alignment horizontal="center" vertical="center" wrapText="1"/>
    </xf>
    <xf numFmtId="0" fontId="38" fillId="13" borderId="52" xfId="5" applyFont="1" applyFill="1" applyBorder="1" applyAlignment="1">
      <alignment horizontal="center" vertical="center" wrapText="1"/>
    </xf>
    <xf numFmtId="0" fontId="38" fillId="13" borderId="14" xfId="5" applyFont="1" applyFill="1" applyBorder="1" applyAlignment="1">
      <alignment horizontal="center" vertical="center" wrapText="1"/>
    </xf>
    <xf numFmtId="0" fontId="38" fillId="13" borderId="7" xfId="5" applyFont="1" applyFill="1" applyBorder="1" applyAlignment="1">
      <alignment horizontal="center" vertical="center" wrapText="1"/>
    </xf>
    <xf numFmtId="49" fontId="45" fillId="0" borderId="57" xfId="5" applyNumberFormat="1" applyFont="1" applyBorder="1" applyAlignment="1">
      <alignment horizontal="center" vertical="center" wrapText="1"/>
    </xf>
    <xf numFmtId="49" fontId="45" fillId="0" borderId="55" xfId="5" applyNumberFormat="1" applyFont="1" applyBorder="1" applyAlignment="1">
      <alignment horizontal="center" vertical="center" wrapText="1"/>
    </xf>
    <xf numFmtId="49" fontId="45" fillId="0" borderId="58" xfId="5" applyNumberFormat="1" applyFont="1" applyBorder="1" applyAlignment="1">
      <alignment horizontal="center" vertical="center" wrapText="1"/>
    </xf>
    <xf numFmtId="49" fontId="45" fillId="0" borderId="58" xfId="5" applyNumberFormat="1" applyFont="1" applyBorder="1" applyAlignment="1">
      <alignment horizontal="center" vertical="center"/>
    </xf>
    <xf numFmtId="0" fontId="45" fillId="0" borderId="58" xfId="5" applyFont="1" applyBorder="1" applyAlignment="1">
      <alignment horizontal="center" vertical="center" wrapText="1"/>
    </xf>
    <xf numFmtId="0" fontId="32" fillId="11" borderId="14" xfId="5" applyFill="1" applyBorder="1" applyAlignment="1">
      <alignment horizontal="center"/>
    </xf>
    <xf numFmtId="0" fontId="32" fillId="11" borderId="15" xfId="5" applyFill="1" applyBorder="1" applyAlignment="1">
      <alignment horizontal="center"/>
    </xf>
    <xf numFmtId="0" fontId="21" fillId="11" borderId="15" xfId="5" applyFont="1" applyFill="1" applyBorder="1" applyAlignment="1">
      <alignment horizontal="center"/>
    </xf>
    <xf numFmtId="0" fontId="32" fillId="11" borderId="7" xfId="5" applyFill="1" applyBorder="1" applyAlignment="1">
      <alignment horizontal="center"/>
    </xf>
    <xf numFmtId="0" fontId="42" fillId="0" borderId="2" xfId="5" applyFont="1" applyBorder="1" applyAlignment="1" applyProtection="1">
      <alignment horizontal="center"/>
    </xf>
    <xf numFmtId="0" fontId="42" fillId="0" borderId="3" xfId="5" applyFont="1" applyBorder="1" applyAlignment="1" applyProtection="1">
      <alignment horizontal="center"/>
    </xf>
    <xf numFmtId="0" fontId="43" fillId="0" borderId="3" xfId="5" applyFont="1" applyBorder="1" applyAlignment="1" applyProtection="1">
      <alignment horizontal="center"/>
    </xf>
    <xf numFmtId="0" fontId="42" fillId="0" borderId="4" xfId="5" applyFont="1" applyBorder="1" applyAlignment="1" applyProtection="1">
      <alignment horizontal="center"/>
    </xf>
    <xf numFmtId="0" fontId="42" fillId="0" borderId="9" xfId="5" applyFont="1" applyBorder="1" applyAlignment="1" applyProtection="1">
      <alignment horizontal="center"/>
    </xf>
    <xf numFmtId="0" fontId="42" fillId="0" borderId="0" xfId="5" applyFont="1" applyBorder="1" applyAlignment="1" applyProtection="1">
      <alignment horizontal="center"/>
    </xf>
    <xf numFmtId="0" fontId="43" fillId="0" borderId="0" xfId="5" applyFont="1" applyBorder="1" applyAlignment="1" applyProtection="1">
      <alignment horizontal="center"/>
    </xf>
    <xf numFmtId="0" fontId="42" fillId="0" borderId="6" xfId="5" applyFont="1" applyBorder="1" applyAlignment="1" applyProtection="1">
      <alignment horizontal="center"/>
    </xf>
    <xf numFmtId="0" fontId="42" fillId="0" borderId="10" xfId="5" applyFont="1" applyBorder="1" applyAlignment="1" applyProtection="1">
      <alignment horizontal="center"/>
    </xf>
    <xf numFmtId="0" fontId="42" fillId="0" borderId="11" xfId="5" applyFont="1" applyBorder="1" applyAlignment="1" applyProtection="1">
      <alignment horizontal="center"/>
    </xf>
    <xf numFmtId="0" fontId="43" fillId="0" borderId="11" xfId="5" applyFont="1" applyBorder="1" applyAlignment="1" applyProtection="1">
      <alignment horizontal="center"/>
    </xf>
    <xf numFmtId="0" fontId="42" fillId="0" borderId="8" xfId="5" applyFont="1" applyBorder="1" applyAlignment="1" applyProtection="1">
      <alignment horizontal="center"/>
    </xf>
    <xf numFmtId="0" fontId="44" fillId="0" borderId="53" xfId="0" applyFont="1" applyBorder="1" applyAlignment="1">
      <alignment horizontal="center" vertical="center" wrapText="1"/>
    </xf>
    <xf numFmtId="0" fontId="44" fillId="0" borderId="53" xfId="0" applyFont="1" applyBorder="1" applyAlignment="1">
      <alignment horizontal="center" vertical="center"/>
    </xf>
    <xf numFmtId="0" fontId="44" fillId="0" borderId="54" xfId="0" applyFont="1" applyBorder="1" applyAlignment="1">
      <alignment horizontal="center" vertical="center"/>
    </xf>
    <xf numFmtId="49" fontId="46" fillId="0" borderId="55" xfId="5" applyNumberFormat="1" applyFont="1" applyBorder="1" applyAlignment="1">
      <alignment horizontal="center" vertical="center" wrapText="1"/>
    </xf>
    <xf numFmtId="49" fontId="45" fillId="0" borderId="56" xfId="5" applyNumberFormat="1" applyFont="1" applyBorder="1" applyAlignment="1">
      <alignment horizontal="center" vertical="center" wrapText="1"/>
    </xf>
    <xf numFmtId="49" fontId="45" fillId="0" borderId="53" xfId="5" applyNumberFormat="1" applyFont="1" applyBorder="1" applyAlignment="1">
      <alignment horizontal="center" vertical="center" wrapText="1"/>
    </xf>
    <xf numFmtId="49" fontId="45" fillId="0" borderId="54" xfId="5" applyNumberFormat="1" applyFont="1" applyBorder="1" applyAlignment="1">
      <alignment horizontal="center" vertical="center" wrapText="1"/>
    </xf>
    <xf numFmtId="49" fontId="45" fillId="9" borderId="57" xfId="5" applyNumberFormat="1" applyFont="1" applyFill="1" applyBorder="1" applyAlignment="1">
      <alignment horizontal="center" vertical="center" wrapText="1"/>
    </xf>
    <xf numFmtId="49" fontId="45" fillId="9" borderId="55" xfId="5" applyNumberFormat="1" applyFont="1" applyFill="1" applyBorder="1" applyAlignment="1">
      <alignment horizontal="center" vertical="center" wrapText="1"/>
    </xf>
    <xf numFmtId="0" fontId="33" fillId="11" borderId="11" xfId="5" applyFont="1" applyFill="1" applyBorder="1" applyAlignment="1">
      <alignment horizontal="center" vertical="center"/>
    </xf>
    <xf numFmtId="0" fontId="33" fillId="13" borderId="2" xfId="5" applyFont="1" applyFill="1" applyBorder="1" applyAlignment="1">
      <alignment horizontal="center" vertical="center" wrapText="1"/>
    </xf>
    <xf numFmtId="0" fontId="33" fillId="13" borderId="4" xfId="5" applyFont="1" applyFill="1" applyBorder="1" applyAlignment="1">
      <alignment horizontal="center" vertical="center" wrapText="1"/>
    </xf>
    <xf numFmtId="0" fontId="33" fillId="13" borderId="14" xfId="5" applyFont="1" applyFill="1" applyBorder="1" applyAlignment="1">
      <alignment horizontal="center" vertical="center" wrapText="1"/>
    </xf>
    <xf numFmtId="0" fontId="33" fillId="13" borderId="7" xfId="5" applyFont="1" applyFill="1" applyBorder="1" applyAlignment="1">
      <alignment horizontal="center" vertical="center" wrapText="1"/>
    </xf>
    <xf numFmtId="0" fontId="32" fillId="0" borderId="3" xfId="5" applyFont="1" applyBorder="1" applyAlignment="1" applyProtection="1">
      <alignment horizontal="center"/>
    </xf>
    <xf numFmtId="0" fontId="32" fillId="0" borderId="0" xfId="5" applyFont="1" applyBorder="1" applyAlignment="1" applyProtection="1">
      <alignment horizontal="center"/>
    </xf>
    <xf numFmtId="0" fontId="32" fillId="0" borderId="11" xfId="5" applyFont="1" applyBorder="1" applyAlignment="1" applyProtection="1">
      <alignment horizontal="center"/>
    </xf>
    <xf numFmtId="49" fontId="45" fillId="0" borderId="93" xfId="5" applyNumberFormat="1" applyFont="1" applyBorder="1" applyAlignment="1">
      <alignment horizontal="center" vertical="center" wrapText="1"/>
    </xf>
    <xf numFmtId="49" fontId="45" fillId="0" borderId="94" xfId="5" applyNumberFormat="1" applyFont="1" applyBorder="1" applyAlignment="1">
      <alignment horizontal="center" vertical="center" wrapText="1"/>
    </xf>
    <xf numFmtId="49" fontId="45" fillId="0" borderId="95" xfId="5" applyNumberFormat="1" applyFont="1" applyBorder="1" applyAlignment="1">
      <alignment horizontal="center" vertical="center" wrapText="1"/>
    </xf>
    <xf numFmtId="41" fontId="51" fillId="29" borderId="63" xfId="11" applyFont="1" applyFill="1" applyBorder="1" applyAlignment="1">
      <alignment horizontal="center" vertical="center" wrapText="1"/>
    </xf>
    <xf numFmtId="41" fontId="51" fillId="29" borderId="90" xfId="11" applyFont="1" applyFill="1" applyBorder="1" applyAlignment="1">
      <alignment horizontal="center" vertical="center" wrapText="1"/>
    </xf>
    <xf numFmtId="41" fontId="51" fillId="29" borderId="65" xfId="11" applyFont="1" applyFill="1" applyBorder="1" applyAlignment="1">
      <alignment horizontal="center" vertical="center" wrapText="1"/>
    </xf>
    <xf numFmtId="49" fontId="48" fillId="0" borderId="60" xfId="0" quotePrefix="1" applyNumberFormat="1" applyFont="1" applyBorder="1" applyAlignment="1">
      <alignment horizontal="center" vertical="center" wrapText="1"/>
    </xf>
    <xf numFmtId="0" fontId="49" fillId="0" borderId="61" xfId="0" applyFont="1" applyBorder="1"/>
    <xf numFmtId="0" fontId="49" fillId="0" borderId="62" xfId="0" applyFont="1" applyBorder="1"/>
    <xf numFmtId="49" fontId="48" fillId="23" borderId="63" xfId="0" quotePrefix="1" applyNumberFormat="1" applyFont="1" applyFill="1" applyBorder="1" applyAlignment="1">
      <alignment horizontal="center" vertical="center" wrapText="1"/>
    </xf>
    <xf numFmtId="49" fontId="48" fillId="23" borderId="65" xfId="0" quotePrefix="1" applyNumberFormat="1" applyFont="1" applyFill="1" applyBorder="1" applyAlignment="1">
      <alignment horizontal="center" vertical="center" wrapText="1"/>
    </xf>
    <xf numFmtId="49" fontId="48" fillId="23" borderId="63" xfId="0" applyNumberFormat="1" applyFont="1" applyFill="1" applyBorder="1" applyAlignment="1">
      <alignment horizontal="center" vertical="center" wrapText="1"/>
    </xf>
    <xf numFmtId="49" fontId="48" fillId="23" borderId="65" xfId="0" applyNumberFormat="1" applyFont="1" applyFill="1" applyBorder="1" applyAlignment="1">
      <alignment horizontal="center" vertical="center" wrapText="1"/>
    </xf>
    <xf numFmtId="0" fontId="33" fillId="13" borderId="2" xfId="5" quotePrefix="1"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4" fillId="0" borderId="0" xfId="0" applyFont="1" applyBorder="1" applyAlignment="1" applyProtection="1">
      <alignment horizontal="right" vertical="top" wrapText="1"/>
    </xf>
    <xf numFmtId="0" fontId="0" fillId="0" borderId="27"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14" fillId="0" borderId="25" xfId="0" applyFont="1" applyFill="1" applyBorder="1" applyAlignment="1" applyProtection="1">
      <alignment horizontal="center" vertical="top" wrapText="1"/>
      <protection locked="0"/>
    </xf>
    <xf numFmtId="0" fontId="14" fillId="3" borderId="25" xfId="0" applyFont="1" applyFill="1" applyBorder="1" applyAlignment="1" applyProtection="1">
      <alignment horizontal="left" vertical="top" wrapText="1"/>
      <protection locked="0"/>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0" fillId="0" borderId="0" xfId="0" applyAlignment="1" applyProtection="1">
      <alignment vertical="top" wrapText="1"/>
    </xf>
    <xf numFmtId="0" fontId="4" fillId="0" borderId="0" xfId="0" applyFont="1" applyAlignment="1" applyProtection="1">
      <alignment vertical="top" wrapText="1"/>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3" fillId="0" borderId="0" xfId="0" applyFont="1" applyAlignment="1" applyProtection="1">
      <alignment vertical="top" wrapText="1"/>
    </xf>
    <xf numFmtId="0" fontId="14" fillId="0" borderId="0" xfId="0" applyFont="1" applyFill="1" applyBorder="1" applyAlignment="1" applyProtection="1">
      <alignment horizontal="left" vertical="top" wrapText="1"/>
      <protection locked="0"/>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14" fillId="0" borderId="25" xfId="0" applyFont="1" applyFill="1" applyBorder="1" applyAlignment="1" applyProtection="1">
      <alignment horizontal="left" vertical="top" wrapText="1"/>
      <protection locked="0"/>
    </xf>
    <xf numFmtId="0" fontId="14" fillId="3" borderId="25" xfId="0" applyFont="1" applyFill="1" applyBorder="1" applyAlignment="1" applyProtection="1">
      <alignment horizontal="center" vertical="top" wrapText="1"/>
      <protection locked="0"/>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3" borderId="1"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27" fillId="0" borderId="9" xfId="0" applyFont="1" applyBorder="1" applyAlignment="1" applyProtection="1">
      <alignment vertical="top" wrapText="1"/>
    </xf>
    <xf numFmtId="0" fontId="27" fillId="0" borderId="0" xfId="0" applyFont="1" applyAlignment="1" applyProtection="1">
      <alignment vertical="top" wrapText="1"/>
    </xf>
    <xf numFmtId="0" fontId="27" fillId="0" borderId="6" xfId="0" applyFont="1" applyBorder="1" applyAlignment="1" applyProtection="1">
      <alignment vertical="top" wrapText="1"/>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28" fillId="0" borderId="9" xfId="0" applyFont="1" applyBorder="1" applyAlignment="1" applyProtection="1">
      <alignment vertical="top" wrapText="1"/>
    </xf>
    <xf numFmtId="0" fontId="0" fillId="0" borderId="0" xfId="0" applyAlignment="1"/>
    <xf numFmtId="0" fontId="0" fillId="0" borderId="6" xfId="0" applyBorder="1" applyAlignment="1"/>
    <xf numFmtId="9" fontId="14" fillId="0" borderId="0" xfId="0" applyNumberFormat="1" applyFont="1" applyFill="1" applyBorder="1" applyAlignment="1" applyProtection="1">
      <alignment horizontal="left" vertical="top" wrapText="1"/>
      <protection locked="0"/>
    </xf>
    <xf numFmtId="0" fontId="8" fillId="0" borderId="1" xfId="0" applyFont="1" applyBorder="1" applyAlignment="1" applyProtection="1">
      <alignment horizontal="center" vertical="top" wrapText="1"/>
    </xf>
    <xf numFmtId="0" fontId="8" fillId="0" borderId="13" xfId="0" applyFont="1" applyBorder="1" applyAlignment="1" applyProtection="1">
      <alignment horizontal="center" vertical="top"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top"/>
    </xf>
    <xf numFmtId="0" fontId="8" fillId="0" borderId="13" xfId="0" applyFont="1" applyBorder="1" applyAlignment="1" applyProtection="1">
      <alignment horizontal="center" vertical="top"/>
    </xf>
    <xf numFmtId="0" fontId="4" fillId="0" borderId="29" xfId="0" applyFont="1" applyBorder="1" applyAlignment="1" applyProtection="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8" fillId="0" borderId="16" xfId="0" applyFont="1" applyBorder="1" applyAlignment="1">
      <alignment horizontal="center"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8" fillId="0" borderId="1" xfId="0" applyFont="1" applyBorder="1" applyAlignment="1">
      <alignment vertical="top" wrapText="1"/>
    </xf>
    <xf numFmtId="0" fontId="8" fillId="0" borderId="13" xfId="0" applyFont="1" applyBorder="1" applyAlignment="1">
      <alignment vertical="top"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3" fontId="4" fillId="3" borderId="1" xfId="0" applyNumberFormat="1" applyFont="1" applyFill="1" applyBorder="1" applyAlignment="1" applyProtection="1">
      <alignment horizontal="center" vertical="center" wrapText="1"/>
      <protection locked="0"/>
    </xf>
    <xf numFmtId="3" fontId="4" fillId="3" borderId="5" xfId="0" applyNumberFormat="1" applyFont="1" applyFill="1" applyBorder="1" applyAlignment="1" applyProtection="1">
      <alignment horizontal="center" vertical="center" wrapText="1"/>
      <protection locked="0"/>
    </xf>
    <xf numFmtId="3" fontId="4" fillId="3" borderId="13"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3" fontId="4" fillId="3" borderId="21" xfId="0" applyNumberFormat="1" applyFont="1" applyFill="1" applyBorder="1" applyAlignment="1" applyProtection="1">
      <alignment horizontal="center" vertical="center" wrapText="1"/>
      <protection locked="0"/>
    </xf>
    <xf numFmtId="3" fontId="4" fillId="3" borderId="27" xfId="0" applyNumberFormat="1" applyFont="1" applyFill="1" applyBorder="1" applyAlignment="1" applyProtection="1">
      <alignment horizontal="center" vertical="center" wrapText="1"/>
      <protection locked="0"/>
    </xf>
    <xf numFmtId="3" fontId="4" fillId="3" borderId="91" xfId="0" applyNumberFormat="1" applyFont="1" applyFill="1" applyBorder="1" applyAlignment="1" applyProtection="1">
      <alignment horizontal="center" vertical="center" wrapText="1"/>
      <protection locked="0"/>
    </xf>
    <xf numFmtId="3" fontId="4" fillId="3" borderId="37" xfId="0" applyNumberFormat="1" applyFont="1" applyFill="1" applyBorder="1" applyAlignment="1" applyProtection="1">
      <alignment horizontal="center" vertical="center" wrapText="1"/>
      <protection locked="0"/>
    </xf>
    <xf numFmtId="3" fontId="4" fillId="3" borderId="68" xfId="0" applyNumberFormat="1" applyFont="1" applyFill="1" applyBorder="1" applyAlignment="1" applyProtection="1">
      <alignment horizontal="center" vertical="center" wrapText="1"/>
      <protection locked="0"/>
    </xf>
    <xf numFmtId="3" fontId="4" fillId="3" borderId="30" xfId="0" applyNumberFormat="1" applyFont="1" applyFill="1" applyBorder="1" applyAlignment="1" applyProtection="1">
      <alignment horizontal="center" vertical="center" wrapText="1"/>
      <protection locked="0"/>
    </xf>
    <xf numFmtId="0" fontId="4" fillId="0" borderId="15"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65" fillId="3" borderId="37" xfId="0" applyFont="1" applyFill="1" applyBorder="1" applyAlignment="1" applyProtection="1">
      <alignment horizontal="justify" vertical="top" wrapText="1"/>
      <protection locked="0"/>
    </xf>
    <xf numFmtId="0" fontId="27" fillId="3" borderId="68" xfId="0" applyFont="1" applyFill="1" applyBorder="1" applyAlignment="1" applyProtection="1">
      <alignment horizontal="justify" vertical="top" wrapText="1"/>
      <protection locked="0"/>
    </xf>
    <xf numFmtId="0" fontId="27" fillId="3" borderId="30" xfId="0" applyFont="1" applyFill="1" applyBorder="1" applyAlignment="1" applyProtection="1">
      <alignment horizontal="justify" vertical="top" wrapText="1"/>
      <protection locked="0"/>
    </xf>
    <xf numFmtId="3" fontId="4" fillId="3" borderId="24" xfId="0" applyNumberFormat="1" applyFont="1" applyFill="1" applyBorder="1" applyAlignment="1" applyProtection="1">
      <alignment horizontal="center" vertical="center" wrapText="1"/>
      <protection locked="0"/>
    </xf>
    <xf numFmtId="164" fontId="7" fillId="3" borderId="37" xfId="0" applyNumberFormat="1" applyFont="1" applyFill="1" applyBorder="1" applyAlignment="1">
      <alignment horizontal="center" vertical="center"/>
    </xf>
    <xf numFmtId="164" fontId="7" fillId="3" borderId="68" xfId="0" applyNumberFormat="1" applyFont="1" applyFill="1" applyBorder="1" applyAlignment="1">
      <alignment horizontal="center" vertical="center"/>
    </xf>
    <xf numFmtId="164" fontId="7" fillId="3" borderId="30" xfId="0" applyNumberFormat="1" applyFont="1" applyFill="1" applyBorder="1" applyAlignment="1">
      <alignment horizontal="center" vertical="center"/>
    </xf>
    <xf numFmtId="3" fontId="4" fillId="3" borderId="74" xfId="0" applyNumberFormat="1" applyFont="1" applyFill="1" applyBorder="1" applyAlignment="1" applyProtection="1">
      <alignment horizontal="center" vertical="center" wrapText="1"/>
      <protection locked="0"/>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17"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8" fillId="0" borderId="5" xfId="0" applyFont="1" applyBorder="1" applyAlignment="1">
      <alignment vertical="top" wrapText="1"/>
    </xf>
    <xf numFmtId="0" fontId="4" fillId="0" borderId="3" xfId="0" applyFont="1" applyBorder="1" applyAlignment="1">
      <alignment horizontal="left" vertical="center" wrapText="1"/>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0" borderId="5" xfId="0" applyFont="1" applyBorder="1" applyAlignment="1">
      <alignment horizontal="center" vertical="center" wrapText="1"/>
    </xf>
    <xf numFmtId="0" fontId="4" fillId="0" borderId="14" xfId="0" applyFont="1" applyBorder="1" applyAlignment="1">
      <alignment horizontal="left" vertical="center"/>
    </xf>
    <xf numFmtId="3" fontId="4" fillId="3" borderId="1" xfId="0" applyNumberFormat="1" applyFont="1" applyFill="1" applyBorder="1" applyAlignment="1" applyProtection="1">
      <alignment horizontal="center" vertical="center"/>
      <protection locked="0"/>
    </xf>
    <xf numFmtId="3" fontId="4" fillId="3" borderId="5" xfId="0" applyNumberFormat="1" applyFont="1" applyFill="1" applyBorder="1" applyAlignment="1" applyProtection="1">
      <alignment horizontal="center" vertical="center"/>
      <protection locked="0"/>
    </xf>
    <xf numFmtId="3" fontId="4" fillId="3" borderId="13"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14" fillId="0" borderId="14" xfId="0" applyFont="1" applyFill="1" applyBorder="1" applyAlignment="1" applyProtection="1">
      <alignment horizontal="left" vertical="top" wrapText="1"/>
      <protection locked="0"/>
    </xf>
    <xf numFmtId="0" fontId="14" fillId="0" borderId="15"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4" fillId="3" borderId="1"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7"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4" fillId="0" borderId="0" xfId="0" applyFont="1" applyBorder="1" applyAlignment="1">
      <alignment vertical="top"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14" xfId="0" applyFont="1" applyBorder="1" applyAlignment="1" applyProtection="1">
      <alignment vertical="top"/>
    </xf>
    <xf numFmtId="0" fontId="4" fillId="0" borderId="7" xfId="0" applyFont="1" applyBorder="1" applyAlignment="1" applyProtection="1">
      <alignment vertical="top"/>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cellXfs>
  <cellStyles count="12">
    <cellStyle name="Bueno" xfId="1" builtinId="26"/>
    <cellStyle name="Hipervínculo" xfId="2" builtinId="8"/>
    <cellStyle name="Millares" xfId="4" builtinId="3"/>
    <cellStyle name="Millares [0]" xfId="11" builtinId="6"/>
    <cellStyle name="Millares [0] 2" xfId="6"/>
    <cellStyle name="Millares [0] 2 2" xfId="9"/>
    <cellStyle name="Millares 2" xfId="7"/>
    <cellStyle name="Millares 2 2" xfId="10"/>
    <cellStyle name="Millares 3" xfId="8"/>
    <cellStyle name="Normal" xfId="0" builtinId="0"/>
    <cellStyle name="Normal 2" xfId="5"/>
    <cellStyle name="Porcentaje" xfId="3" builtinId="5"/>
  </cellStyles>
  <dxfs count="1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s>
  <tableStyles count="0" defaultTableStyle="TableStyleMedium2" defaultPivotStyle="PivotStyleLight16"/>
  <colors>
    <mruColors>
      <color rgb="FFFFFF99"/>
      <color rgb="FFE0EB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ES"/>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ES"/>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ES"/>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ES"/>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ES"/>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ES"/>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ES"/>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ES"/>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ES"/>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ES"/>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ES"/>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ES"/>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ES"/>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ES"/>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ES"/>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ES"/>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ES"/>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ES"/>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ES"/>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ES"/>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ES"/>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ES"/>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5D5CD7D-3A20-4EB8-B442-65E54571D39E}">
      <dsp:nvSpPr>
        <dsp:cNvPr id="0" name=""/>
        <dsp:cNvSpPr/>
      </dsp:nvSpPr>
      <dsp:spPr>
        <a:xfrm>
          <a:off x="0" y="440628"/>
          <a:ext cx="3723005" cy="1020600"/>
        </a:xfrm>
        <a:prstGeom prst="rect">
          <a:avLst/>
        </a:prstGeom>
        <a:solidFill>
          <a:schemeClr val="lt1">
            <a:alpha val="90000"/>
            <a:hueOff val="0"/>
            <a:satOff val="0"/>
            <a:lumOff val="0"/>
            <a:alphaOff val="0"/>
          </a:schemeClr>
        </a:solidFill>
        <a:ln w="12700" cap="flat" cmpd="sng" algn="ctr">
          <a:solidFill>
            <a:schemeClr val="accent5">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Definición de la unidad objeto de ordenación forestal</a:t>
          </a:r>
        </a:p>
        <a:p>
          <a:pPr marL="57150" lvl="1" indent="-57150" algn="l" defTabSz="400050">
            <a:lnSpc>
              <a:spcPct val="90000"/>
            </a:lnSpc>
            <a:spcBef>
              <a:spcPct val="0"/>
            </a:spcBef>
            <a:spcAft>
              <a:spcPct val="15000"/>
            </a:spcAft>
            <a:buChar char="••"/>
          </a:pPr>
          <a:r>
            <a:rPr lang="es-CO" sz="900" kern="1200"/>
            <a:t>Asignación de recursos</a:t>
          </a:r>
        </a:p>
        <a:p>
          <a:pPr marL="57150" lvl="1" indent="-57150" algn="l" defTabSz="400050">
            <a:lnSpc>
              <a:spcPct val="90000"/>
            </a:lnSpc>
            <a:spcBef>
              <a:spcPct val="0"/>
            </a:spcBef>
            <a:spcAft>
              <a:spcPct val="15000"/>
            </a:spcAft>
            <a:buChar char="••"/>
          </a:pPr>
          <a:r>
            <a:rPr lang="es-CO" sz="900" kern="1200"/>
            <a:t>Inicio del proceso pre y contractual</a:t>
          </a:r>
        </a:p>
        <a:p>
          <a:pPr marL="57150" lvl="1" indent="-57150" algn="l" defTabSz="400050">
            <a:lnSpc>
              <a:spcPct val="90000"/>
            </a:lnSpc>
            <a:spcBef>
              <a:spcPct val="0"/>
            </a:spcBef>
            <a:spcAft>
              <a:spcPct val="15000"/>
            </a:spcAft>
            <a:buChar char="••"/>
          </a:pPr>
          <a:r>
            <a:rPr lang="es-CO" sz="900" kern="1200"/>
            <a:t>Conformación del equipo de trabajo  </a:t>
          </a:r>
        </a:p>
      </dsp:txBody>
      <dsp:txXfrm>
        <a:off x="0" y="440628"/>
        <a:ext cx="3723005" cy="1020600"/>
      </dsp:txXfrm>
    </dsp:sp>
    <dsp:sp modelId="{E6E34545-7A70-45F5-AF30-5300FEAF0CB4}">
      <dsp:nvSpPr>
        <dsp:cNvPr id="0" name=""/>
        <dsp:cNvSpPr/>
      </dsp:nvSpPr>
      <dsp:spPr>
        <a:xfrm>
          <a:off x="186150" y="110249"/>
          <a:ext cx="2606103" cy="531360"/>
        </a:xfrm>
        <a:prstGeom prst="roundRect">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1. FASE DE PREPARACION</a:t>
          </a:r>
        </a:p>
      </dsp:txBody>
      <dsp:txXfrm>
        <a:off x="212089" y="136188"/>
        <a:ext cx="2554225" cy="479482"/>
      </dsp:txXfrm>
    </dsp:sp>
    <dsp:sp modelId="{BEC4ABD6-0E89-47BE-B95E-5D5D71B73DA1}">
      <dsp:nvSpPr>
        <dsp:cNvPr id="0" name=""/>
        <dsp:cNvSpPr/>
      </dsp:nvSpPr>
      <dsp:spPr>
        <a:xfrm>
          <a:off x="0" y="1824108"/>
          <a:ext cx="3723005" cy="1134000"/>
        </a:xfrm>
        <a:prstGeom prst="rect">
          <a:avLst/>
        </a:prstGeom>
        <a:solidFill>
          <a:schemeClr val="lt1">
            <a:alpha val="90000"/>
            <a:hueOff val="0"/>
            <a:satOff val="0"/>
            <a:lumOff val="0"/>
            <a:alphaOff val="0"/>
          </a:schemeClr>
        </a:solidFill>
        <a:ln w="12700" cap="flat" cmpd="sng" algn="ctr">
          <a:solidFill>
            <a:schemeClr val="accent5">
              <a:hueOff val="-1225557"/>
              <a:satOff val="-1705"/>
              <a:lumOff val="-65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Consulta, validación y digitalización de información secundaria</a:t>
          </a:r>
        </a:p>
        <a:p>
          <a:pPr marL="57150" lvl="1" indent="-57150" algn="l" defTabSz="400050">
            <a:lnSpc>
              <a:spcPct val="90000"/>
            </a:lnSpc>
            <a:spcBef>
              <a:spcPct val="0"/>
            </a:spcBef>
            <a:spcAft>
              <a:spcPct val="15000"/>
            </a:spcAft>
            <a:buChar char="••"/>
          </a:pPr>
          <a:r>
            <a:rPr lang="es-CO" sz="900" kern="1200"/>
            <a:t>Procesamiento e interpretación de imágenes satelitales</a:t>
          </a:r>
        </a:p>
        <a:p>
          <a:pPr marL="57150" lvl="1" indent="-57150" algn="l" defTabSz="400050">
            <a:lnSpc>
              <a:spcPct val="90000"/>
            </a:lnSpc>
            <a:spcBef>
              <a:spcPct val="0"/>
            </a:spcBef>
            <a:spcAft>
              <a:spcPct val="15000"/>
            </a:spcAft>
            <a:buChar char="••"/>
          </a:pPr>
          <a:r>
            <a:rPr lang="es-CO" sz="900" kern="1200"/>
            <a:t>Generación de información cartográfica preliminar</a:t>
          </a:r>
        </a:p>
        <a:p>
          <a:pPr marL="57150" lvl="1" indent="-57150" algn="l" defTabSz="400050">
            <a:lnSpc>
              <a:spcPct val="90000"/>
            </a:lnSpc>
            <a:spcBef>
              <a:spcPct val="0"/>
            </a:spcBef>
            <a:spcAft>
              <a:spcPct val="15000"/>
            </a:spcAft>
            <a:buChar char="••"/>
          </a:pPr>
          <a:r>
            <a:rPr lang="es-CO" sz="900" kern="1200"/>
            <a:t>Definición de metodología para levantamiento de información primaria</a:t>
          </a:r>
        </a:p>
      </dsp:txBody>
      <dsp:txXfrm>
        <a:off x="0" y="1824108"/>
        <a:ext cx="3723005" cy="1134000"/>
      </dsp:txXfrm>
    </dsp:sp>
    <dsp:sp modelId="{C4175353-957F-4B0A-882A-9D65932C4C45}">
      <dsp:nvSpPr>
        <dsp:cNvPr id="0" name=""/>
        <dsp:cNvSpPr/>
      </dsp:nvSpPr>
      <dsp:spPr>
        <a:xfrm>
          <a:off x="200779" y="1543156"/>
          <a:ext cx="2606103" cy="531360"/>
        </a:xfrm>
        <a:prstGeom prst="roundRect">
          <a:avLst/>
        </a:prstGeom>
        <a:solidFill>
          <a:schemeClr val="accent5">
            <a:hueOff val="-1225557"/>
            <a:satOff val="-1705"/>
            <a:lumOff val="-65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2. FASE DE APRESTAMIENTO</a:t>
          </a:r>
        </a:p>
      </dsp:txBody>
      <dsp:txXfrm>
        <a:off x="226718" y="1569095"/>
        <a:ext cx="2554225" cy="479482"/>
      </dsp:txXfrm>
    </dsp:sp>
    <dsp:sp modelId="{3BC1BA34-3099-48F7-ADCC-C59CA8F05523}">
      <dsp:nvSpPr>
        <dsp:cNvPr id="0" name=""/>
        <dsp:cNvSpPr/>
      </dsp:nvSpPr>
      <dsp:spPr>
        <a:xfrm>
          <a:off x="0" y="3320987"/>
          <a:ext cx="3723005" cy="1350886"/>
        </a:xfrm>
        <a:prstGeom prst="rect">
          <a:avLst/>
        </a:prstGeom>
        <a:solidFill>
          <a:schemeClr val="lt1">
            <a:alpha val="90000"/>
            <a:hueOff val="0"/>
            <a:satOff val="0"/>
            <a:lumOff val="0"/>
            <a:alphaOff val="0"/>
          </a:schemeClr>
        </a:solidFill>
        <a:ln w="12700" cap="flat" cmpd="sng" algn="ctr">
          <a:solidFill>
            <a:schemeClr val="accent5">
              <a:hueOff val="-2451115"/>
              <a:satOff val="-3409"/>
              <a:lumOff val="-130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y acuerdos con actores regionales y locales</a:t>
          </a:r>
        </a:p>
        <a:p>
          <a:pPr marL="57150" lvl="1" indent="-57150" algn="l" defTabSz="400050">
            <a:lnSpc>
              <a:spcPct val="90000"/>
            </a:lnSpc>
            <a:spcBef>
              <a:spcPct val="0"/>
            </a:spcBef>
            <a:spcAft>
              <a:spcPct val="15000"/>
            </a:spcAft>
            <a:buChar char="••"/>
          </a:pPr>
          <a:r>
            <a:rPr lang="es-CO" sz="900" kern="1200"/>
            <a:t>Chequeo cartografía en campo</a:t>
          </a:r>
        </a:p>
        <a:p>
          <a:pPr marL="57150" lvl="1" indent="-57150" algn="l" defTabSz="400050">
            <a:lnSpc>
              <a:spcPct val="90000"/>
            </a:lnSpc>
            <a:spcBef>
              <a:spcPct val="0"/>
            </a:spcBef>
            <a:spcAft>
              <a:spcPct val="15000"/>
            </a:spcAft>
            <a:buChar char="••"/>
          </a:pPr>
          <a:r>
            <a:rPr lang="es-CO" sz="900" kern="1200"/>
            <a:t>Desarrollo del premuestreo, ajuste y realización del inventario forestal</a:t>
          </a:r>
        </a:p>
        <a:p>
          <a:pPr marL="57150" lvl="1" indent="-57150" algn="l" defTabSz="400050">
            <a:lnSpc>
              <a:spcPct val="90000"/>
            </a:lnSpc>
            <a:spcBef>
              <a:spcPct val="0"/>
            </a:spcBef>
            <a:spcAft>
              <a:spcPct val="15000"/>
            </a:spcAft>
            <a:buChar char="••"/>
          </a:pPr>
          <a:r>
            <a:rPr lang="es-CO" sz="900" kern="1200"/>
            <a:t>Desarrollo del componente fauna</a:t>
          </a:r>
        </a:p>
        <a:p>
          <a:pPr marL="57150" lvl="1" indent="-57150" algn="l" defTabSz="400050">
            <a:lnSpc>
              <a:spcPct val="90000"/>
            </a:lnSpc>
            <a:spcBef>
              <a:spcPct val="0"/>
            </a:spcBef>
            <a:spcAft>
              <a:spcPct val="15000"/>
            </a:spcAft>
            <a:buChar char="••"/>
          </a:pPr>
          <a:r>
            <a:rPr lang="es-CO" sz="900" kern="1200"/>
            <a:t>Desarrollo del componente socieconomico</a:t>
          </a:r>
        </a:p>
        <a:p>
          <a:pPr marL="57150" lvl="1" indent="-57150" algn="l" defTabSz="400050">
            <a:lnSpc>
              <a:spcPct val="90000"/>
            </a:lnSpc>
            <a:spcBef>
              <a:spcPct val="0"/>
            </a:spcBef>
            <a:spcAft>
              <a:spcPct val="15000"/>
            </a:spcAft>
            <a:buChar char="••"/>
          </a:pPr>
          <a:r>
            <a:rPr lang="es-CO" sz="900" kern="1200"/>
            <a:t>Desarrollo del componente suelos</a:t>
          </a:r>
        </a:p>
      </dsp:txBody>
      <dsp:txXfrm>
        <a:off x="0" y="3320987"/>
        <a:ext cx="3723005" cy="1350886"/>
      </dsp:txXfrm>
    </dsp:sp>
    <dsp:sp modelId="{2F94551E-AD58-4389-A867-ACC7E854241D}">
      <dsp:nvSpPr>
        <dsp:cNvPr id="0" name=""/>
        <dsp:cNvSpPr/>
      </dsp:nvSpPr>
      <dsp:spPr>
        <a:xfrm>
          <a:off x="178834" y="3040036"/>
          <a:ext cx="2606103" cy="531360"/>
        </a:xfrm>
        <a:prstGeom prst="roundRect">
          <a:avLst/>
        </a:prstGeom>
        <a:solidFill>
          <a:schemeClr val="accent5">
            <a:hueOff val="-2451115"/>
            <a:satOff val="-3409"/>
            <a:lumOff val="-1307"/>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3. FASE  LOGISTICA Y OPERATIVA</a:t>
          </a:r>
        </a:p>
      </dsp:txBody>
      <dsp:txXfrm>
        <a:off x="204773" y="3065975"/>
        <a:ext cx="2554225" cy="479482"/>
      </dsp:txXfrm>
    </dsp:sp>
    <dsp:sp modelId="{06ACE6F8-0FA9-44AE-BA37-8718AB57D422}">
      <dsp:nvSpPr>
        <dsp:cNvPr id="0" name=""/>
        <dsp:cNvSpPr/>
      </dsp:nvSpPr>
      <dsp:spPr>
        <a:xfrm>
          <a:off x="0" y="5073731"/>
          <a:ext cx="3723005" cy="1134000"/>
        </a:xfrm>
        <a:prstGeom prst="rect">
          <a:avLst/>
        </a:prstGeom>
        <a:solidFill>
          <a:schemeClr val="lt1">
            <a:alpha val="90000"/>
            <a:hueOff val="0"/>
            <a:satOff val="0"/>
            <a:lumOff val="0"/>
            <a:alphaOff val="0"/>
          </a:schemeClr>
        </a:solidFill>
        <a:ln w="12700" cap="flat" cmpd="sng" algn="ctr">
          <a:solidFill>
            <a:schemeClr val="accent5">
              <a:hueOff val="-3676672"/>
              <a:satOff val="-5114"/>
              <a:lumOff val="-196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Procesamiento y análisis de información primaria</a:t>
          </a:r>
        </a:p>
        <a:p>
          <a:pPr marL="57150" lvl="1" indent="-57150" algn="l" defTabSz="400050">
            <a:lnSpc>
              <a:spcPct val="90000"/>
            </a:lnSpc>
            <a:spcBef>
              <a:spcPct val="0"/>
            </a:spcBef>
            <a:spcAft>
              <a:spcPct val="15000"/>
            </a:spcAft>
            <a:buChar char="••"/>
          </a:pPr>
          <a:r>
            <a:rPr lang="es-CO" sz="900" kern="1200"/>
            <a:t>Propuesta zonificación inicial de la UOF</a:t>
          </a:r>
        </a:p>
        <a:p>
          <a:pPr marL="57150" lvl="1" indent="-57150" algn="l" defTabSz="400050">
            <a:lnSpc>
              <a:spcPct val="90000"/>
            </a:lnSpc>
            <a:spcBef>
              <a:spcPct val="0"/>
            </a:spcBef>
            <a:spcAft>
              <a:spcPct val="15000"/>
            </a:spcAft>
            <a:buChar char="••"/>
          </a:pPr>
          <a:r>
            <a:rPr lang="es-CO" sz="900" kern="1200"/>
            <a:t>Propuesta de zonificación de las áreas forestales que componen la UOF</a:t>
          </a:r>
        </a:p>
        <a:p>
          <a:pPr marL="57150" lvl="1" indent="-57150" algn="l" defTabSz="400050">
            <a:lnSpc>
              <a:spcPct val="90000"/>
            </a:lnSpc>
            <a:spcBef>
              <a:spcPct val="0"/>
            </a:spcBef>
            <a:spcAft>
              <a:spcPct val="15000"/>
            </a:spcAft>
            <a:buChar char="••"/>
          </a:pPr>
          <a:r>
            <a:rPr lang="es-CO" sz="900" kern="1200"/>
            <a:t> Formulación del POF para cada área forestal de la UOF</a:t>
          </a:r>
        </a:p>
      </dsp:txBody>
      <dsp:txXfrm>
        <a:off x="0" y="5073731"/>
        <a:ext cx="3723005" cy="1134000"/>
      </dsp:txXfrm>
    </dsp:sp>
    <dsp:sp modelId="{514BAA5A-25A1-407B-9E98-4F585743FC17}">
      <dsp:nvSpPr>
        <dsp:cNvPr id="0" name=""/>
        <dsp:cNvSpPr/>
      </dsp:nvSpPr>
      <dsp:spPr>
        <a:xfrm>
          <a:off x="186150" y="4753803"/>
          <a:ext cx="2606103" cy="531360"/>
        </a:xfrm>
        <a:prstGeom prst="roundRect">
          <a:avLst/>
        </a:prstGeom>
        <a:solidFill>
          <a:schemeClr val="accent5">
            <a:hueOff val="-3676672"/>
            <a:satOff val="-5114"/>
            <a:lumOff val="-196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4. FASE DE OFICINA</a:t>
          </a:r>
        </a:p>
      </dsp:txBody>
      <dsp:txXfrm>
        <a:off x="212089" y="4779742"/>
        <a:ext cx="2554225" cy="479482"/>
      </dsp:txXfrm>
    </dsp:sp>
    <dsp:sp modelId="{4EFCDA67-9C44-44DD-A910-D775D3C6B542}">
      <dsp:nvSpPr>
        <dsp:cNvPr id="0" name=""/>
        <dsp:cNvSpPr/>
      </dsp:nvSpPr>
      <dsp:spPr>
        <a:xfrm>
          <a:off x="0" y="6544572"/>
          <a:ext cx="3723005" cy="754238"/>
        </a:xfrm>
        <a:prstGeom prst="rect">
          <a:avLst/>
        </a:prstGeom>
        <a:solidFill>
          <a:schemeClr val="lt1">
            <a:alpha val="90000"/>
            <a:hueOff val="0"/>
            <a:satOff val="0"/>
            <a:lumOff val="0"/>
            <a:alphaOff val="0"/>
          </a:schemeClr>
        </a:solidFill>
        <a:ln w="12700" cap="flat" cmpd="sng" algn="ctr">
          <a:solidFill>
            <a:schemeClr val="accent5">
              <a:hueOff val="-4902230"/>
              <a:satOff val="-6819"/>
              <a:lumOff val="-261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versión premiminar de los POF</a:t>
          </a:r>
        </a:p>
        <a:p>
          <a:pPr marL="57150" lvl="1" indent="-57150" algn="l" defTabSz="400050">
            <a:lnSpc>
              <a:spcPct val="90000"/>
            </a:lnSpc>
            <a:spcBef>
              <a:spcPct val="0"/>
            </a:spcBef>
            <a:spcAft>
              <a:spcPct val="15000"/>
            </a:spcAft>
            <a:buChar char="••"/>
          </a:pPr>
          <a:r>
            <a:rPr lang="es-CO" sz="900" kern="1200"/>
            <a:t>Armonización de los POF con actores locales y regionales</a:t>
          </a:r>
        </a:p>
        <a:p>
          <a:pPr marL="57150" lvl="1" indent="-57150" algn="l" defTabSz="400050">
            <a:lnSpc>
              <a:spcPct val="90000"/>
            </a:lnSpc>
            <a:spcBef>
              <a:spcPct val="0"/>
            </a:spcBef>
            <a:spcAft>
              <a:spcPct val="15000"/>
            </a:spcAft>
            <a:buChar char="••"/>
          </a:pPr>
          <a:r>
            <a:rPr lang="es-CO" sz="900" kern="1200"/>
            <a:t>Edición y ajustes de los POF</a:t>
          </a:r>
        </a:p>
      </dsp:txBody>
      <dsp:txXfrm>
        <a:off x="0" y="6544572"/>
        <a:ext cx="3723005" cy="754238"/>
      </dsp:txXfrm>
    </dsp:sp>
    <dsp:sp modelId="{72C2FA48-4513-4CD5-8267-CAFA222E040F}">
      <dsp:nvSpPr>
        <dsp:cNvPr id="0" name=""/>
        <dsp:cNvSpPr/>
      </dsp:nvSpPr>
      <dsp:spPr>
        <a:xfrm>
          <a:off x="178834" y="6283633"/>
          <a:ext cx="2606103" cy="531360"/>
        </a:xfrm>
        <a:prstGeom prst="roundRect">
          <a:avLst/>
        </a:prstGeom>
        <a:solidFill>
          <a:schemeClr val="accent5">
            <a:hueOff val="-4902230"/>
            <a:satOff val="-6819"/>
            <a:lumOff val="-261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5. FASE DE FORMULACION</a:t>
          </a:r>
        </a:p>
      </dsp:txBody>
      <dsp:txXfrm>
        <a:off x="204773" y="6309572"/>
        <a:ext cx="2554225" cy="479482"/>
      </dsp:txXfrm>
    </dsp:sp>
    <dsp:sp modelId="{FA8C06B1-BAA1-4827-A601-D14B18466DB6}">
      <dsp:nvSpPr>
        <dsp:cNvPr id="0" name=""/>
        <dsp:cNvSpPr/>
      </dsp:nvSpPr>
      <dsp:spPr>
        <a:xfrm>
          <a:off x="0" y="7648753"/>
          <a:ext cx="3723005" cy="1134000"/>
        </a:xfrm>
        <a:prstGeom prst="rect">
          <a:avLst/>
        </a:prstGeom>
        <a:solidFill>
          <a:schemeClr val="lt1">
            <a:alpha val="90000"/>
            <a:hueOff val="0"/>
            <a:satOff val="0"/>
            <a:lumOff val="0"/>
            <a:alphaOff val="0"/>
          </a:schemeClr>
        </a:solidFill>
        <a:ln w="12700" cap="flat" cmpd="sng" algn="ctr">
          <a:solidFill>
            <a:schemeClr val="accent5">
              <a:hueOff val="-6127787"/>
              <a:satOff val="-8523"/>
              <a:lumOff val="-326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Aprobación de los POF por Consejo Directivo de la autoridad ambiental competente</a:t>
          </a:r>
        </a:p>
        <a:p>
          <a:pPr marL="57150" lvl="1" indent="-57150" algn="l" defTabSz="400050">
            <a:lnSpc>
              <a:spcPct val="90000"/>
            </a:lnSpc>
            <a:spcBef>
              <a:spcPct val="0"/>
            </a:spcBef>
            <a:spcAft>
              <a:spcPct val="15000"/>
            </a:spcAft>
            <a:buChar char="••"/>
          </a:pPr>
          <a:r>
            <a:rPr lang="es-CO" sz="900" kern="1200"/>
            <a:t>Incorporación de los POF en el POA de la autoridad ambiental competente</a:t>
          </a:r>
        </a:p>
        <a:p>
          <a:pPr marL="57150" lvl="1" indent="-57150" algn="l" defTabSz="400050">
            <a:lnSpc>
              <a:spcPct val="90000"/>
            </a:lnSpc>
            <a:spcBef>
              <a:spcPct val="0"/>
            </a:spcBef>
            <a:spcAft>
              <a:spcPct val="15000"/>
            </a:spcAft>
            <a:buChar char="••"/>
          </a:pPr>
          <a:r>
            <a:rPr lang="es-CO" sz="900" kern="1200"/>
            <a:t>Desarrollo de planes, programas y proyectos de cada POF </a:t>
          </a:r>
        </a:p>
      </dsp:txBody>
      <dsp:txXfrm>
        <a:off x="0" y="7648753"/>
        <a:ext cx="3723005" cy="1134000"/>
      </dsp:txXfrm>
    </dsp:sp>
    <dsp:sp modelId="{4E9F94DE-8CF1-4FE7-9A6B-53CB416743FC}">
      <dsp:nvSpPr>
        <dsp:cNvPr id="0" name=""/>
        <dsp:cNvSpPr/>
      </dsp:nvSpPr>
      <dsp:spPr>
        <a:xfrm>
          <a:off x="186150" y="7384274"/>
          <a:ext cx="2606103" cy="531360"/>
        </a:xfrm>
        <a:prstGeom prst="roundRect">
          <a:avLst/>
        </a:prstGeom>
        <a:solidFill>
          <a:schemeClr val="accent5">
            <a:hueOff val="-6127787"/>
            <a:satOff val="-8523"/>
            <a:lumOff val="-326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6. FASE DE IMPLEMENTACION</a:t>
          </a:r>
        </a:p>
      </dsp:txBody>
      <dsp:txXfrm>
        <a:off x="212089" y="7410213"/>
        <a:ext cx="2554225" cy="479482"/>
      </dsp:txXfrm>
    </dsp:sp>
    <dsp:sp modelId="{77262FC2-D56C-47EC-A6D3-390D5DF0E708}">
      <dsp:nvSpPr>
        <dsp:cNvPr id="0" name=""/>
        <dsp:cNvSpPr/>
      </dsp:nvSpPr>
      <dsp:spPr>
        <a:xfrm>
          <a:off x="0" y="9132692"/>
          <a:ext cx="3723005" cy="864675"/>
        </a:xfrm>
        <a:prstGeom prst="rect">
          <a:avLst/>
        </a:prstGeom>
        <a:solidFill>
          <a:schemeClr val="lt1">
            <a:alpha val="90000"/>
            <a:hueOff val="0"/>
            <a:satOff val="0"/>
            <a:lumOff val="0"/>
            <a:alphaOff val="0"/>
          </a:schemeClr>
        </a:solidFill>
        <a:ln w="12700" cap="flat" cmpd="sng" algn="ctr">
          <a:solidFill>
            <a:schemeClr val="accent5">
              <a:hueOff val="-7353344"/>
              <a:satOff val="-10228"/>
              <a:lumOff val="-392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Seguimiento a los POF</a:t>
          </a:r>
        </a:p>
        <a:p>
          <a:pPr marL="57150" lvl="1" indent="-57150" algn="l" defTabSz="400050">
            <a:lnSpc>
              <a:spcPct val="90000"/>
            </a:lnSpc>
            <a:spcBef>
              <a:spcPct val="0"/>
            </a:spcBef>
            <a:spcAft>
              <a:spcPct val="15000"/>
            </a:spcAft>
            <a:buChar char="••"/>
          </a:pPr>
          <a:r>
            <a:rPr lang="es-CO" sz="900" kern="1200"/>
            <a:t>Revisión y evaluación de los POF</a:t>
          </a:r>
        </a:p>
        <a:p>
          <a:pPr marL="57150" lvl="1" indent="-57150" algn="l" defTabSz="400050">
            <a:lnSpc>
              <a:spcPct val="90000"/>
            </a:lnSpc>
            <a:spcBef>
              <a:spcPct val="0"/>
            </a:spcBef>
            <a:spcAft>
              <a:spcPct val="15000"/>
            </a:spcAft>
            <a:buChar char="••"/>
          </a:pPr>
          <a:r>
            <a:rPr lang="es-CO" sz="900" kern="1200"/>
            <a:t>Actualización de los POF  </a:t>
          </a:r>
        </a:p>
      </dsp:txBody>
      <dsp:txXfrm>
        <a:off x="0" y="9132692"/>
        <a:ext cx="3723005" cy="864675"/>
      </dsp:txXfrm>
    </dsp:sp>
    <dsp:sp modelId="{0BB363C2-1000-4D63-89E1-75C121258685}">
      <dsp:nvSpPr>
        <dsp:cNvPr id="0" name=""/>
        <dsp:cNvSpPr/>
      </dsp:nvSpPr>
      <dsp:spPr>
        <a:xfrm>
          <a:off x="193465" y="8881154"/>
          <a:ext cx="2606103" cy="531360"/>
        </a:xfrm>
        <a:prstGeom prst="roundRect">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lvl="0" algn="l" defTabSz="400050">
            <a:lnSpc>
              <a:spcPct val="90000"/>
            </a:lnSpc>
            <a:spcBef>
              <a:spcPct val="0"/>
            </a:spcBef>
            <a:spcAft>
              <a:spcPct val="35000"/>
            </a:spcAft>
          </a:pPr>
          <a:r>
            <a:rPr lang="es-CO" sz="900" b="1" kern="1200"/>
            <a:t>7. FASE DE SEGUIMIENTO Y ACTUALIZACION</a:t>
          </a:r>
        </a:p>
      </dsp:txBody>
      <dsp:txXfrm>
        <a:off x="219404" y="8907093"/>
        <a:ext cx="2554225" cy="479482"/>
      </dsp:txXfrm>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png"/><Relationship Id="rId5" Type="http://schemas.openxmlformats.org/officeDocument/2006/relationships/image" Target="../media/image15.png"/><Relationship Id="rId4"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png"/><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2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9.png"/><Relationship Id="rId1" Type="http://schemas.openxmlformats.org/officeDocument/2006/relationships/image" Target="../media/image28.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7.png"/><Relationship Id="rId1" Type="http://schemas.openxmlformats.org/officeDocument/2006/relationships/image" Target="../media/image3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0.png"/><Relationship Id="rId1" Type="http://schemas.openxmlformats.org/officeDocument/2006/relationships/image" Target="../media/image3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2.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3.png"/></Relationships>
</file>

<file path=xl/drawings/_rels/drawing34.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 Id="rId4"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8.png"/><Relationship Id="rId1" Type="http://schemas.openxmlformats.org/officeDocument/2006/relationships/image" Target="../media/image4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a:extLst>
            <a:ext uri="{FF2B5EF4-FFF2-40B4-BE49-F238E27FC236}">
              <a16:creationId xmlns:a16="http://schemas.microsoft.com/office/drawing/2014/main" id="{00000000-0008-0000-0000-00000A000000}"/>
            </a:ext>
          </a:extLst>
        </xdr:cNvPr>
        <xdr:cNvGrpSpPr>
          <a:grpSpLocks/>
        </xdr:cNvGrpSpPr>
      </xdr:nvGrpSpPr>
      <xdr:grpSpPr bwMode="auto">
        <a:xfrm>
          <a:off x="2" y="0"/>
          <a:ext cx="10201273" cy="1657350"/>
          <a:chOff x="57151" y="47625"/>
          <a:chExt cx="6181724" cy="1581150"/>
        </a:xfrm>
      </xdr:grpSpPr>
      <xdr:pic>
        <xdr:nvPicPr>
          <xdr:cNvPr id="11" name="1 Imagen" descr="ESCUDO-transp-lema-blanco.pn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00000000-0008-0000-0000-00000C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A00-000003000000}"/>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B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B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C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D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30481</xdr:colOff>
      <xdr:row>88</xdr:row>
      <xdr:rowOff>144780</xdr:rowOff>
    </xdr:from>
    <xdr:to>
      <xdr:col>2</xdr:col>
      <xdr:colOff>2372310</xdr:colOff>
      <xdr:row>88</xdr:row>
      <xdr:rowOff>240800</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99</xdr:row>
      <xdr:rowOff>0</xdr:rowOff>
    </xdr:from>
    <xdr:to>
      <xdr:col>2</xdr:col>
      <xdr:colOff>1718424</xdr:colOff>
      <xdr:row>100</xdr:row>
      <xdr:rowOff>3826</xdr:rowOff>
    </xdr:to>
    <xdr:pic>
      <xdr:nvPicPr>
        <xdr:cNvPr id="3" name="Imagen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105</xdr:row>
      <xdr:rowOff>15240</xdr:rowOff>
    </xdr:from>
    <xdr:to>
      <xdr:col>2</xdr:col>
      <xdr:colOff>1654392</xdr:colOff>
      <xdr:row>106</xdr:row>
      <xdr:rowOff>19066</xdr:rowOff>
    </xdr:to>
    <xdr:pic>
      <xdr:nvPicPr>
        <xdr:cNvPr id="4" name="Imagen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111</xdr:row>
      <xdr:rowOff>144780</xdr:rowOff>
    </xdr:from>
    <xdr:to>
      <xdr:col>2</xdr:col>
      <xdr:colOff>1655918</xdr:colOff>
      <xdr:row>112</xdr:row>
      <xdr:rowOff>148606</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118</xdr:row>
      <xdr:rowOff>53341</xdr:rowOff>
    </xdr:from>
    <xdr:to>
      <xdr:col>2</xdr:col>
      <xdr:colOff>2206150</xdr:colOff>
      <xdr:row>119</xdr:row>
      <xdr:rowOff>41164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00000000-0008-0000-0E00-000007000000}"/>
            </a:ext>
          </a:extLst>
        </xdr:cNvPr>
        <xdr:cNvGrpSpPr>
          <a:grpSpLocks/>
        </xdr:cNvGrpSpPr>
      </xdr:nvGrpSpPr>
      <xdr:grpSpPr bwMode="auto">
        <a:xfrm>
          <a:off x="0" y="0"/>
          <a:ext cx="5520618" cy="1277615"/>
          <a:chOff x="57150" y="47625"/>
          <a:chExt cx="6316603" cy="1200288"/>
        </a:xfrm>
      </xdr:grpSpPr>
      <xdr:pic>
        <xdr:nvPicPr>
          <xdr:cNvPr id="8" name="1 Imagen" descr="ESCUDO-transp-lema-blanco.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00000000-0008-0000-0E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F00-000003000000}"/>
            </a:ext>
          </a:extLst>
        </xdr:cNvPr>
        <xdr:cNvGrpSpPr>
          <a:grpSpLocks/>
        </xdr:cNvGrpSpPr>
      </xdr:nvGrpSpPr>
      <xdr:grpSpPr bwMode="auto">
        <a:xfrm>
          <a:off x="0" y="0"/>
          <a:ext cx="5414919" cy="1278344"/>
          <a:chOff x="57150" y="47625"/>
          <a:chExt cx="6316603" cy="1200288"/>
        </a:xfrm>
      </xdr:grpSpPr>
      <xdr:pic>
        <xdr:nvPicPr>
          <xdr:cNvPr id="4" name="1 Imagen" descr="ESCUDO-transp-lema-blanco.png">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0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1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2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2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3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990600</xdr:colOff>
      <xdr:row>0</xdr:row>
      <xdr:rowOff>1581150</xdr:rowOff>
    </xdr:to>
    <xdr:grpSp>
      <xdr:nvGrpSpPr>
        <xdr:cNvPr id="2" name="1 Grupo">
          <a:extLst>
            <a:ext uri="{FF2B5EF4-FFF2-40B4-BE49-F238E27FC236}">
              <a16:creationId xmlns:a16="http://schemas.microsoft.com/office/drawing/2014/main" id="{00000000-0008-0000-0100-000002000000}"/>
            </a:ext>
          </a:extLst>
        </xdr:cNvPr>
        <xdr:cNvGrpSpPr>
          <a:grpSpLocks/>
        </xdr:cNvGrpSpPr>
      </xdr:nvGrpSpPr>
      <xdr:grpSpPr bwMode="auto">
        <a:xfrm>
          <a:off x="0" y="0"/>
          <a:ext cx="10360819" cy="1581150"/>
          <a:chOff x="57150" y="47625"/>
          <a:chExt cx="6181725" cy="1581150"/>
        </a:xfrm>
      </xdr:grpSpPr>
      <xdr:pic>
        <xdr:nvPicPr>
          <xdr:cNvPr id="3" name="1 Imagen" descr="ESCUDO-transp-lema-blanc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647701</xdr:colOff>
      <xdr:row>189</xdr:row>
      <xdr:rowOff>68580</xdr:rowOff>
    </xdr:from>
    <xdr:to>
      <xdr:col>2</xdr:col>
      <xdr:colOff>1905110</xdr:colOff>
      <xdr:row>191</xdr:row>
      <xdr:rowOff>26</xdr:rowOff>
    </xdr:to>
    <xdr:pic>
      <xdr:nvPicPr>
        <xdr:cNvPr id="2" name="Imagen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196</xdr:row>
      <xdr:rowOff>53340</xdr:rowOff>
    </xdr:from>
    <xdr:to>
      <xdr:col>2</xdr:col>
      <xdr:colOff>1775552</xdr:colOff>
      <xdr:row>198</xdr:row>
      <xdr:rowOff>60992</xdr:rowOff>
    </xdr:to>
    <xdr:pic>
      <xdr:nvPicPr>
        <xdr:cNvPr id="3" name="Imagen 2">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4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762000</xdr:colOff>
      <xdr:row>99</xdr:row>
      <xdr:rowOff>106680</xdr:rowOff>
    </xdr:from>
    <xdr:to>
      <xdr:col>2</xdr:col>
      <xdr:colOff>1981306</xdr:colOff>
      <xdr:row>100</xdr:row>
      <xdr:rowOff>160040</xdr:rowOff>
    </xdr:to>
    <xdr:pic>
      <xdr:nvPicPr>
        <xdr:cNvPr id="2" name="Imagen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105</xdr:row>
      <xdr:rowOff>419100</xdr:rowOff>
    </xdr:from>
    <xdr:to>
      <xdr:col>2</xdr:col>
      <xdr:colOff>1790796</xdr:colOff>
      <xdr:row>107</xdr:row>
      <xdr:rowOff>152432</xdr:rowOff>
    </xdr:to>
    <xdr:pic>
      <xdr:nvPicPr>
        <xdr:cNvPr id="3" name="Imagen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500-000004000000}"/>
            </a:ext>
          </a:extLst>
        </xdr:cNvPr>
        <xdr:cNvGrpSpPr>
          <a:grpSpLocks/>
        </xdr:cNvGrpSpPr>
      </xdr:nvGrpSpPr>
      <xdr:grpSpPr bwMode="auto">
        <a:xfrm>
          <a:off x="0" y="0"/>
          <a:ext cx="5205709"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5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600-000004000000}"/>
            </a:ext>
          </a:extLst>
        </xdr:cNvPr>
        <xdr:cNvGrpSpPr>
          <a:grpSpLocks/>
        </xdr:cNvGrpSpPr>
      </xdr:nvGrpSpPr>
      <xdr:grpSpPr bwMode="auto">
        <a:xfrm>
          <a:off x="0" y="0"/>
          <a:ext cx="5418888" cy="1284958"/>
          <a:chOff x="57150" y="47625"/>
          <a:chExt cx="6316603" cy="1200288"/>
        </a:xfrm>
      </xdr:grpSpPr>
      <xdr:pic>
        <xdr:nvPicPr>
          <xdr:cNvPr id="5" name="1 Imagen" descr="ESCUDO-transp-lema-blanco.png">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6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700-000004000000}"/>
            </a:ext>
          </a:extLst>
        </xdr:cNvPr>
        <xdr:cNvGrpSpPr>
          <a:grpSpLocks/>
        </xdr:cNvGrpSpPr>
      </xdr:nvGrpSpPr>
      <xdr:grpSpPr bwMode="auto">
        <a:xfrm>
          <a:off x="0" y="0"/>
          <a:ext cx="5344805" cy="1284958"/>
          <a:chOff x="57150" y="47625"/>
          <a:chExt cx="6316603" cy="1200288"/>
        </a:xfrm>
      </xdr:grpSpPr>
      <xdr:pic>
        <xdr:nvPicPr>
          <xdr:cNvPr id="5" name="1 Imagen" descr="ESCUDO-transp-lema-blanco.png">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518161</xdr:colOff>
      <xdr:row>96</xdr:row>
      <xdr:rowOff>449580</xdr:rowOff>
    </xdr:from>
    <xdr:to>
      <xdr:col>2</xdr:col>
      <xdr:colOff>2377602</xdr:colOff>
      <xdr:row>99</xdr:row>
      <xdr:rowOff>32</xdr:rowOff>
    </xdr:to>
    <xdr:pic>
      <xdr:nvPicPr>
        <xdr:cNvPr id="2" name="Imagen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800-000003000000}"/>
            </a:ext>
          </a:extLst>
        </xdr:cNvPr>
        <xdr:cNvGrpSpPr>
          <a:grpSpLocks/>
        </xdr:cNvGrpSpPr>
      </xdr:nvGrpSpPr>
      <xdr:grpSpPr bwMode="auto">
        <a:xfrm>
          <a:off x="0" y="0"/>
          <a:ext cx="5535305" cy="1284958"/>
          <a:chOff x="57150" y="47625"/>
          <a:chExt cx="6316603" cy="1200288"/>
        </a:xfrm>
      </xdr:grpSpPr>
      <xdr:pic>
        <xdr:nvPicPr>
          <xdr:cNvPr id="4" name="1 Imagen" descr="ESCUDO-transp-lema-blanco.png">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9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868681</xdr:colOff>
      <xdr:row>112</xdr:row>
      <xdr:rowOff>15240</xdr:rowOff>
    </xdr:from>
    <xdr:to>
      <xdr:col>2</xdr:col>
      <xdr:colOff>1806022</xdr:colOff>
      <xdr:row>113</xdr:row>
      <xdr:rowOff>129566</xdr:rowOff>
    </xdr:to>
    <xdr:pic>
      <xdr:nvPicPr>
        <xdr:cNvPr id="2" name="Imagen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119</xdr:row>
      <xdr:rowOff>68580</xdr:rowOff>
    </xdr:from>
    <xdr:to>
      <xdr:col>3</xdr:col>
      <xdr:colOff>1021334</xdr:colOff>
      <xdr:row>121</xdr:row>
      <xdr:rowOff>26</xdr:rowOff>
    </xdr:to>
    <xdr:pic>
      <xdr:nvPicPr>
        <xdr:cNvPr id="3" name="Imagen 2">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A00-000004000000}"/>
            </a:ext>
          </a:extLst>
        </xdr:cNvPr>
        <xdr:cNvGrpSpPr>
          <a:grpSpLocks/>
        </xdr:cNvGrpSpPr>
      </xdr:nvGrpSpPr>
      <xdr:grpSpPr bwMode="auto">
        <a:xfrm>
          <a:off x="0" y="0"/>
          <a:ext cx="7110709"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A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182880</xdr:colOff>
      <xdr:row>142</xdr:row>
      <xdr:rowOff>144780</xdr:rowOff>
    </xdr:from>
    <xdr:to>
      <xdr:col>3</xdr:col>
      <xdr:colOff>1112808</xdr:colOff>
      <xdr:row>142</xdr:row>
      <xdr:rowOff>281952</xdr:rowOff>
    </xdr:to>
    <xdr:pic>
      <xdr:nvPicPr>
        <xdr:cNvPr id="2" name="Imagen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155</xdr:row>
      <xdr:rowOff>7620</xdr:rowOff>
    </xdr:from>
    <xdr:to>
      <xdr:col>3</xdr:col>
      <xdr:colOff>1089896</xdr:colOff>
      <xdr:row>155</xdr:row>
      <xdr:rowOff>251481</xdr:rowOff>
    </xdr:to>
    <xdr:pic>
      <xdr:nvPicPr>
        <xdr:cNvPr id="3" name="Imagen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B00-000004000000}"/>
            </a:ext>
          </a:extLst>
        </xdr:cNvPr>
        <xdr:cNvGrpSpPr>
          <a:grpSpLocks/>
        </xdr:cNvGrpSpPr>
      </xdr:nvGrpSpPr>
      <xdr:grpSpPr bwMode="auto">
        <a:xfrm>
          <a:off x="0" y="0"/>
          <a:ext cx="6185424"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182880</xdr:colOff>
      <xdr:row>110</xdr:row>
      <xdr:rowOff>91440</xdr:rowOff>
    </xdr:from>
    <xdr:to>
      <xdr:col>3</xdr:col>
      <xdr:colOff>998498</xdr:colOff>
      <xdr:row>110</xdr:row>
      <xdr:rowOff>228612</xdr:rowOff>
    </xdr:to>
    <xdr:pic>
      <xdr:nvPicPr>
        <xdr:cNvPr id="2" name="Imagen 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123</xdr:row>
      <xdr:rowOff>0</xdr:rowOff>
    </xdr:from>
    <xdr:to>
      <xdr:col>3</xdr:col>
      <xdr:colOff>922268</xdr:colOff>
      <xdr:row>124</xdr:row>
      <xdr:rowOff>114326</xdr:rowOff>
    </xdr:to>
    <xdr:pic>
      <xdr:nvPicPr>
        <xdr:cNvPr id="3" name="Imagen 2">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C00-000004000000}"/>
            </a:ext>
          </a:extLst>
        </xdr:cNvPr>
        <xdr:cNvGrpSpPr>
          <a:grpSpLocks/>
        </xdr:cNvGrpSpPr>
      </xdr:nvGrpSpPr>
      <xdr:grpSpPr bwMode="auto">
        <a:xfrm>
          <a:off x="0" y="0"/>
          <a:ext cx="5578934"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C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D00-000003000000}"/>
            </a:ext>
          </a:extLst>
        </xdr:cNvPr>
        <xdr:cNvGrpSpPr>
          <a:grpSpLocks/>
        </xdr:cNvGrpSpPr>
      </xdr:nvGrpSpPr>
      <xdr:grpSpPr bwMode="auto">
        <a:xfrm>
          <a:off x="0" y="0"/>
          <a:ext cx="5341781" cy="1283446"/>
          <a:chOff x="57150" y="47625"/>
          <a:chExt cx="6316603" cy="1200288"/>
        </a:xfrm>
      </xdr:grpSpPr>
      <xdr:pic>
        <xdr:nvPicPr>
          <xdr:cNvPr id="4" name="1 Imagen" descr="ESCUDO-transp-lema-blanco.png">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a16="http://schemas.microsoft.com/office/drawing/2014/main" id="{00000000-0008-0000-0300-000003000000}"/>
            </a:ext>
          </a:extLst>
        </xdr:cNvPr>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E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E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F00-000003000000}"/>
            </a:ext>
          </a:extLst>
        </xdr:cNvPr>
        <xdr:cNvGrpSpPr>
          <a:grpSpLocks/>
        </xdr:cNvGrpSpPr>
      </xdr:nvGrpSpPr>
      <xdr:grpSpPr bwMode="auto">
        <a:xfrm>
          <a:off x="0" y="0"/>
          <a:ext cx="5326813" cy="1280725"/>
          <a:chOff x="57150" y="47625"/>
          <a:chExt cx="6316603" cy="1200288"/>
        </a:xfrm>
      </xdr:grpSpPr>
      <xdr:pic>
        <xdr:nvPicPr>
          <xdr:cNvPr id="4" name="1 Imagen" descr="ESCUDO-transp-lema-blanco.png">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000-000003000000}"/>
            </a:ext>
          </a:extLst>
        </xdr:cNvPr>
        <xdr:cNvGrpSpPr>
          <a:grpSpLocks/>
        </xdr:cNvGrpSpPr>
      </xdr:nvGrpSpPr>
      <xdr:grpSpPr bwMode="auto">
        <a:xfrm>
          <a:off x="0" y="0"/>
          <a:ext cx="5341781" cy="1283446"/>
          <a:chOff x="57150" y="47625"/>
          <a:chExt cx="6316603" cy="1200288"/>
        </a:xfrm>
      </xdr:grpSpPr>
      <xdr:pic>
        <xdr:nvPicPr>
          <xdr:cNvPr id="4" name="1 Imagen" descr="ESCUDO-transp-lema-blanco.png">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0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100-000003000000}"/>
            </a:ext>
          </a:extLst>
        </xdr:cNvPr>
        <xdr:cNvGrpSpPr>
          <a:grpSpLocks/>
        </xdr:cNvGrpSpPr>
      </xdr:nvGrpSpPr>
      <xdr:grpSpPr bwMode="auto">
        <a:xfrm>
          <a:off x="0" y="0"/>
          <a:ext cx="5164888" cy="1278344"/>
          <a:chOff x="57150" y="47625"/>
          <a:chExt cx="6316603" cy="1200288"/>
        </a:xfrm>
      </xdr:grpSpPr>
      <xdr:pic>
        <xdr:nvPicPr>
          <xdr:cNvPr id="4" name="1 Imagen" descr="ESCUDO-transp-lema-blanco.png">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a16="http://schemas.microsoft.com/office/drawing/2014/main" id="{00000000-0008-0000-2200-000005000000}"/>
            </a:ext>
          </a:extLst>
        </xdr:cNvPr>
        <xdr:cNvGrpSpPr>
          <a:grpSpLocks/>
        </xdr:cNvGrpSpPr>
      </xdr:nvGrpSpPr>
      <xdr:grpSpPr bwMode="auto">
        <a:xfrm>
          <a:off x="0" y="0"/>
          <a:ext cx="5326230" cy="1277615"/>
          <a:chOff x="57150" y="47625"/>
          <a:chExt cx="6316603" cy="1200288"/>
        </a:xfrm>
      </xdr:grpSpPr>
      <xdr:pic>
        <xdr:nvPicPr>
          <xdr:cNvPr id="6" name="1 Imagen" descr="ESCUDO-transp-lema-blanco.png">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a16="http://schemas.microsoft.com/office/drawing/2014/main" id="{00000000-0008-0000-22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2300-000004000000}"/>
            </a:ext>
          </a:extLst>
        </xdr:cNvPr>
        <xdr:cNvGrpSpPr>
          <a:grpSpLocks/>
        </xdr:cNvGrpSpPr>
      </xdr:nvGrpSpPr>
      <xdr:grpSpPr bwMode="auto">
        <a:xfrm>
          <a:off x="0" y="0"/>
          <a:ext cx="5510898" cy="1277615"/>
          <a:chOff x="57150" y="47625"/>
          <a:chExt cx="6316603" cy="1200288"/>
        </a:xfrm>
      </xdr:grpSpPr>
      <xdr:pic>
        <xdr:nvPicPr>
          <xdr:cNvPr id="5" name="1 Imagen" descr="ESCUDO-transp-lema-blanco.png">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2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119063</xdr:colOff>
      <xdr:row>0</xdr:row>
      <xdr:rowOff>107157</xdr:rowOff>
    </xdr:from>
    <xdr:to>
      <xdr:col>1</xdr:col>
      <xdr:colOff>571501</xdr:colOff>
      <xdr:row>0</xdr:row>
      <xdr:rowOff>1750220</xdr:rowOff>
    </xdr:to>
    <xdr:pic>
      <xdr:nvPicPr>
        <xdr:cNvPr id="4" name="1 Imagen" descr="ESCUDO-transp-lema-blanco.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119063" y="107157"/>
          <a:ext cx="1109663" cy="1643063"/>
        </a:xfrm>
        <a:prstGeom prst="rect">
          <a:avLst/>
        </a:prstGeom>
        <a:noFill/>
        <a:ln w="9525">
          <a:noFill/>
          <a:miter lim="800000"/>
          <a:headEnd/>
          <a:tailEnd/>
        </a:ln>
      </xdr:spPr>
    </xdr:pic>
    <xdr:clientData/>
  </xdr:twoCellAnchor>
  <xdr:twoCellAnchor>
    <xdr:from>
      <xdr:col>1</xdr:col>
      <xdr:colOff>647700</xdr:colOff>
      <xdr:row>0</xdr:row>
      <xdr:rowOff>381000</xdr:rowOff>
    </xdr:from>
    <xdr:to>
      <xdr:col>4</xdr:col>
      <xdr:colOff>59531</xdr:colOff>
      <xdr:row>0</xdr:row>
      <xdr:rowOff>1440656</xdr:rowOff>
    </xdr:to>
    <xdr:sp macro="" textlink="">
      <xdr:nvSpPr>
        <xdr:cNvPr id="5" name="5 CuadroTexto">
          <a:extLst>
            <a:ext uri="{FF2B5EF4-FFF2-40B4-BE49-F238E27FC236}">
              <a16:creationId xmlns:a16="http://schemas.microsoft.com/office/drawing/2014/main" id="{00000000-0008-0000-0400-000005000000}"/>
            </a:ext>
          </a:extLst>
        </xdr:cNvPr>
        <xdr:cNvSpPr txBox="1"/>
      </xdr:nvSpPr>
      <xdr:spPr bwMode="auto">
        <a:xfrm>
          <a:off x="1304925" y="381000"/>
          <a:ext cx="2412206" cy="1059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1266825</xdr:colOff>
      <xdr:row>0</xdr:row>
      <xdr:rowOff>428625</xdr:rowOff>
    </xdr:from>
    <xdr:to>
      <xdr:col>1</xdr:col>
      <xdr:colOff>3609975</xdr:colOff>
      <xdr:row>1</xdr:row>
      <xdr:rowOff>0</xdr:rowOff>
    </xdr:to>
    <xdr:sp macro="" textlink="">
      <xdr:nvSpPr>
        <xdr:cNvPr id="3" name="3 CuadroTexto">
          <a:extLst>
            <a:ext uri="{FF2B5EF4-FFF2-40B4-BE49-F238E27FC236}">
              <a16:creationId xmlns:a16="http://schemas.microsoft.com/office/drawing/2014/main" id="{00000000-0008-0000-0500-000003000000}"/>
            </a:ext>
          </a:extLst>
        </xdr:cNvPr>
        <xdr:cNvSpPr txBox="1"/>
      </xdr:nvSpPr>
      <xdr:spPr bwMode="auto">
        <a:xfrm>
          <a:off x="1266825" y="428625"/>
          <a:ext cx="461962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119063</xdr:colOff>
      <xdr:row>0</xdr:row>
      <xdr:rowOff>107157</xdr:rowOff>
    </xdr:from>
    <xdr:to>
      <xdr:col>1</xdr:col>
      <xdr:colOff>571501</xdr:colOff>
      <xdr:row>0</xdr:row>
      <xdr:rowOff>1750220</xdr:rowOff>
    </xdr:to>
    <xdr:pic>
      <xdr:nvPicPr>
        <xdr:cNvPr id="2" name="1 Imagen" descr="ESCUDO-transp-lema-blanco.png">
          <a:extLst>
            <a:ext uri="{FF2B5EF4-FFF2-40B4-BE49-F238E27FC236}">
              <a16:creationId xmlns:a16="http://schemas.microsoft.com/office/drawing/2014/main" id="{46E1B2AB-4202-4954-A99F-A11F70A21214}"/>
            </a:ext>
          </a:extLst>
        </xdr:cNvPr>
        <xdr:cNvPicPr>
          <a:picLocks noChangeAspect="1"/>
        </xdr:cNvPicPr>
      </xdr:nvPicPr>
      <xdr:blipFill>
        <a:blip xmlns:r="http://schemas.openxmlformats.org/officeDocument/2006/relationships" r:embed="rId1" cstate="print"/>
        <a:srcRect/>
        <a:stretch>
          <a:fillRect/>
        </a:stretch>
      </xdr:blipFill>
      <xdr:spPr bwMode="auto">
        <a:xfrm>
          <a:off x="119063" y="107157"/>
          <a:ext cx="1119188" cy="1281113"/>
        </a:xfrm>
        <a:prstGeom prst="rect">
          <a:avLst/>
        </a:prstGeom>
        <a:noFill/>
        <a:ln w="9525">
          <a:noFill/>
          <a:miter lim="800000"/>
          <a:headEnd/>
          <a:tailEnd/>
        </a:ln>
      </xdr:spPr>
    </xdr:pic>
    <xdr:clientData/>
  </xdr:twoCellAnchor>
  <xdr:twoCellAnchor>
    <xdr:from>
      <xdr:col>1</xdr:col>
      <xdr:colOff>647700</xdr:colOff>
      <xdr:row>0</xdr:row>
      <xdr:rowOff>381000</xdr:rowOff>
    </xdr:from>
    <xdr:to>
      <xdr:col>4</xdr:col>
      <xdr:colOff>59531</xdr:colOff>
      <xdr:row>0</xdr:row>
      <xdr:rowOff>1440656</xdr:rowOff>
    </xdr:to>
    <xdr:sp macro="" textlink="">
      <xdr:nvSpPr>
        <xdr:cNvPr id="3" name="5 CuadroTexto">
          <a:extLst>
            <a:ext uri="{FF2B5EF4-FFF2-40B4-BE49-F238E27FC236}">
              <a16:creationId xmlns:a16="http://schemas.microsoft.com/office/drawing/2014/main" id="{B3C09ECB-2DDC-49BC-AAF5-243CF18A64EA}"/>
            </a:ext>
          </a:extLst>
        </xdr:cNvPr>
        <xdr:cNvSpPr txBox="1"/>
      </xdr:nvSpPr>
      <xdr:spPr bwMode="auto">
        <a:xfrm>
          <a:off x="1314450" y="381000"/>
          <a:ext cx="2412206" cy="1012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1266825</xdr:colOff>
      <xdr:row>0</xdr:row>
      <xdr:rowOff>428625</xdr:rowOff>
    </xdr:from>
    <xdr:to>
      <xdr:col>1</xdr:col>
      <xdr:colOff>3609975</xdr:colOff>
      <xdr:row>1</xdr:row>
      <xdr:rowOff>0</xdr:rowOff>
    </xdr:to>
    <xdr:sp macro="" textlink="">
      <xdr:nvSpPr>
        <xdr:cNvPr id="3" name="3 CuadroTexto">
          <a:extLst>
            <a:ext uri="{FF2B5EF4-FFF2-40B4-BE49-F238E27FC236}">
              <a16:creationId xmlns:a16="http://schemas.microsoft.com/office/drawing/2014/main" id="{00000000-0008-0000-0700-000003000000}"/>
            </a:ext>
          </a:extLst>
        </xdr:cNvPr>
        <xdr:cNvSpPr txBox="1"/>
      </xdr:nvSpPr>
      <xdr:spPr bwMode="auto">
        <a:xfrm>
          <a:off x="1266825" y="428625"/>
          <a:ext cx="5695950" cy="962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a:extLst>
            <a:ext uri="{FF2B5EF4-FFF2-40B4-BE49-F238E27FC236}">
              <a16:creationId xmlns:a16="http://schemas.microsoft.com/office/drawing/2014/main" id="{00000000-0008-0000-0800-000002000000}"/>
            </a:ext>
          </a:extLst>
        </xdr:cNvPr>
        <xdr:cNvGrpSpPr>
          <a:grpSpLocks/>
        </xdr:cNvGrpSpPr>
      </xdr:nvGrpSpPr>
      <xdr:grpSpPr bwMode="auto">
        <a:xfrm>
          <a:off x="0" y="0"/>
          <a:ext cx="6687344" cy="1656953"/>
          <a:chOff x="57150" y="47625"/>
          <a:chExt cx="6181725" cy="1581150"/>
        </a:xfrm>
      </xdr:grpSpPr>
      <xdr:pic>
        <xdr:nvPicPr>
          <xdr:cNvPr id="3" name="1 Imagen" descr="ESCUDO-transp-lema-blanco.pn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a16="http://schemas.microsoft.com/office/drawing/2014/main" id="{00000000-0008-0000-0900-000006000000}"/>
            </a:ext>
          </a:extLst>
        </xdr:cNvPr>
        <xdr:cNvGrpSpPr>
          <a:grpSpLocks/>
        </xdr:cNvGrpSpPr>
      </xdr:nvGrpSpPr>
      <xdr:grpSpPr bwMode="auto">
        <a:xfrm>
          <a:off x="0" y="0"/>
          <a:ext cx="5526838" cy="1261675"/>
          <a:chOff x="57150" y="47625"/>
          <a:chExt cx="6316603" cy="1200288"/>
        </a:xfrm>
      </xdr:grpSpPr>
      <xdr:pic>
        <xdr:nvPicPr>
          <xdr:cNvPr id="7" name="1 Imagen" descr="ESCUDO-transp-lema-blanco.pn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0000000-0008-0000-09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Downloads/Formatos%20SINA%20-%20PAI%202021%20(1)%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ola%20corpoguajira/PLAN%20DE%20ACCI&#211;N/INFORME%20DE%20GESTI&#211;N%202020/INFORME%2031%20DIC%202020/Formatos-SINA-PAI-2020-2023%2031%20D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ola%20corpoguajira/PLAN%20DE%20ACCI&#211;N/INFORME%20DE%20GESTI&#211;N%202021/INFORME%2031%20MARZO/Formatos-SINA-PAI-2020-2023%2031%20marzo%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Downloads/Formatos%20SINA%20-%20PAI%20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3">
          <cell r="D33" t="str">
            <v>SI APLICA</v>
          </cell>
          <cell r="F33" t="str">
            <v>SI SE REPORTA</v>
          </cell>
        </row>
        <row r="34">
          <cell r="D34" t="str">
            <v>NO APLICA</v>
          </cell>
          <cell r="F34" t="str">
            <v>NO SE REPORTA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row r="9">
          <cell r="E9"/>
        </row>
      </sheetData>
      <sheetData sheetId="11"/>
      <sheetData sheetId="12">
        <row r="9">
          <cell r="E9"/>
        </row>
      </sheetData>
      <sheetData sheetId="13"/>
      <sheetData sheetId="14"/>
      <sheetData sheetId="15"/>
      <sheetData sheetId="16"/>
      <sheetData sheetId="17"/>
      <sheetData sheetId="18"/>
      <sheetData sheetId="19">
        <row r="9">
          <cell r="E9"/>
        </row>
      </sheetData>
      <sheetData sheetId="20"/>
      <sheetData sheetId="21">
        <row r="9">
          <cell r="E9"/>
        </row>
      </sheetData>
      <sheetData sheetId="22">
        <row r="9">
          <cell r="E9"/>
        </row>
      </sheetData>
      <sheetData sheetId="23"/>
      <sheetData sheetId="24"/>
      <sheetData sheetId="25"/>
      <sheetData sheetId="26"/>
      <sheetData sheetId="27">
        <row r="9">
          <cell r="E9"/>
        </row>
      </sheetData>
      <sheetData sheetId="28"/>
      <sheetData sheetId="29"/>
      <sheetData sheetId="30"/>
      <sheetData sheetId="31">
        <row r="9">
          <cell r="E9"/>
        </row>
      </sheetData>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sanguino@corpoguajira.gov.co"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y.delgado@car.corpoguajira.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mailto:mariaguzman@corpoguajira.gov.co"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mailto:g.fonseca@corpoguajira.gov.co"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mailto:g.fonseca@corpoguajira.gov.co"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mailto:g.fonseca@corpoguajira.gov.cov.co"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mailto:g.fonseca@corpoguajira.gov.co"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mailto:j.vega@corpoguajira.gov.co"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mailto:e.maza@corpoguajira.gov.co"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mailto:e.maza@corpoguajira.gov.co"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https://www.minambiente.gov.co/index.php/ambientes-y-desarrollos-sostenibles/negocios-verdes-y-sostenibles"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mailto:j.barros@corpoguajira.gov.co"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1.bin"/><Relationship Id="rId1" Type="http://schemas.openxmlformats.org/officeDocument/2006/relationships/hyperlink" Target="mailto:y.delgado@corpoguajira.gov.co"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4.bin"/><Relationship Id="rId1" Type="http://schemas.openxmlformats.org/officeDocument/2006/relationships/hyperlink" Target="mailto:e.maza@corpoguajira.gov.co"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58"/>
  <sheetViews>
    <sheetView topLeftCell="A4" workbookViewId="0">
      <selection activeCell="C14" sqref="C14"/>
    </sheetView>
  </sheetViews>
  <sheetFormatPr baseColWidth="10" defaultRowHeight="15" x14ac:dyDescent="0.25"/>
  <cols>
    <col min="1" max="1" width="5.85546875" customWidth="1"/>
    <col min="2" max="2" width="44.28515625" customWidth="1"/>
    <col min="3" max="3" width="68.5703125" customWidth="1"/>
    <col min="7" max="7" width="0" hidden="1" customWidth="1"/>
    <col min="8" max="8" width="15.5703125" hidden="1" customWidth="1"/>
    <col min="9" max="9" width="11.42578125" hidden="1" customWidth="1"/>
  </cols>
  <sheetData>
    <row r="1" spans="1:18" s="542" customFormat="1" ht="130.5" customHeight="1" thickBot="1" x14ac:dyDescent="0.3">
      <c r="A1" s="587"/>
      <c r="B1" s="588"/>
      <c r="C1" s="589"/>
      <c r="D1"/>
      <c r="E1"/>
      <c r="F1"/>
      <c r="G1"/>
      <c r="H1"/>
      <c r="I1"/>
      <c r="J1"/>
      <c r="K1"/>
      <c r="L1"/>
      <c r="M1"/>
      <c r="N1"/>
      <c r="O1"/>
      <c r="P1"/>
      <c r="Q1"/>
      <c r="R1"/>
    </row>
    <row r="2" spans="1:18" s="543" customFormat="1" ht="39.75" customHeight="1" thickBot="1" x14ac:dyDescent="0.3">
      <c r="A2" s="1509" t="s">
        <v>1787</v>
      </c>
      <c r="B2" s="1510"/>
      <c r="C2" s="1511"/>
      <c r="D2"/>
      <c r="E2"/>
      <c r="F2"/>
      <c r="G2"/>
      <c r="H2"/>
      <c r="I2"/>
      <c r="J2"/>
      <c r="K2"/>
      <c r="L2"/>
      <c r="M2"/>
      <c r="N2"/>
      <c r="O2"/>
      <c r="P2"/>
      <c r="Q2"/>
      <c r="R2"/>
    </row>
    <row r="4" spans="1:18" ht="15.75" thickBot="1" x14ac:dyDescent="0.3"/>
    <row r="5" spans="1:18" s="575" customFormat="1" ht="23.25" customHeight="1" x14ac:dyDescent="0.25">
      <c r="B5" s="576" t="s">
        <v>1305</v>
      </c>
      <c r="C5" s="577" t="s">
        <v>1324</v>
      </c>
      <c r="H5" s="575" t="s">
        <v>1306</v>
      </c>
    </row>
    <row r="6" spans="1:18" s="575" customFormat="1" ht="23.25" customHeight="1" x14ac:dyDescent="0.25">
      <c r="B6" s="578" t="s">
        <v>1346</v>
      </c>
      <c r="C6" s="579" t="s">
        <v>1852</v>
      </c>
      <c r="H6" s="575" t="s">
        <v>1307</v>
      </c>
    </row>
    <row r="7" spans="1:18" s="575" customFormat="1" ht="23.25" customHeight="1" x14ac:dyDescent="0.25">
      <c r="B7" s="578" t="s">
        <v>1347</v>
      </c>
      <c r="C7" s="579" t="s">
        <v>2834</v>
      </c>
      <c r="H7" s="575" t="s">
        <v>1308</v>
      </c>
    </row>
    <row r="8" spans="1:18" s="575" customFormat="1" ht="23.25" customHeight="1" x14ac:dyDescent="0.25">
      <c r="B8" s="578" t="s">
        <v>40</v>
      </c>
      <c r="C8" s="579" t="s">
        <v>2831</v>
      </c>
      <c r="H8" s="575" t="s">
        <v>1309</v>
      </c>
    </row>
    <row r="9" spans="1:18" s="575" customFormat="1" ht="23.25" customHeight="1" x14ac:dyDescent="0.25">
      <c r="B9" s="578" t="s">
        <v>42</v>
      </c>
      <c r="C9" s="579" t="s">
        <v>2832</v>
      </c>
      <c r="H9" s="575" t="s">
        <v>1310</v>
      </c>
    </row>
    <row r="10" spans="1:18" s="575" customFormat="1" ht="23.25" customHeight="1" x14ac:dyDescent="0.25">
      <c r="B10" s="578" t="s">
        <v>43</v>
      </c>
      <c r="C10" s="998" t="s">
        <v>2833</v>
      </c>
      <c r="H10" s="575" t="s">
        <v>1311</v>
      </c>
    </row>
    <row r="11" spans="1:18" s="575" customFormat="1" ht="23.25" customHeight="1" thickBot="1" x14ac:dyDescent="0.3">
      <c r="B11" s="580" t="s">
        <v>44</v>
      </c>
      <c r="C11" s="581"/>
      <c r="H11" s="575" t="s">
        <v>1312</v>
      </c>
    </row>
    <row r="12" spans="1:18" x14ac:dyDescent="0.25">
      <c r="H12" t="s">
        <v>1313</v>
      </c>
    </row>
    <row r="13" spans="1:18" x14ac:dyDescent="0.25">
      <c r="H13" t="s">
        <v>1314</v>
      </c>
    </row>
    <row r="14" spans="1:18" x14ac:dyDescent="0.25">
      <c r="H14" t="s">
        <v>1315</v>
      </c>
    </row>
    <row r="15" spans="1:18" x14ac:dyDescent="0.25">
      <c r="H15" t="s">
        <v>1316</v>
      </c>
    </row>
    <row r="16" spans="1:18" x14ac:dyDescent="0.25">
      <c r="H16" t="s">
        <v>1317</v>
      </c>
    </row>
    <row r="17" spans="8:8" x14ac:dyDescent="0.25">
      <c r="H17" t="s">
        <v>1318</v>
      </c>
    </row>
    <row r="18" spans="8:8" x14ac:dyDescent="0.25">
      <c r="H18" t="s">
        <v>1319</v>
      </c>
    </row>
    <row r="19" spans="8:8" x14ac:dyDescent="0.25">
      <c r="H19" t="s">
        <v>1320</v>
      </c>
    </row>
    <row r="20" spans="8:8" x14ac:dyDescent="0.25">
      <c r="H20" t="s">
        <v>1321</v>
      </c>
    </row>
    <row r="21" spans="8:8" x14ac:dyDescent="0.25">
      <c r="H21" t="s">
        <v>1322</v>
      </c>
    </row>
    <row r="22" spans="8:8" x14ac:dyDescent="0.25">
      <c r="H22" t="s">
        <v>1323</v>
      </c>
    </row>
    <row r="23" spans="8:8" x14ac:dyDescent="0.25">
      <c r="H23" t="s">
        <v>1324</v>
      </c>
    </row>
    <row r="24" spans="8:8" x14ac:dyDescent="0.25">
      <c r="H24" t="s">
        <v>1325</v>
      </c>
    </row>
    <row r="25" spans="8:8" x14ac:dyDescent="0.25">
      <c r="H25" t="s">
        <v>1326</v>
      </c>
    </row>
    <row r="26" spans="8:8" x14ac:dyDescent="0.25">
      <c r="H26" t="s">
        <v>1327</v>
      </c>
    </row>
    <row r="27" spans="8:8" x14ac:dyDescent="0.25">
      <c r="H27" t="s">
        <v>1328</v>
      </c>
    </row>
    <row r="28" spans="8:8" x14ac:dyDescent="0.25">
      <c r="H28" t="s">
        <v>1863</v>
      </c>
    </row>
    <row r="29" spans="8:8" s="412" customFormat="1" x14ac:dyDescent="0.25">
      <c r="H29" s="412" t="s">
        <v>1329</v>
      </c>
    </row>
    <row r="30" spans="8:8" x14ac:dyDescent="0.25">
      <c r="H30" t="s">
        <v>1330</v>
      </c>
    </row>
    <row r="31" spans="8:8" x14ac:dyDescent="0.25">
      <c r="H31" t="s">
        <v>1331</v>
      </c>
    </row>
    <row r="32" spans="8:8" x14ac:dyDescent="0.25">
      <c r="H32" t="s">
        <v>1332</v>
      </c>
    </row>
    <row r="33" spans="8:8" x14ac:dyDescent="0.25">
      <c r="H33" t="s">
        <v>1333</v>
      </c>
    </row>
    <row r="34" spans="8:8" x14ac:dyDescent="0.25">
      <c r="H34" t="s">
        <v>1334</v>
      </c>
    </row>
    <row r="35" spans="8:8" x14ac:dyDescent="0.25">
      <c r="H35" t="s">
        <v>1335</v>
      </c>
    </row>
    <row r="36" spans="8:8" x14ac:dyDescent="0.25">
      <c r="H36" t="s">
        <v>1336</v>
      </c>
    </row>
    <row r="37" spans="8:8" x14ac:dyDescent="0.25">
      <c r="H37" t="s">
        <v>1337</v>
      </c>
    </row>
    <row r="39" spans="8:8" x14ac:dyDescent="0.25">
      <c r="H39" t="s">
        <v>1338</v>
      </c>
    </row>
    <row r="40" spans="8:8" x14ac:dyDescent="0.25">
      <c r="H40" t="s">
        <v>1339</v>
      </c>
    </row>
    <row r="41" spans="8:8" x14ac:dyDescent="0.25">
      <c r="H41" t="s">
        <v>1340</v>
      </c>
    </row>
    <row r="42" spans="8:8" x14ac:dyDescent="0.25">
      <c r="H42" t="s">
        <v>1341</v>
      </c>
    </row>
    <row r="43" spans="8:8" x14ac:dyDescent="0.25">
      <c r="H43" t="s">
        <v>1342</v>
      </c>
    </row>
    <row r="44" spans="8:8" x14ac:dyDescent="0.25">
      <c r="H44" t="s">
        <v>1343</v>
      </c>
    </row>
    <row r="45" spans="8:8" x14ac:dyDescent="0.25">
      <c r="H45" t="s">
        <v>1344</v>
      </c>
    </row>
    <row r="46" spans="8:8" x14ac:dyDescent="0.25">
      <c r="H46" t="s">
        <v>1345</v>
      </c>
    </row>
    <row r="47" spans="8:8" x14ac:dyDescent="0.25">
      <c r="H47" s="412" t="s">
        <v>1850</v>
      </c>
    </row>
    <row r="48" spans="8:8" x14ac:dyDescent="0.25">
      <c r="H48" s="412" t="s">
        <v>1851</v>
      </c>
    </row>
    <row r="49" spans="8:8" x14ac:dyDescent="0.25">
      <c r="H49" s="412" t="s">
        <v>1852</v>
      </c>
    </row>
    <row r="50" spans="8:8" x14ac:dyDescent="0.25">
      <c r="H50" s="412" t="s">
        <v>1853</v>
      </c>
    </row>
    <row r="51" spans="8:8" x14ac:dyDescent="0.25">
      <c r="H51" s="412" t="s">
        <v>1854</v>
      </c>
    </row>
    <row r="52" spans="8:8" x14ac:dyDescent="0.25">
      <c r="H52" s="412" t="s">
        <v>1855</v>
      </c>
    </row>
    <row r="53" spans="8:8" x14ac:dyDescent="0.25">
      <c r="H53" s="412" t="s">
        <v>1856</v>
      </c>
    </row>
    <row r="54" spans="8:8" x14ac:dyDescent="0.25">
      <c r="H54" s="412" t="s">
        <v>1857</v>
      </c>
    </row>
    <row r="55" spans="8:8" x14ac:dyDescent="0.25">
      <c r="H55" s="412" t="s">
        <v>1858</v>
      </c>
    </row>
    <row r="56" spans="8:8" x14ac:dyDescent="0.25">
      <c r="H56" s="412" t="s">
        <v>1859</v>
      </c>
    </row>
    <row r="57" spans="8:8" x14ac:dyDescent="0.25">
      <c r="H57" s="412" t="s">
        <v>1860</v>
      </c>
    </row>
    <row r="58" spans="8:8" x14ac:dyDescent="0.25">
      <c r="H58" s="412" t="s">
        <v>1861</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$H$39:$H$58</formula1>
    </dataValidation>
  </dataValidations>
  <hyperlinks>
    <hyperlink ref="C10" r:id="rId1"/>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B13"/>
  <sheetViews>
    <sheetView workbookViewId="0">
      <selection activeCell="B8" sqref="B8"/>
    </sheetView>
  </sheetViews>
  <sheetFormatPr baseColWidth="10" defaultRowHeight="15" x14ac:dyDescent="0.25"/>
  <cols>
    <col min="1" max="1" width="50.28515625" style="672" customWidth="1"/>
    <col min="2" max="2" width="68.42578125" style="672" customWidth="1"/>
    <col min="3" max="16384" width="11.42578125" style="672"/>
  </cols>
  <sheetData>
    <row r="1" spans="1:2" ht="15.75" thickBot="1" x14ac:dyDescent="0.3">
      <c r="A1" s="1687"/>
      <c r="B1" s="1687"/>
    </row>
    <row r="2" spans="1:2" ht="15.75" thickBot="1" x14ac:dyDescent="0.3">
      <c r="A2" s="1708" t="s">
        <v>1824</v>
      </c>
      <c r="B2" s="1689"/>
    </row>
    <row r="3" spans="1:2" ht="15.75" thickBot="1" x14ac:dyDescent="0.3">
      <c r="A3" s="1690" t="s">
        <v>1268</v>
      </c>
      <c r="B3" s="1691"/>
    </row>
    <row r="4" spans="1:2" ht="15.75" thickBot="1" x14ac:dyDescent="0.3">
      <c r="A4" s="711" t="s">
        <v>1795</v>
      </c>
      <c r="B4" s="711" t="s">
        <v>1270</v>
      </c>
    </row>
    <row r="5" spans="1:2" ht="26.25" thickBot="1" x14ac:dyDescent="0.3">
      <c r="A5" s="712" t="s">
        <v>1796</v>
      </c>
      <c r="B5" s="713" t="s">
        <v>1797</v>
      </c>
    </row>
    <row r="6" spans="1:2" ht="16.5" thickTop="1" thickBot="1" x14ac:dyDescent="0.3">
      <c r="A6" s="714" t="s">
        <v>1798</v>
      </c>
      <c r="B6" s="713" t="s">
        <v>1825</v>
      </c>
    </row>
    <row r="7" spans="1:2" ht="78" thickTop="1" thickBot="1" x14ac:dyDescent="0.3">
      <c r="A7" s="721" t="s">
        <v>1826</v>
      </c>
      <c r="B7" s="713" t="s">
        <v>1827</v>
      </c>
    </row>
    <row r="8" spans="1:2" ht="90.75" thickTop="1" thickBot="1" x14ac:dyDescent="0.3">
      <c r="A8" s="721" t="s">
        <v>1828</v>
      </c>
      <c r="B8" s="713" t="s">
        <v>1829</v>
      </c>
    </row>
    <row r="9" spans="1:2" ht="90.75" thickTop="1" thickBot="1" x14ac:dyDescent="0.3">
      <c r="A9" s="721" t="s">
        <v>1830</v>
      </c>
      <c r="B9" s="713" t="s">
        <v>1831</v>
      </c>
    </row>
    <row r="10" spans="1:2" ht="90.75" thickTop="1" thickBot="1" x14ac:dyDescent="0.3">
      <c r="A10" s="721" t="s">
        <v>1832</v>
      </c>
      <c r="B10" s="713" t="s">
        <v>1833</v>
      </c>
    </row>
    <row r="11" spans="1:2" ht="27" thickTop="1" thickBot="1" x14ac:dyDescent="0.3">
      <c r="A11" s="721" t="s">
        <v>1834</v>
      </c>
      <c r="B11" s="713" t="s">
        <v>1835</v>
      </c>
    </row>
    <row r="12" spans="1:2" ht="27" thickTop="1" thickBot="1" x14ac:dyDescent="0.3">
      <c r="A12" s="721" t="s">
        <v>1836</v>
      </c>
      <c r="B12" s="713" t="s">
        <v>1823</v>
      </c>
    </row>
    <row r="13" spans="1:2" ht="15.75" thickTop="1" x14ac:dyDescent="0.25"/>
  </sheetData>
  <mergeCells count="3">
    <mergeCell ref="A1:B1"/>
    <mergeCell ref="A2:B2"/>
    <mergeCell ref="A3:B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32"/>
  <sheetViews>
    <sheetView showGridLines="0" zoomScale="96" zoomScaleNormal="96" workbookViewId="0">
      <pane ySplit="5" topLeftCell="A14" activePane="bottomLeft" state="frozen"/>
      <selection activeCell="D4" sqref="D4"/>
      <selection pane="bottomLeft" activeCell="C6" sqref="C6"/>
    </sheetView>
  </sheetViews>
  <sheetFormatPr baseColWidth="10" defaultRowHeight="15" x14ac:dyDescent="0.25"/>
  <cols>
    <col min="1" max="1" width="3.5703125" bestFit="1" customWidth="1"/>
    <col min="2" max="2" width="62.42578125" customWidth="1"/>
    <col min="3" max="3" width="16.140625" customWidth="1"/>
    <col min="4" max="5" width="6.140625" customWidth="1"/>
    <col min="6" max="6" width="6" customWidth="1"/>
    <col min="7" max="7" width="0.42578125" hidden="1" customWidth="1"/>
    <col min="8" max="8" width="6.140625" style="412" hidden="1" customWidth="1"/>
    <col min="9" max="9" width="0.42578125" style="412" hidden="1" customWidth="1"/>
    <col min="10" max="10" width="8.42578125" style="412" hidden="1" customWidth="1"/>
    <col min="11" max="11" width="0.140625" customWidth="1"/>
    <col min="12" max="12" width="15" style="412" customWidth="1"/>
    <col min="13" max="14" width="22.42578125" style="412" customWidth="1"/>
    <col min="15" max="15" width="1.85546875" style="412" customWidth="1"/>
  </cols>
  <sheetData>
    <row r="1" spans="1:18" s="542" customFormat="1" ht="130.5" customHeight="1" thickBot="1" x14ac:dyDescent="0.3">
      <c r="A1" s="1709"/>
      <c r="B1" s="1710"/>
      <c r="C1" s="1710"/>
      <c r="D1" s="1710"/>
      <c r="E1" s="1710"/>
      <c r="F1" s="1710"/>
      <c r="G1" s="1710"/>
      <c r="H1" s="1710"/>
      <c r="I1" s="1710"/>
      <c r="J1" s="1710"/>
      <c r="K1" s="1710"/>
      <c r="L1" s="1710"/>
      <c r="M1" s="1710"/>
      <c r="N1" s="1710"/>
      <c r="O1" s="1710"/>
      <c r="P1" s="1711"/>
      <c r="Q1"/>
      <c r="R1"/>
    </row>
    <row r="2" spans="1:18"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c r="R2"/>
    </row>
    <row r="3" spans="1:18" s="543" customFormat="1" ht="16.5" thickBot="1" x14ac:dyDescent="0.3">
      <c r="A3" s="1712" t="s">
        <v>1350</v>
      </c>
      <c r="B3" s="1713"/>
      <c r="C3" s="1713"/>
      <c r="D3" s="1713"/>
      <c r="E3" s="1713"/>
      <c r="F3" s="1713"/>
      <c r="G3" s="1713"/>
      <c r="H3" s="1713"/>
      <c r="I3" s="1713"/>
      <c r="J3" s="1713"/>
      <c r="K3" s="1713"/>
      <c r="L3" s="1713"/>
      <c r="M3" s="1713"/>
      <c r="N3" s="1713"/>
      <c r="O3" s="1713"/>
      <c r="P3" s="1714"/>
      <c r="Q3"/>
      <c r="R3"/>
    </row>
    <row r="4" spans="1:18" s="543" customFormat="1" ht="30.75" customHeight="1" thickBot="1" x14ac:dyDescent="0.3">
      <c r="A4" s="1715" t="s">
        <v>1349</v>
      </c>
      <c r="B4" s="1716"/>
      <c r="C4" s="583" t="str">
        <f>'Datos Generales'!C6</f>
        <v>2021-I</v>
      </c>
      <c r="D4" s="583"/>
      <c r="E4" s="583"/>
      <c r="F4" s="583"/>
      <c r="G4" s="583"/>
      <c r="H4" s="583"/>
      <c r="I4" s="583"/>
      <c r="J4" s="583"/>
      <c r="K4" s="583"/>
      <c r="L4" s="585"/>
      <c r="M4" s="585"/>
      <c r="N4" s="585"/>
      <c r="O4" s="585"/>
      <c r="P4" s="586"/>
      <c r="Q4"/>
      <c r="R4"/>
    </row>
    <row r="5" spans="1:18" ht="30" customHeight="1" x14ac:dyDescent="0.25">
      <c r="A5" s="507" t="s">
        <v>19</v>
      </c>
      <c r="B5" s="507" t="s">
        <v>1186</v>
      </c>
      <c r="C5" s="508">
        <v>2020</v>
      </c>
      <c r="D5" s="514">
        <v>2021</v>
      </c>
      <c r="E5" s="514">
        <v>2022</v>
      </c>
      <c r="F5" s="514">
        <v>2023</v>
      </c>
      <c r="H5" s="505" t="s">
        <v>1247</v>
      </c>
      <c r="I5" s="505" t="s">
        <v>1248</v>
      </c>
      <c r="J5" s="505" t="s">
        <v>55</v>
      </c>
      <c r="L5" s="506" t="s">
        <v>1245</v>
      </c>
      <c r="M5" s="506" t="s">
        <v>1249</v>
      </c>
      <c r="N5" s="517" t="s">
        <v>55</v>
      </c>
      <c r="O5" s="520" t="s">
        <v>884</v>
      </c>
      <c r="P5" s="518"/>
    </row>
    <row r="6" spans="1:18" ht="45" customHeight="1" x14ac:dyDescent="0.25">
      <c r="A6" s="357" t="s">
        <v>1151</v>
      </c>
      <c r="B6" s="358" t="s">
        <v>1152</v>
      </c>
      <c r="C6" s="535" t="str">
        <f ca="1">+'1POMCAS'!D8</f>
        <v>N.A.</v>
      </c>
      <c r="D6" s="515"/>
      <c r="E6" s="516"/>
      <c r="F6" s="516"/>
      <c r="H6" s="513">
        <f>'1POMCAS'!F11</f>
        <v>0</v>
      </c>
      <c r="I6" s="513" t="str">
        <f>+'1POMCAS'!E12</f>
        <v>Proyecto No 1.1.Planificación, Ordenamiento e Información Ambiental Territorial (1)</v>
      </c>
      <c r="J6" s="513" t="str">
        <f>+'1POMCAS'!E13</f>
        <v xml:space="preserve">Acuerdo # 003 del 20 de Mayo de 2020. </v>
      </c>
      <c r="L6" s="537">
        <f t="shared" ref="L6:L32" ca="1" si="0">IF(ISNUMBER(C6),"",H6)</f>
        <v>0</v>
      </c>
      <c r="M6" s="537" t="str">
        <f t="shared" ref="M6:M32" si="1">IF(ISNUMBER(I6),"",I6)</f>
        <v>Proyecto No 1.1.Planificación, Ordenamiento e Información Ambiental Territorial (1)</v>
      </c>
      <c r="N6" s="538" t="str">
        <f t="shared" ref="N6:N32" si="2">IF(ISNUMBER(J6),"",J6)</f>
        <v xml:space="preserve">Acuerdo # 003 del 20 de Mayo de 2020. </v>
      </c>
      <c r="O6" s="521" t="s">
        <v>884</v>
      </c>
      <c r="P6" s="519"/>
    </row>
    <row r="7" spans="1:18" ht="72" x14ac:dyDescent="0.25">
      <c r="A7" s="357" t="s">
        <v>1153</v>
      </c>
      <c r="B7" s="358" t="s">
        <v>131</v>
      </c>
      <c r="C7" s="536" t="str">
        <f>+'2PORH'!D8</f>
        <v>N.A.</v>
      </c>
      <c r="D7" s="516"/>
      <c r="E7" s="516"/>
      <c r="F7" s="516"/>
      <c r="H7" s="513">
        <f>+'2PORH'!F11</f>
        <v>0</v>
      </c>
      <c r="I7" s="513" t="str">
        <f>+'2PORH'!E12</f>
        <v>Proyecto No 2.1. Administración de la Oferta y Demanda del Recurso Hídrico (superficiales y subterráneas)</v>
      </c>
      <c r="J7" s="513" t="str">
        <f>+'2PORH'!E13</f>
        <v xml:space="preserve">Acuerdo # 003 del 20 de Mayo de 2020. </v>
      </c>
      <c r="L7" s="537">
        <f t="shared" si="0"/>
        <v>0</v>
      </c>
      <c r="M7" s="537" t="str">
        <f t="shared" si="1"/>
        <v>Proyecto No 2.1. Administración de la Oferta y Demanda del Recurso Hídrico (superficiales y subterráneas)</v>
      </c>
      <c r="N7" s="538" t="str">
        <f t="shared" si="2"/>
        <v xml:space="preserve">Acuerdo # 003 del 20 de Mayo de 2020. </v>
      </c>
      <c r="O7" s="521" t="s">
        <v>884</v>
      </c>
      <c r="P7" s="519"/>
    </row>
    <row r="8" spans="1:18" ht="60" x14ac:dyDescent="0.25">
      <c r="A8" s="357" t="s">
        <v>1154</v>
      </c>
      <c r="B8" s="358" t="s">
        <v>162</v>
      </c>
      <c r="C8" s="536">
        <f>+'3PSMV'!D8</f>
        <v>0.94444444444444442</v>
      </c>
      <c r="D8" s="516"/>
      <c r="E8" s="516"/>
      <c r="F8" s="516"/>
      <c r="H8" s="513">
        <f>+'3PSMV'!F11</f>
        <v>0</v>
      </c>
      <c r="I8" s="513" t="str">
        <f>+'3PSMV'!E12</f>
        <v>Proyecto 6.1. Evaluación, Seguimiento, Monitoreo y Control de la calidad de los recursos naturales y la biodiversidad.</v>
      </c>
      <c r="J8" s="513" t="str">
        <f>+'3PSMV'!E13</f>
        <v xml:space="preserve">Acuerdo # 003 del 20 de Mayo de 2020. </v>
      </c>
      <c r="L8" s="537" t="str">
        <f t="shared" si="0"/>
        <v/>
      </c>
      <c r="M8" s="537" t="str">
        <f t="shared" si="1"/>
        <v>Proyecto 6.1. Evaluación, Seguimiento, Monitoreo y Control de la calidad de los recursos naturales y la biodiversidad.</v>
      </c>
      <c r="N8" s="538" t="str">
        <f t="shared" si="2"/>
        <v xml:space="preserve">Acuerdo # 003 del 20 de Mayo de 2020. </v>
      </c>
      <c r="O8" s="521" t="s">
        <v>884</v>
      </c>
      <c r="P8" s="519"/>
    </row>
    <row r="9" spans="1:18" ht="24" x14ac:dyDescent="0.25">
      <c r="A9" s="357" t="s">
        <v>1155</v>
      </c>
      <c r="B9" s="358" t="s">
        <v>183</v>
      </c>
      <c r="C9" s="536" t="str">
        <f>+'4UsoAguas'!D8</f>
        <v>N.A.</v>
      </c>
      <c r="D9" s="516"/>
      <c r="E9" s="516"/>
      <c r="F9" s="516"/>
      <c r="H9" s="513">
        <f>+'4UsoAguas'!F11</f>
        <v>0</v>
      </c>
      <c r="I9" s="513">
        <f>+'4UsoAguas'!E12</f>
        <v>0</v>
      </c>
      <c r="J9" s="513" t="str">
        <f>+'4UsoAguas'!E13</f>
        <v xml:space="preserve">Acuerdo # 003 del 20 de Mayo de 2020. </v>
      </c>
      <c r="L9" s="537">
        <f t="shared" si="0"/>
        <v>0</v>
      </c>
      <c r="M9" s="537" t="str">
        <f t="shared" si="1"/>
        <v/>
      </c>
      <c r="N9" s="538" t="str">
        <f t="shared" si="2"/>
        <v xml:space="preserve">Acuerdo # 003 del 20 de Mayo de 2020. </v>
      </c>
      <c r="O9" s="521" t="s">
        <v>884</v>
      </c>
      <c r="P9" s="519"/>
    </row>
    <row r="10" spans="1:18" ht="60" x14ac:dyDescent="0.25">
      <c r="A10" s="357" t="s">
        <v>1156</v>
      </c>
      <c r="B10" s="358" t="s">
        <v>200</v>
      </c>
      <c r="C10" s="536">
        <f>+'5PUEAA'!D8</f>
        <v>0.9</v>
      </c>
      <c r="D10" s="516"/>
      <c r="E10" s="516"/>
      <c r="F10" s="516"/>
      <c r="H10" s="513">
        <f>+'5PUEAA'!F11</f>
        <v>0</v>
      </c>
      <c r="I10" s="513" t="str">
        <f>+'5PUEAA'!E12</f>
        <v>Proyecto 6.1. Evaluación, Seguimiento, Monitoreo y Control de la calidad de los recursos naturales y la biodiversidad.</v>
      </c>
      <c r="J10" s="513" t="str">
        <f>+'5PUEAA'!E13</f>
        <v xml:space="preserve">Acuerdo # 003 del 20 de Mayo de 2020. </v>
      </c>
      <c r="L10" s="537" t="str">
        <f t="shared" si="0"/>
        <v/>
      </c>
      <c r="M10" s="537" t="str">
        <f t="shared" si="1"/>
        <v>Proyecto 6.1. Evaluación, Seguimiento, Monitoreo y Control de la calidad de los recursos naturales y la biodiversidad.</v>
      </c>
      <c r="N10" s="538" t="str">
        <f t="shared" si="2"/>
        <v xml:space="preserve">Acuerdo # 003 del 20 de Mayo de 2020. </v>
      </c>
      <c r="O10" s="521" t="s">
        <v>884</v>
      </c>
      <c r="P10" s="519"/>
    </row>
    <row r="11" spans="1:18" ht="72" x14ac:dyDescent="0.25">
      <c r="A11" s="357" t="s">
        <v>1157</v>
      </c>
      <c r="B11" s="358" t="s">
        <v>220</v>
      </c>
      <c r="C11" s="536">
        <f>+'6POMCASejec'!D8</f>
        <v>0.5</v>
      </c>
      <c r="D11" s="516"/>
      <c r="E11" s="516"/>
      <c r="F11" s="516"/>
      <c r="H11" s="513">
        <f>+'6POMCASejec'!F11</f>
        <v>0</v>
      </c>
      <c r="I11" s="513" t="str">
        <f>+'6POMCASejec'!E12</f>
        <v>Proyecto No 2.1. Administración de la Oferta y Demanda del Recurso Hídrico (superficiales y subterráneas)</v>
      </c>
      <c r="J11" s="513" t="str">
        <f>+'6POMCASejec'!E13</f>
        <v xml:space="preserve">Acuerdo # 003 del 20 de Mayo de 2020. </v>
      </c>
      <c r="L11" s="537" t="str">
        <f t="shared" si="0"/>
        <v/>
      </c>
      <c r="M11" s="537" t="str">
        <f t="shared" si="1"/>
        <v>Proyecto No 2.1. Administración de la Oferta y Demanda del Recurso Hídrico (superficiales y subterráneas)</v>
      </c>
      <c r="N11" s="538" t="str">
        <f t="shared" si="2"/>
        <v xml:space="preserve">Acuerdo # 003 del 20 de Mayo de 2020. </v>
      </c>
      <c r="O11" s="521" t="s">
        <v>884</v>
      </c>
      <c r="P11" s="519"/>
    </row>
    <row r="12" spans="1:18" ht="38.25" x14ac:dyDescent="0.25">
      <c r="A12" s="357" t="s">
        <v>1158</v>
      </c>
      <c r="B12" s="358" t="s">
        <v>280</v>
      </c>
      <c r="C12" s="536">
        <f>+'7Clima'!D8</f>
        <v>1</v>
      </c>
      <c r="D12" s="516"/>
      <c r="E12" s="516"/>
      <c r="F12" s="516"/>
      <c r="H12" s="513">
        <f>+'7Clima'!F11</f>
        <v>0</v>
      </c>
      <c r="I12" s="513" t="str">
        <f>+'7Clima'!E12</f>
        <v>Proyecto No 1.2. Gestión del Riesgo y adaptación al Cambio Climático (2)</v>
      </c>
      <c r="J12" s="513" t="str">
        <f>+'7Clima'!E13</f>
        <v>Acuerdo # 003 del 20 de Mayo de 2020</v>
      </c>
      <c r="L12" s="537" t="str">
        <f t="shared" si="0"/>
        <v/>
      </c>
      <c r="M12" s="537" t="str">
        <f t="shared" si="1"/>
        <v>Proyecto No 1.2. Gestión del Riesgo y adaptación al Cambio Climático (2)</v>
      </c>
      <c r="N12" s="538" t="str">
        <f t="shared" si="2"/>
        <v>Acuerdo # 003 del 20 de Mayo de 2020</v>
      </c>
      <c r="O12" s="521" t="s">
        <v>884</v>
      </c>
      <c r="P12" s="519"/>
    </row>
    <row r="13" spans="1:18" ht="24" x14ac:dyDescent="0.25">
      <c r="A13" s="357" t="s">
        <v>1159</v>
      </c>
      <c r="B13" s="358" t="s">
        <v>314</v>
      </c>
      <c r="C13" s="536" t="str">
        <f>+'8Suelo'!D8</f>
        <v>N.A.</v>
      </c>
      <c r="D13" s="516"/>
      <c r="E13" s="516"/>
      <c r="F13" s="516"/>
      <c r="H13" s="513">
        <f>+'8Suelo'!F11</f>
        <v>0</v>
      </c>
      <c r="I13" s="513">
        <f>+'8Suelo'!E12</f>
        <v>0</v>
      </c>
      <c r="J13" s="513" t="str">
        <f>+'8Suelo'!E13</f>
        <v xml:space="preserve">Acuerdo # 003 del 20 de Mayo de 2020. </v>
      </c>
      <c r="L13" s="537">
        <f t="shared" si="0"/>
        <v>0</v>
      </c>
      <c r="M13" s="537" t="str">
        <f t="shared" si="1"/>
        <v/>
      </c>
      <c r="N13" s="538" t="str">
        <f t="shared" si="2"/>
        <v xml:space="preserve">Acuerdo # 003 del 20 de Mayo de 2020. </v>
      </c>
      <c r="O13" s="521" t="s">
        <v>884</v>
      </c>
      <c r="P13" s="519"/>
    </row>
    <row r="14" spans="1:18" ht="36" x14ac:dyDescent="0.25">
      <c r="A14" s="357" t="s">
        <v>1160</v>
      </c>
      <c r="B14" s="358" t="s">
        <v>348</v>
      </c>
      <c r="C14" s="536">
        <f>+'9RUNAP'!D9</f>
        <v>0.49956081000878377</v>
      </c>
      <c r="D14" s="516"/>
      <c r="E14" s="516"/>
      <c r="F14" s="516"/>
      <c r="H14" s="513">
        <f>+'9RUNAP'!F12</f>
        <v>0</v>
      </c>
      <c r="I14" s="513" t="str">
        <f>+'9RUNAP'!E13</f>
        <v>Proyecto No 3.2. Ecosistemas marino costeros.</v>
      </c>
      <c r="J14" s="513" t="str">
        <f>+'9RUNAP'!E14</f>
        <v>Acuerdo # 003 del 20 de Mayo de 2020</v>
      </c>
      <c r="L14" s="537" t="str">
        <f t="shared" si="0"/>
        <v/>
      </c>
      <c r="M14" s="537" t="str">
        <f t="shared" si="1"/>
        <v>Proyecto No 3.2. Ecosistemas marino costeros.</v>
      </c>
      <c r="N14" s="538" t="str">
        <f t="shared" si="2"/>
        <v>Acuerdo # 003 del 20 de Mayo de 2020</v>
      </c>
      <c r="O14" s="521" t="s">
        <v>884</v>
      </c>
      <c r="P14" s="519"/>
    </row>
    <row r="15" spans="1:18" ht="25.5" x14ac:dyDescent="0.25">
      <c r="A15" s="357" t="s">
        <v>1161</v>
      </c>
      <c r="B15" s="358" t="s">
        <v>396</v>
      </c>
      <c r="C15" s="536" t="str">
        <f>'10Paramos'!D8</f>
        <v>NO APLICA</v>
      </c>
      <c r="D15" s="516"/>
      <c r="E15" s="516"/>
      <c r="F15" s="516"/>
      <c r="H15" s="513">
        <f>'10Paramos'!F11</f>
        <v>0</v>
      </c>
      <c r="I15" s="513">
        <f>'10Paramos'!E12</f>
        <v>0</v>
      </c>
      <c r="J15" s="513" t="str">
        <f>'10Paramos'!E13</f>
        <v xml:space="preserve">Acuerdo # 003 del 20 de Mayo de 2020. </v>
      </c>
      <c r="L15" s="537">
        <f t="shared" si="0"/>
        <v>0</v>
      </c>
      <c r="M15" s="537" t="str">
        <f t="shared" si="1"/>
        <v/>
      </c>
      <c r="N15" s="538" t="str">
        <f t="shared" si="2"/>
        <v xml:space="preserve">Acuerdo # 003 del 20 de Mayo de 2020. </v>
      </c>
      <c r="O15" s="521" t="s">
        <v>884</v>
      </c>
      <c r="P15" s="519"/>
    </row>
    <row r="16" spans="1:18" ht="24" x14ac:dyDescent="0.25">
      <c r="A16" s="357" t="s">
        <v>1162</v>
      </c>
      <c r="B16" s="358" t="s">
        <v>418</v>
      </c>
      <c r="C16" s="536" t="str">
        <f>+'11Forest'!D8</f>
        <v>NO APLICA</v>
      </c>
      <c r="D16" s="516"/>
      <c r="E16" s="516"/>
      <c r="F16" s="516"/>
      <c r="H16" s="513">
        <f>+'11Forest'!F11</f>
        <v>0</v>
      </c>
      <c r="I16" s="513">
        <f>+'11Forest'!E12</f>
        <v>0</v>
      </c>
      <c r="J16" s="513" t="str">
        <f>+'11Forest'!E13</f>
        <v>Acuerdo # 003 del 20 de Mayo de 2020</v>
      </c>
      <c r="L16" s="537">
        <f t="shared" si="0"/>
        <v>0</v>
      </c>
      <c r="M16" s="537" t="str">
        <f t="shared" si="1"/>
        <v/>
      </c>
      <c r="N16" s="538" t="str">
        <f t="shared" si="2"/>
        <v>Acuerdo # 003 del 20 de Mayo de 2020</v>
      </c>
      <c r="O16" s="521" t="s">
        <v>884</v>
      </c>
      <c r="P16" s="519"/>
    </row>
    <row r="17" spans="1:16" ht="36" x14ac:dyDescent="0.25">
      <c r="A17" s="357" t="s">
        <v>1163</v>
      </c>
      <c r="B17" s="358" t="s">
        <v>449</v>
      </c>
      <c r="C17" s="536">
        <f>+'12PlanesAP'!D8</f>
        <v>0.66666666666666663</v>
      </c>
      <c r="D17" s="516"/>
      <c r="E17" s="516"/>
      <c r="F17" s="516"/>
      <c r="H17" s="513">
        <f>+'12PlanesAP'!F11</f>
        <v>0</v>
      </c>
      <c r="I17" s="513" t="str">
        <f>+'12PlanesAP'!E12</f>
        <v>Proyecto No 3.1. Ecosistemas estratégicos continentales.</v>
      </c>
      <c r="J17" s="513" t="str">
        <f>+'12PlanesAP'!E13</f>
        <v xml:space="preserve">Acuerdo # 003 del 20 de Mayo de 2020. </v>
      </c>
      <c r="L17" s="537" t="str">
        <f t="shared" si="0"/>
        <v/>
      </c>
      <c r="M17" s="537" t="str">
        <f t="shared" si="1"/>
        <v>Proyecto No 3.1. Ecosistemas estratégicos continentales.</v>
      </c>
      <c r="N17" s="538" t="str">
        <f t="shared" si="2"/>
        <v xml:space="preserve">Acuerdo # 003 del 20 de Mayo de 2020. </v>
      </c>
      <c r="O17" s="521" t="s">
        <v>884</v>
      </c>
      <c r="P17" s="519"/>
    </row>
    <row r="18" spans="1:16" ht="36" x14ac:dyDescent="0.25">
      <c r="A18" s="357" t="s">
        <v>1164</v>
      </c>
      <c r="B18" s="358" t="s">
        <v>480</v>
      </c>
      <c r="C18" s="536">
        <f>+'13Amenaz'!D8</f>
        <v>0.4375</v>
      </c>
      <c r="D18" s="516"/>
      <c r="E18" s="516"/>
      <c r="F18" s="516"/>
      <c r="H18" s="513">
        <f>+'13Amenaz'!F11</f>
        <v>0</v>
      </c>
      <c r="I18" s="513" t="str">
        <f>+'13Amenaz'!E12</f>
        <v>Proyecto No 3.3. Protección y conservación de la biodiversidad</v>
      </c>
      <c r="J18" s="513" t="str">
        <f>+'13Amenaz'!E13</f>
        <v>Acuerdo # 003 del 20 de Mayo de 2020</v>
      </c>
      <c r="L18" s="537" t="str">
        <f t="shared" si="0"/>
        <v/>
      </c>
      <c r="M18" s="537" t="str">
        <f t="shared" si="1"/>
        <v>Proyecto No 3.3. Protección y conservación de la biodiversidad</v>
      </c>
      <c r="N18" s="538" t="str">
        <f t="shared" si="2"/>
        <v>Acuerdo # 003 del 20 de Mayo de 2020</v>
      </c>
      <c r="O18" s="521" t="s">
        <v>884</v>
      </c>
      <c r="P18" s="519"/>
    </row>
    <row r="19" spans="1:16" ht="36" x14ac:dyDescent="0.25">
      <c r="A19" s="357" t="s">
        <v>1165</v>
      </c>
      <c r="B19" s="358" t="s">
        <v>526</v>
      </c>
      <c r="C19" s="536">
        <f>+'14Invasor'!D8</f>
        <v>1</v>
      </c>
      <c r="D19" s="516"/>
      <c r="E19" s="516"/>
      <c r="F19" s="516"/>
      <c r="H19" s="513">
        <f>+'14Invasor'!F11</f>
        <v>0</v>
      </c>
      <c r="I19" s="513" t="str">
        <f>+'14Invasor'!E12</f>
        <v>Proyecto No 3.3. Protección y conservación de la biodiversidad</v>
      </c>
      <c r="J19" s="513" t="str">
        <f>+'14Invasor'!E13</f>
        <v>Acuerdo # 003 del 20 de Mayo de 2020</v>
      </c>
      <c r="L19" s="537" t="str">
        <f t="shared" si="0"/>
        <v/>
      </c>
      <c r="M19" s="537" t="str">
        <f t="shared" si="1"/>
        <v>Proyecto No 3.3. Protección y conservación de la biodiversidad</v>
      </c>
      <c r="N19" s="538" t="str">
        <f t="shared" si="2"/>
        <v>Acuerdo # 003 del 20 de Mayo de 2020</v>
      </c>
      <c r="O19" s="521" t="s">
        <v>884</v>
      </c>
      <c r="P19" s="519"/>
    </row>
    <row r="20" spans="1:16" ht="36" x14ac:dyDescent="0.25">
      <c r="A20" s="357" t="s">
        <v>1166</v>
      </c>
      <c r="B20" s="358" t="s">
        <v>557</v>
      </c>
      <c r="C20" s="536">
        <f>+'15Restaura'!D8</f>
        <v>0.73769338959212372</v>
      </c>
      <c r="D20" s="516"/>
      <c r="E20" s="516"/>
      <c r="F20" s="516"/>
      <c r="H20" s="513">
        <f>+'15Restaura'!F11</f>
        <v>0</v>
      </c>
      <c r="I20" s="513" t="str">
        <f>+'15Restaura'!E12</f>
        <v>Proyecto No 3.3. Protección y conservación de la biodiversidad</v>
      </c>
      <c r="J20" s="513" t="str">
        <f>+'15Restaura'!E13</f>
        <v>Acuerdo # 003 del 20 de Mayo de 2020</v>
      </c>
      <c r="L20" s="537" t="str">
        <f t="shared" si="0"/>
        <v/>
      </c>
      <c r="M20" s="537" t="str">
        <f t="shared" si="1"/>
        <v>Proyecto No 3.3. Protección y conservación de la biodiversidad</v>
      </c>
      <c r="N20" s="538" t="str">
        <f t="shared" si="2"/>
        <v>Acuerdo # 003 del 20 de Mayo de 2020</v>
      </c>
      <c r="O20" s="521" t="s">
        <v>884</v>
      </c>
      <c r="P20" s="519"/>
    </row>
    <row r="21" spans="1:16" ht="36" x14ac:dyDescent="0.25">
      <c r="A21" s="357" t="s">
        <v>1167</v>
      </c>
      <c r="B21" s="358" t="s">
        <v>585</v>
      </c>
      <c r="C21" s="536">
        <f>+'16MIZC'!D8</f>
        <v>0.34250000000000003</v>
      </c>
      <c r="D21" s="516"/>
      <c r="E21" s="516"/>
      <c r="F21" s="516"/>
      <c r="H21" s="513">
        <f>+'16MIZC'!F11</f>
        <v>0</v>
      </c>
      <c r="I21" s="513" t="str">
        <f>+'16MIZC'!E12</f>
        <v>Proyecto No 3.2. Ecosistemas marino costeros.</v>
      </c>
      <c r="J21" s="513" t="str">
        <f>+'16MIZC'!E13</f>
        <v xml:space="preserve">Acuerdo # 003 del 20 de Mayo de 2020. </v>
      </c>
      <c r="L21" s="537" t="str">
        <f t="shared" si="0"/>
        <v/>
      </c>
      <c r="M21" s="537" t="str">
        <f t="shared" si="1"/>
        <v>Proyecto No 3.2. Ecosistemas marino costeros.</v>
      </c>
      <c r="N21" s="538" t="str">
        <f t="shared" si="2"/>
        <v xml:space="preserve">Acuerdo # 003 del 20 de Mayo de 2020. </v>
      </c>
      <c r="O21" s="521" t="s">
        <v>884</v>
      </c>
      <c r="P21" s="519"/>
    </row>
    <row r="22" spans="1:16" ht="60" x14ac:dyDescent="0.25">
      <c r="A22" s="357" t="s">
        <v>1168</v>
      </c>
      <c r="B22" s="358" t="s">
        <v>634</v>
      </c>
      <c r="C22" s="536">
        <f>+'17PGIRS'!D8</f>
        <v>0.73333333333333328</v>
      </c>
      <c r="D22" s="516"/>
      <c r="E22" s="516"/>
      <c r="F22" s="516"/>
      <c r="H22" s="513">
        <f>+'17PGIRS'!F11</f>
        <v>0</v>
      </c>
      <c r="I22" s="513" t="str">
        <f>+'17PGIRS'!E12</f>
        <v>Proyecto 6.1. Evaluación, Seguimiento, Monitoreo y Control de la calidad de los recursos naturales y la biodiversidad.</v>
      </c>
      <c r="J22" s="513" t="str">
        <f>+'17PGIRS'!E13</f>
        <v>Acuerdo # 003 del 20 de Mayo de 2020</v>
      </c>
      <c r="L22" s="537" t="str">
        <f t="shared" si="0"/>
        <v/>
      </c>
      <c r="M22" s="537" t="str">
        <f t="shared" si="1"/>
        <v>Proyecto 6.1. Evaluación, Seguimiento, Monitoreo y Control de la calidad de los recursos naturales y la biodiversidad.</v>
      </c>
      <c r="N22" s="538" t="str">
        <f t="shared" si="2"/>
        <v>Acuerdo # 003 del 20 de Mayo de 2020</v>
      </c>
      <c r="O22" s="521" t="s">
        <v>884</v>
      </c>
      <c r="P22" s="519"/>
    </row>
    <row r="23" spans="1:16" ht="25.5" x14ac:dyDescent="0.25">
      <c r="A23" s="357" t="s">
        <v>1169</v>
      </c>
      <c r="B23" s="358" t="s">
        <v>655</v>
      </c>
      <c r="C23" s="536">
        <f>+'18Sector'!D8</f>
        <v>1</v>
      </c>
      <c r="D23" s="516"/>
      <c r="E23" s="516"/>
      <c r="F23" s="516"/>
      <c r="H23" s="513">
        <f>+'18Sector'!F11</f>
        <v>0</v>
      </c>
      <c r="I23" s="513" t="str">
        <f>+'18Sector'!E12</f>
        <v>Proyecto No 4.2. Gestión Ambiental Sectorial</v>
      </c>
      <c r="J23" s="513" t="str">
        <f>+'18Sector'!E13</f>
        <v>Acuerdo # 003 del 20 de Mayo de 2020</v>
      </c>
      <c r="L23" s="537" t="str">
        <f t="shared" si="0"/>
        <v/>
      </c>
      <c r="M23" s="537" t="str">
        <f t="shared" si="1"/>
        <v>Proyecto No 4.2. Gestión Ambiental Sectorial</v>
      </c>
      <c r="N23" s="538" t="str">
        <f t="shared" si="2"/>
        <v>Acuerdo # 003 del 20 de Mayo de 2020</v>
      </c>
      <c r="O23" s="521" t="s">
        <v>884</v>
      </c>
      <c r="P23" s="519"/>
    </row>
    <row r="24" spans="1:16" ht="24" x14ac:dyDescent="0.25">
      <c r="A24" s="357" t="s">
        <v>1170</v>
      </c>
      <c r="B24" s="358" t="s">
        <v>703</v>
      </c>
      <c r="C24" s="536">
        <f>+'19GAU'!D8</f>
        <v>0.58350000000000002</v>
      </c>
      <c r="D24" s="516"/>
      <c r="E24" s="516"/>
      <c r="F24" s="516"/>
      <c r="H24" s="513">
        <f>+'19GAU'!F11</f>
        <v>0</v>
      </c>
      <c r="I24" s="513" t="str">
        <f>+'19GAU'!E12</f>
        <v>Proyecto No 4.1. Gestión Ambiental Urbana</v>
      </c>
      <c r="J24" s="513" t="str">
        <f>+'19GAU'!E13</f>
        <v xml:space="preserve">Acuerdo # 003 del 20 de Mayo de 2020. </v>
      </c>
      <c r="L24" s="537" t="str">
        <f t="shared" si="0"/>
        <v/>
      </c>
      <c r="M24" s="537" t="str">
        <f t="shared" si="1"/>
        <v>Proyecto No 4.1. Gestión Ambiental Urbana</v>
      </c>
      <c r="N24" s="538" t="str">
        <f t="shared" si="2"/>
        <v xml:space="preserve">Acuerdo # 003 del 20 de Mayo de 2020. </v>
      </c>
      <c r="O24" s="521" t="s">
        <v>884</v>
      </c>
      <c r="P24" s="519"/>
    </row>
    <row r="25" spans="1:16" ht="25.5" x14ac:dyDescent="0.25">
      <c r="A25" s="357" t="s">
        <v>1171</v>
      </c>
      <c r="B25" s="358" t="s">
        <v>773</v>
      </c>
      <c r="C25" s="536">
        <f>+'20Negoc'!D8</f>
        <v>9.4791091002025429E-2</v>
      </c>
      <c r="D25" s="516"/>
      <c r="E25" s="516"/>
      <c r="F25" s="516"/>
      <c r="H25" s="513">
        <f>+'20Negoc'!F11</f>
        <v>0</v>
      </c>
      <c r="I25" s="513" t="str">
        <f>+'20Negoc'!E12</f>
        <v>Proyecto No 3.4. Negocios verdes y sostenibles.</v>
      </c>
      <c r="J25" s="513" t="str">
        <f>+'20Negoc'!E13</f>
        <v xml:space="preserve">Acuerdo # 003 del 20 de Mayo de 2020. </v>
      </c>
      <c r="L25" s="537" t="str">
        <f t="shared" si="0"/>
        <v/>
      </c>
      <c r="M25" s="537" t="str">
        <f t="shared" si="1"/>
        <v>Proyecto No 3.4. Negocios verdes y sostenibles.</v>
      </c>
      <c r="N25" s="538" t="str">
        <f t="shared" si="2"/>
        <v xml:space="preserve">Acuerdo # 003 del 20 de Mayo de 2020. </v>
      </c>
      <c r="O25" s="521" t="s">
        <v>884</v>
      </c>
      <c r="P25" s="519"/>
    </row>
    <row r="26" spans="1:16" ht="60" x14ac:dyDescent="0.25">
      <c r="A26" s="357" t="s">
        <v>1172</v>
      </c>
      <c r="B26" s="358" t="s">
        <v>835</v>
      </c>
      <c r="C26" s="536">
        <f>+'21TiempoT'!D8</f>
        <v>1</v>
      </c>
      <c r="D26" s="516"/>
      <c r="E26" s="516"/>
      <c r="F26" s="516"/>
      <c r="H26" s="513">
        <f>+'21TiempoT'!F11</f>
        <v>0</v>
      </c>
      <c r="I26" s="513" t="str">
        <f>+'21TiempoT'!E12</f>
        <v>Proyecto 6.1. Evaluación, Seguimiento, Monitoreo y Control de la calidad de los recursos naturales y la biodiversidad.</v>
      </c>
      <c r="J26" s="513" t="str">
        <f>+'21TiempoT'!E13</f>
        <v xml:space="preserve">Acuerdo # 003 del 20 de Mayo de 2020. </v>
      </c>
      <c r="L26" s="537" t="str">
        <f t="shared" si="0"/>
        <v/>
      </c>
      <c r="M26" s="537" t="str">
        <f t="shared" si="1"/>
        <v>Proyecto 6.1. Evaluación, Seguimiento, Monitoreo y Control de la calidad de los recursos naturales y la biodiversidad.</v>
      </c>
      <c r="N26" s="538" t="str">
        <f t="shared" si="2"/>
        <v xml:space="preserve">Acuerdo # 003 del 20 de Mayo de 2020. </v>
      </c>
      <c r="O26" s="521" t="s">
        <v>884</v>
      </c>
      <c r="P26" s="519"/>
    </row>
    <row r="27" spans="1:16" ht="60" x14ac:dyDescent="0.25">
      <c r="A27" s="357" t="s">
        <v>1173</v>
      </c>
      <c r="B27" s="358" t="s">
        <v>883</v>
      </c>
      <c r="C27" s="536">
        <f>+'22Autor'!D8</f>
        <v>0.69494791888301011</v>
      </c>
      <c r="D27" s="516"/>
      <c r="E27" s="516"/>
      <c r="F27" s="516"/>
      <c r="H27" s="513">
        <f>+'22Autor'!F11</f>
        <v>0</v>
      </c>
      <c r="I27" s="513" t="str">
        <f>+'22Autor'!E12</f>
        <v>Proyecto 6.1. Evaluación, Seguimiento, Monitoreo y Control de la calidad de los recursos naturales y la biodiversidad.</v>
      </c>
      <c r="J27" s="513" t="str">
        <f>+'22Autor'!E13</f>
        <v xml:space="preserve">Acuerdo # 003 del 20 de Mayo de 2020. </v>
      </c>
      <c r="L27" s="537" t="str">
        <f t="shared" si="0"/>
        <v/>
      </c>
      <c r="M27" s="537" t="str">
        <f t="shared" si="1"/>
        <v>Proyecto 6.1. Evaluación, Seguimiento, Monitoreo y Control de la calidad de los recursos naturales y la biodiversidad.</v>
      </c>
      <c r="N27" s="538" t="str">
        <f t="shared" si="2"/>
        <v xml:space="preserve">Acuerdo # 003 del 20 de Mayo de 2020. </v>
      </c>
      <c r="O27" s="521" t="s">
        <v>884</v>
      </c>
      <c r="P27" s="519"/>
    </row>
    <row r="28" spans="1:16" ht="60" x14ac:dyDescent="0.25">
      <c r="A28" s="357" t="s">
        <v>1174</v>
      </c>
      <c r="B28" s="358" t="s">
        <v>947</v>
      </c>
      <c r="C28" s="536">
        <f>+'22Autor'!D8</f>
        <v>0.69494791888301011</v>
      </c>
      <c r="D28" s="516"/>
      <c r="E28" s="516"/>
      <c r="F28" s="516"/>
      <c r="H28" s="513">
        <f>+'22Autor'!F11</f>
        <v>0</v>
      </c>
      <c r="I28" s="513" t="str">
        <f>+'22Autor'!E12</f>
        <v>Proyecto 6.1. Evaluación, Seguimiento, Monitoreo y Control de la calidad de los recursos naturales y la biodiversidad.</v>
      </c>
      <c r="J28" s="513" t="str">
        <f>+'22Autor'!E13</f>
        <v xml:space="preserve">Acuerdo # 003 del 20 de Mayo de 2020. </v>
      </c>
      <c r="L28" s="537" t="str">
        <f t="shared" si="0"/>
        <v/>
      </c>
      <c r="M28" s="537" t="str">
        <f t="shared" si="1"/>
        <v>Proyecto 6.1. Evaluación, Seguimiento, Monitoreo y Control de la calidad de los recursos naturales y la biodiversidad.</v>
      </c>
      <c r="N28" s="538" t="str">
        <f t="shared" si="2"/>
        <v xml:space="preserve">Acuerdo # 003 del 20 de Mayo de 2020. </v>
      </c>
      <c r="O28" s="521" t="s">
        <v>884</v>
      </c>
      <c r="P28" s="519"/>
    </row>
    <row r="29" spans="1:16" ht="60" x14ac:dyDescent="0.25">
      <c r="A29" s="357" t="s">
        <v>1175</v>
      </c>
      <c r="B29" s="358" t="s">
        <v>968</v>
      </c>
      <c r="C29" s="536">
        <f>'24POT'!D7</f>
        <v>0.13333333333333333</v>
      </c>
      <c r="D29" s="516"/>
      <c r="E29" s="516"/>
      <c r="F29" s="516"/>
      <c r="H29" s="513">
        <f>'24POT'!F10</f>
        <v>0</v>
      </c>
      <c r="I29" s="513" t="str">
        <f>'24POT'!E11</f>
        <v>Proyecto No 1.1.Planificación, Ordenamiento e Información Ambiental Territorial (1)</v>
      </c>
      <c r="J29" s="513" t="str">
        <f>'24POT'!E12</f>
        <v xml:space="preserve">Acuerdo # 003 del 20 de Mayo de 2020. </v>
      </c>
      <c r="L29" s="537" t="str">
        <f t="shared" si="0"/>
        <v/>
      </c>
      <c r="M29" s="537" t="str">
        <f t="shared" si="1"/>
        <v>Proyecto No 1.1.Planificación, Ordenamiento e Información Ambiental Territorial (1)</v>
      </c>
      <c r="N29" s="538" t="str">
        <f t="shared" si="2"/>
        <v xml:space="preserve">Acuerdo # 003 del 20 de Mayo de 2020. </v>
      </c>
      <c r="O29" s="521" t="s">
        <v>884</v>
      </c>
      <c r="P29" s="519"/>
    </row>
    <row r="30" spans="1:16" ht="36" x14ac:dyDescent="0.25">
      <c r="A30" s="357" t="s">
        <v>1176</v>
      </c>
      <c r="B30" s="358" t="s">
        <v>997</v>
      </c>
      <c r="C30" s="536">
        <f>+'25Redes'!D8</f>
        <v>3.8461538461538464E-2</v>
      </c>
      <c r="D30" s="516"/>
      <c r="E30" s="516"/>
      <c r="F30" s="516"/>
      <c r="H30" s="513">
        <f>+'25Redes'!F11</f>
        <v>0</v>
      </c>
      <c r="I30" s="513" t="str">
        <f>+'25Redes'!E12</f>
        <v>Proyecto No 1.2. Gestión del Riesgo y adaptación al Cambio Climático (2)</v>
      </c>
      <c r="J30" s="513" t="str">
        <f>+'25Redes'!E13</f>
        <v xml:space="preserve">Acuerdo # 003 del 20 de Mayo de 2020. </v>
      </c>
      <c r="L30" s="537" t="str">
        <f t="shared" si="0"/>
        <v/>
      </c>
      <c r="M30" s="537" t="str">
        <f t="shared" si="1"/>
        <v>Proyecto No 1.2. Gestión del Riesgo y adaptación al Cambio Climático (2)</v>
      </c>
      <c r="N30" s="538" t="str">
        <f t="shared" si="2"/>
        <v xml:space="preserve">Acuerdo # 003 del 20 de Mayo de 2020. </v>
      </c>
      <c r="O30" s="521" t="s">
        <v>884</v>
      </c>
      <c r="P30" s="519"/>
    </row>
    <row r="31" spans="1:16" ht="60" x14ac:dyDescent="0.25">
      <c r="A31" s="357" t="s">
        <v>1177</v>
      </c>
      <c r="B31" s="358" t="s">
        <v>1070</v>
      </c>
      <c r="C31" s="536">
        <f>+'26SIAC'!D8</f>
        <v>0.5785239624007813</v>
      </c>
      <c r="D31" s="516"/>
      <c r="E31" s="516"/>
      <c r="F31" s="516"/>
      <c r="H31" s="513">
        <f>+'26SIAC'!F11</f>
        <v>0</v>
      </c>
      <c r="I31" s="513" t="str">
        <f>+'26SIAC'!E12</f>
        <v>Proyecto No 1.1.Planificación, Ordenamiento e Información Ambiental Territorial (1)</v>
      </c>
      <c r="J31" s="513" t="str">
        <f>+'26SIAC'!E13</f>
        <v xml:space="preserve">Acuerdo # 003 del 20 de Mayo de 2020. </v>
      </c>
      <c r="L31" s="537" t="str">
        <f t="shared" si="0"/>
        <v/>
      </c>
      <c r="M31" s="537" t="str">
        <f t="shared" si="1"/>
        <v>Proyecto No 1.1.Planificación, Ordenamiento e Información Ambiental Territorial (1)</v>
      </c>
      <c r="N31" s="538" t="str">
        <f t="shared" si="2"/>
        <v xml:space="preserve">Acuerdo # 003 del 20 de Mayo de 2020. </v>
      </c>
      <c r="O31" s="521" t="s">
        <v>884</v>
      </c>
      <c r="P31" s="519"/>
    </row>
    <row r="32" spans="1:16" ht="24" x14ac:dyDescent="0.25">
      <c r="A32" s="357" t="s">
        <v>1178</v>
      </c>
      <c r="B32" s="358" t="s">
        <v>1117</v>
      </c>
      <c r="C32" s="536">
        <f>+'27Educa'!D8</f>
        <v>0.24505076268974579</v>
      </c>
      <c r="D32" s="516"/>
      <c r="E32" s="516"/>
      <c r="F32" s="516"/>
      <c r="H32" s="513">
        <f>+'27Educa'!F11</f>
        <v>0</v>
      </c>
      <c r="I32" s="513" t="str">
        <f>+'27Educa'!E12</f>
        <v>Programa No 5. Educación Ambiental</v>
      </c>
      <c r="J32" s="513" t="str">
        <f>+'27Educa'!E13</f>
        <v xml:space="preserve">Acuerdo # 003 del 11 de Mayo de 2020. </v>
      </c>
      <c r="L32" s="537" t="str">
        <f t="shared" si="0"/>
        <v/>
      </c>
      <c r="M32" s="537" t="str">
        <f t="shared" si="1"/>
        <v>Programa No 5. Educación Ambiental</v>
      </c>
      <c r="N32" s="538" t="str">
        <f t="shared" si="2"/>
        <v xml:space="preserve">Acuerdo # 003 del 11 de Mayo de 2020. </v>
      </c>
      <c r="O32" s="521" t="s">
        <v>884</v>
      </c>
      <c r="P32" s="519"/>
    </row>
  </sheetData>
  <mergeCells count="4">
    <mergeCell ref="A1:P1"/>
    <mergeCell ref="A3:P3"/>
    <mergeCell ref="A4:B4"/>
    <mergeCell ref="A2:P2"/>
  </mergeCells>
  <conditionalFormatting sqref="C6:C32">
    <cfRule type="colorScale" priority="21">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U215"/>
  <sheetViews>
    <sheetView showGridLines="0" topLeftCell="A133" zoomScaleNormal="100" workbookViewId="0">
      <selection activeCell="D136" sqref="D136:F136"/>
    </sheetView>
  </sheetViews>
  <sheetFormatPr baseColWidth="10" defaultColWidth="11.5703125" defaultRowHeight="15" x14ac:dyDescent="0.25"/>
  <cols>
    <col min="1" max="1" width="1.85546875" style="1" customWidth="1"/>
    <col min="2" max="2" width="12.85546875" style="6" customWidth="1"/>
    <col min="3" max="3" width="5.85546875" style="87" customWidth="1"/>
    <col min="4" max="4" width="34.85546875" style="1" customWidth="1"/>
    <col min="5" max="5" width="12.140625" style="1" customWidth="1"/>
    <col min="6" max="6" width="13.5703125" style="1" customWidth="1"/>
    <col min="7" max="16384" width="11.5703125" style="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0</v>
      </c>
      <c r="B5" s="1713"/>
      <c r="C5" s="1713"/>
      <c r="D5" s="1713"/>
      <c r="E5" s="1713"/>
      <c r="F5" s="1713"/>
      <c r="G5" s="1713"/>
      <c r="H5" s="1713"/>
      <c r="I5" s="1713"/>
      <c r="J5" s="1713"/>
      <c r="K5" s="1713"/>
      <c r="L5" s="1713"/>
      <c r="M5" s="1713"/>
      <c r="N5" s="1713"/>
      <c r="O5" s="1713"/>
      <c r="P5" s="1714"/>
    </row>
    <row r="6" spans="1:21" s="245" customFormat="1" x14ac:dyDescent="0.25">
      <c r="B6" s="249" t="s">
        <v>1</v>
      </c>
      <c r="C6" s="250"/>
      <c r="D6" s="248"/>
      <c r="E6" s="590"/>
      <c r="F6" s="248" t="s">
        <v>128</v>
      </c>
      <c r="G6" s="248"/>
      <c r="H6" s="248"/>
      <c r="I6" s="248"/>
      <c r="J6" s="248"/>
      <c r="K6" s="248"/>
      <c r="L6" s="248"/>
      <c r="P6" s="412"/>
    </row>
    <row r="7" spans="1:21" s="245" customFormat="1" ht="15.75" thickBot="1" x14ac:dyDescent="0.3">
      <c r="B7" s="251"/>
      <c r="C7" s="252"/>
      <c r="D7" s="248"/>
      <c r="E7" s="253"/>
      <c r="F7" s="254" t="s">
        <v>129</v>
      </c>
      <c r="G7" s="248"/>
      <c r="H7" s="248"/>
      <c r="I7" s="248"/>
      <c r="J7" s="248"/>
      <c r="K7" s="248"/>
      <c r="L7" s="248"/>
      <c r="P7" s="412"/>
    </row>
    <row r="8" spans="1:21" s="245" customFormat="1" ht="15.75" thickBot="1" x14ac:dyDescent="0.3">
      <c r="B8" s="255" t="s">
        <v>1188</v>
      </c>
      <c r="C8" s="256">
        <v>2021</v>
      </c>
      <c r="D8" s="257" t="str">
        <f ca="1">IF(E10="NO APLICA","NO APLICA",IF(E11="NO SE REPORTA","SIN INFORMACION",+H100))</f>
        <v>N.A.</v>
      </c>
      <c r="E8" s="258"/>
      <c r="F8" s="248" t="s">
        <v>130</v>
      </c>
      <c r="G8" s="248"/>
      <c r="H8" s="248"/>
      <c r="I8" s="248"/>
      <c r="J8" s="248"/>
      <c r="K8" s="248"/>
    </row>
    <row r="9" spans="1:21" customFormat="1" x14ac:dyDescent="0.25">
      <c r="A9" s="245"/>
      <c r="B9" s="497" t="s">
        <v>1189</v>
      </c>
      <c r="C9" s="304"/>
      <c r="D9" s="248"/>
      <c r="E9" s="248"/>
      <c r="F9" s="248"/>
      <c r="G9" s="248"/>
      <c r="H9" s="248"/>
      <c r="I9" s="248"/>
      <c r="J9" s="248"/>
      <c r="K9" s="248"/>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41" t="str">
        <f>IF(E11="SI SE REPORTA","¿Qué programas o proyectos del Plan de Acción están asociados al indicador? ","")</f>
        <v xml:space="preserve">¿Qué programas o proyectos del Plan de Acción están asociados al indicador? </v>
      </c>
      <c r="E12" s="1728" t="str">
        <f>'Anexo 1 Matriz Inf Gestión'!A9</f>
        <v>Proyecto No 1.1.Planificación, Ordenamiento e Información Ambiental Territorial (1)</v>
      </c>
      <c r="F12" s="1728"/>
      <c r="G12" s="1728"/>
      <c r="H12" s="1728"/>
      <c r="I12" s="1728"/>
      <c r="J12" s="1728"/>
      <c r="K12" s="1729" t="str">
        <f>'Anexo 1 Matriz Inf Gestión'!A40</f>
        <v>Proyecto No 2.1. Administración de la Oferta y Demanda del Recurso Hídrico (superficiales y subterráneas)</v>
      </c>
      <c r="L12" s="1729"/>
      <c r="M12" s="1729"/>
      <c r="N12" s="1729"/>
      <c r="O12" s="1729"/>
      <c r="P12" s="1729"/>
      <c r="Q12" s="1729"/>
      <c r="R12" s="1729"/>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304"/>
      <c r="D14" s="248"/>
      <c r="E14" s="248"/>
      <c r="F14" s="248"/>
      <c r="G14" s="248"/>
      <c r="H14" s="248"/>
      <c r="I14" s="248"/>
      <c r="J14" s="248"/>
      <c r="K14" s="248"/>
    </row>
    <row r="15" spans="1:21" ht="15.6" customHeight="1" thickBot="1" x14ac:dyDescent="0.3">
      <c r="A15" s="359"/>
      <c r="B15" s="1769" t="s">
        <v>2</v>
      </c>
      <c r="C15" s="360"/>
      <c r="D15" s="1742" t="s">
        <v>3</v>
      </c>
      <c r="E15" s="1743"/>
      <c r="F15" s="1743"/>
      <c r="G15" s="1743"/>
      <c r="H15" s="1743"/>
      <c r="I15" s="1743"/>
      <c r="J15" s="1743"/>
      <c r="K15" s="1744"/>
    </row>
    <row r="16" spans="1:21" ht="36.75" thickBot="1" x14ac:dyDescent="0.3">
      <c r="A16" s="359"/>
      <c r="B16" s="1770"/>
      <c r="C16" s="361"/>
      <c r="D16" s="287" t="s">
        <v>4</v>
      </c>
      <c r="E16" s="999">
        <v>16</v>
      </c>
      <c r="F16" s="248"/>
      <c r="G16" s="248"/>
      <c r="H16" s="248"/>
      <c r="I16" s="248"/>
      <c r="J16" s="248"/>
      <c r="K16" s="274"/>
    </row>
    <row r="17" spans="1:11" ht="36.75" thickBot="1" x14ac:dyDescent="0.3">
      <c r="A17" s="359"/>
      <c r="B17" s="1770"/>
      <c r="C17" s="361"/>
      <c r="D17" s="278" t="s">
        <v>5</v>
      </c>
      <c r="E17" s="999">
        <v>5</v>
      </c>
      <c r="F17" s="248"/>
      <c r="G17" s="248"/>
      <c r="H17" s="248"/>
      <c r="I17" s="248"/>
      <c r="J17" s="248"/>
      <c r="K17" s="274"/>
    </row>
    <row r="18" spans="1:11" ht="48.75" thickBot="1" x14ac:dyDescent="0.3">
      <c r="A18" s="359"/>
      <c r="B18" s="1770"/>
      <c r="C18" s="361"/>
      <c r="D18" s="278" t="s">
        <v>1761</v>
      </c>
      <c r="E18" s="999">
        <v>0</v>
      </c>
      <c r="F18" s="248"/>
      <c r="G18" s="248"/>
      <c r="H18" s="248"/>
      <c r="I18" s="248"/>
      <c r="J18" s="248"/>
      <c r="K18" s="274"/>
    </row>
    <row r="19" spans="1:11" ht="24.75" thickBot="1" x14ac:dyDescent="0.3">
      <c r="A19" s="359"/>
      <c r="B19" s="1770"/>
      <c r="C19" s="361"/>
      <c r="D19" s="278" t="s">
        <v>1762</v>
      </c>
      <c r="E19" s="217">
        <v>5</v>
      </c>
      <c r="F19" s="248"/>
      <c r="G19" s="248"/>
      <c r="H19" s="248"/>
      <c r="I19" s="248"/>
      <c r="J19" s="248"/>
      <c r="K19" s="274"/>
    </row>
    <row r="20" spans="1:11" ht="24.75" thickBot="1" x14ac:dyDescent="0.3">
      <c r="A20" s="359"/>
      <c r="B20" s="1770"/>
      <c r="C20" s="361"/>
      <c r="D20" s="278" t="s">
        <v>1763</v>
      </c>
      <c r="E20" s="217">
        <v>2</v>
      </c>
      <c r="F20" s="248"/>
      <c r="G20" s="248"/>
      <c r="H20" s="248"/>
      <c r="I20" s="248"/>
      <c r="J20" s="248"/>
      <c r="K20" s="274"/>
    </row>
    <row r="21" spans="1:11" ht="24.75" thickBot="1" x14ac:dyDescent="0.3">
      <c r="A21" s="359"/>
      <c r="B21" s="1771"/>
      <c r="C21" s="361"/>
      <c r="D21" s="278" t="s">
        <v>1764</v>
      </c>
      <c r="E21" s="217">
        <v>0</v>
      </c>
      <c r="F21" s="248"/>
      <c r="G21" s="248"/>
      <c r="H21" s="248"/>
      <c r="I21" s="248"/>
      <c r="J21" s="248"/>
      <c r="K21" s="274"/>
    </row>
    <row r="22" spans="1:11" ht="14.1" customHeight="1" x14ac:dyDescent="0.25">
      <c r="A22" s="359"/>
      <c r="B22" s="378"/>
      <c r="C22" s="362"/>
      <c r="D22" s="1745" t="s">
        <v>6</v>
      </c>
      <c r="E22" s="1746"/>
      <c r="F22" s="1746"/>
      <c r="G22" s="1746"/>
      <c r="H22" s="1746"/>
      <c r="I22" s="1746"/>
      <c r="J22" s="1746"/>
      <c r="K22" s="1747"/>
    </row>
    <row r="23" spans="1:11" ht="14.1" customHeight="1" thickBot="1" x14ac:dyDescent="0.3">
      <c r="A23" s="359"/>
      <c r="B23" s="378"/>
      <c r="C23" s="362"/>
      <c r="D23" s="1745" t="s">
        <v>7</v>
      </c>
      <c r="E23" s="1746"/>
      <c r="F23" s="1746"/>
      <c r="G23" s="1746"/>
      <c r="H23" s="1746"/>
      <c r="I23" s="1746"/>
      <c r="J23" s="1746"/>
      <c r="K23" s="1747"/>
    </row>
    <row r="24" spans="1:11" ht="54" customHeight="1" thickBot="1" x14ac:dyDescent="0.3">
      <c r="A24" s="359"/>
      <c r="B24" s="378"/>
      <c r="C24" s="240"/>
      <c r="D24" s="279" t="s">
        <v>8</v>
      </c>
      <c r="E24" s="279" t="s">
        <v>9</v>
      </c>
      <c r="F24" s="279" t="s">
        <v>10</v>
      </c>
      <c r="G24" s="279" t="s">
        <v>1190</v>
      </c>
      <c r="H24" s="363" t="s">
        <v>1765</v>
      </c>
      <c r="I24" s="363" t="s">
        <v>1766</v>
      </c>
      <c r="J24" s="19"/>
      <c r="K24" s="20"/>
    </row>
    <row r="25" spans="1:11" s="243" customFormat="1" ht="14.1" customHeight="1" thickBot="1" x14ac:dyDescent="0.3">
      <c r="B25" s="235"/>
      <c r="C25" s="240">
        <v>1</v>
      </c>
      <c r="D25" s="167" t="s">
        <v>11</v>
      </c>
      <c r="E25" s="167">
        <v>1504</v>
      </c>
      <c r="F25" s="167" t="s">
        <v>3087</v>
      </c>
      <c r="G25" s="197">
        <v>107853</v>
      </c>
      <c r="H25" s="30" t="s">
        <v>3088</v>
      </c>
      <c r="I25" s="242">
        <v>0.95</v>
      </c>
      <c r="J25" s="19"/>
      <c r="K25" s="20"/>
    </row>
    <row r="26" spans="1:11" s="243" customFormat="1" ht="14.1" customHeight="1" thickBot="1" x14ac:dyDescent="0.3">
      <c r="B26" s="235"/>
      <c r="C26" s="240">
        <v>2</v>
      </c>
      <c r="D26" s="167" t="s">
        <v>11</v>
      </c>
      <c r="E26" s="167">
        <v>1505</v>
      </c>
      <c r="F26" s="167" t="s">
        <v>3089</v>
      </c>
      <c r="G26" s="197">
        <v>89477</v>
      </c>
      <c r="H26" s="30" t="s">
        <v>1210</v>
      </c>
      <c r="I26" s="242">
        <v>0.95</v>
      </c>
      <c r="J26" s="19"/>
      <c r="K26" s="20"/>
    </row>
    <row r="27" spans="1:11" s="243" customFormat="1" ht="14.1" customHeight="1" thickBot="1" x14ac:dyDescent="0.3">
      <c r="B27" s="235"/>
      <c r="C27" s="240">
        <v>3</v>
      </c>
      <c r="D27" s="167" t="s">
        <v>11</v>
      </c>
      <c r="E27" s="167" t="s">
        <v>3090</v>
      </c>
      <c r="F27" s="167" t="s">
        <v>3091</v>
      </c>
      <c r="G27" s="197">
        <v>117222</v>
      </c>
      <c r="H27" s="30" t="s">
        <v>1210</v>
      </c>
      <c r="I27" s="242">
        <v>0.95</v>
      </c>
      <c r="J27" s="19"/>
      <c r="K27" s="20"/>
    </row>
    <row r="28" spans="1:11" s="243" customFormat="1" ht="14.1" customHeight="1" thickBot="1" x14ac:dyDescent="0.3">
      <c r="B28" s="235"/>
      <c r="C28" s="240">
        <v>4</v>
      </c>
      <c r="D28" s="167" t="s">
        <v>11</v>
      </c>
      <c r="E28" s="167" t="s">
        <v>3092</v>
      </c>
      <c r="F28" s="167" t="s">
        <v>3093</v>
      </c>
      <c r="G28" s="197">
        <v>38837</v>
      </c>
      <c r="H28" s="30" t="s">
        <v>3094</v>
      </c>
      <c r="I28" s="242">
        <v>0</v>
      </c>
      <c r="J28" s="19"/>
      <c r="K28" s="20"/>
    </row>
    <row r="29" spans="1:11" s="243" customFormat="1" ht="14.1" customHeight="1" thickBot="1" x14ac:dyDescent="0.3">
      <c r="B29" s="235"/>
      <c r="C29" s="240">
        <v>5</v>
      </c>
      <c r="D29" s="167" t="s">
        <v>12</v>
      </c>
      <c r="E29" s="167" t="s">
        <v>3095</v>
      </c>
      <c r="F29" s="167" t="s">
        <v>3096</v>
      </c>
      <c r="G29" s="197">
        <v>65000</v>
      </c>
      <c r="H29" s="30" t="s">
        <v>3097</v>
      </c>
      <c r="I29" s="242"/>
      <c r="J29" s="19"/>
      <c r="K29" s="20"/>
    </row>
    <row r="30" spans="1:11" s="243" customFormat="1" ht="14.1" customHeight="1" thickBot="1" x14ac:dyDescent="0.3">
      <c r="B30" s="235"/>
      <c r="C30" s="240">
        <v>6</v>
      </c>
      <c r="D30" s="167" t="s">
        <v>11</v>
      </c>
      <c r="E30" s="167"/>
      <c r="F30" s="167" t="s">
        <v>3098</v>
      </c>
      <c r="G30" s="197"/>
      <c r="H30" s="30" t="s">
        <v>3094</v>
      </c>
      <c r="I30" s="242">
        <v>0</v>
      </c>
      <c r="J30" s="19"/>
      <c r="K30" s="20"/>
    </row>
    <row r="31" spans="1:11" s="243" customFormat="1" ht="14.1" customHeight="1" thickBot="1" x14ac:dyDescent="0.3">
      <c r="B31" s="235"/>
      <c r="C31" s="240">
        <v>7</v>
      </c>
      <c r="D31" s="167" t="s">
        <v>11</v>
      </c>
      <c r="E31" s="167"/>
      <c r="F31" s="167"/>
      <c r="G31" s="197"/>
      <c r="H31" s="30"/>
      <c r="I31" s="242"/>
      <c r="J31" s="19"/>
      <c r="K31" s="20"/>
    </row>
    <row r="32" spans="1:11" s="243" customFormat="1" ht="14.1" customHeight="1" thickBot="1" x14ac:dyDescent="0.3">
      <c r="B32" s="235"/>
      <c r="C32" s="240">
        <v>8</v>
      </c>
      <c r="D32" s="167" t="s">
        <v>12</v>
      </c>
      <c r="E32" s="167" t="s">
        <v>3099</v>
      </c>
      <c r="F32" s="167" t="s">
        <v>3100</v>
      </c>
      <c r="G32" s="197">
        <v>0</v>
      </c>
      <c r="H32" s="30" t="s">
        <v>1210</v>
      </c>
      <c r="I32" s="242">
        <v>0</v>
      </c>
      <c r="J32" s="19"/>
      <c r="K32" s="20"/>
    </row>
    <row r="33" spans="1:11" s="243" customFormat="1" ht="14.1" customHeight="1" thickBot="1" x14ac:dyDescent="0.3">
      <c r="B33" s="235"/>
      <c r="C33" s="240">
        <v>9</v>
      </c>
      <c r="D33" s="167" t="s">
        <v>11</v>
      </c>
      <c r="E33" s="167"/>
      <c r="F33" s="167"/>
      <c r="G33" s="197"/>
      <c r="H33" s="30"/>
      <c r="I33" s="242"/>
      <c r="J33" s="19"/>
      <c r="K33" s="20"/>
    </row>
    <row r="34" spans="1:11" s="243" customFormat="1" ht="14.1" customHeight="1" thickBot="1" x14ac:dyDescent="0.3">
      <c r="B34" s="235"/>
      <c r="C34" s="240">
        <v>10</v>
      </c>
      <c r="D34" s="167" t="s">
        <v>11</v>
      </c>
      <c r="E34" s="167"/>
      <c r="F34" s="167"/>
      <c r="G34" s="197"/>
      <c r="H34" s="30"/>
      <c r="I34" s="242"/>
      <c r="J34" s="19"/>
      <c r="K34" s="20"/>
    </row>
    <row r="35" spans="1:11" s="243" customFormat="1" ht="14.1" customHeight="1" thickBot="1" x14ac:dyDescent="0.3">
      <c r="B35" s="235"/>
      <c r="C35" s="240">
        <v>11</v>
      </c>
      <c r="D35" s="167" t="s">
        <v>12</v>
      </c>
      <c r="E35" s="167" t="s">
        <v>3101</v>
      </c>
      <c r="F35" s="167" t="s">
        <v>3102</v>
      </c>
      <c r="G35" s="197">
        <v>0</v>
      </c>
      <c r="H35" s="30" t="s">
        <v>3094</v>
      </c>
      <c r="I35" s="242">
        <v>0</v>
      </c>
      <c r="J35" s="19"/>
      <c r="K35" s="20"/>
    </row>
    <row r="36" spans="1:11" s="243" customFormat="1" ht="14.1" customHeight="1" thickBot="1" x14ac:dyDescent="0.3">
      <c r="B36" s="235"/>
      <c r="C36" s="240">
        <v>12</v>
      </c>
      <c r="D36" s="167" t="s">
        <v>12</v>
      </c>
      <c r="E36" s="167" t="s">
        <v>3103</v>
      </c>
      <c r="F36" s="167" t="s">
        <v>3104</v>
      </c>
      <c r="G36" s="197">
        <v>422300</v>
      </c>
      <c r="H36" s="30" t="s">
        <v>3094</v>
      </c>
      <c r="I36" s="242">
        <v>1</v>
      </c>
      <c r="J36" s="19"/>
      <c r="K36" s="20"/>
    </row>
    <row r="37" spans="1:11" s="243" customFormat="1" ht="14.1" customHeight="1" thickBot="1" x14ac:dyDescent="0.3">
      <c r="B37" s="235"/>
      <c r="C37" s="240">
        <v>13</v>
      </c>
      <c r="D37" s="167" t="s">
        <v>13</v>
      </c>
      <c r="E37" s="167"/>
      <c r="F37" s="167"/>
      <c r="G37" s="197"/>
      <c r="H37" s="30"/>
      <c r="I37" s="242"/>
      <c r="J37" s="19"/>
      <c r="K37" s="20"/>
    </row>
    <row r="38" spans="1:11" s="243" customFormat="1" ht="14.1" customHeight="1" thickBot="1" x14ac:dyDescent="0.3">
      <c r="B38" s="235"/>
      <c r="C38" s="240">
        <v>14</v>
      </c>
      <c r="D38" s="167" t="s">
        <v>13</v>
      </c>
      <c r="E38" s="167"/>
      <c r="F38" s="167"/>
      <c r="G38" s="197"/>
      <c r="H38" s="30"/>
      <c r="I38" s="242"/>
      <c r="J38" s="19"/>
      <c r="K38" s="20"/>
    </row>
    <row r="39" spans="1:11" ht="14.1" customHeight="1" x14ac:dyDescent="0.25">
      <c r="A39" s="359"/>
      <c r="B39" s="378"/>
      <c r="C39" s="362"/>
      <c r="D39" s="1733" t="s">
        <v>14</v>
      </c>
      <c r="E39" s="1734"/>
      <c r="F39" s="1734"/>
      <c r="G39" s="1734"/>
      <c r="H39" s="1734"/>
      <c r="I39" s="1734"/>
      <c r="J39" s="1734"/>
      <c r="K39" s="1735"/>
    </row>
    <row r="40" spans="1:11" ht="14.1" customHeight="1" x14ac:dyDescent="0.25">
      <c r="A40" s="359"/>
      <c r="B40" s="378"/>
      <c r="C40" s="362"/>
      <c r="D40" s="1772" t="s">
        <v>15</v>
      </c>
      <c r="E40" s="1773"/>
      <c r="F40" s="1773"/>
      <c r="G40" s="1773"/>
      <c r="H40" s="1773"/>
      <c r="I40" s="1773"/>
      <c r="J40" s="1773"/>
      <c r="K40" s="1774"/>
    </row>
    <row r="41" spans="1:11" ht="14.1" customHeight="1" x14ac:dyDescent="0.25">
      <c r="A41" s="359"/>
      <c r="B41" s="378"/>
      <c r="C41" s="362"/>
      <c r="D41" s="1772" t="s">
        <v>16</v>
      </c>
      <c r="E41" s="1773"/>
      <c r="F41" s="1773"/>
      <c r="G41" s="1773"/>
      <c r="H41" s="1773"/>
      <c r="I41" s="1773"/>
      <c r="J41" s="1773"/>
      <c r="K41" s="1774"/>
    </row>
    <row r="42" spans="1:11" ht="14.1" customHeight="1" x14ac:dyDescent="0.25">
      <c r="A42" s="359"/>
      <c r="B42" s="378"/>
      <c r="C42" s="362"/>
      <c r="D42" s="1772" t="s">
        <v>17</v>
      </c>
      <c r="E42" s="1773"/>
      <c r="F42" s="1773"/>
      <c r="G42" s="1773"/>
      <c r="H42" s="1773"/>
      <c r="I42" s="1773"/>
      <c r="J42" s="1773"/>
      <c r="K42" s="1774"/>
    </row>
    <row r="43" spans="1:11" ht="14.1" customHeight="1" thickBot="1" x14ac:dyDescent="0.3">
      <c r="A43" s="359"/>
      <c r="B43" s="378"/>
      <c r="C43" s="362"/>
      <c r="D43" s="1736" t="s">
        <v>18</v>
      </c>
      <c r="E43" s="1737"/>
      <c r="F43" s="1737"/>
      <c r="G43" s="1737"/>
      <c r="H43" s="1737"/>
      <c r="I43" s="1737"/>
      <c r="J43" s="1737"/>
      <c r="K43" s="1738"/>
    </row>
    <row r="44" spans="1:11" ht="14.1" customHeight="1" thickBot="1" x14ac:dyDescent="0.3">
      <c r="A44" s="359"/>
      <c r="B44" s="378"/>
      <c r="C44" s="279" t="s">
        <v>19</v>
      </c>
      <c r="D44" s="287" t="s">
        <v>8</v>
      </c>
      <c r="E44" s="287" t="s">
        <v>9</v>
      </c>
      <c r="F44" s="280" t="s">
        <v>10</v>
      </c>
      <c r="G44" s="317" t="s">
        <v>20</v>
      </c>
      <c r="H44" s="317" t="s">
        <v>21</v>
      </c>
      <c r="I44" s="317" t="s">
        <v>22</v>
      </c>
      <c r="J44" s="317" t="s">
        <v>23</v>
      </c>
      <c r="K44" s="281"/>
    </row>
    <row r="45" spans="1:11" s="243" customFormat="1" ht="14.1" customHeight="1" thickBot="1" x14ac:dyDescent="0.3">
      <c r="B45" s="235"/>
      <c r="C45" s="240">
        <v>1</v>
      </c>
      <c r="D45" s="167" t="s">
        <v>11</v>
      </c>
      <c r="E45" s="167">
        <v>1504</v>
      </c>
      <c r="F45" s="167" t="s">
        <v>3087</v>
      </c>
      <c r="G45" s="164">
        <v>0</v>
      </c>
      <c r="H45" s="1420">
        <v>0.4</v>
      </c>
      <c r="I45" s="1158"/>
      <c r="J45" s="32"/>
      <c r="K45" s="114"/>
    </row>
    <row r="46" spans="1:11" s="243" customFormat="1" ht="14.1" customHeight="1" thickBot="1" x14ac:dyDescent="0.3">
      <c r="B46" s="235"/>
      <c r="C46" s="240">
        <v>2</v>
      </c>
      <c r="D46" s="167" t="s">
        <v>11</v>
      </c>
      <c r="E46" s="167">
        <v>1505</v>
      </c>
      <c r="F46" s="167" t="s">
        <v>3089</v>
      </c>
      <c r="G46" s="164">
        <v>0</v>
      </c>
      <c r="H46" s="1420">
        <v>0.4</v>
      </c>
      <c r="I46" s="1158"/>
      <c r="J46" s="32"/>
      <c r="K46" s="114"/>
    </row>
    <row r="47" spans="1:11" s="243" customFormat="1" ht="14.1" customHeight="1" thickBot="1" x14ac:dyDescent="0.3">
      <c r="B47" s="235"/>
      <c r="C47" s="240">
        <v>3</v>
      </c>
      <c r="D47" s="167" t="s">
        <v>11</v>
      </c>
      <c r="E47" s="167" t="s">
        <v>3090</v>
      </c>
      <c r="F47" s="478" t="s">
        <v>3091</v>
      </c>
      <c r="G47" s="164">
        <v>0</v>
      </c>
      <c r="H47" s="1420">
        <v>0.4</v>
      </c>
      <c r="I47" s="1158"/>
      <c r="J47" s="32"/>
      <c r="K47" s="114"/>
    </row>
    <row r="48" spans="1:11" s="243" customFormat="1" ht="14.1" customHeight="1" thickBot="1" x14ac:dyDescent="0.3">
      <c r="B48" s="235"/>
      <c r="C48" s="240">
        <v>4</v>
      </c>
      <c r="D48" s="167" t="s">
        <v>12</v>
      </c>
      <c r="E48" s="167" t="s">
        <v>3095</v>
      </c>
      <c r="F48" s="167" t="s">
        <v>3096</v>
      </c>
      <c r="G48" s="164">
        <v>0</v>
      </c>
      <c r="H48" s="1420">
        <v>8.3299999999999999E-2</v>
      </c>
      <c r="I48" s="1158"/>
      <c r="J48" s="32"/>
      <c r="K48" s="114"/>
    </row>
    <row r="49" spans="1:11" s="243" customFormat="1" ht="14.1" customHeight="1" thickBot="1" x14ac:dyDescent="0.3">
      <c r="B49" s="235"/>
      <c r="C49" s="240">
        <v>5</v>
      </c>
      <c r="D49" s="167" t="s">
        <v>12</v>
      </c>
      <c r="E49" s="167"/>
      <c r="F49" s="167"/>
      <c r="G49" s="32"/>
      <c r="H49" s="164"/>
      <c r="I49" s="1158"/>
      <c r="J49" s="32"/>
      <c r="K49" s="114"/>
    </row>
    <row r="50" spans="1:11" s="243" customFormat="1" ht="14.1" customHeight="1" thickBot="1" x14ac:dyDescent="0.3">
      <c r="B50" s="235"/>
      <c r="C50" s="240">
        <v>6</v>
      </c>
      <c r="D50" s="167" t="s">
        <v>11</v>
      </c>
      <c r="E50" s="167" t="s">
        <v>3092</v>
      </c>
      <c r="F50" s="167" t="s">
        <v>3093</v>
      </c>
      <c r="G50" s="164">
        <v>0</v>
      </c>
      <c r="H50" s="1420">
        <v>0.4</v>
      </c>
      <c r="I50" s="1158">
        <v>0.2</v>
      </c>
      <c r="J50" s="1158">
        <v>0.1</v>
      </c>
      <c r="K50" s="114"/>
    </row>
    <row r="51" spans="1:11" s="243" customFormat="1" ht="14.1" customHeight="1" thickBot="1" x14ac:dyDescent="0.3">
      <c r="B51" s="235"/>
      <c r="C51" s="240">
        <v>7</v>
      </c>
      <c r="D51" s="167" t="s">
        <v>11</v>
      </c>
      <c r="E51" s="167" t="s">
        <v>3105</v>
      </c>
      <c r="F51" s="167" t="s">
        <v>3098</v>
      </c>
      <c r="G51" s="32"/>
      <c r="H51" s="1420">
        <v>0.4</v>
      </c>
      <c r="I51" s="1158">
        <v>0.2</v>
      </c>
      <c r="J51" s="1158">
        <v>0.1</v>
      </c>
      <c r="K51" s="114"/>
    </row>
    <row r="52" spans="1:11" s="243" customFormat="1" ht="14.1" customHeight="1" thickBot="1" x14ac:dyDescent="0.3">
      <c r="B52" s="235"/>
      <c r="C52" s="240">
        <v>8</v>
      </c>
      <c r="D52" s="167" t="s">
        <v>12</v>
      </c>
      <c r="E52" s="167" t="s">
        <v>3099</v>
      </c>
      <c r="F52" s="167" t="s">
        <v>3100</v>
      </c>
      <c r="G52" s="164">
        <v>0</v>
      </c>
      <c r="H52" s="1420">
        <v>8.3299999999999999E-2</v>
      </c>
      <c r="I52" s="1158"/>
      <c r="J52" s="32"/>
      <c r="K52" s="114"/>
    </row>
    <row r="53" spans="1:11" s="243" customFormat="1" ht="14.1" customHeight="1" thickBot="1" x14ac:dyDescent="0.3">
      <c r="B53" s="235"/>
      <c r="C53" s="240">
        <v>9</v>
      </c>
      <c r="D53" s="167" t="s">
        <v>12</v>
      </c>
      <c r="E53" s="167"/>
      <c r="F53" s="167"/>
      <c r="G53" s="32"/>
      <c r="H53" s="164"/>
      <c r="I53" s="1158"/>
      <c r="J53" s="32"/>
      <c r="K53" s="114"/>
    </row>
    <row r="54" spans="1:11" s="243" customFormat="1" ht="14.1" customHeight="1" thickBot="1" x14ac:dyDescent="0.3">
      <c r="B54" s="235"/>
      <c r="C54" s="240">
        <v>10</v>
      </c>
      <c r="D54" s="167" t="s">
        <v>11</v>
      </c>
      <c r="E54" s="167"/>
      <c r="F54" s="167"/>
      <c r="G54" s="32"/>
      <c r="H54" s="164"/>
      <c r="I54" s="1158"/>
      <c r="J54" s="32"/>
      <c r="K54" s="114"/>
    </row>
    <row r="55" spans="1:11" s="243" customFormat="1" ht="14.1" customHeight="1" thickBot="1" x14ac:dyDescent="0.3">
      <c r="B55" s="235"/>
      <c r="C55" s="240">
        <v>11</v>
      </c>
      <c r="D55" s="167" t="s">
        <v>11</v>
      </c>
      <c r="E55" s="167"/>
      <c r="F55" s="167"/>
      <c r="G55" s="32"/>
      <c r="H55" s="164"/>
      <c r="I55" s="1158"/>
      <c r="J55" s="32"/>
      <c r="K55" s="114"/>
    </row>
    <row r="56" spans="1:11" s="243" customFormat="1" ht="14.1" customHeight="1" thickBot="1" x14ac:dyDescent="0.3">
      <c r="B56" s="235"/>
      <c r="C56" s="240">
        <v>12</v>
      </c>
      <c r="D56" s="167" t="s">
        <v>12</v>
      </c>
      <c r="E56" s="167" t="s">
        <v>3101</v>
      </c>
      <c r="F56" s="167" t="s">
        <v>3102</v>
      </c>
      <c r="G56" s="164">
        <v>0</v>
      </c>
      <c r="H56" s="1420">
        <v>8.3299999999999999E-2</v>
      </c>
      <c r="I56" s="1158"/>
      <c r="J56" s="32"/>
      <c r="K56" s="114"/>
    </row>
    <row r="57" spans="1:11" s="243" customFormat="1" ht="14.1" customHeight="1" thickBot="1" x14ac:dyDescent="0.3">
      <c r="B57" s="235"/>
      <c r="C57" s="240">
        <v>13</v>
      </c>
      <c r="D57" s="167" t="s">
        <v>12</v>
      </c>
      <c r="E57" s="167" t="s">
        <v>3103</v>
      </c>
      <c r="F57" s="167" t="s">
        <v>3104</v>
      </c>
      <c r="G57" s="164">
        <v>0</v>
      </c>
      <c r="H57" s="1420">
        <v>8.3299999999999999E-2</v>
      </c>
      <c r="I57" s="1158"/>
      <c r="J57" s="32"/>
      <c r="K57" s="114"/>
    </row>
    <row r="58" spans="1:11" s="243" customFormat="1" ht="14.1" customHeight="1" thickBot="1" x14ac:dyDescent="0.3">
      <c r="B58" s="235"/>
      <c r="C58" s="240">
        <v>14</v>
      </c>
      <c r="D58" s="167" t="s">
        <v>13</v>
      </c>
      <c r="E58" s="167"/>
      <c r="F58" s="167"/>
      <c r="G58" s="32"/>
      <c r="H58" s="32"/>
      <c r="I58" s="32"/>
      <c r="J58" s="32"/>
      <c r="K58" s="115"/>
    </row>
    <row r="59" spans="1:11" ht="14.1" customHeight="1" x14ac:dyDescent="0.25">
      <c r="A59" s="359"/>
      <c r="B59" s="378"/>
      <c r="C59" s="362"/>
      <c r="D59" s="1742" t="s">
        <v>24</v>
      </c>
      <c r="E59" s="1743"/>
      <c r="F59" s="1743"/>
      <c r="G59" s="1743"/>
      <c r="H59" s="1743"/>
      <c r="I59" s="1743"/>
      <c r="J59" s="1743"/>
      <c r="K59" s="1744"/>
    </row>
    <row r="60" spans="1:11" ht="14.1" customHeight="1" thickBot="1" x14ac:dyDescent="0.3">
      <c r="A60" s="359"/>
      <c r="B60" s="378"/>
      <c r="C60" s="362"/>
      <c r="D60" s="1736" t="s">
        <v>25</v>
      </c>
      <c r="E60" s="1737"/>
      <c r="F60" s="1737"/>
      <c r="G60" s="1737"/>
      <c r="H60" s="1737"/>
      <c r="I60" s="1737"/>
      <c r="J60" s="1737"/>
      <c r="K60" s="1738"/>
    </row>
    <row r="61" spans="1:11" ht="14.1" customHeight="1" thickBot="1" x14ac:dyDescent="0.3">
      <c r="A61" s="359"/>
      <c r="B61" s="378"/>
      <c r="C61" s="279" t="s">
        <v>19</v>
      </c>
      <c r="D61" s="287" t="s">
        <v>8</v>
      </c>
      <c r="E61" s="287" t="s">
        <v>26</v>
      </c>
      <c r="F61" s="280" t="s">
        <v>10</v>
      </c>
      <c r="G61" s="317" t="s">
        <v>20</v>
      </c>
      <c r="H61" s="317" t="s">
        <v>21</v>
      </c>
      <c r="I61" s="317" t="s">
        <v>22</v>
      </c>
      <c r="J61" s="317" t="s">
        <v>23</v>
      </c>
      <c r="K61" s="281"/>
    </row>
    <row r="62" spans="1:11" s="243" customFormat="1" ht="14.1" customHeight="1" thickBot="1" x14ac:dyDescent="0.3">
      <c r="B62" s="235"/>
      <c r="C62" s="240">
        <v>1</v>
      </c>
      <c r="D62" s="244" t="str">
        <f>IF(ISBLANK(D45),"",D45)</f>
        <v>POMCA</v>
      </c>
      <c r="E62" s="244">
        <f t="shared" ref="E62:F75" si="0">IF(ISBLANK(E45),"",E45)</f>
        <v>1504</v>
      </c>
      <c r="F62" s="244" t="str">
        <f>IF(ISBLANK(F45),"",F45)</f>
        <v>TAPIAS</v>
      </c>
      <c r="G62" s="32"/>
      <c r="H62" s="1418">
        <v>0</v>
      </c>
      <c r="I62" s="32"/>
      <c r="J62" s="32"/>
      <c r="K62" s="114"/>
    </row>
    <row r="63" spans="1:11" s="243" customFormat="1" ht="14.1" customHeight="1" thickBot="1" x14ac:dyDescent="0.3">
      <c r="B63" s="235"/>
      <c r="C63" s="240">
        <v>2</v>
      </c>
      <c r="D63" s="244" t="str">
        <f t="shared" ref="D63:D75" si="1">IF(ISBLANK(D46),"",D46)</f>
        <v>POMCA</v>
      </c>
      <c r="E63" s="244">
        <f t="shared" si="0"/>
        <v>1505</v>
      </c>
      <c r="F63" s="244" t="str">
        <f t="shared" si="0"/>
        <v>CAMARONES</v>
      </c>
      <c r="G63" s="32"/>
      <c r="H63" s="1418">
        <v>0</v>
      </c>
      <c r="I63" s="32"/>
      <c r="J63" s="32"/>
      <c r="K63" s="114"/>
    </row>
    <row r="64" spans="1:11" s="243" customFormat="1" ht="14.1" customHeight="1" thickBot="1" x14ac:dyDescent="0.3">
      <c r="B64" s="235"/>
      <c r="C64" s="240">
        <v>3</v>
      </c>
      <c r="D64" s="244" t="str">
        <f t="shared" si="1"/>
        <v>POMCA</v>
      </c>
      <c r="E64" s="244" t="str">
        <f t="shared" si="0"/>
        <v>1503-02</v>
      </c>
      <c r="F64" s="244" t="str">
        <f t="shared" si="0"/>
        <v>ANCHO Y OTROS DIRECTOS AL CARIBE</v>
      </c>
      <c r="G64" s="32"/>
      <c r="H64" s="1418">
        <v>0</v>
      </c>
      <c r="I64" s="32"/>
      <c r="J64" s="32"/>
      <c r="K64" s="114"/>
    </row>
    <row r="65" spans="1:11" s="243" customFormat="1" ht="14.1" customHeight="1" thickBot="1" x14ac:dyDescent="0.3">
      <c r="B65" s="235"/>
      <c r="C65" s="240">
        <v>4</v>
      </c>
      <c r="D65" s="244" t="str">
        <f t="shared" si="1"/>
        <v>PMA</v>
      </c>
      <c r="E65" s="244" t="str">
        <f t="shared" si="0"/>
        <v>SAC 3.1</v>
      </c>
      <c r="F65" s="244" t="str">
        <f t="shared" si="0"/>
        <v>Sistema Acuifero de Maicao</v>
      </c>
      <c r="G65" s="32"/>
      <c r="H65" s="1158">
        <v>0</v>
      </c>
      <c r="I65" s="32"/>
      <c r="J65" s="32"/>
      <c r="K65" s="114"/>
    </row>
    <row r="66" spans="1:11" s="243" customFormat="1" ht="14.1" customHeight="1" thickBot="1" x14ac:dyDescent="0.3">
      <c r="B66" s="235"/>
      <c r="C66" s="240">
        <v>5</v>
      </c>
      <c r="D66" s="244" t="str">
        <f t="shared" si="1"/>
        <v>PMA</v>
      </c>
      <c r="E66" s="244" t="str">
        <f t="shared" si="0"/>
        <v/>
      </c>
      <c r="F66" s="244" t="str">
        <f t="shared" si="0"/>
        <v/>
      </c>
      <c r="G66" s="32"/>
      <c r="H66" s="32"/>
      <c r="I66" s="32"/>
      <c r="J66" s="32"/>
      <c r="K66" s="114"/>
    </row>
    <row r="67" spans="1:11" s="243" customFormat="1" ht="14.1" customHeight="1" thickBot="1" x14ac:dyDescent="0.3">
      <c r="B67" s="235"/>
      <c r="C67" s="240">
        <v>6</v>
      </c>
      <c r="D67" s="244" t="str">
        <f t="shared" si="1"/>
        <v>POMCA</v>
      </c>
      <c r="E67" s="244" t="str">
        <f t="shared" si="0"/>
        <v>1503-01</v>
      </c>
      <c r="F67" s="244" t="str">
        <f t="shared" si="0"/>
        <v>PALOMINO</v>
      </c>
      <c r="G67" s="32"/>
      <c r="H67" s="1158">
        <v>0</v>
      </c>
      <c r="I67" s="32"/>
      <c r="J67" s="32"/>
      <c r="K67" s="114"/>
    </row>
    <row r="68" spans="1:11" s="243" customFormat="1" ht="14.1" customHeight="1" thickBot="1" x14ac:dyDescent="0.3">
      <c r="B68" s="235"/>
      <c r="C68" s="240">
        <v>7</v>
      </c>
      <c r="D68" s="244" t="str">
        <f t="shared" si="1"/>
        <v>POMCA</v>
      </c>
      <c r="E68" s="244" t="str">
        <f t="shared" si="0"/>
        <v>2801-03</v>
      </c>
      <c r="F68" s="244" t="str">
        <f t="shared" si="0"/>
        <v>Alto del Cesar</v>
      </c>
      <c r="G68" s="32"/>
      <c r="H68" s="164">
        <v>0</v>
      </c>
      <c r="I68" s="32"/>
      <c r="J68" s="32"/>
      <c r="K68" s="114"/>
    </row>
    <row r="69" spans="1:11" s="243" customFormat="1" ht="14.1" customHeight="1" thickBot="1" x14ac:dyDescent="0.3">
      <c r="B69" s="235"/>
      <c r="C69" s="240">
        <v>8</v>
      </c>
      <c r="D69" s="244" t="str">
        <f t="shared" si="1"/>
        <v>PMA</v>
      </c>
      <c r="E69" s="244" t="str">
        <f t="shared" si="0"/>
        <v>SAC 3.2</v>
      </c>
      <c r="F69" s="244" t="str">
        <f t="shared" si="0"/>
        <v>Sistema de Acuifero Riohacha - Manaure</v>
      </c>
      <c r="G69" s="32"/>
      <c r="H69" s="164">
        <v>0</v>
      </c>
      <c r="I69" s="32"/>
      <c r="J69" s="32"/>
      <c r="K69" s="114"/>
    </row>
    <row r="70" spans="1:11" s="243" customFormat="1" ht="14.1" customHeight="1" thickBot="1" x14ac:dyDescent="0.3">
      <c r="B70" s="235"/>
      <c r="C70" s="240">
        <v>9</v>
      </c>
      <c r="D70" s="244" t="str">
        <f t="shared" si="1"/>
        <v>PMA</v>
      </c>
      <c r="E70" s="244" t="str">
        <f t="shared" si="0"/>
        <v/>
      </c>
      <c r="F70" s="244" t="str">
        <f t="shared" si="0"/>
        <v/>
      </c>
      <c r="G70" s="32"/>
      <c r="H70" s="164"/>
      <c r="I70" s="32"/>
      <c r="J70" s="32"/>
      <c r="K70" s="114"/>
    </row>
    <row r="71" spans="1:11" s="243" customFormat="1" ht="14.1" customHeight="1" thickBot="1" x14ac:dyDescent="0.3">
      <c r="B71" s="235"/>
      <c r="C71" s="240">
        <v>10</v>
      </c>
      <c r="D71" s="244" t="str">
        <f t="shared" si="1"/>
        <v>POMCA</v>
      </c>
      <c r="E71" s="244" t="str">
        <f t="shared" si="0"/>
        <v/>
      </c>
      <c r="F71" s="244" t="str">
        <f t="shared" si="0"/>
        <v/>
      </c>
      <c r="G71" s="32"/>
      <c r="H71" s="164"/>
      <c r="I71" s="32"/>
      <c r="J71" s="32"/>
      <c r="K71" s="114"/>
    </row>
    <row r="72" spans="1:11" s="243" customFormat="1" ht="14.1" customHeight="1" thickBot="1" x14ac:dyDescent="0.3">
      <c r="B72" s="235"/>
      <c r="C72" s="240">
        <v>11</v>
      </c>
      <c r="D72" s="244" t="str">
        <f t="shared" si="1"/>
        <v>POMCA</v>
      </c>
      <c r="E72" s="244" t="str">
        <f t="shared" si="0"/>
        <v/>
      </c>
      <c r="F72" s="244" t="str">
        <f t="shared" si="0"/>
        <v/>
      </c>
      <c r="G72" s="32"/>
      <c r="H72" s="164"/>
      <c r="I72" s="32"/>
      <c r="J72" s="32"/>
      <c r="K72" s="114"/>
    </row>
    <row r="73" spans="1:11" s="243" customFormat="1" ht="14.1" customHeight="1" thickBot="1" x14ac:dyDescent="0.3">
      <c r="B73" s="235"/>
      <c r="C73" s="240">
        <v>12</v>
      </c>
      <c r="D73" s="244" t="str">
        <f t="shared" si="1"/>
        <v>PMA</v>
      </c>
      <c r="E73" s="244" t="str">
        <f t="shared" si="0"/>
        <v>SAC 3.3</v>
      </c>
      <c r="F73" s="244" t="str">
        <f t="shared" si="0"/>
        <v>Sistema de Acuifero Alta Guajira</v>
      </c>
      <c r="G73" s="32"/>
      <c r="H73" s="164">
        <v>0</v>
      </c>
      <c r="I73" s="32"/>
      <c r="J73" s="32"/>
      <c r="K73" s="114"/>
    </row>
    <row r="74" spans="1:11" s="243" customFormat="1" ht="14.1" customHeight="1" thickBot="1" x14ac:dyDescent="0.3">
      <c r="B74" s="235"/>
      <c r="C74" s="240">
        <v>13</v>
      </c>
      <c r="D74" s="244" t="str">
        <f t="shared" si="1"/>
        <v>PMA</v>
      </c>
      <c r="E74" s="244" t="str">
        <f t="shared" si="0"/>
        <v>SAC 4.2</v>
      </c>
      <c r="F74" s="244" t="str">
        <f t="shared" si="0"/>
        <v>Sistema de Acuifero Ranchería</v>
      </c>
      <c r="G74" s="32"/>
      <c r="H74" s="164">
        <v>0</v>
      </c>
      <c r="I74" s="32"/>
      <c r="J74" s="32"/>
      <c r="K74" s="114"/>
    </row>
    <row r="75" spans="1:11" s="243" customFormat="1" ht="14.1" customHeight="1" thickBot="1" x14ac:dyDescent="0.3">
      <c r="B75" s="235"/>
      <c r="C75" s="240">
        <v>14</v>
      </c>
      <c r="D75" s="244" t="str">
        <f t="shared" si="1"/>
        <v>PMM</v>
      </c>
      <c r="E75" s="244" t="str">
        <f t="shared" si="0"/>
        <v/>
      </c>
      <c r="F75" s="244" t="str">
        <f t="shared" si="0"/>
        <v/>
      </c>
      <c r="G75" s="32"/>
      <c r="H75" s="32"/>
      <c r="I75" s="32"/>
      <c r="J75" s="32"/>
      <c r="K75" s="114"/>
    </row>
    <row r="76" spans="1:11" ht="14.1" customHeight="1" x14ac:dyDescent="0.25">
      <c r="A76" s="359"/>
      <c r="B76" s="378"/>
      <c r="C76" s="362"/>
      <c r="D76" s="1742" t="s">
        <v>14</v>
      </c>
      <c r="E76" s="1743"/>
      <c r="F76" s="1743"/>
      <c r="G76" s="1743"/>
      <c r="H76" s="1743"/>
      <c r="I76" s="1743"/>
      <c r="J76" s="1743"/>
      <c r="K76" s="1744"/>
    </row>
    <row r="77" spans="1:11" ht="14.1" customHeight="1" x14ac:dyDescent="0.25">
      <c r="A77" s="359"/>
      <c r="B77" s="378"/>
      <c r="C77" s="362"/>
      <c r="D77" s="1733" t="s">
        <v>27</v>
      </c>
      <c r="E77" s="1734"/>
      <c r="F77" s="1734"/>
      <c r="G77" s="1734"/>
      <c r="H77" s="1734"/>
      <c r="I77" s="1734"/>
      <c r="J77" s="1734"/>
      <c r="K77" s="1735"/>
    </row>
    <row r="78" spans="1:11" ht="14.1" customHeight="1" thickBot="1" x14ac:dyDescent="0.3">
      <c r="A78" s="359"/>
      <c r="B78" s="378"/>
      <c r="C78" s="362"/>
      <c r="D78" s="1736" t="s">
        <v>28</v>
      </c>
      <c r="E78" s="1737"/>
      <c r="F78" s="1737"/>
      <c r="G78" s="1737"/>
      <c r="H78" s="1737"/>
      <c r="I78" s="1737"/>
      <c r="J78" s="1737"/>
      <c r="K78" s="1738"/>
    </row>
    <row r="79" spans="1:11" ht="14.1" customHeight="1" thickBot="1" x14ac:dyDescent="0.3">
      <c r="A79" s="359"/>
      <c r="B79" s="378"/>
      <c r="C79" s="365" t="s">
        <v>19</v>
      </c>
      <c r="D79" s="332" t="s">
        <v>8</v>
      </c>
      <c r="E79" s="332" t="s">
        <v>26</v>
      </c>
      <c r="F79" s="366" t="s">
        <v>10</v>
      </c>
      <c r="G79" s="366" t="s">
        <v>20</v>
      </c>
      <c r="H79" s="366" t="s">
        <v>21</v>
      </c>
      <c r="I79" s="366" t="s">
        <v>22</v>
      </c>
      <c r="J79" s="366" t="s">
        <v>23</v>
      </c>
      <c r="K79" s="281"/>
    </row>
    <row r="80" spans="1:11" ht="14.1" customHeight="1" thickBot="1" x14ac:dyDescent="0.3">
      <c r="A80" s="359"/>
      <c r="B80" s="378"/>
      <c r="C80" s="345">
        <v>1</v>
      </c>
      <c r="D80" s="367" t="str">
        <f t="shared" ref="D80:F93" si="2">IF(ISBLANK(D62),"",D62)</f>
        <v>POMCA</v>
      </c>
      <c r="E80" s="1417">
        <f t="shared" si="2"/>
        <v>1504</v>
      </c>
      <c r="F80" s="367" t="str">
        <f t="shared" si="2"/>
        <v>TAPIAS</v>
      </c>
      <c r="G80" s="740" t="str">
        <f t="shared" ref="G80:J93" si="3">IFERROR(G62/G45,"N.A.")</f>
        <v>N.A.</v>
      </c>
      <c r="H80" s="368">
        <f t="shared" si="3"/>
        <v>0</v>
      </c>
      <c r="I80" s="368" t="str">
        <f t="shared" si="3"/>
        <v>N.A.</v>
      </c>
      <c r="J80" s="368" t="str">
        <f t="shared" si="3"/>
        <v>N.A.</v>
      </c>
      <c r="K80" s="364"/>
    </row>
    <row r="81" spans="1:11" ht="14.1" customHeight="1" thickBot="1" x14ac:dyDescent="0.3">
      <c r="A81" s="359"/>
      <c r="B81" s="378"/>
      <c r="C81" s="345">
        <v>2</v>
      </c>
      <c r="D81" s="367" t="str">
        <f t="shared" si="2"/>
        <v>POMCA</v>
      </c>
      <c r="E81" s="1417">
        <f t="shared" si="2"/>
        <v>1505</v>
      </c>
      <c r="F81" s="367" t="str">
        <f t="shared" si="2"/>
        <v>CAMARONES</v>
      </c>
      <c r="G81" s="740" t="str">
        <f t="shared" si="3"/>
        <v>N.A.</v>
      </c>
      <c r="H81" s="368">
        <f t="shared" si="3"/>
        <v>0</v>
      </c>
      <c r="I81" s="368" t="str">
        <f t="shared" si="3"/>
        <v>N.A.</v>
      </c>
      <c r="J81" s="368" t="str">
        <f t="shared" si="3"/>
        <v>N.A.</v>
      </c>
      <c r="K81" s="364"/>
    </row>
    <row r="82" spans="1:11" ht="14.1" customHeight="1" thickBot="1" x14ac:dyDescent="0.3">
      <c r="A82" s="359"/>
      <c r="B82" s="378"/>
      <c r="C82" s="345">
        <v>3</v>
      </c>
      <c r="D82" s="367" t="str">
        <f t="shared" si="2"/>
        <v>POMCA</v>
      </c>
      <c r="E82" s="1417" t="str">
        <f t="shared" si="2"/>
        <v>1503-02</v>
      </c>
      <c r="F82" s="367" t="str">
        <f t="shared" si="2"/>
        <v>ANCHO Y OTROS DIRECTOS AL CARIBE</v>
      </c>
      <c r="G82" s="368" t="str">
        <f t="shared" si="3"/>
        <v>N.A.</v>
      </c>
      <c r="H82" s="368">
        <f t="shared" si="3"/>
        <v>0</v>
      </c>
      <c r="I82" s="368" t="str">
        <f t="shared" si="3"/>
        <v>N.A.</v>
      </c>
      <c r="J82" s="368" t="str">
        <f t="shared" si="3"/>
        <v>N.A.</v>
      </c>
      <c r="K82" s="364"/>
    </row>
    <row r="83" spans="1:11" ht="14.1" customHeight="1" thickBot="1" x14ac:dyDescent="0.3">
      <c r="A83" s="359"/>
      <c r="B83" s="378"/>
      <c r="C83" s="345">
        <v>4</v>
      </c>
      <c r="D83" s="367" t="str">
        <f t="shared" si="2"/>
        <v>PMA</v>
      </c>
      <c r="E83" s="1417" t="str">
        <f t="shared" si="2"/>
        <v>SAC 3.1</v>
      </c>
      <c r="F83" s="367" t="str">
        <f t="shared" si="2"/>
        <v>Sistema Acuifero de Maicao</v>
      </c>
      <c r="G83" s="368" t="str">
        <f t="shared" si="3"/>
        <v>N.A.</v>
      </c>
      <c r="H83" s="368">
        <f t="shared" si="3"/>
        <v>0</v>
      </c>
      <c r="I83" s="368" t="str">
        <f t="shared" si="3"/>
        <v>N.A.</v>
      </c>
      <c r="J83" s="368" t="str">
        <f t="shared" si="3"/>
        <v>N.A.</v>
      </c>
      <c r="K83" s="364"/>
    </row>
    <row r="84" spans="1:11" ht="14.1" customHeight="1" thickBot="1" x14ac:dyDescent="0.3">
      <c r="A84" s="359"/>
      <c r="B84" s="378"/>
      <c r="C84" s="345">
        <v>5</v>
      </c>
      <c r="D84" s="367" t="str">
        <f t="shared" si="2"/>
        <v>PMA</v>
      </c>
      <c r="E84" s="1417" t="str">
        <f t="shared" si="2"/>
        <v/>
      </c>
      <c r="F84" s="367" t="str">
        <f t="shared" si="2"/>
        <v/>
      </c>
      <c r="G84" s="368" t="str">
        <f t="shared" si="3"/>
        <v>N.A.</v>
      </c>
      <c r="H84" s="368" t="str">
        <f t="shared" si="3"/>
        <v>N.A.</v>
      </c>
      <c r="I84" s="368" t="str">
        <f t="shared" si="3"/>
        <v>N.A.</v>
      </c>
      <c r="J84" s="368" t="str">
        <f t="shared" si="3"/>
        <v>N.A.</v>
      </c>
      <c r="K84" s="364"/>
    </row>
    <row r="85" spans="1:11" ht="14.1" customHeight="1" thickBot="1" x14ac:dyDescent="0.3">
      <c r="A85" s="359"/>
      <c r="B85" s="378"/>
      <c r="C85" s="345">
        <v>6</v>
      </c>
      <c r="D85" s="367" t="str">
        <f t="shared" si="2"/>
        <v>POMCA</v>
      </c>
      <c r="E85" s="1417" t="str">
        <f t="shared" si="2"/>
        <v>1503-01</v>
      </c>
      <c r="F85" s="367" t="str">
        <f t="shared" si="2"/>
        <v>PALOMINO</v>
      </c>
      <c r="G85" s="368" t="str">
        <f t="shared" si="3"/>
        <v>N.A.</v>
      </c>
      <c r="H85" s="368">
        <f t="shared" si="3"/>
        <v>0</v>
      </c>
      <c r="I85" s="368">
        <f t="shared" si="3"/>
        <v>0</v>
      </c>
      <c r="J85" s="368">
        <f t="shared" si="3"/>
        <v>0</v>
      </c>
      <c r="K85" s="284"/>
    </row>
    <row r="86" spans="1:11" ht="14.1" customHeight="1" thickBot="1" x14ac:dyDescent="0.3">
      <c r="A86" s="359"/>
      <c r="B86" s="378"/>
      <c r="C86" s="345">
        <v>7</v>
      </c>
      <c r="D86" s="367" t="str">
        <f t="shared" si="2"/>
        <v>POMCA</v>
      </c>
      <c r="E86" s="367" t="str">
        <f t="shared" si="2"/>
        <v>2801-03</v>
      </c>
      <c r="F86" s="367" t="str">
        <f t="shared" si="2"/>
        <v>Alto del Cesar</v>
      </c>
      <c r="G86" s="368" t="str">
        <f t="shared" si="3"/>
        <v>N.A.</v>
      </c>
      <c r="H86" s="368">
        <f t="shared" si="3"/>
        <v>0</v>
      </c>
      <c r="I86" s="368">
        <f t="shared" si="3"/>
        <v>0</v>
      </c>
      <c r="J86" s="368">
        <f t="shared" si="3"/>
        <v>0</v>
      </c>
      <c r="K86" s="364"/>
    </row>
    <row r="87" spans="1:11" ht="14.1" customHeight="1" thickBot="1" x14ac:dyDescent="0.3">
      <c r="A87" s="359"/>
      <c r="B87" s="378"/>
      <c r="C87" s="345">
        <v>8</v>
      </c>
      <c r="D87" s="367" t="str">
        <f t="shared" si="2"/>
        <v>PMA</v>
      </c>
      <c r="E87" s="367" t="str">
        <f t="shared" si="2"/>
        <v>SAC 3.2</v>
      </c>
      <c r="F87" s="367" t="str">
        <f t="shared" si="2"/>
        <v>Sistema de Acuifero Riohacha - Manaure</v>
      </c>
      <c r="G87" s="368" t="str">
        <f t="shared" si="3"/>
        <v>N.A.</v>
      </c>
      <c r="H87" s="368">
        <f t="shared" si="3"/>
        <v>0</v>
      </c>
      <c r="I87" s="368" t="str">
        <f t="shared" si="3"/>
        <v>N.A.</v>
      </c>
      <c r="J87" s="368" t="str">
        <f t="shared" si="3"/>
        <v>N.A.</v>
      </c>
      <c r="K87" s="364"/>
    </row>
    <row r="88" spans="1:11" ht="14.1" customHeight="1" thickBot="1" x14ac:dyDescent="0.3">
      <c r="A88" s="359"/>
      <c r="B88" s="378"/>
      <c r="C88" s="345">
        <v>9</v>
      </c>
      <c r="D88" s="367" t="str">
        <f t="shared" si="2"/>
        <v>PMA</v>
      </c>
      <c r="E88" s="367" t="str">
        <f t="shared" si="2"/>
        <v/>
      </c>
      <c r="F88" s="367" t="str">
        <f t="shared" si="2"/>
        <v/>
      </c>
      <c r="G88" s="368" t="str">
        <f t="shared" si="3"/>
        <v>N.A.</v>
      </c>
      <c r="H88" s="368" t="str">
        <f t="shared" si="3"/>
        <v>N.A.</v>
      </c>
      <c r="I88" s="368" t="str">
        <f t="shared" si="3"/>
        <v>N.A.</v>
      </c>
      <c r="J88" s="368" t="str">
        <f t="shared" si="3"/>
        <v>N.A.</v>
      </c>
      <c r="K88" s="364"/>
    </row>
    <row r="89" spans="1:11" ht="14.1" customHeight="1" thickBot="1" x14ac:dyDescent="0.3">
      <c r="A89" s="359"/>
      <c r="B89" s="378"/>
      <c r="C89" s="345">
        <v>10</v>
      </c>
      <c r="D89" s="367" t="str">
        <f t="shared" si="2"/>
        <v>POMCA</v>
      </c>
      <c r="E89" s="367" t="str">
        <f t="shared" si="2"/>
        <v/>
      </c>
      <c r="F89" s="367" t="str">
        <f t="shared" si="2"/>
        <v/>
      </c>
      <c r="G89" s="368" t="str">
        <f t="shared" si="3"/>
        <v>N.A.</v>
      </c>
      <c r="H89" s="368" t="str">
        <f t="shared" si="3"/>
        <v>N.A.</v>
      </c>
      <c r="I89" s="368" t="str">
        <f t="shared" si="3"/>
        <v>N.A.</v>
      </c>
      <c r="J89" s="368" t="str">
        <f t="shared" si="3"/>
        <v>N.A.</v>
      </c>
      <c r="K89" s="284"/>
    </row>
    <row r="90" spans="1:11" ht="14.1" customHeight="1" thickBot="1" x14ac:dyDescent="0.3">
      <c r="A90" s="359"/>
      <c r="B90" s="378"/>
      <c r="C90" s="345">
        <v>11</v>
      </c>
      <c r="D90" s="367" t="str">
        <f t="shared" si="2"/>
        <v>POMCA</v>
      </c>
      <c r="E90" s="367" t="str">
        <f t="shared" si="2"/>
        <v/>
      </c>
      <c r="F90" s="367" t="str">
        <f t="shared" si="2"/>
        <v/>
      </c>
      <c r="G90" s="368" t="str">
        <f t="shared" si="3"/>
        <v>N.A.</v>
      </c>
      <c r="H90" s="368" t="str">
        <f t="shared" si="3"/>
        <v>N.A.</v>
      </c>
      <c r="I90" s="368" t="str">
        <f t="shared" si="3"/>
        <v>N.A.</v>
      </c>
      <c r="J90" s="368" t="str">
        <f t="shared" si="3"/>
        <v>N.A.</v>
      </c>
      <c r="K90" s="364"/>
    </row>
    <row r="91" spans="1:11" ht="14.1" customHeight="1" thickBot="1" x14ac:dyDescent="0.3">
      <c r="A91" s="359"/>
      <c r="B91" s="378"/>
      <c r="C91" s="345">
        <v>12</v>
      </c>
      <c r="D91" s="367" t="str">
        <f t="shared" si="2"/>
        <v>PMA</v>
      </c>
      <c r="E91" s="367" t="str">
        <f t="shared" si="2"/>
        <v>SAC 3.3</v>
      </c>
      <c r="F91" s="367" t="str">
        <f t="shared" si="2"/>
        <v>Sistema de Acuifero Alta Guajira</v>
      </c>
      <c r="G91" s="368" t="str">
        <f t="shared" si="3"/>
        <v>N.A.</v>
      </c>
      <c r="H91" s="368">
        <f t="shared" si="3"/>
        <v>0</v>
      </c>
      <c r="I91" s="368" t="str">
        <f t="shared" si="3"/>
        <v>N.A.</v>
      </c>
      <c r="J91" s="368" t="str">
        <f t="shared" si="3"/>
        <v>N.A.</v>
      </c>
      <c r="K91" s="364"/>
    </row>
    <row r="92" spans="1:11" ht="14.1" customHeight="1" thickBot="1" x14ac:dyDescent="0.3">
      <c r="A92" s="359"/>
      <c r="B92" s="378"/>
      <c r="C92" s="345">
        <v>13</v>
      </c>
      <c r="D92" s="367" t="str">
        <f t="shared" si="2"/>
        <v>PMA</v>
      </c>
      <c r="E92" s="367" t="str">
        <f t="shared" si="2"/>
        <v>SAC 4.2</v>
      </c>
      <c r="F92" s="367" t="str">
        <f t="shared" si="2"/>
        <v>Sistema de Acuifero Ranchería</v>
      </c>
      <c r="G92" s="368" t="str">
        <f t="shared" si="3"/>
        <v>N.A.</v>
      </c>
      <c r="H92" s="368">
        <f t="shared" si="3"/>
        <v>0</v>
      </c>
      <c r="I92" s="368" t="str">
        <f t="shared" si="3"/>
        <v>N.A.</v>
      </c>
      <c r="J92" s="368" t="str">
        <f t="shared" si="3"/>
        <v>N.A.</v>
      </c>
      <c r="K92" s="364"/>
    </row>
    <row r="93" spans="1:11" ht="14.1" customHeight="1" thickBot="1" x14ac:dyDescent="0.3">
      <c r="A93" s="359"/>
      <c r="B93" s="378"/>
      <c r="C93" s="345">
        <v>14</v>
      </c>
      <c r="D93" s="367" t="str">
        <f t="shared" si="2"/>
        <v>PMM</v>
      </c>
      <c r="E93" s="367" t="str">
        <f t="shared" si="2"/>
        <v/>
      </c>
      <c r="F93" s="367" t="str">
        <f t="shared" si="2"/>
        <v/>
      </c>
      <c r="G93" s="368" t="str">
        <f t="shared" si="3"/>
        <v>N.A.</v>
      </c>
      <c r="H93" s="368" t="str">
        <f t="shared" si="3"/>
        <v>N.A.</v>
      </c>
      <c r="I93" s="368" t="str">
        <f t="shared" si="3"/>
        <v>N.A.</v>
      </c>
      <c r="J93" s="368" t="str">
        <f t="shared" si="3"/>
        <v>N.A.</v>
      </c>
      <c r="K93" s="284"/>
    </row>
    <row r="94" spans="1:11" ht="14.1" customHeight="1" x14ac:dyDescent="0.25">
      <c r="A94" s="359"/>
      <c r="B94" s="378"/>
      <c r="C94" s="362"/>
      <c r="D94" s="1739"/>
      <c r="E94" s="1740"/>
      <c r="F94" s="1740"/>
      <c r="G94" s="1740"/>
      <c r="H94" s="1740"/>
      <c r="I94" s="1740"/>
      <c r="J94" s="1740"/>
      <c r="K94" s="1741"/>
    </row>
    <row r="95" spans="1:11" ht="14.1" customHeight="1" thickBot="1" x14ac:dyDescent="0.3">
      <c r="A95" s="359"/>
      <c r="B95" s="378"/>
      <c r="C95" s="362"/>
      <c r="D95" s="1736" t="s">
        <v>29</v>
      </c>
      <c r="E95" s="1737"/>
      <c r="F95" s="1737"/>
      <c r="G95" s="1737"/>
      <c r="H95" s="1737"/>
      <c r="I95" s="1737"/>
      <c r="J95" s="1737"/>
      <c r="K95" s="1738"/>
    </row>
    <row r="96" spans="1:11" ht="14.1" customHeight="1" thickBot="1" x14ac:dyDescent="0.3">
      <c r="A96" s="359"/>
      <c r="B96" s="378"/>
      <c r="C96" s="369" t="s">
        <v>19</v>
      </c>
      <c r="D96" s="366" t="s">
        <v>30</v>
      </c>
      <c r="E96" s="366" t="s">
        <v>31</v>
      </c>
      <c r="F96" s="370"/>
      <c r="G96" s="366" t="s">
        <v>20</v>
      </c>
      <c r="H96" s="366" t="s">
        <v>21</v>
      </c>
      <c r="I96" s="366" t="s">
        <v>22</v>
      </c>
      <c r="J96" s="366" t="s">
        <v>23</v>
      </c>
      <c r="K96" s="281"/>
    </row>
    <row r="97" spans="1:11" ht="14.1" customHeight="1" thickBot="1" x14ac:dyDescent="0.3">
      <c r="A97" s="359"/>
      <c r="B97" s="378"/>
      <c r="C97" s="355">
        <v>1</v>
      </c>
      <c r="D97" s="290" t="s">
        <v>32</v>
      </c>
      <c r="E97" s="164">
        <v>0.8</v>
      </c>
      <c r="F97" s="33"/>
      <c r="G97" s="741">
        <f ca="1">IFERROR(AVERAGEIF($D$80:$J$93,"POMCA",G$80:G$93),0)</f>
        <v>0</v>
      </c>
      <c r="H97" s="371">
        <f ca="1">IFERROR(AVERAGEIF($D$80:$J$93,"POMCA",H$80:H$93),0)</f>
        <v>0</v>
      </c>
      <c r="I97" s="371">
        <f ca="1">IFERROR(AVERAGEIF($D$80:$J$93,"POMCA",I$80:I$93),0)</f>
        <v>0</v>
      </c>
      <c r="J97" s="371">
        <f ca="1">IFERROR(AVERAGEIF($D$80:$J$93,"POMCA",J$80:J$93),0)</f>
        <v>0</v>
      </c>
      <c r="K97" s="114"/>
    </row>
    <row r="98" spans="1:11" ht="14.1" customHeight="1" thickBot="1" x14ac:dyDescent="0.3">
      <c r="A98" s="359"/>
      <c r="B98" s="378"/>
      <c r="C98" s="355">
        <v>2</v>
      </c>
      <c r="D98" s="290" t="s">
        <v>12</v>
      </c>
      <c r="E98" s="164">
        <v>0.2</v>
      </c>
      <c r="F98" s="33"/>
      <c r="G98" s="371">
        <f ca="1">IFERROR(AVERAGEIF($D$80:$J$93,"PMA",G$80:G$93),0)</f>
        <v>0</v>
      </c>
      <c r="H98" s="371">
        <f ca="1">IFERROR(AVERAGEIF($D$80:$J$93,"PMA",H$80:H$93),0)</f>
        <v>0</v>
      </c>
      <c r="I98" s="371">
        <f ca="1">IFERROR(AVERAGEIF($D$80:$J$93,"PMA",I$80:I$93),0)</f>
        <v>0</v>
      </c>
      <c r="J98" s="371">
        <f ca="1">IFERROR(AVERAGEIF($D$80:$J$93,"PMA",J$80:J$93),0)</f>
        <v>0</v>
      </c>
      <c r="K98" s="114"/>
    </row>
    <row r="99" spans="1:11" ht="14.1" customHeight="1" thickBot="1" x14ac:dyDescent="0.3">
      <c r="A99" s="359"/>
      <c r="B99" s="378"/>
      <c r="C99" s="355">
        <v>3</v>
      </c>
      <c r="D99" s="290" t="s">
        <v>13</v>
      </c>
      <c r="E99" s="164">
        <v>0</v>
      </c>
      <c r="F99" s="33"/>
      <c r="G99" s="371">
        <f ca="1">IFERROR(AVERAGEIF($D$80:$J$93,"PMM",G$80:G$93),0)</f>
        <v>0</v>
      </c>
      <c r="H99" s="371">
        <f ca="1">IFERROR(AVERAGEIF($D$80:$J$93,"PMM",H$80:H$93),0)</f>
        <v>0</v>
      </c>
      <c r="I99" s="371">
        <f ca="1">IFERROR(AVERAGEIF($D$80:$J$93,"PMM",I$80:I$93),0)</f>
        <v>0</v>
      </c>
      <c r="J99" s="371">
        <f ca="1">IFERROR(AVERAGEIF($D$80:$J$93,"PMM",J$80:J$93),0)</f>
        <v>0</v>
      </c>
      <c r="K99" s="114"/>
    </row>
    <row r="100" spans="1:11" ht="14.1" customHeight="1" thickBot="1" x14ac:dyDescent="0.3">
      <c r="A100" s="359"/>
      <c r="B100" s="378"/>
      <c r="C100" s="265"/>
      <c r="D100" s="1764">
        <f>Formulas!$D$5</f>
        <v>1</v>
      </c>
      <c r="E100" s="1765"/>
      <c r="F100" s="539" t="s">
        <v>1250</v>
      </c>
      <c r="G100" s="742" t="str">
        <f ca="1">Formulas!E5</f>
        <v>N.A.</v>
      </c>
      <c r="H100" s="206" t="str">
        <f ca="1">Formulas!F5</f>
        <v>N.A.</v>
      </c>
      <c r="I100" s="206" t="str">
        <f ca="1">Formulas!G5</f>
        <v>N.A.</v>
      </c>
      <c r="J100" s="206" t="str">
        <f ca="1">Formulas!H5</f>
        <v>N.A.</v>
      </c>
      <c r="K100" s="115"/>
    </row>
    <row r="101" spans="1:11" ht="14.1" customHeight="1" x14ac:dyDescent="0.25">
      <c r="A101" s="359"/>
      <c r="B101" s="378"/>
      <c r="C101" s="362"/>
      <c r="D101" s="1766"/>
      <c r="E101" s="1767"/>
      <c r="F101" s="1767"/>
      <c r="G101" s="1767"/>
      <c r="H101" s="1767"/>
      <c r="I101" s="1767"/>
      <c r="J101" s="1767"/>
      <c r="K101" s="1768"/>
    </row>
    <row r="102" spans="1:11" ht="14.1" customHeight="1" x14ac:dyDescent="0.25">
      <c r="A102" s="359"/>
      <c r="B102" s="378"/>
      <c r="C102" s="362"/>
      <c r="D102" s="1733" t="s">
        <v>33</v>
      </c>
      <c r="E102" s="1734"/>
      <c r="F102" s="1734"/>
      <c r="G102" s="1734"/>
      <c r="H102" s="1734"/>
      <c r="I102" s="1734"/>
      <c r="J102" s="1734"/>
      <c r="K102" s="1735"/>
    </row>
    <row r="103" spans="1:11" ht="14.1" customHeight="1" thickBot="1" x14ac:dyDescent="0.3">
      <c r="A103" s="359"/>
      <c r="B103" s="353"/>
      <c r="C103" s="354"/>
      <c r="D103" s="329"/>
      <c r="E103" s="277"/>
      <c r="F103" s="277"/>
      <c r="G103" s="277"/>
      <c r="H103" s="277"/>
      <c r="I103" s="277"/>
      <c r="J103" s="277"/>
      <c r="K103" s="278"/>
    </row>
    <row r="104" spans="1:11" ht="14.1" customHeight="1" thickBot="1" x14ac:dyDescent="0.3">
      <c r="A104" s="359"/>
      <c r="B104" s="353" t="s">
        <v>34</v>
      </c>
      <c r="C104" s="354"/>
      <c r="D104" s="1754" t="s">
        <v>35</v>
      </c>
      <c r="E104" s="1755"/>
      <c r="F104" s="1755"/>
      <c r="G104" s="1755"/>
      <c r="H104" s="1755"/>
      <c r="I104" s="1755"/>
      <c r="J104" s="1755"/>
      <c r="K104" s="1756"/>
    </row>
    <row r="105" spans="1:11" ht="39" customHeight="1" thickBot="1" x14ac:dyDescent="0.3">
      <c r="A105" s="359"/>
      <c r="B105" s="353" t="s">
        <v>36</v>
      </c>
      <c r="C105" s="354"/>
      <c r="D105" s="1754" t="s">
        <v>37</v>
      </c>
      <c r="E105" s="1755"/>
      <c r="F105" s="1755"/>
      <c r="G105" s="1755"/>
      <c r="H105" s="1755"/>
      <c r="I105" s="1755"/>
      <c r="J105" s="1755"/>
      <c r="K105" s="1756"/>
    </row>
    <row r="106" spans="1:11" ht="15.75" thickBot="1" x14ac:dyDescent="0.3">
      <c r="A106" s="359"/>
      <c r="B106" s="249"/>
      <c r="C106" s="250"/>
      <c r="D106" s="248"/>
      <c r="E106" s="248"/>
      <c r="F106" s="248"/>
      <c r="G106" s="248"/>
      <c r="H106" s="248"/>
      <c r="I106" s="248"/>
      <c r="J106" s="248"/>
      <c r="K106" s="248"/>
    </row>
    <row r="107" spans="1:11" ht="24" customHeight="1" thickBot="1" x14ac:dyDescent="0.3">
      <c r="A107" s="359"/>
      <c r="B107" s="1760" t="s">
        <v>38</v>
      </c>
      <c r="C107" s="1761"/>
      <c r="D107" s="1761"/>
      <c r="E107" s="1762"/>
      <c r="F107" s="248"/>
      <c r="G107" s="248"/>
      <c r="H107" s="248"/>
      <c r="I107" s="248"/>
      <c r="J107" s="248"/>
      <c r="K107" s="248"/>
    </row>
    <row r="108" spans="1:11" ht="15.75" thickBot="1" x14ac:dyDescent="0.3">
      <c r="A108" s="359"/>
      <c r="B108" s="1751">
        <v>1</v>
      </c>
      <c r="C108" s="272"/>
      <c r="D108" s="289" t="s">
        <v>39</v>
      </c>
      <c r="E108" s="167" t="s">
        <v>3106</v>
      </c>
      <c r="F108" s="248"/>
      <c r="G108" s="248"/>
      <c r="H108" s="248"/>
      <c r="I108" s="248"/>
      <c r="J108" s="248"/>
      <c r="K108" s="248"/>
    </row>
    <row r="109" spans="1:11" ht="15.75" thickBot="1" x14ac:dyDescent="0.3">
      <c r="A109" s="359"/>
      <c r="B109" s="1752"/>
      <c r="C109" s="272"/>
      <c r="D109" s="278" t="s">
        <v>40</v>
      </c>
      <c r="E109" s="167" t="s">
        <v>3107</v>
      </c>
      <c r="F109" s="248"/>
      <c r="G109" s="248"/>
      <c r="H109" s="248"/>
      <c r="I109" s="248"/>
      <c r="J109" s="248"/>
      <c r="K109" s="248"/>
    </row>
    <row r="110" spans="1:11" ht="15.75" thickBot="1" x14ac:dyDescent="0.3">
      <c r="A110" s="359"/>
      <c r="B110" s="1752"/>
      <c r="C110" s="272"/>
      <c r="D110" s="278" t="s">
        <v>41</v>
      </c>
      <c r="E110" s="167" t="s">
        <v>3108</v>
      </c>
      <c r="F110" s="248"/>
      <c r="G110" s="248"/>
      <c r="H110" s="248"/>
      <c r="I110" s="248"/>
      <c r="J110" s="248"/>
      <c r="K110" s="248"/>
    </row>
    <row r="111" spans="1:11" ht="15.75" thickBot="1" x14ac:dyDescent="0.3">
      <c r="A111" s="359"/>
      <c r="B111" s="1752"/>
      <c r="C111" s="272"/>
      <c r="D111" s="278" t="s">
        <v>42</v>
      </c>
      <c r="E111" s="167" t="s">
        <v>2855</v>
      </c>
      <c r="F111" s="248"/>
      <c r="G111" s="248"/>
      <c r="H111" s="248"/>
      <c r="I111" s="248"/>
      <c r="J111" s="248"/>
      <c r="K111" s="248"/>
    </row>
    <row r="112" spans="1:11" ht="15.75" thickBot="1" x14ac:dyDescent="0.3">
      <c r="A112" s="359"/>
      <c r="B112" s="1752"/>
      <c r="C112" s="272"/>
      <c r="D112" s="278" t="s">
        <v>43</v>
      </c>
      <c r="E112" s="167" t="s">
        <v>3109</v>
      </c>
      <c r="F112" s="248"/>
      <c r="G112" s="248"/>
      <c r="H112" s="248"/>
      <c r="I112" s="248"/>
      <c r="J112" s="248"/>
      <c r="K112" s="248"/>
    </row>
    <row r="113" spans="1:11" ht="15.75" thickBot="1" x14ac:dyDescent="0.3">
      <c r="A113" s="359"/>
      <c r="B113" s="1752"/>
      <c r="C113" s="272"/>
      <c r="D113" s="278" t="s">
        <v>44</v>
      </c>
      <c r="E113" s="167" t="s">
        <v>3110</v>
      </c>
      <c r="F113" s="248"/>
      <c r="G113" s="248"/>
      <c r="H113" s="248"/>
      <c r="I113" s="248"/>
      <c r="J113" s="248"/>
      <c r="K113" s="248"/>
    </row>
    <row r="114" spans="1:11" ht="15.75" thickBot="1" x14ac:dyDescent="0.3">
      <c r="A114" s="359"/>
      <c r="B114" s="1753"/>
      <c r="C114" s="345"/>
      <c r="D114" s="278" t="s">
        <v>45</v>
      </c>
      <c r="E114" s="167" t="s">
        <v>2886</v>
      </c>
      <c r="F114" s="248"/>
      <c r="G114" s="248"/>
      <c r="H114" s="248"/>
      <c r="I114" s="248"/>
      <c r="J114" s="248"/>
      <c r="K114" s="248"/>
    </row>
    <row r="115" spans="1:11" ht="15.75" thickBot="1" x14ac:dyDescent="0.3">
      <c r="A115" s="359"/>
      <c r="B115" s="249"/>
      <c r="C115" s="250"/>
      <c r="D115" s="248"/>
      <c r="E115" s="248"/>
      <c r="F115" s="248"/>
      <c r="G115" s="248"/>
      <c r="H115" s="248"/>
      <c r="I115" s="248"/>
      <c r="J115" s="248"/>
      <c r="K115" s="248"/>
    </row>
    <row r="116" spans="1:11" ht="15" customHeight="1" thickBot="1" x14ac:dyDescent="0.3">
      <c r="A116" s="359"/>
      <c r="B116" s="1760" t="s">
        <v>46</v>
      </c>
      <c r="C116" s="1761"/>
      <c r="D116" s="1761"/>
      <c r="E116" s="1762"/>
      <c r="F116" s="248"/>
      <c r="G116" s="248"/>
      <c r="H116" s="248"/>
      <c r="I116" s="248"/>
      <c r="J116" s="248"/>
      <c r="K116" s="248"/>
    </row>
    <row r="117" spans="1:11" ht="15.75" thickBot="1" x14ac:dyDescent="0.3">
      <c r="A117" s="359"/>
      <c r="B117" s="1751">
        <v>1</v>
      </c>
      <c r="C117" s="272"/>
      <c r="D117" s="289" t="s">
        <v>39</v>
      </c>
      <c r="E117" s="35" t="s">
        <v>47</v>
      </c>
      <c r="F117" s="248"/>
      <c r="G117" s="248"/>
      <c r="H117" s="248"/>
      <c r="I117" s="248"/>
      <c r="J117" s="248"/>
      <c r="K117" s="248"/>
    </row>
    <row r="118" spans="1:11" ht="15.75" thickBot="1" x14ac:dyDescent="0.3">
      <c r="A118" s="359"/>
      <c r="B118" s="1752"/>
      <c r="C118" s="272"/>
      <c r="D118" s="278" t="s">
        <v>40</v>
      </c>
      <c r="E118" s="35" t="s">
        <v>48</v>
      </c>
      <c r="F118" s="248"/>
      <c r="G118" s="248"/>
      <c r="H118" s="248"/>
      <c r="I118" s="248"/>
      <c r="J118" s="248"/>
      <c r="K118" s="248"/>
    </row>
    <row r="119" spans="1:11" ht="15.75" thickBot="1" x14ac:dyDescent="0.3">
      <c r="A119" s="359"/>
      <c r="B119" s="1752"/>
      <c r="C119" s="272"/>
      <c r="D119" s="278" t="s">
        <v>41</v>
      </c>
      <c r="E119" s="172"/>
      <c r="F119" s="248"/>
      <c r="G119" s="248"/>
      <c r="H119" s="248"/>
      <c r="I119" s="248"/>
      <c r="J119" s="248"/>
      <c r="K119" s="248"/>
    </row>
    <row r="120" spans="1:11" ht="15.75" thickBot="1" x14ac:dyDescent="0.3">
      <c r="A120" s="359"/>
      <c r="B120" s="1752"/>
      <c r="C120" s="272"/>
      <c r="D120" s="278" t="s">
        <v>42</v>
      </c>
      <c r="E120" s="172"/>
      <c r="F120" s="248"/>
      <c r="G120" s="248"/>
      <c r="H120" s="248"/>
      <c r="I120" s="248"/>
      <c r="J120" s="248"/>
      <c r="K120" s="248"/>
    </row>
    <row r="121" spans="1:11" ht="15.75" thickBot="1" x14ac:dyDescent="0.3">
      <c r="A121" s="359"/>
      <c r="B121" s="1752"/>
      <c r="C121" s="272"/>
      <c r="D121" s="278" t="s">
        <v>43</v>
      </c>
      <c r="E121" s="172"/>
      <c r="F121" s="248"/>
      <c r="G121" s="248"/>
      <c r="H121" s="248"/>
      <c r="I121" s="248"/>
      <c r="J121" s="248"/>
      <c r="K121" s="248"/>
    </row>
    <row r="122" spans="1:11" ht="15.75" thickBot="1" x14ac:dyDescent="0.3">
      <c r="A122" s="359"/>
      <c r="B122" s="1752"/>
      <c r="C122" s="272"/>
      <c r="D122" s="278" t="s">
        <v>44</v>
      </c>
      <c r="E122" s="172"/>
      <c r="F122" s="248"/>
      <c r="G122" s="248"/>
      <c r="H122" s="248"/>
      <c r="I122" s="248"/>
      <c r="J122" s="248"/>
      <c r="K122" s="248"/>
    </row>
    <row r="123" spans="1:11" ht="15.75" thickBot="1" x14ac:dyDescent="0.3">
      <c r="A123" s="359"/>
      <c r="B123" s="1753"/>
      <c r="C123" s="345"/>
      <c r="D123" s="278" t="s">
        <v>45</v>
      </c>
      <c r="E123" s="172"/>
      <c r="F123" s="248"/>
      <c r="G123" s="248"/>
      <c r="H123" s="248"/>
      <c r="I123" s="248"/>
      <c r="J123" s="248"/>
      <c r="K123" s="248"/>
    </row>
    <row r="124" spans="1:11" ht="15.75" thickBot="1" x14ac:dyDescent="0.3">
      <c r="A124" s="359"/>
      <c r="B124" s="249"/>
      <c r="C124" s="250"/>
      <c r="D124" s="248"/>
      <c r="E124" s="248"/>
      <c r="F124" s="248"/>
      <c r="G124" s="248"/>
      <c r="H124" s="248"/>
      <c r="I124" s="248"/>
      <c r="J124" s="248"/>
      <c r="K124" s="248"/>
    </row>
    <row r="125" spans="1:11" ht="15" customHeight="1" thickBot="1" x14ac:dyDescent="0.3">
      <c r="A125" s="359"/>
      <c r="B125" s="291" t="s">
        <v>49</v>
      </c>
      <c r="C125" s="292"/>
      <c r="D125" s="292"/>
      <c r="E125" s="372"/>
      <c r="F125" s="359"/>
      <c r="G125" s="248"/>
      <c r="H125" s="248"/>
      <c r="I125" s="248"/>
      <c r="J125" s="248"/>
      <c r="K125" s="248"/>
    </row>
    <row r="126" spans="1:11" ht="24.75" thickBot="1" x14ac:dyDescent="0.3">
      <c r="A126" s="359"/>
      <c r="B126" s="285" t="s">
        <v>50</v>
      </c>
      <c r="C126" s="278" t="s">
        <v>51</v>
      </c>
      <c r="D126" s="277" t="s">
        <v>52</v>
      </c>
      <c r="E126" s="373" t="s">
        <v>53</v>
      </c>
      <c r="F126" s="248"/>
      <c r="G126" s="248"/>
      <c r="H126" s="248"/>
      <c r="I126" s="248"/>
      <c r="J126" s="248"/>
      <c r="K126" s="359"/>
    </row>
    <row r="127" spans="1:11" ht="96.75" thickBot="1" x14ac:dyDescent="0.3">
      <c r="A127" s="359"/>
      <c r="B127" s="295">
        <v>42401</v>
      </c>
      <c r="C127" s="278">
        <v>1</v>
      </c>
      <c r="D127" s="307" t="s">
        <v>54</v>
      </c>
      <c r="E127" s="278"/>
      <c r="F127" s="248"/>
      <c r="G127" s="248"/>
      <c r="H127" s="248"/>
      <c r="I127" s="248"/>
      <c r="J127" s="248"/>
      <c r="K127" s="359"/>
    </row>
    <row r="128" spans="1:11" ht="15.75" thickBot="1" x14ac:dyDescent="0.3">
      <c r="A128" s="359"/>
      <c r="B128" s="308"/>
      <c r="C128" s="309"/>
      <c r="D128" s="248"/>
      <c r="E128" s="248"/>
      <c r="F128" s="248"/>
      <c r="G128" s="248"/>
      <c r="H128" s="248"/>
      <c r="I128" s="248"/>
      <c r="J128" s="248"/>
      <c r="K128" s="248"/>
    </row>
    <row r="129" spans="1:11" x14ac:dyDescent="0.25">
      <c r="A129" s="359"/>
      <c r="B129" s="297" t="s">
        <v>55</v>
      </c>
      <c r="C129" s="298"/>
      <c r="D129" s="248"/>
      <c r="E129" s="248"/>
      <c r="F129" s="248"/>
      <c r="G129" s="248"/>
      <c r="H129" s="248"/>
      <c r="I129" s="248"/>
      <c r="J129" s="248"/>
      <c r="K129" s="248"/>
    </row>
    <row r="130" spans="1:11" x14ac:dyDescent="0.25">
      <c r="A130" s="359"/>
      <c r="B130" s="1763"/>
      <c r="C130" s="1763"/>
      <c r="D130" s="1763"/>
      <c r="E130" s="1763"/>
      <c r="F130" s="1763"/>
      <c r="G130" s="248"/>
      <c r="H130" s="248"/>
      <c r="I130" s="248"/>
      <c r="J130" s="248"/>
      <c r="K130" s="248"/>
    </row>
    <row r="131" spans="1:11" ht="44.1" customHeight="1" x14ac:dyDescent="0.25">
      <c r="A131" s="359"/>
      <c r="B131" s="1763"/>
      <c r="C131" s="1763"/>
      <c r="D131" s="1763"/>
      <c r="E131" s="1763"/>
      <c r="F131" s="1763"/>
      <c r="G131" s="248"/>
      <c r="H131" s="248"/>
      <c r="I131" s="248"/>
      <c r="J131" s="248"/>
      <c r="K131" s="248"/>
    </row>
    <row r="132" spans="1:11" x14ac:dyDescent="0.25">
      <c r="A132" s="359"/>
      <c r="B132" s="249"/>
      <c r="C132" s="250"/>
      <c r="D132" s="248"/>
      <c r="E132" s="248"/>
      <c r="F132" s="248"/>
      <c r="G132" s="248"/>
      <c r="H132" s="248"/>
      <c r="I132" s="248"/>
      <c r="J132" s="248"/>
      <c r="K132" s="248"/>
    </row>
    <row r="133" spans="1:11" ht="15.75" thickBot="1" x14ac:dyDescent="0.3">
      <c r="A133" s="359"/>
      <c r="B133" s="318"/>
      <c r="C133" s="304"/>
      <c r="D133" s="248"/>
      <c r="E133" s="248"/>
      <c r="F133" s="248"/>
      <c r="G133" s="248"/>
      <c r="H133" s="248"/>
      <c r="I133" s="248"/>
      <c r="J133" s="248"/>
      <c r="K133" s="248"/>
    </row>
    <row r="134" spans="1:11" ht="15.75" thickBot="1" x14ac:dyDescent="0.3">
      <c r="A134" s="359"/>
      <c r="B134" s="374" t="s">
        <v>56</v>
      </c>
      <c r="C134" s="311"/>
      <c r="D134" s="248"/>
      <c r="E134" s="248"/>
      <c r="F134" s="248"/>
      <c r="G134" s="248"/>
      <c r="H134" s="248"/>
      <c r="I134" s="248"/>
      <c r="J134" s="248"/>
      <c r="K134" s="248"/>
    </row>
    <row r="135" spans="1:11" ht="15.75" thickBot="1" x14ac:dyDescent="0.3">
      <c r="A135" s="359"/>
      <c r="B135" s="318"/>
      <c r="C135" s="304"/>
      <c r="D135" s="248"/>
      <c r="E135" s="248"/>
      <c r="F135" s="248"/>
      <c r="G135" s="248"/>
      <c r="H135" s="248"/>
      <c r="I135" s="248"/>
      <c r="J135" s="248"/>
      <c r="K135" s="248"/>
    </row>
    <row r="136" spans="1:11" ht="15.75" thickBot="1" x14ac:dyDescent="0.3">
      <c r="A136" s="359"/>
      <c r="B136" s="299" t="s">
        <v>57</v>
      </c>
      <c r="C136" s="300"/>
      <c r="D136" s="1754" t="s">
        <v>58</v>
      </c>
      <c r="E136" s="1755"/>
      <c r="F136" s="1756"/>
      <c r="G136" s="248"/>
      <c r="H136" s="248"/>
      <c r="I136" s="248"/>
      <c r="J136" s="248"/>
      <c r="K136" s="248"/>
    </row>
    <row r="137" spans="1:11" x14ac:dyDescent="0.25">
      <c r="A137" s="359"/>
      <c r="B137" s="1751" t="s">
        <v>59</v>
      </c>
      <c r="C137" s="268"/>
      <c r="D137" s="1739" t="s">
        <v>60</v>
      </c>
      <c r="E137" s="1740"/>
      <c r="F137" s="1741"/>
      <c r="G137" s="248"/>
      <c r="H137" s="248"/>
      <c r="I137" s="248"/>
      <c r="J137" s="248"/>
      <c r="K137" s="248"/>
    </row>
    <row r="138" spans="1:11" x14ac:dyDescent="0.25">
      <c r="A138" s="359"/>
      <c r="B138" s="1752"/>
      <c r="C138" s="276"/>
      <c r="D138" s="1733" t="s">
        <v>61</v>
      </c>
      <c r="E138" s="1734"/>
      <c r="F138" s="1735"/>
      <c r="G138" s="248"/>
      <c r="H138" s="248"/>
      <c r="I138" s="248"/>
      <c r="J138" s="248"/>
      <c r="K138" s="248"/>
    </row>
    <row r="139" spans="1:11" x14ac:dyDescent="0.25">
      <c r="A139" s="359"/>
      <c r="B139" s="1752"/>
      <c r="C139" s="276"/>
      <c r="D139" s="1733" t="s">
        <v>62</v>
      </c>
      <c r="E139" s="1734"/>
      <c r="F139" s="1735"/>
      <c r="G139" s="248"/>
      <c r="H139" s="248"/>
      <c r="I139" s="248"/>
      <c r="J139" s="248"/>
      <c r="K139" s="248"/>
    </row>
    <row r="140" spans="1:11" x14ac:dyDescent="0.25">
      <c r="A140" s="359"/>
      <c r="B140" s="1752"/>
      <c r="C140" s="276"/>
      <c r="D140" s="1745" t="s">
        <v>63</v>
      </c>
      <c r="E140" s="1746"/>
      <c r="F140" s="1747"/>
      <c r="G140" s="248"/>
      <c r="H140" s="248"/>
      <c r="I140" s="248"/>
      <c r="J140" s="248"/>
      <c r="K140" s="248"/>
    </row>
    <row r="141" spans="1:11" x14ac:dyDescent="0.25">
      <c r="A141" s="359"/>
      <c r="B141" s="1752"/>
      <c r="C141" s="276"/>
      <c r="D141" s="1733" t="s">
        <v>64</v>
      </c>
      <c r="E141" s="1734"/>
      <c r="F141" s="1735"/>
      <c r="G141" s="248"/>
      <c r="H141" s="248"/>
      <c r="I141" s="248"/>
      <c r="J141" s="248"/>
      <c r="K141" s="248"/>
    </row>
    <row r="142" spans="1:11" x14ac:dyDescent="0.25">
      <c r="A142" s="359"/>
      <c r="B142" s="1752"/>
      <c r="C142" s="276"/>
      <c r="D142" s="1733" t="s">
        <v>65</v>
      </c>
      <c r="E142" s="1734"/>
      <c r="F142" s="1735"/>
      <c r="G142" s="248"/>
      <c r="H142" s="248"/>
      <c r="I142" s="248"/>
      <c r="J142" s="248"/>
      <c r="K142" s="248"/>
    </row>
    <row r="143" spans="1:11" x14ac:dyDescent="0.25">
      <c r="A143" s="359"/>
      <c r="B143" s="1752"/>
      <c r="C143" s="276"/>
      <c r="D143" s="1733" t="s">
        <v>66</v>
      </c>
      <c r="E143" s="1734"/>
      <c r="F143" s="1735"/>
      <c r="G143" s="248"/>
      <c r="H143" s="248"/>
      <c r="I143" s="248"/>
      <c r="J143" s="248"/>
      <c r="K143" s="248"/>
    </row>
    <row r="144" spans="1:11" x14ac:dyDescent="0.25">
      <c r="A144" s="359"/>
      <c r="B144" s="1752"/>
      <c r="C144" s="276"/>
      <c r="D144" s="1733" t="s">
        <v>67</v>
      </c>
      <c r="E144" s="1734"/>
      <c r="F144" s="1735"/>
      <c r="G144" s="248"/>
      <c r="H144" s="248"/>
      <c r="I144" s="248"/>
      <c r="J144" s="248"/>
      <c r="K144" s="248"/>
    </row>
    <row r="145" spans="1:11" x14ac:dyDescent="0.25">
      <c r="A145" s="359"/>
      <c r="B145" s="1752"/>
      <c r="C145" s="276"/>
      <c r="D145" s="1745" t="s">
        <v>68</v>
      </c>
      <c r="E145" s="1746"/>
      <c r="F145" s="1747"/>
      <c r="G145" s="248"/>
      <c r="H145" s="248"/>
      <c r="I145" s="248"/>
      <c r="J145" s="248"/>
      <c r="K145" s="248"/>
    </row>
    <row r="146" spans="1:11" x14ac:dyDescent="0.25">
      <c r="A146" s="359"/>
      <c r="B146" s="1752"/>
      <c r="C146" s="276"/>
      <c r="D146" s="1733" t="s">
        <v>69</v>
      </c>
      <c r="E146" s="1734"/>
      <c r="F146" s="1735"/>
      <c r="G146" s="248"/>
      <c r="H146" s="248"/>
      <c r="I146" s="248"/>
      <c r="J146" s="248"/>
      <c r="K146" s="248"/>
    </row>
    <row r="147" spans="1:11" x14ac:dyDescent="0.25">
      <c r="A147" s="359"/>
      <c r="B147" s="1752"/>
      <c r="C147" s="276"/>
      <c r="D147" s="1733" t="s">
        <v>70</v>
      </c>
      <c r="E147" s="1734"/>
      <c r="F147" s="1735"/>
      <c r="G147" s="248"/>
      <c r="H147" s="248"/>
      <c r="I147" s="248"/>
      <c r="J147" s="248"/>
      <c r="K147" s="248"/>
    </row>
    <row r="148" spans="1:11" ht="15.75" thickBot="1" x14ac:dyDescent="0.3">
      <c r="A148" s="359"/>
      <c r="B148" s="1753"/>
      <c r="C148" s="286"/>
      <c r="D148" s="1757" t="s">
        <v>71</v>
      </c>
      <c r="E148" s="1758"/>
      <c r="F148" s="1759"/>
      <c r="G148" s="248"/>
      <c r="H148" s="248"/>
      <c r="I148" s="248"/>
      <c r="J148" s="248"/>
      <c r="K148" s="248"/>
    </row>
    <row r="149" spans="1:11" ht="24.75" thickBot="1" x14ac:dyDescent="0.3">
      <c r="A149" s="359"/>
      <c r="B149" s="285" t="s">
        <v>72</v>
      </c>
      <c r="C149" s="286"/>
      <c r="D149" s="1754"/>
      <c r="E149" s="1755"/>
      <c r="F149" s="1756"/>
      <c r="G149" s="248"/>
      <c r="H149" s="248"/>
      <c r="I149" s="248"/>
      <c r="J149" s="248"/>
      <c r="K149" s="248"/>
    </row>
    <row r="150" spans="1:11" x14ac:dyDescent="0.25">
      <c r="A150" s="359"/>
      <c r="B150" s="1751" t="s">
        <v>73</v>
      </c>
      <c r="C150" s="268"/>
      <c r="D150" s="1742" t="s">
        <v>74</v>
      </c>
      <c r="E150" s="1743"/>
      <c r="F150" s="1744"/>
      <c r="G150" s="248"/>
      <c r="H150" s="248"/>
      <c r="I150" s="248"/>
      <c r="J150" s="248"/>
      <c r="K150" s="248"/>
    </row>
    <row r="151" spans="1:11" x14ac:dyDescent="0.25">
      <c r="A151" s="359"/>
      <c r="B151" s="1752"/>
      <c r="C151" s="276"/>
      <c r="D151" s="1745" t="s">
        <v>75</v>
      </c>
      <c r="E151" s="1746"/>
      <c r="F151" s="1747"/>
      <c r="G151" s="248"/>
      <c r="H151" s="248"/>
      <c r="I151" s="248"/>
      <c r="J151" s="248"/>
      <c r="K151" s="248"/>
    </row>
    <row r="152" spans="1:11" x14ac:dyDescent="0.25">
      <c r="A152" s="359"/>
      <c r="B152" s="1752"/>
      <c r="C152" s="276"/>
      <c r="D152" s="1733" t="s">
        <v>76</v>
      </c>
      <c r="E152" s="1734"/>
      <c r="F152" s="1735"/>
      <c r="G152" s="248"/>
      <c r="H152" s="248"/>
      <c r="I152" s="248"/>
      <c r="J152" s="248"/>
      <c r="K152" s="248"/>
    </row>
    <row r="153" spans="1:11" x14ac:dyDescent="0.25">
      <c r="A153" s="359"/>
      <c r="B153" s="1752"/>
      <c r="C153" s="276"/>
      <c r="D153" s="1733" t="s">
        <v>77</v>
      </c>
      <c r="E153" s="1734"/>
      <c r="F153" s="1735"/>
      <c r="G153" s="248"/>
      <c r="H153" s="248"/>
      <c r="I153" s="248"/>
      <c r="J153" s="248"/>
      <c r="K153" s="248"/>
    </row>
    <row r="154" spans="1:11" x14ac:dyDescent="0.25">
      <c r="A154" s="359"/>
      <c r="B154" s="1752"/>
      <c r="C154" s="276"/>
      <c r="D154" s="1733" t="s">
        <v>78</v>
      </c>
      <c r="E154" s="1734"/>
      <c r="F154" s="1735"/>
      <c r="G154" s="248"/>
      <c r="H154" s="248"/>
      <c r="I154" s="248"/>
      <c r="J154" s="248"/>
      <c r="K154" s="248"/>
    </row>
    <row r="155" spans="1:11" x14ac:dyDescent="0.25">
      <c r="A155" s="359"/>
      <c r="B155" s="1752"/>
      <c r="C155" s="276"/>
      <c r="D155" s="1733" t="s">
        <v>79</v>
      </c>
      <c r="E155" s="1734"/>
      <c r="F155" s="1735"/>
      <c r="G155" s="248"/>
      <c r="H155" s="248"/>
      <c r="I155" s="248"/>
      <c r="J155" s="248"/>
      <c r="K155" s="248"/>
    </row>
    <row r="156" spans="1:11" x14ac:dyDescent="0.25">
      <c r="A156" s="359"/>
      <c r="B156" s="1752"/>
      <c r="C156" s="276"/>
      <c r="D156" s="1733" t="s">
        <v>80</v>
      </c>
      <c r="E156" s="1734"/>
      <c r="F156" s="1735"/>
      <c r="G156" s="248"/>
      <c r="H156" s="248"/>
      <c r="I156" s="248"/>
      <c r="J156" s="248"/>
      <c r="K156" s="248"/>
    </row>
    <row r="157" spans="1:11" x14ac:dyDescent="0.25">
      <c r="A157" s="359"/>
      <c r="B157" s="1752"/>
      <c r="C157" s="276"/>
      <c r="D157" s="1733" t="s">
        <v>81</v>
      </c>
      <c r="E157" s="1734"/>
      <c r="F157" s="1735"/>
      <c r="G157" s="248"/>
      <c r="H157" s="248"/>
      <c r="I157" s="248"/>
      <c r="J157" s="248"/>
      <c r="K157" s="248"/>
    </row>
    <row r="158" spans="1:11" x14ac:dyDescent="0.25">
      <c r="A158" s="359"/>
      <c r="B158" s="1752"/>
      <c r="C158" s="276"/>
      <c r="D158" s="1745" t="s">
        <v>82</v>
      </c>
      <c r="E158" s="1746"/>
      <c r="F158" s="1747"/>
      <c r="G158" s="248"/>
      <c r="H158" s="248"/>
      <c r="I158" s="248"/>
      <c r="J158" s="248"/>
      <c r="K158" s="248"/>
    </row>
    <row r="159" spans="1:11" x14ac:dyDescent="0.25">
      <c r="A159" s="359"/>
      <c r="B159" s="1752"/>
      <c r="C159" s="276"/>
      <c r="D159" s="1733" t="s">
        <v>83</v>
      </c>
      <c r="E159" s="1734"/>
      <c r="F159" s="1735"/>
      <c r="G159" s="248"/>
      <c r="H159" s="248"/>
      <c r="I159" s="248"/>
      <c r="J159" s="248"/>
      <c r="K159" s="248"/>
    </row>
    <row r="160" spans="1:11" x14ac:dyDescent="0.25">
      <c r="A160" s="359"/>
      <c r="B160" s="1752"/>
      <c r="C160" s="276"/>
      <c r="D160" s="1733" t="s">
        <v>84</v>
      </c>
      <c r="E160" s="1734"/>
      <c r="F160" s="1735"/>
      <c r="G160" s="248"/>
      <c r="H160" s="248"/>
      <c r="I160" s="248"/>
      <c r="J160" s="248"/>
      <c r="K160" s="248"/>
    </row>
    <row r="161" spans="1:11" x14ac:dyDescent="0.25">
      <c r="A161" s="359"/>
      <c r="B161" s="1752"/>
      <c r="C161" s="276"/>
      <c r="D161" s="1733" t="s">
        <v>85</v>
      </c>
      <c r="E161" s="1734"/>
      <c r="F161" s="1735"/>
      <c r="G161" s="248"/>
      <c r="H161" s="248"/>
      <c r="I161" s="248"/>
      <c r="J161" s="248"/>
      <c r="K161" s="248"/>
    </row>
    <row r="162" spans="1:11" x14ac:dyDescent="0.25">
      <c r="A162" s="359"/>
      <c r="B162" s="1752"/>
      <c r="C162" s="276"/>
      <c r="D162" s="1733" t="s">
        <v>86</v>
      </c>
      <c r="E162" s="1734"/>
      <c r="F162" s="1735"/>
      <c r="G162" s="248"/>
      <c r="H162" s="248"/>
      <c r="I162" s="248"/>
      <c r="J162" s="248"/>
      <c r="K162" s="248"/>
    </row>
    <row r="163" spans="1:11" x14ac:dyDescent="0.25">
      <c r="A163" s="359"/>
      <c r="B163" s="1752"/>
      <c r="C163" s="276"/>
      <c r="D163" s="1745" t="s">
        <v>87</v>
      </c>
      <c r="E163" s="1746"/>
      <c r="F163" s="1747"/>
      <c r="G163" s="248"/>
      <c r="H163" s="248"/>
      <c r="I163" s="248"/>
      <c r="J163" s="248"/>
      <c r="K163" s="248"/>
    </row>
    <row r="164" spans="1:11" x14ac:dyDescent="0.25">
      <c r="A164" s="359"/>
      <c r="B164" s="1752"/>
      <c r="C164" s="276"/>
      <c r="D164" s="1733" t="s">
        <v>88</v>
      </c>
      <c r="E164" s="1734"/>
      <c r="F164" s="1735"/>
      <c r="G164" s="248"/>
      <c r="H164" s="248"/>
      <c r="I164" s="248"/>
      <c r="J164" s="248"/>
      <c r="K164" s="248"/>
    </row>
    <row r="165" spans="1:11" x14ac:dyDescent="0.25">
      <c r="A165" s="359"/>
      <c r="B165" s="1752"/>
      <c r="C165" s="276"/>
      <c r="D165" s="1733" t="s">
        <v>84</v>
      </c>
      <c r="E165" s="1734"/>
      <c r="F165" s="1735"/>
      <c r="G165" s="248"/>
      <c r="H165" s="248"/>
      <c r="I165" s="248"/>
      <c r="J165" s="248"/>
      <c r="K165" s="248"/>
    </row>
    <row r="166" spans="1:11" x14ac:dyDescent="0.25">
      <c r="A166" s="359"/>
      <c r="B166" s="1752"/>
      <c r="C166" s="276"/>
      <c r="D166" s="1733" t="s">
        <v>85</v>
      </c>
      <c r="E166" s="1734"/>
      <c r="F166" s="1735"/>
      <c r="G166" s="248"/>
      <c r="H166" s="248"/>
      <c r="I166" s="248"/>
      <c r="J166" s="248"/>
      <c r="K166" s="248"/>
    </row>
    <row r="167" spans="1:11" ht="15.75" thickBot="1" x14ac:dyDescent="0.3">
      <c r="A167" s="359"/>
      <c r="B167" s="1753"/>
      <c r="C167" s="286"/>
      <c r="D167" s="1748" t="s">
        <v>89</v>
      </c>
      <c r="E167" s="1749"/>
      <c r="F167" s="1750"/>
      <c r="G167" s="248"/>
      <c r="H167" s="248"/>
      <c r="I167" s="248"/>
      <c r="J167" s="248"/>
      <c r="K167" s="248"/>
    </row>
    <row r="168" spans="1:11" x14ac:dyDescent="0.25">
      <c r="A168" s="359"/>
      <c r="B168" s="1751" t="s">
        <v>90</v>
      </c>
      <c r="C168" s="268"/>
      <c r="D168" s="1742"/>
      <c r="E168" s="1743"/>
      <c r="F168" s="1744"/>
      <c r="G168" s="248"/>
      <c r="H168" s="248"/>
      <c r="I168" s="248"/>
      <c r="J168" s="248"/>
      <c r="K168" s="248"/>
    </row>
    <row r="169" spans="1:11" x14ac:dyDescent="0.25">
      <c r="A169" s="359"/>
      <c r="B169" s="1752"/>
      <c r="C169" s="276"/>
      <c r="D169" s="1730"/>
      <c r="E169" s="1731"/>
      <c r="F169" s="1732"/>
      <c r="G169" s="248"/>
      <c r="H169" s="248"/>
      <c r="I169" s="248"/>
      <c r="J169" s="248"/>
      <c r="K169" s="248"/>
    </row>
    <row r="170" spans="1:11" x14ac:dyDescent="0.25">
      <c r="A170" s="359"/>
      <c r="B170" s="1752"/>
      <c r="C170" s="276"/>
      <c r="D170" s="1733" t="s">
        <v>91</v>
      </c>
      <c r="E170" s="1734"/>
      <c r="F170" s="1735"/>
      <c r="G170" s="248"/>
      <c r="H170" s="248"/>
      <c r="I170" s="248"/>
      <c r="J170" s="248"/>
      <c r="K170" s="248"/>
    </row>
    <row r="171" spans="1:11" x14ac:dyDescent="0.25">
      <c r="A171" s="359"/>
      <c r="B171" s="1752"/>
      <c r="C171" s="276"/>
      <c r="D171" s="1733" t="s">
        <v>92</v>
      </c>
      <c r="E171" s="1734"/>
      <c r="F171" s="1735"/>
      <c r="G171" s="248"/>
      <c r="H171" s="248"/>
      <c r="I171" s="248"/>
      <c r="J171" s="248"/>
      <c r="K171" s="248"/>
    </row>
    <row r="172" spans="1:11" x14ac:dyDescent="0.25">
      <c r="A172" s="359"/>
      <c r="B172" s="1752"/>
      <c r="C172" s="276"/>
      <c r="D172" s="1733" t="s">
        <v>93</v>
      </c>
      <c r="E172" s="1734"/>
      <c r="F172" s="1735"/>
      <c r="G172" s="248"/>
      <c r="H172" s="248"/>
      <c r="I172" s="248"/>
      <c r="J172" s="248"/>
      <c r="K172" s="248"/>
    </row>
    <row r="173" spans="1:11" x14ac:dyDescent="0.25">
      <c r="A173" s="359"/>
      <c r="B173" s="1752"/>
      <c r="C173" s="276"/>
      <c r="D173" s="1733" t="s">
        <v>94</v>
      </c>
      <c r="E173" s="1734"/>
      <c r="F173" s="1735"/>
      <c r="G173" s="248"/>
      <c r="H173" s="248"/>
      <c r="I173" s="248"/>
      <c r="J173" s="248"/>
      <c r="K173" s="248"/>
    </row>
    <row r="174" spans="1:11" x14ac:dyDescent="0.25">
      <c r="A174" s="359"/>
      <c r="B174" s="1752"/>
      <c r="C174" s="276"/>
      <c r="D174" s="1733" t="s">
        <v>95</v>
      </c>
      <c r="E174" s="1734"/>
      <c r="F174" s="1735"/>
      <c r="G174" s="248"/>
      <c r="H174" s="248"/>
      <c r="I174" s="248"/>
      <c r="J174" s="248"/>
      <c r="K174" s="248"/>
    </row>
    <row r="175" spans="1:11" x14ac:dyDescent="0.25">
      <c r="A175" s="359"/>
      <c r="B175" s="1752"/>
      <c r="C175" s="276"/>
      <c r="D175" s="1733" t="s">
        <v>96</v>
      </c>
      <c r="E175" s="1734"/>
      <c r="F175" s="1735"/>
      <c r="G175" s="248"/>
      <c r="H175" s="248"/>
      <c r="I175" s="248"/>
      <c r="J175" s="248"/>
      <c r="K175" s="248"/>
    </row>
    <row r="176" spans="1:11" x14ac:dyDescent="0.25">
      <c r="A176" s="359"/>
      <c r="B176" s="1752"/>
      <c r="C176" s="276"/>
      <c r="D176" s="1733" t="s">
        <v>97</v>
      </c>
      <c r="E176" s="1734"/>
      <c r="F176" s="1735"/>
      <c r="G176" s="248"/>
      <c r="H176" s="248"/>
      <c r="I176" s="248"/>
      <c r="J176" s="248"/>
      <c r="K176" s="248"/>
    </row>
    <row r="177" spans="1:11" x14ac:dyDescent="0.25">
      <c r="A177" s="359"/>
      <c r="B177" s="1752"/>
      <c r="C177" s="276"/>
      <c r="D177" s="1733" t="s">
        <v>98</v>
      </c>
      <c r="E177" s="1734"/>
      <c r="F177" s="1735"/>
      <c r="G177" s="248"/>
      <c r="H177" s="248"/>
      <c r="I177" s="248"/>
      <c r="J177" s="248"/>
      <c r="K177" s="248"/>
    </row>
    <row r="178" spans="1:11" x14ac:dyDescent="0.25">
      <c r="A178" s="359"/>
      <c r="B178" s="1752"/>
      <c r="C178" s="276"/>
      <c r="D178" s="1733" t="s">
        <v>99</v>
      </c>
      <c r="E178" s="1734"/>
      <c r="F178" s="1735"/>
      <c r="G178" s="248"/>
      <c r="H178" s="248"/>
      <c r="I178" s="248"/>
      <c r="J178" s="248"/>
      <c r="K178" s="248"/>
    </row>
    <row r="179" spans="1:11" x14ac:dyDescent="0.25">
      <c r="A179" s="359"/>
      <c r="B179" s="1752"/>
      <c r="C179" s="276"/>
      <c r="D179" s="1733" t="s">
        <v>100</v>
      </c>
      <c r="E179" s="1734"/>
      <c r="F179" s="1735"/>
      <c r="G179" s="248"/>
      <c r="H179" s="248"/>
      <c r="I179" s="248"/>
      <c r="J179" s="248"/>
      <c r="K179" s="248"/>
    </row>
    <row r="180" spans="1:11" x14ac:dyDescent="0.25">
      <c r="A180" s="359"/>
      <c r="B180" s="1752"/>
      <c r="C180" s="276"/>
      <c r="D180" s="1733" t="s">
        <v>101</v>
      </c>
      <c r="E180" s="1734"/>
      <c r="F180" s="1735"/>
      <c r="G180" s="248"/>
      <c r="H180" s="248"/>
      <c r="I180" s="248"/>
      <c r="J180" s="248"/>
      <c r="K180" s="248"/>
    </row>
    <row r="181" spans="1:11" ht="15.75" thickBot="1" x14ac:dyDescent="0.3">
      <c r="A181" s="359"/>
      <c r="B181" s="1752"/>
      <c r="C181" s="276"/>
      <c r="D181" s="1736" t="s">
        <v>102</v>
      </c>
      <c r="E181" s="1737"/>
      <c r="F181" s="1738"/>
      <c r="G181" s="248"/>
      <c r="H181" s="248"/>
      <c r="I181" s="248"/>
      <c r="J181" s="248"/>
      <c r="K181" s="248"/>
    </row>
    <row r="182" spans="1:11" ht="24.75" thickBot="1" x14ac:dyDescent="0.3">
      <c r="A182" s="359"/>
      <c r="B182" s="1752"/>
      <c r="C182" s="272"/>
      <c r="D182" s="287" t="s">
        <v>103</v>
      </c>
      <c r="E182" s="287" t="s">
        <v>104</v>
      </c>
      <c r="F182" s="287" t="s">
        <v>105</v>
      </c>
      <c r="G182" s="248"/>
      <c r="H182" s="248"/>
      <c r="I182" s="248"/>
      <c r="J182" s="248"/>
      <c r="K182" s="248"/>
    </row>
    <row r="183" spans="1:11" ht="15.75" thickBot="1" x14ac:dyDescent="0.3">
      <c r="A183" s="359"/>
      <c r="B183" s="1752"/>
      <c r="C183" s="272"/>
      <c r="D183" s="278" t="s">
        <v>106</v>
      </c>
      <c r="E183" s="375">
        <v>0.15</v>
      </c>
      <c r="F183" s="375">
        <v>0.15</v>
      </c>
      <c r="G183" s="248"/>
      <c r="H183" s="248"/>
      <c r="I183" s="248"/>
      <c r="J183" s="248"/>
      <c r="K183" s="248"/>
    </row>
    <row r="184" spans="1:11" ht="15.75" thickBot="1" x14ac:dyDescent="0.3">
      <c r="A184" s="359"/>
      <c r="B184" s="1752"/>
      <c r="C184" s="272"/>
      <c r="D184" s="278" t="s">
        <v>107</v>
      </c>
      <c r="E184" s="375">
        <v>0.18</v>
      </c>
      <c r="F184" s="375">
        <v>0.33</v>
      </c>
      <c r="G184" s="248"/>
      <c r="H184" s="376"/>
      <c r="I184" s="248"/>
      <c r="J184" s="248"/>
      <c r="K184" s="248"/>
    </row>
    <row r="185" spans="1:11" ht="15.75" thickBot="1" x14ac:dyDescent="0.3">
      <c r="A185" s="359"/>
      <c r="B185" s="1752"/>
      <c r="C185" s="272"/>
      <c r="D185" s="278" t="s">
        <v>108</v>
      </c>
      <c r="E185" s="375">
        <v>0.33</v>
      </c>
      <c r="F185" s="375">
        <v>0.66</v>
      </c>
      <c r="G185" s="248"/>
      <c r="H185" s="376"/>
      <c r="I185" s="248"/>
      <c r="J185" s="248"/>
      <c r="K185" s="248"/>
    </row>
    <row r="186" spans="1:11" ht="24.75" thickBot="1" x14ac:dyDescent="0.3">
      <c r="A186" s="359"/>
      <c r="B186" s="1752"/>
      <c r="C186" s="272"/>
      <c r="D186" s="278" t="s">
        <v>109</v>
      </c>
      <c r="E186" s="375">
        <v>0.16</v>
      </c>
      <c r="F186" s="375">
        <v>0.82</v>
      </c>
      <c r="G186" s="248"/>
      <c r="H186" s="376"/>
      <c r="I186" s="248"/>
      <c r="J186" s="248"/>
      <c r="K186" s="248"/>
    </row>
    <row r="187" spans="1:11" ht="15.75" thickBot="1" x14ac:dyDescent="0.3">
      <c r="A187" s="359"/>
      <c r="B187" s="1752"/>
      <c r="C187" s="272"/>
      <c r="D187" s="278" t="s">
        <v>110</v>
      </c>
      <c r="E187" s="375">
        <v>0.18</v>
      </c>
      <c r="F187" s="375">
        <v>1</v>
      </c>
      <c r="G187" s="248"/>
      <c r="H187" s="376"/>
      <c r="I187" s="248"/>
      <c r="J187" s="248"/>
      <c r="K187" s="248"/>
    </row>
    <row r="188" spans="1:11" x14ac:dyDescent="0.25">
      <c r="A188" s="359"/>
      <c r="B188" s="1752"/>
      <c r="C188" s="276"/>
      <c r="D188" s="1739"/>
      <c r="E188" s="1740"/>
      <c r="F188" s="1741"/>
      <c r="G188" s="248"/>
      <c r="H188" s="248"/>
      <c r="I188" s="248"/>
      <c r="J188" s="248"/>
      <c r="K188" s="248"/>
    </row>
    <row r="189" spans="1:11" ht="15.75" thickBot="1" x14ac:dyDescent="0.3">
      <c r="A189" s="359"/>
      <c r="B189" s="1752"/>
      <c r="C189" s="276"/>
      <c r="D189" s="1736" t="s">
        <v>82</v>
      </c>
      <c r="E189" s="1737"/>
      <c r="F189" s="1738"/>
      <c r="G189" s="248"/>
      <c r="H189" s="248"/>
      <c r="I189" s="248"/>
      <c r="J189" s="248"/>
      <c r="K189" s="248"/>
    </row>
    <row r="190" spans="1:11" ht="24.75" thickBot="1" x14ac:dyDescent="0.3">
      <c r="A190" s="359"/>
      <c r="B190" s="1752"/>
      <c r="C190" s="272"/>
      <c r="D190" s="287" t="s">
        <v>103</v>
      </c>
      <c r="E190" s="287" t="s">
        <v>104</v>
      </c>
      <c r="F190" s="287" t="s">
        <v>105</v>
      </c>
      <c r="G190" s="248"/>
      <c r="H190" s="248"/>
      <c r="I190" s="248"/>
      <c r="J190" s="248"/>
      <c r="K190" s="248"/>
    </row>
    <row r="191" spans="1:11" ht="15.75" thickBot="1" x14ac:dyDescent="0.3">
      <c r="A191" s="359"/>
      <c r="B191" s="1752"/>
      <c r="C191" s="272"/>
      <c r="D191" s="278" t="s">
        <v>111</v>
      </c>
      <c r="E191" s="375">
        <v>0.2</v>
      </c>
      <c r="F191" s="375">
        <v>0.2</v>
      </c>
      <c r="G191" s="248"/>
      <c r="H191" s="248"/>
      <c r="I191" s="248"/>
      <c r="J191" s="248"/>
      <c r="K191" s="248"/>
    </row>
    <row r="192" spans="1:11" ht="15.75" thickBot="1" x14ac:dyDescent="0.3">
      <c r="A192" s="359"/>
      <c r="B192" s="1752"/>
      <c r="C192" s="272"/>
      <c r="D192" s="278" t="s">
        <v>112</v>
      </c>
      <c r="E192" s="375">
        <v>0.5</v>
      </c>
      <c r="F192" s="375">
        <v>0.7</v>
      </c>
      <c r="G192" s="248"/>
      <c r="H192" s="376"/>
      <c r="I192" s="248"/>
      <c r="J192" s="248"/>
      <c r="K192" s="248"/>
    </row>
    <row r="193" spans="1:11" ht="15.75" thickBot="1" x14ac:dyDescent="0.3">
      <c r="A193" s="359"/>
      <c r="B193" s="1752"/>
      <c r="C193" s="272"/>
      <c r="D193" s="278" t="s">
        <v>113</v>
      </c>
      <c r="E193" s="375">
        <v>0.3</v>
      </c>
      <c r="F193" s="375">
        <v>1</v>
      </c>
      <c r="G193" s="248"/>
      <c r="H193" s="376"/>
      <c r="I193" s="248"/>
      <c r="J193" s="248"/>
      <c r="K193" s="248"/>
    </row>
    <row r="194" spans="1:11" x14ac:dyDescent="0.25">
      <c r="A194" s="359"/>
      <c r="B194" s="1752"/>
      <c r="C194" s="276"/>
      <c r="D194" s="1742"/>
      <c r="E194" s="1743"/>
      <c r="F194" s="1744"/>
      <c r="G194" s="248"/>
      <c r="H194" s="376"/>
      <c r="I194" s="248"/>
      <c r="J194" s="248"/>
      <c r="K194" s="248"/>
    </row>
    <row r="195" spans="1:11" ht="15.75" thickBot="1" x14ac:dyDescent="0.3">
      <c r="A195" s="359"/>
      <c r="B195" s="1752"/>
      <c r="C195" s="276"/>
      <c r="D195" s="1736" t="s">
        <v>114</v>
      </c>
      <c r="E195" s="1737"/>
      <c r="F195" s="1738"/>
      <c r="G195" s="248"/>
      <c r="H195" s="376"/>
      <c r="I195" s="248"/>
      <c r="J195" s="248"/>
      <c r="K195" s="248"/>
    </row>
    <row r="196" spans="1:11" ht="24.75" thickBot="1" x14ac:dyDescent="0.3">
      <c r="A196" s="359"/>
      <c r="B196" s="1752"/>
      <c r="C196" s="272"/>
      <c r="D196" s="287" t="s">
        <v>103</v>
      </c>
      <c r="E196" s="287" t="s">
        <v>104</v>
      </c>
      <c r="F196" s="287" t="s">
        <v>105</v>
      </c>
      <c r="G196" s="248"/>
      <c r="H196" s="248"/>
      <c r="I196" s="248"/>
      <c r="J196" s="248"/>
      <c r="K196" s="248"/>
    </row>
    <row r="197" spans="1:11" ht="15.75" thickBot="1" x14ac:dyDescent="0.3">
      <c r="A197" s="359"/>
      <c r="B197" s="1752"/>
      <c r="C197" s="272"/>
      <c r="D197" s="278" t="s">
        <v>115</v>
      </c>
      <c r="E197" s="375">
        <v>0.2</v>
      </c>
      <c r="F197" s="375">
        <v>0.2</v>
      </c>
      <c r="G197" s="248"/>
      <c r="H197" s="376"/>
      <c r="I197" s="248"/>
      <c r="J197" s="248"/>
      <c r="K197" s="248"/>
    </row>
    <row r="198" spans="1:11" ht="15.75" thickBot="1" x14ac:dyDescent="0.3">
      <c r="A198" s="359"/>
      <c r="B198" s="1752"/>
      <c r="C198" s="272"/>
      <c r="D198" s="278" t="s">
        <v>112</v>
      </c>
      <c r="E198" s="375">
        <v>0.5</v>
      </c>
      <c r="F198" s="375">
        <v>0.7</v>
      </c>
      <c r="G198" s="248"/>
      <c r="H198" s="376"/>
      <c r="I198" s="248"/>
      <c r="J198" s="248"/>
      <c r="K198" s="248"/>
    </row>
    <row r="199" spans="1:11" ht="15.75" thickBot="1" x14ac:dyDescent="0.3">
      <c r="A199" s="359"/>
      <c r="B199" s="1752"/>
      <c r="C199" s="272"/>
      <c r="D199" s="278" t="s">
        <v>113</v>
      </c>
      <c r="E199" s="375">
        <v>0.3</v>
      </c>
      <c r="F199" s="375">
        <v>1</v>
      </c>
      <c r="G199" s="248"/>
      <c r="H199" s="376"/>
      <c r="I199" s="248"/>
      <c r="J199" s="248"/>
      <c r="K199" s="248"/>
    </row>
    <row r="200" spans="1:11" x14ac:dyDescent="0.25">
      <c r="A200" s="359"/>
      <c r="B200" s="1752"/>
      <c r="C200" s="276"/>
      <c r="D200" s="1742"/>
      <c r="E200" s="1743"/>
      <c r="F200" s="1744"/>
      <c r="G200" s="248"/>
      <c r="H200" s="248"/>
      <c r="I200" s="248"/>
      <c r="J200" s="248"/>
      <c r="K200" s="248"/>
    </row>
    <row r="201" spans="1:11" x14ac:dyDescent="0.25">
      <c r="A201" s="359"/>
      <c r="B201" s="1752"/>
      <c r="C201" s="276"/>
      <c r="D201" s="1745" t="s">
        <v>116</v>
      </c>
      <c r="E201" s="1746"/>
      <c r="F201" s="1747"/>
      <c r="G201" s="248"/>
      <c r="H201" s="248"/>
      <c r="I201" s="248"/>
      <c r="J201" s="248"/>
      <c r="K201" s="248"/>
    </row>
    <row r="202" spans="1:11" x14ac:dyDescent="0.25">
      <c r="A202" s="359"/>
      <c r="B202" s="1752"/>
      <c r="C202" s="276"/>
      <c r="D202" s="1733" t="s">
        <v>117</v>
      </c>
      <c r="E202" s="1734"/>
      <c r="F202" s="1735"/>
      <c r="G202" s="248"/>
      <c r="H202" s="248"/>
      <c r="I202" s="248"/>
      <c r="J202" s="248"/>
      <c r="K202" s="248"/>
    </row>
    <row r="203" spans="1:11" x14ac:dyDescent="0.25">
      <c r="A203" s="359"/>
      <c r="B203" s="1752"/>
      <c r="C203" s="276"/>
      <c r="D203" s="301"/>
      <c r="E203" s="377"/>
      <c r="F203" s="313"/>
      <c r="G203" s="248"/>
      <c r="H203" s="248"/>
      <c r="I203" s="248"/>
      <c r="J203" s="248"/>
      <c r="K203" s="248"/>
    </row>
    <row r="204" spans="1:11" x14ac:dyDescent="0.25">
      <c r="A204" s="359"/>
      <c r="B204" s="1752"/>
      <c r="C204" s="276"/>
      <c r="D204" s="1733" t="s">
        <v>118</v>
      </c>
      <c r="E204" s="1734"/>
      <c r="F204" s="1735"/>
      <c r="G204" s="248"/>
      <c r="H204" s="248"/>
      <c r="I204" s="248"/>
      <c r="J204" s="248"/>
      <c r="K204" s="248"/>
    </row>
    <row r="205" spans="1:11" x14ac:dyDescent="0.25">
      <c r="A205" s="359"/>
      <c r="B205" s="1752"/>
      <c r="C205" s="276"/>
      <c r="D205" s="1733" t="s">
        <v>119</v>
      </c>
      <c r="E205" s="1734"/>
      <c r="F205" s="1735"/>
      <c r="G205" s="248"/>
      <c r="H205" s="248"/>
      <c r="I205" s="248"/>
      <c r="J205" s="248"/>
      <c r="K205" s="248"/>
    </row>
    <row r="206" spans="1:11" x14ac:dyDescent="0.25">
      <c r="A206" s="359"/>
      <c r="B206" s="1752"/>
      <c r="C206" s="276"/>
      <c r="D206" s="1733" t="s">
        <v>120</v>
      </c>
      <c r="E206" s="1734"/>
      <c r="F206" s="1735"/>
      <c r="G206" s="248"/>
      <c r="H206" s="248"/>
      <c r="I206" s="248"/>
      <c r="J206" s="248"/>
      <c r="K206" s="248"/>
    </row>
    <row r="207" spans="1:11" x14ac:dyDescent="0.25">
      <c r="A207" s="359"/>
      <c r="B207" s="1752"/>
      <c r="C207" s="276"/>
      <c r="D207" s="1733" t="s">
        <v>121</v>
      </c>
      <c r="E207" s="1734"/>
      <c r="F207" s="1735"/>
      <c r="G207" s="248"/>
      <c r="H207" s="248"/>
      <c r="I207" s="248"/>
      <c r="J207" s="248"/>
      <c r="K207" s="248"/>
    </row>
    <row r="208" spans="1:11" x14ac:dyDescent="0.25">
      <c r="A208" s="359"/>
      <c r="B208" s="1752"/>
      <c r="C208" s="276"/>
      <c r="D208" s="301"/>
      <c r="E208" s="377"/>
      <c r="F208" s="313"/>
      <c r="G208" s="248"/>
      <c r="H208" s="248"/>
      <c r="I208" s="248"/>
      <c r="J208" s="248"/>
      <c r="K208" s="248"/>
    </row>
    <row r="209" spans="1:11" x14ac:dyDescent="0.25">
      <c r="A209" s="359"/>
      <c r="B209" s="1752"/>
      <c r="C209" s="276"/>
      <c r="D209" s="1745" t="s">
        <v>122</v>
      </c>
      <c r="E209" s="1746"/>
      <c r="F209" s="1747"/>
      <c r="G209" s="248"/>
      <c r="H209" s="248"/>
      <c r="I209" s="248"/>
      <c r="J209" s="248"/>
      <c r="K209" s="248"/>
    </row>
    <row r="210" spans="1:11" x14ac:dyDescent="0.25">
      <c r="A210" s="359"/>
      <c r="B210" s="1752"/>
      <c r="C210" s="276"/>
      <c r="D210" s="1733" t="s">
        <v>123</v>
      </c>
      <c r="E210" s="1734"/>
      <c r="F210" s="1735"/>
      <c r="G210" s="248"/>
      <c r="H210" s="248"/>
      <c r="I210" s="248"/>
      <c r="J210" s="248"/>
      <c r="K210" s="248"/>
    </row>
    <row r="211" spans="1:11" ht="32.1" customHeight="1" x14ac:dyDescent="0.25">
      <c r="A211" s="359"/>
      <c r="B211" s="1752"/>
      <c r="C211" s="276"/>
      <c r="D211" s="1730"/>
      <c r="E211" s="1731"/>
      <c r="F211" s="1732"/>
      <c r="G211" s="248"/>
      <c r="H211" s="248"/>
      <c r="I211" s="248"/>
      <c r="J211" s="248"/>
      <c r="K211" s="248"/>
    </row>
    <row r="212" spans="1:11" x14ac:dyDescent="0.25">
      <c r="A212" s="359"/>
      <c r="B212" s="1752"/>
      <c r="C212" s="276"/>
      <c r="D212" s="1733" t="s">
        <v>124</v>
      </c>
      <c r="E212" s="1734"/>
      <c r="F212" s="1735"/>
      <c r="G212" s="248"/>
      <c r="H212" s="248"/>
      <c r="I212" s="248"/>
      <c r="J212" s="248"/>
      <c r="K212" s="248"/>
    </row>
    <row r="213" spans="1:11" x14ac:dyDescent="0.25">
      <c r="A213" s="359"/>
      <c r="B213" s="1752"/>
      <c r="C213" s="276"/>
      <c r="D213" s="1733" t="s">
        <v>125</v>
      </c>
      <c r="E213" s="1734"/>
      <c r="F213" s="1735"/>
      <c r="G213" s="248"/>
      <c r="H213" s="248"/>
      <c r="I213" s="248"/>
      <c r="J213" s="248"/>
      <c r="K213" s="248"/>
    </row>
    <row r="214" spans="1:11" x14ac:dyDescent="0.25">
      <c r="A214" s="359"/>
      <c r="B214" s="1752"/>
      <c r="C214" s="276"/>
      <c r="D214" s="1733" t="s">
        <v>126</v>
      </c>
      <c r="E214" s="1734"/>
      <c r="F214" s="1735"/>
      <c r="G214" s="248"/>
      <c r="H214" s="248"/>
      <c r="I214" s="248"/>
      <c r="J214" s="248"/>
      <c r="K214" s="248"/>
    </row>
    <row r="215" spans="1:11" ht="15.75" thickBot="1" x14ac:dyDescent="0.3">
      <c r="A215" s="359"/>
      <c r="B215" s="1753"/>
      <c r="C215" s="286"/>
      <c r="D215" s="1748" t="s">
        <v>127</v>
      </c>
      <c r="E215" s="1749"/>
      <c r="F215" s="1750"/>
      <c r="G215" s="248"/>
      <c r="H215" s="248"/>
      <c r="I215" s="248"/>
      <c r="J215" s="248"/>
      <c r="K215" s="248"/>
    </row>
  </sheetData>
  <sheetProtection insertRows="0"/>
  <mergeCells count="104">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 ref="B107:E107"/>
    <mergeCell ref="B108:B114"/>
    <mergeCell ref="B116:E116"/>
    <mergeCell ref="B117:B123"/>
    <mergeCell ref="B130:F131"/>
    <mergeCell ref="D100:E100"/>
    <mergeCell ref="D101:K101"/>
    <mergeCell ref="D102:K102"/>
    <mergeCell ref="D104:K104"/>
    <mergeCell ref="D105:K105"/>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A5:P5"/>
    <mergeCell ref="A1:P1"/>
    <mergeCell ref="A2:P2"/>
    <mergeCell ref="A3:P3"/>
    <mergeCell ref="A4:D4"/>
    <mergeCell ref="B10:D10"/>
    <mergeCell ref="F11:S11"/>
    <mergeCell ref="E13:R13"/>
    <mergeCell ref="F10:S10"/>
    <mergeCell ref="E12:J12"/>
    <mergeCell ref="K12:R12"/>
  </mergeCells>
  <conditionalFormatting sqref="D100">
    <cfRule type="containsText" dxfId="130" priority="9" operator="containsText" text="ERROR">
      <formula>NOT(ISERROR(SEARCH("ERROR",D100)))</formula>
    </cfRule>
  </conditionalFormatting>
  <conditionalFormatting sqref="F10">
    <cfRule type="notContainsBlanks" dxfId="129" priority="8">
      <formula>LEN(TRIM(F10))&gt;0</formula>
    </cfRule>
  </conditionalFormatting>
  <conditionalFormatting sqref="F11:S11">
    <cfRule type="expression" dxfId="128" priority="5">
      <formula>E11="NO SE REPORTA"</formula>
    </cfRule>
    <cfRule type="expression" dxfId="127" priority="6">
      <formula>E10="NO APLICA"</formula>
    </cfRule>
  </conditionalFormatting>
  <conditionalFormatting sqref="E12 K12">
    <cfRule type="expression" dxfId="126" priority="2">
      <formula>E11="SI SE REPORTA"</formula>
    </cfRule>
  </conditionalFormatting>
  <dataValidations count="7">
    <dataValidation type="decimal" allowBlank="1" showInputMessage="1" showErrorMessage="1" errorTitle="ERROR" error="Escriba un valor entre 0% y 100%" sqref="G45:J58 G62:J75 E97:F99">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U76"/>
  <sheetViews>
    <sheetView showGridLines="0" zoomScale="98" zoomScaleNormal="98" workbookViewId="0">
      <selection activeCell="E14" sqref="E14"/>
    </sheetView>
  </sheetViews>
  <sheetFormatPr baseColWidth="10" defaultRowHeight="15" x14ac:dyDescent="0.25"/>
  <cols>
    <col min="1" max="1" width="1.85546875" customWidth="1"/>
    <col min="2" max="2" width="12.85546875" customWidth="1"/>
    <col min="3" max="3" width="6.14062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131</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248"/>
    </row>
    <row r="7" spans="1:21" ht="15.75" thickBot="1" x14ac:dyDescent="0.3">
      <c r="A7" s="245"/>
      <c r="B7" s="251"/>
      <c r="C7" s="260"/>
      <c r="D7" s="248"/>
      <c r="E7" s="253"/>
      <c r="F7" s="248" t="s">
        <v>129</v>
      </c>
      <c r="G7" s="248"/>
      <c r="H7" s="248"/>
      <c r="I7" s="248"/>
      <c r="J7" s="248"/>
      <c r="K7" s="248"/>
    </row>
    <row r="8" spans="1:21" ht="15.75" thickBot="1" x14ac:dyDescent="0.3">
      <c r="A8" s="245"/>
      <c r="B8" s="261" t="s">
        <v>1188</v>
      </c>
      <c r="C8" s="262">
        <v>2020</v>
      </c>
      <c r="D8" s="263" t="str">
        <f>IF(E10="NO APLICA","NO APLICA",IF(E11="NO SE REPORTA","SIN INFORMACION",+E23))</f>
        <v>N.A.</v>
      </c>
      <c r="E8" s="264"/>
      <c r="F8" s="248" t="s">
        <v>130</v>
      </c>
      <c r="G8" s="248"/>
      <c r="H8" s="248"/>
      <c r="I8" s="248"/>
      <c r="J8" s="248"/>
      <c r="K8" s="248"/>
    </row>
    <row r="9" spans="1:21" x14ac:dyDescent="0.25">
      <c r="A9" s="245"/>
      <c r="B9" s="497" t="s">
        <v>1189</v>
      </c>
      <c r="C9" s="265"/>
      <c r="D9" s="266"/>
      <c r="E9" s="248"/>
      <c r="F9" s="248"/>
      <c r="G9" s="248"/>
      <c r="H9" s="248"/>
      <c r="I9" s="248"/>
      <c r="J9" s="248"/>
      <c r="K9" s="248"/>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Gestión'!A40</f>
        <v>Proyecto No 2.1. Administración de la Oferta y Demanda del Recurso Hídrico (superficiales y subterráneas)</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265"/>
      <c r="D14" s="266"/>
      <c r="E14" s="248"/>
      <c r="F14" s="248"/>
      <c r="G14" s="248"/>
      <c r="H14" s="248"/>
      <c r="I14" s="248"/>
      <c r="J14" s="248"/>
      <c r="K14" s="248"/>
    </row>
    <row r="15" spans="1:21" ht="15.75" thickBot="1" x14ac:dyDescent="0.3">
      <c r="A15" s="245"/>
      <c r="B15" s="1751" t="s">
        <v>2</v>
      </c>
      <c r="C15" s="268"/>
      <c r="D15" s="1742" t="s">
        <v>3</v>
      </c>
      <c r="E15" s="1743"/>
      <c r="F15" s="1743"/>
      <c r="G15" s="1743"/>
      <c r="H15" s="1743"/>
      <c r="I15" s="1743"/>
      <c r="J15" s="1744"/>
      <c r="K15" s="248"/>
    </row>
    <row r="16" spans="1:21" ht="36.75" thickBot="1" x14ac:dyDescent="0.3">
      <c r="A16" s="245"/>
      <c r="B16" s="1752"/>
      <c r="C16" s="272"/>
      <c r="D16" s="273" t="s">
        <v>148</v>
      </c>
      <c r="E16" s="217">
        <v>52</v>
      </c>
      <c r="F16" s="248"/>
      <c r="G16" s="248"/>
      <c r="H16" s="248"/>
      <c r="I16" s="248"/>
      <c r="J16" s="274"/>
      <c r="K16" s="248"/>
    </row>
    <row r="17" spans="1:11" ht="48.75" thickBot="1" x14ac:dyDescent="0.3">
      <c r="A17" s="245"/>
      <c r="B17" s="1752"/>
      <c r="C17" s="272"/>
      <c r="D17" s="275" t="s">
        <v>1767</v>
      </c>
      <c r="E17" s="217">
        <v>2</v>
      </c>
      <c r="F17" s="248"/>
      <c r="G17" s="248"/>
      <c r="H17" s="248"/>
      <c r="I17" s="248"/>
      <c r="J17" s="274"/>
      <c r="K17" s="248"/>
    </row>
    <row r="18" spans="1:11" ht="48.75" thickBot="1" x14ac:dyDescent="0.3">
      <c r="A18" s="245"/>
      <c r="B18" s="1752"/>
      <c r="C18" s="272"/>
      <c r="D18" s="275" t="s">
        <v>149</v>
      </c>
      <c r="E18" s="217">
        <v>2</v>
      </c>
      <c r="F18" s="248"/>
      <c r="G18" s="248"/>
      <c r="H18" s="248"/>
      <c r="I18" s="248"/>
      <c r="J18" s="274"/>
      <c r="K18" s="248"/>
    </row>
    <row r="19" spans="1:11" ht="15.75" thickBot="1" x14ac:dyDescent="0.3">
      <c r="A19" s="245"/>
      <c r="B19" s="1752"/>
      <c r="C19" s="276"/>
      <c r="D19" s="1757"/>
      <c r="E19" s="1758"/>
      <c r="F19" s="1758"/>
      <c r="G19" s="1758"/>
      <c r="H19" s="1758"/>
      <c r="I19" s="1758"/>
      <c r="J19" s="1759"/>
      <c r="K19" s="248"/>
    </row>
    <row r="20" spans="1:11" ht="15.75" thickBot="1" x14ac:dyDescent="0.3">
      <c r="A20" s="245"/>
      <c r="B20" s="1752"/>
      <c r="C20" s="279" t="s">
        <v>19</v>
      </c>
      <c r="D20" s="273" t="s">
        <v>150</v>
      </c>
      <c r="E20" s="280" t="s">
        <v>20</v>
      </c>
      <c r="F20" s="280" t="s">
        <v>21</v>
      </c>
      <c r="G20" s="280" t="s">
        <v>22</v>
      </c>
      <c r="H20" s="280" t="s">
        <v>23</v>
      </c>
      <c r="I20" s="280" t="s">
        <v>151</v>
      </c>
      <c r="J20" s="113"/>
      <c r="K20" s="248"/>
    </row>
    <row r="21" spans="1:11" ht="36.75" thickBot="1" x14ac:dyDescent="0.3">
      <c r="A21" s="245"/>
      <c r="B21" s="1752"/>
      <c r="C21" s="282" t="s">
        <v>152</v>
      </c>
      <c r="D21" s="275" t="s">
        <v>153</v>
      </c>
      <c r="E21" s="217"/>
      <c r="F21" s="217">
        <v>1</v>
      </c>
      <c r="G21" s="217"/>
      <c r="H21" s="217">
        <v>1</v>
      </c>
      <c r="I21" s="283">
        <f>SUM(E21:H21)</f>
        <v>2</v>
      </c>
      <c r="J21" s="114"/>
      <c r="K21" s="248"/>
    </row>
    <row r="22" spans="1:11" ht="36.75" thickBot="1" x14ac:dyDescent="0.3">
      <c r="A22" s="245"/>
      <c r="B22" s="1752"/>
      <c r="C22" s="282" t="s">
        <v>154</v>
      </c>
      <c r="D22" s="275" t="s">
        <v>155</v>
      </c>
      <c r="E22" s="217"/>
      <c r="F22" s="217">
        <v>0</v>
      </c>
      <c r="G22" s="217"/>
      <c r="H22" s="217"/>
      <c r="I22" s="283">
        <f>SUM(E22:H22)</f>
        <v>0</v>
      </c>
      <c r="J22" s="114"/>
      <c r="K22" s="248"/>
    </row>
    <row r="23" spans="1:11" ht="36.75" thickBot="1" x14ac:dyDescent="0.3">
      <c r="A23" s="245"/>
      <c r="B23" s="1753"/>
      <c r="C23" s="282" t="s">
        <v>156</v>
      </c>
      <c r="D23" s="275" t="s">
        <v>157</v>
      </c>
      <c r="E23" s="196" t="str">
        <f>IFERROR(E22/E21,"N.A.")</f>
        <v>N.A.</v>
      </c>
      <c r="F23" s="196">
        <f>IFERROR(F22/F21,"N.A.")</f>
        <v>0</v>
      </c>
      <c r="G23" s="196" t="str">
        <f>IFERROR(G22/G21,"N.A.")</f>
        <v>N.A.</v>
      </c>
      <c r="H23" s="196">
        <f>IFERROR(H22/H21,"N.A.")</f>
        <v>0</v>
      </c>
      <c r="I23" s="196">
        <f>IFERROR(I22/I21,"N.A.")</f>
        <v>0</v>
      </c>
      <c r="J23" s="115"/>
      <c r="K23" s="248"/>
    </row>
    <row r="24" spans="1:11" ht="15.75" thickBot="1" x14ac:dyDescent="0.3">
      <c r="A24" s="245"/>
      <c r="B24" s="285" t="s">
        <v>34</v>
      </c>
      <c r="C24" s="286"/>
      <c r="D24" s="1754" t="s">
        <v>158</v>
      </c>
      <c r="E24" s="1755"/>
      <c r="F24" s="1755"/>
      <c r="G24" s="1755"/>
      <c r="H24" s="1755"/>
      <c r="I24" s="1755"/>
      <c r="J24" s="1756"/>
      <c r="K24" s="248"/>
    </row>
    <row r="25" spans="1:11" ht="24.75" thickBot="1" x14ac:dyDescent="0.3">
      <c r="A25" s="245"/>
      <c r="B25" s="285" t="s">
        <v>36</v>
      </c>
      <c r="C25" s="286"/>
      <c r="D25" s="1754" t="s">
        <v>159</v>
      </c>
      <c r="E25" s="1755"/>
      <c r="F25" s="1755"/>
      <c r="G25" s="1755"/>
      <c r="H25" s="1755"/>
      <c r="I25" s="1755"/>
      <c r="J25" s="1756"/>
      <c r="K25" s="248"/>
    </row>
    <row r="26" spans="1:11" ht="15.75" thickBot="1" x14ac:dyDescent="0.3">
      <c r="A26" s="245"/>
      <c r="B26" s="249"/>
      <c r="C26" s="250"/>
      <c r="D26" s="248"/>
      <c r="E26" s="248"/>
      <c r="F26" s="248"/>
      <c r="G26" s="248"/>
      <c r="H26" s="248"/>
      <c r="I26" s="248"/>
      <c r="J26" s="248"/>
      <c r="K26" s="248"/>
    </row>
    <row r="27" spans="1:11" ht="24" customHeight="1" thickBot="1" x14ac:dyDescent="0.3">
      <c r="A27" s="245"/>
      <c r="B27" s="1760" t="s">
        <v>38</v>
      </c>
      <c r="C27" s="1761"/>
      <c r="D27" s="1761"/>
      <c r="E27" s="1762"/>
      <c r="F27" s="248"/>
      <c r="G27" s="248"/>
      <c r="H27" s="248"/>
      <c r="I27" s="248"/>
      <c r="J27" s="248"/>
      <c r="K27" s="248"/>
    </row>
    <row r="28" spans="1:11" ht="15.75" thickBot="1" x14ac:dyDescent="0.3">
      <c r="A28" s="245"/>
      <c r="B28" s="1751">
        <v>1</v>
      </c>
      <c r="C28" s="272"/>
      <c r="D28" s="289" t="s">
        <v>39</v>
      </c>
      <c r="E28" s="31"/>
      <c r="F28" s="248"/>
      <c r="G28" s="248"/>
      <c r="H28" s="248"/>
      <c r="I28" s="248"/>
      <c r="J28" s="248"/>
      <c r="K28" s="248"/>
    </row>
    <row r="29" spans="1:11" ht="15.75" thickBot="1" x14ac:dyDescent="0.3">
      <c r="A29" s="245"/>
      <c r="B29" s="1752"/>
      <c r="C29" s="272"/>
      <c r="D29" s="275" t="s">
        <v>40</v>
      </c>
      <c r="E29" s="31"/>
      <c r="F29" s="248"/>
      <c r="G29" s="248"/>
      <c r="H29" s="248"/>
      <c r="I29" s="248"/>
      <c r="J29" s="248"/>
      <c r="K29" s="248"/>
    </row>
    <row r="30" spans="1:11" ht="15.75" thickBot="1" x14ac:dyDescent="0.3">
      <c r="A30" s="245"/>
      <c r="B30" s="1752"/>
      <c r="C30" s="272"/>
      <c r="D30" s="275" t="s">
        <v>41</v>
      </c>
      <c r="E30" s="31"/>
      <c r="F30" s="248"/>
      <c r="G30" s="248"/>
      <c r="H30" s="248"/>
      <c r="I30" s="248"/>
      <c r="J30" s="248"/>
      <c r="K30" s="248"/>
    </row>
    <row r="31" spans="1:11" ht="15.75" thickBot="1" x14ac:dyDescent="0.3">
      <c r="A31" s="245"/>
      <c r="B31" s="1752"/>
      <c r="C31" s="272"/>
      <c r="D31" s="275" t="s">
        <v>42</v>
      </c>
      <c r="E31" s="31"/>
      <c r="F31" s="248"/>
      <c r="G31" s="248"/>
      <c r="H31" s="248"/>
      <c r="I31" s="248"/>
      <c r="J31" s="248"/>
      <c r="K31" s="248"/>
    </row>
    <row r="32" spans="1:11" ht="15.75" thickBot="1" x14ac:dyDescent="0.3">
      <c r="A32" s="245"/>
      <c r="B32" s="1752"/>
      <c r="C32" s="272"/>
      <c r="D32" s="275" t="s">
        <v>43</v>
      </c>
      <c r="E32" s="31"/>
      <c r="F32" s="248"/>
      <c r="G32" s="248"/>
      <c r="H32" s="248"/>
      <c r="I32" s="248"/>
      <c r="J32" s="248"/>
      <c r="K32" s="248"/>
    </row>
    <row r="33" spans="1:11" ht="15.75" thickBot="1" x14ac:dyDescent="0.3">
      <c r="A33" s="245"/>
      <c r="B33" s="1752"/>
      <c r="C33" s="272"/>
      <c r="D33" s="275" t="s">
        <v>44</v>
      </c>
      <c r="E33" s="31"/>
      <c r="F33" s="248"/>
      <c r="G33" s="248"/>
      <c r="H33" s="248"/>
      <c r="I33" s="248"/>
      <c r="J33" s="248"/>
      <c r="K33" s="248"/>
    </row>
    <row r="34" spans="1:11" ht="15.75" thickBot="1" x14ac:dyDescent="0.3">
      <c r="A34" s="245"/>
      <c r="B34" s="1753"/>
      <c r="C34" s="282"/>
      <c r="D34" s="275" t="s">
        <v>45</v>
      </c>
      <c r="E34" s="31"/>
      <c r="F34" s="248"/>
      <c r="G34" s="248"/>
      <c r="H34" s="248"/>
      <c r="I34" s="248"/>
      <c r="J34" s="248"/>
      <c r="K34" s="248"/>
    </row>
    <row r="35" spans="1:11" ht="15.75" thickBot="1" x14ac:dyDescent="0.3">
      <c r="A35" s="245"/>
      <c r="B35" s="249"/>
      <c r="C35" s="250"/>
      <c r="D35" s="248"/>
      <c r="E35" s="248"/>
      <c r="F35" s="248"/>
      <c r="G35" s="248"/>
      <c r="H35" s="248"/>
      <c r="I35" s="248"/>
      <c r="J35" s="248"/>
      <c r="K35" s="248"/>
    </row>
    <row r="36" spans="1:11" ht="15.75" thickBot="1" x14ac:dyDescent="0.3">
      <c r="A36" s="245"/>
      <c r="B36" s="1760" t="s">
        <v>46</v>
      </c>
      <c r="C36" s="1761"/>
      <c r="D36" s="1761"/>
      <c r="E36" s="1762"/>
      <c r="F36" s="248"/>
      <c r="G36" s="248"/>
      <c r="H36" s="248"/>
      <c r="I36" s="248"/>
      <c r="J36" s="248"/>
      <c r="K36" s="248"/>
    </row>
    <row r="37" spans="1:11" ht="15.75" thickBot="1" x14ac:dyDescent="0.3">
      <c r="A37" s="245"/>
      <c r="B37" s="1751">
        <v>1</v>
      </c>
      <c r="C37" s="272"/>
      <c r="D37" s="289" t="s">
        <v>39</v>
      </c>
      <c r="E37" s="302" t="s">
        <v>47</v>
      </c>
      <c r="F37" s="248"/>
      <c r="G37" s="248"/>
      <c r="H37" s="248"/>
      <c r="I37" s="248"/>
      <c r="J37" s="248"/>
      <c r="K37" s="248"/>
    </row>
    <row r="38" spans="1:11" ht="15.75" thickBot="1" x14ac:dyDescent="0.3">
      <c r="A38" s="245"/>
      <c r="B38" s="1752"/>
      <c r="C38" s="272"/>
      <c r="D38" s="275" t="s">
        <v>40</v>
      </c>
      <c r="E38" s="302" t="s">
        <v>160</v>
      </c>
      <c r="F38" s="248"/>
      <c r="G38" s="248"/>
      <c r="H38" s="248"/>
      <c r="I38" s="248"/>
      <c r="J38" s="248"/>
      <c r="K38" s="248"/>
    </row>
    <row r="39" spans="1:11" ht="15.75" thickBot="1" x14ac:dyDescent="0.3">
      <c r="A39" s="245"/>
      <c r="B39" s="1752"/>
      <c r="C39" s="272"/>
      <c r="D39" s="275" t="s">
        <v>41</v>
      </c>
      <c r="E39" s="303"/>
      <c r="F39" s="248"/>
      <c r="G39" s="248"/>
      <c r="H39" s="248"/>
      <c r="I39" s="248"/>
      <c r="J39" s="248"/>
      <c r="K39" s="248"/>
    </row>
    <row r="40" spans="1:11" ht="15.75" thickBot="1" x14ac:dyDescent="0.3">
      <c r="A40" s="245"/>
      <c r="B40" s="1752"/>
      <c r="C40" s="272"/>
      <c r="D40" s="275" t="s">
        <v>42</v>
      </c>
      <c r="E40" s="303"/>
      <c r="F40" s="248"/>
      <c r="G40" s="248"/>
      <c r="H40" s="248"/>
      <c r="I40" s="248"/>
      <c r="J40" s="248"/>
      <c r="K40" s="248"/>
    </row>
    <row r="41" spans="1:11" ht="15.75" thickBot="1" x14ac:dyDescent="0.3">
      <c r="A41" s="245"/>
      <c r="B41" s="1752"/>
      <c r="C41" s="272"/>
      <c r="D41" s="275" t="s">
        <v>43</v>
      </c>
      <c r="E41" s="303"/>
      <c r="F41" s="248"/>
      <c r="G41" s="248"/>
      <c r="H41" s="248"/>
      <c r="I41" s="248"/>
      <c r="J41" s="248"/>
      <c r="K41" s="248"/>
    </row>
    <row r="42" spans="1:11" ht="15.75" thickBot="1" x14ac:dyDescent="0.3">
      <c r="A42" s="245"/>
      <c r="B42" s="1752"/>
      <c r="C42" s="272"/>
      <c r="D42" s="275" t="s">
        <v>44</v>
      </c>
      <c r="E42" s="303"/>
      <c r="F42" s="248"/>
      <c r="G42" s="248"/>
      <c r="H42" s="248"/>
      <c r="I42" s="248"/>
      <c r="J42" s="248"/>
      <c r="K42" s="248"/>
    </row>
    <row r="43" spans="1:11" ht="15.75" thickBot="1" x14ac:dyDescent="0.3">
      <c r="A43" s="245"/>
      <c r="B43" s="1753"/>
      <c r="C43" s="282"/>
      <c r="D43" s="275" t="s">
        <v>45</v>
      </c>
      <c r="E43" s="303"/>
      <c r="F43" s="248"/>
      <c r="G43" s="248"/>
      <c r="H43" s="248"/>
      <c r="I43" s="248"/>
      <c r="J43" s="248"/>
      <c r="K43" s="248"/>
    </row>
    <row r="44" spans="1:11" ht="15.75" thickBot="1" x14ac:dyDescent="0.3">
      <c r="A44" s="245"/>
      <c r="B44" s="249"/>
      <c r="C44" s="250"/>
      <c r="D44" s="248"/>
      <c r="E44" s="248"/>
      <c r="F44" s="248"/>
      <c r="G44" s="248"/>
      <c r="H44" s="248"/>
      <c r="I44" s="248"/>
      <c r="J44" s="248"/>
      <c r="K44" s="248"/>
    </row>
    <row r="45" spans="1:11" ht="15" customHeight="1" thickBot="1" x14ac:dyDescent="0.3">
      <c r="A45" s="245"/>
      <c r="B45" s="291" t="s">
        <v>49</v>
      </c>
      <c r="C45" s="292"/>
      <c r="D45" s="292"/>
      <c r="E45" s="292"/>
      <c r="F45" s="293"/>
      <c r="G45" s="248"/>
      <c r="H45" s="248"/>
      <c r="I45" s="248"/>
      <c r="J45" s="248"/>
      <c r="K45" s="248"/>
    </row>
    <row r="46" spans="1:11" ht="15.75" thickBot="1" x14ac:dyDescent="0.3">
      <c r="A46" s="245"/>
      <c r="B46" s="285" t="s">
        <v>50</v>
      </c>
      <c r="C46" s="294" t="s">
        <v>51</v>
      </c>
      <c r="D46" s="294" t="s">
        <v>52</v>
      </c>
      <c r="E46" s="294" t="s">
        <v>53</v>
      </c>
      <c r="F46" s="248"/>
      <c r="G46" s="248"/>
      <c r="H46" s="248"/>
      <c r="I46" s="248"/>
      <c r="J46" s="248"/>
      <c r="K46" s="245"/>
    </row>
    <row r="47" spans="1:11" ht="72.75" thickBot="1" x14ac:dyDescent="0.3">
      <c r="A47" s="245"/>
      <c r="B47" s="295">
        <v>42401</v>
      </c>
      <c r="C47" s="294">
        <v>0.01</v>
      </c>
      <c r="D47" s="296" t="s">
        <v>161</v>
      </c>
      <c r="E47" s="294"/>
      <c r="F47" s="248"/>
      <c r="G47" s="248"/>
      <c r="H47" s="248"/>
      <c r="I47" s="248"/>
      <c r="J47" s="248"/>
      <c r="K47" s="245"/>
    </row>
    <row r="48" spans="1:11" ht="15.75" thickBot="1" x14ac:dyDescent="0.3">
      <c r="A48" s="245"/>
      <c r="B48" s="249"/>
      <c r="C48" s="250"/>
      <c r="D48" s="248"/>
      <c r="E48" s="248"/>
      <c r="F48" s="248"/>
      <c r="G48" s="248"/>
      <c r="H48" s="248"/>
      <c r="I48" s="248"/>
      <c r="J48" s="248"/>
      <c r="K48" s="248"/>
    </row>
    <row r="49" spans="1:11" x14ac:dyDescent="0.25">
      <c r="A49" s="245"/>
      <c r="B49" s="297" t="s">
        <v>55</v>
      </c>
      <c r="C49" s="298"/>
      <c r="D49" s="248"/>
      <c r="E49" s="248"/>
      <c r="F49" s="248"/>
      <c r="G49" s="248"/>
      <c r="H49" s="248"/>
      <c r="I49" s="248"/>
      <c r="J49" s="248"/>
      <c r="K49" s="248"/>
    </row>
    <row r="50" spans="1:11" x14ac:dyDescent="0.25">
      <c r="A50" s="245"/>
      <c r="B50" s="1777"/>
      <c r="C50" s="1778"/>
      <c r="D50" s="1778"/>
      <c r="E50" s="1778"/>
      <c r="F50" s="1778"/>
      <c r="G50" s="1778"/>
      <c r="H50" s="1778"/>
      <c r="I50" s="1778"/>
      <c r="J50" s="1779"/>
      <c r="K50" s="248"/>
    </row>
    <row r="51" spans="1:11" x14ac:dyDescent="0.25">
      <c r="A51" s="245"/>
      <c r="B51" s="248"/>
      <c r="C51" s="265"/>
      <c r="D51" s="248"/>
      <c r="E51" s="248"/>
      <c r="F51" s="248"/>
      <c r="G51" s="248"/>
      <c r="H51" s="248"/>
      <c r="I51" s="248"/>
      <c r="J51" s="248"/>
      <c r="K51" s="248"/>
    </row>
    <row r="52" spans="1:11" ht="15.75" thickBot="1" x14ac:dyDescent="0.3">
      <c r="A52" s="245"/>
      <c r="B52" s="248"/>
      <c r="C52" s="265"/>
      <c r="D52" s="248"/>
      <c r="E52" s="248"/>
      <c r="F52" s="248"/>
      <c r="G52" s="248"/>
      <c r="H52" s="248"/>
      <c r="I52" s="248"/>
      <c r="J52" s="248"/>
      <c r="K52" s="248"/>
    </row>
    <row r="53" spans="1:11" ht="15.75" thickBot="1" x14ac:dyDescent="0.3">
      <c r="A53" s="245"/>
      <c r="B53" s="1760" t="s">
        <v>56</v>
      </c>
      <c r="C53" s="1761"/>
      <c r="D53" s="1762"/>
      <c r="E53" s="248"/>
      <c r="F53" s="248"/>
      <c r="G53" s="248"/>
      <c r="H53" s="248"/>
      <c r="I53" s="248"/>
      <c r="J53" s="248"/>
      <c r="K53" s="248"/>
    </row>
    <row r="54" spans="1:11" ht="15.75" thickBot="1" x14ac:dyDescent="0.3">
      <c r="A54" s="245"/>
      <c r="B54" s="249"/>
      <c r="C54" s="250"/>
      <c r="D54" s="248"/>
      <c r="E54" s="248"/>
      <c r="F54" s="248"/>
      <c r="G54" s="248"/>
      <c r="H54" s="248"/>
      <c r="I54" s="248"/>
      <c r="J54" s="248"/>
      <c r="K54" s="248"/>
    </row>
    <row r="55" spans="1:11" ht="24" customHeight="1" thickBot="1" x14ac:dyDescent="0.3">
      <c r="A55" s="245"/>
      <c r="B55" s="299" t="s">
        <v>57</v>
      </c>
      <c r="C55" s="300"/>
      <c r="D55" s="1754" t="s">
        <v>132</v>
      </c>
      <c r="E55" s="1755"/>
      <c r="F55" s="1755"/>
      <c r="G55" s="1755"/>
      <c r="H55" s="1755"/>
      <c r="I55" s="1755"/>
      <c r="J55" s="1756"/>
      <c r="K55" s="248"/>
    </row>
    <row r="56" spans="1:11" x14ac:dyDescent="0.25">
      <c r="A56" s="245"/>
      <c r="B56" s="1751" t="s">
        <v>59</v>
      </c>
      <c r="C56" s="268"/>
      <c r="D56" s="1739" t="s">
        <v>60</v>
      </c>
      <c r="E56" s="1740"/>
      <c r="F56" s="1740"/>
      <c r="G56" s="1740"/>
      <c r="H56" s="1740"/>
      <c r="I56" s="1740"/>
      <c r="J56" s="1741"/>
      <c r="K56" s="248"/>
    </row>
    <row r="57" spans="1:11" ht="24" customHeight="1" x14ac:dyDescent="0.25">
      <c r="A57" s="245"/>
      <c r="B57" s="1752"/>
      <c r="C57" s="276"/>
      <c r="D57" s="1733" t="s">
        <v>133</v>
      </c>
      <c r="E57" s="1776"/>
      <c r="F57" s="1776"/>
      <c r="G57" s="1776"/>
      <c r="H57" s="1776"/>
      <c r="I57" s="1776"/>
      <c r="J57" s="1735"/>
      <c r="K57" s="248"/>
    </row>
    <row r="58" spans="1:11" x14ac:dyDescent="0.25">
      <c r="A58" s="245"/>
      <c r="B58" s="1752"/>
      <c r="C58" s="276"/>
      <c r="D58" s="1745" t="s">
        <v>134</v>
      </c>
      <c r="E58" s="1780"/>
      <c r="F58" s="1780"/>
      <c r="G58" s="1780"/>
      <c r="H58" s="1780"/>
      <c r="I58" s="1780"/>
      <c r="J58" s="1747"/>
      <c r="K58" s="248"/>
    </row>
    <row r="59" spans="1:11" x14ac:dyDescent="0.25">
      <c r="A59" s="245"/>
      <c r="B59" s="1752"/>
      <c r="C59" s="276"/>
      <c r="D59" s="1733" t="s">
        <v>135</v>
      </c>
      <c r="E59" s="1776"/>
      <c r="F59" s="1776"/>
      <c r="G59" s="1776"/>
      <c r="H59" s="1776"/>
      <c r="I59" s="1776"/>
      <c r="J59" s="1735"/>
      <c r="K59" s="248"/>
    </row>
    <row r="60" spans="1:11" x14ac:dyDescent="0.25">
      <c r="A60" s="245"/>
      <c r="B60" s="1752"/>
      <c r="C60" s="276"/>
      <c r="D60" s="1733" t="s">
        <v>136</v>
      </c>
      <c r="E60" s="1776"/>
      <c r="F60" s="1776"/>
      <c r="G60" s="1776"/>
      <c r="H60" s="1776"/>
      <c r="I60" s="1776"/>
      <c r="J60" s="1735"/>
      <c r="K60" s="248"/>
    </row>
    <row r="61" spans="1:11" x14ac:dyDescent="0.25">
      <c r="A61" s="245"/>
      <c r="B61" s="1752"/>
      <c r="C61" s="276"/>
      <c r="D61" s="1733" t="s">
        <v>137</v>
      </c>
      <c r="E61" s="1776"/>
      <c r="F61" s="1776"/>
      <c r="G61" s="1776"/>
      <c r="H61" s="1776"/>
      <c r="I61" s="1776"/>
      <c r="J61" s="1735"/>
      <c r="K61" s="248"/>
    </row>
    <row r="62" spans="1:11" ht="24" customHeight="1" x14ac:dyDescent="0.25">
      <c r="A62" s="245"/>
      <c r="B62" s="1752"/>
      <c r="C62" s="276"/>
      <c r="D62" s="1733" t="s">
        <v>138</v>
      </c>
      <c r="E62" s="1776"/>
      <c r="F62" s="1776"/>
      <c r="G62" s="1776"/>
      <c r="H62" s="1776"/>
      <c r="I62" s="1776"/>
      <c r="J62" s="1735"/>
      <c r="K62" s="248"/>
    </row>
    <row r="63" spans="1:11" ht="24" customHeight="1" x14ac:dyDescent="0.25">
      <c r="A63" s="245"/>
      <c r="B63" s="1752"/>
      <c r="C63" s="276"/>
      <c r="D63" s="1733" t="s">
        <v>139</v>
      </c>
      <c r="E63" s="1776"/>
      <c r="F63" s="1776"/>
      <c r="G63" s="1776"/>
      <c r="H63" s="1776"/>
      <c r="I63" s="1776"/>
      <c r="J63" s="1735"/>
      <c r="K63" s="248"/>
    </row>
    <row r="64" spans="1:11" x14ac:dyDescent="0.25">
      <c r="A64" s="245"/>
      <c r="B64" s="1752"/>
      <c r="C64" s="276"/>
      <c r="D64" s="1733" t="s">
        <v>140</v>
      </c>
      <c r="E64" s="1776"/>
      <c r="F64" s="1776"/>
      <c r="G64" s="1776"/>
      <c r="H64" s="1776"/>
      <c r="I64" s="1776"/>
      <c r="J64" s="1735"/>
      <c r="K64" s="248"/>
    </row>
    <row r="65" spans="1:11" x14ac:dyDescent="0.25">
      <c r="A65" s="245"/>
      <c r="B65" s="1752"/>
      <c r="C65" s="276"/>
      <c r="D65" s="1745" t="s">
        <v>141</v>
      </c>
      <c r="E65" s="1780"/>
      <c r="F65" s="1780"/>
      <c r="G65" s="1780"/>
      <c r="H65" s="1780"/>
      <c r="I65" s="1780"/>
      <c r="J65" s="1747"/>
      <c r="K65" s="248"/>
    </row>
    <row r="66" spans="1:11" ht="15.75" thickBot="1" x14ac:dyDescent="0.3">
      <c r="A66" s="245"/>
      <c r="B66" s="1753"/>
      <c r="C66" s="286"/>
      <c r="D66" s="1757" t="s">
        <v>142</v>
      </c>
      <c r="E66" s="1758"/>
      <c r="F66" s="1758"/>
      <c r="G66" s="1758"/>
      <c r="H66" s="1758"/>
      <c r="I66" s="1758"/>
      <c r="J66" s="1759"/>
      <c r="K66" s="248"/>
    </row>
    <row r="67" spans="1:11" ht="24.75" thickBot="1" x14ac:dyDescent="0.3">
      <c r="A67" s="245"/>
      <c r="B67" s="285" t="s">
        <v>72</v>
      </c>
      <c r="C67" s="286"/>
      <c r="D67" s="1754"/>
      <c r="E67" s="1755"/>
      <c r="F67" s="1755"/>
      <c r="G67" s="1755"/>
      <c r="H67" s="1755"/>
      <c r="I67" s="1755"/>
      <c r="J67" s="1756"/>
      <c r="K67" s="248"/>
    </row>
    <row r="68" spans="1:11" ht="24.75" thickBot="1" x14ac:dyDescent="0.3">
      <c r="A68" s="245"/>
      <c r="B68" s="285" t="s">
        <v>73</v>
      </c>
      <c r="C68" s="286"/>
      <c r="D68" s="1754" t="s">
        <v>143</v>
      </c>
      <c r="E68" s="1755"/>
      <c r="F68" s="1755"/>
      <c r="G68" s="1755"/>
      <c r="H68" s="1755"/>
      <c r="I68" s="1755"/>
      <c r="J68" s="1756"/>
      <c r="K68" s="248"/>
    </row>
    <row r="69" spans="1:11" x14ac:dyDescent="0.25">
      <c r="A69" s="245"/>
      <c r="B69" s="1751" t="s">
        <v>90</v>
      </c>
      <c r="C69" s="268"/>
      <c r="D69" s="1742"/>
      <c r="E69" s="1743"/>
      <c r="F69" s="1743"/>
      <c r="G69" s="1743"/>
      <c r="H69" s="1743"/>
      <c r="I69" s="1743"/>
      <c r="J69" s="1744"/>
      <c r="K69" s="248"/>
    </row>
    <row r="70" spans="1:11" x14ac:dyDescent="0.25">
      <c r="A70" s="245"/>
      <c r="B70" s="1752"/>
      <c r="C70" s="276"/>
      <c r="D70" s="1730"/>
      <c r="E70" s="1775"/>
      <c r="F70" s="1775"/>
      <c r="G70" s="1775"/>
      <c r="H70" s="1775"/>
      <c r="I70" s="1775"/>
      <c r="J70" s="1732"/>
      <c r="K70" s="248"/>
    </row>
    <row r="71" spans="1:11" x14ac:dyDescent="0.25">
      <c r="A71" s="245"/>
      <c r="B71" s="1752"/>
      <c r="C71" s="276"/>
      <c r="D71" s="1733" t="s">
        <v>91</v>
      </c>
      <c r="E71" s="1776"/>
      <c r="F71" s="1776"/>
      <c r="G71" s="1776"/>
      <c r="H71" s="1776"/>
      <c r="I71" s="1776"/>
      <c r="J71" s="1735"/>
      <c r="K71" s="248"/>
    </row>
    <row r="72" spans="1:11" ht="26.45" customHeight="1" x14ac:dyDescent="0.25">
      <c r="A72" s="245"/>
      <c r="B72" s="1752"/>
      <c r="C72" s="276"/>
      <c r="D72" s="1733" t="s">
        <v>144</v>
      </c>
      <c r="E72" s="1776"/>
      <c r="F72" s="1776"/>
      <c r="G72" s="1776"/>
      <c r="H72" s="1776"/>
      <c r="I72" s="1776"/>
      <c r="J72" s="1735"/>
      <c r="K72" s="248"/>
    </row>
    <row r="73" spans="1:11" ht="14.45" customHeight="1" x14ac:dyDescent="0.25">
      <c r="A73" s="245"/>
      <c r="B73" s="1752"/>
      <c r="C73" s="276"/>
      <c r="D73" s="1733" t="s">
        <v>145</v>
      </c>
      <c r="E73" s="1776"/>
      <c r="F73" s="1776"/>
      <c r="G73" s="1776"/>
      <c r="H73" s="1776"/>
      <c r="I73" s="1776"/>
      <c r="J73" s="1735"/>
      <c r="K73" s="248"/>
    </row>
    <row r="74" spans="1:11" ht="14.45" customHeight="1" x14ac:dyDescent="0.25">
      <c r="A74" s="245"/>
      <c r="B74" s="1752"/>
      <c r="C74" s="276"/>
      <c r="D74" s="1733" t="s">
        <v>146</v>
      </c>
      <c r="E74" s="1776"/>
      <c r="F74" s="1776"/>
      <c r="G74" s="1776"/>
      <c r="H74" s="1776"/>
      <c r="I74" s="1776"/>
      <c r="J74" s="1735"/>
      <c r="K74" s="248"/>
    </row>
    <row r="75" spans="1:11" ht="24" customHeight="1" thickBot="1" x14ac:dyDescent="0.3">
      <c r="A75" s="245"/>
      <c r="B75" s="1753"/>
      <c r="C75" s="286"/>
      <c r="D75" s="1757" t="s">
        <v>147</v>
      </c>
      <c r="E75" s="1758"/>
      <c r="F75" s="1758"/>
      <c r="G75" s="1758"/>
      <c r="H75" s="1758"/>
      <c r="I75" s="1758"/>
      <c r="J75" s="1759"/>
      <c r="K75" s="248"/>
    </row>
    <row r="76" spans="1:11" x14ac:dyDescent="0.25">
      <c r="A76" s="245"/>
      <c r="B76" s="248"/>
      <c r="C76" s="265"/>
      <c r="D76" s="248"/>
      <c r="E76" s="248"/>
      <c r="F76" s="248"/>
      <c r="G76" s="248"/>
      <c r="H76" s="248"/>
      <c r="I76" s="248"/>
      <c r="J76" s="248"/>
      <c r="K76" s="248"/>
    </row>
  </sheetData>
  <mergeCells count="44">
    <mergeCell ref="B10:D10"/>
    <mergeCell ref="F10:S10"/>
    <mergeCell ref="F11:S11"/>
    <mergeCell ref="E12:R12"/>
    <mergeCell ref="E13:R13"/>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D67:J67"/>
    <mergeCell ref="B69:B75"/>
    <mergeCell ref="D69:J69"/>
    <mergeCell ref="D70:J70"/>
    <mergeCell ref="D71:J71"/>
    <mergeCell ref="D72:J72"/>
    <mergeCell ref="D73:J73"/>
    <mergeCell ref="D74:J74"/>
    <mergeCell ref="D75:J75"/>
    <mergeCell ref="B28:B34"/>
    <mergeCell ref="B36:E36"/>
    <mergeCell ref="B37:B43"/>
    <mergeCell ref="B15:B23"/>
    <mergeCell ref="D15:J15"/>
    <mergeCell ref="D19:J19"/>
    <mergeCell ref="D24:J24"/>
    <mergeCell ref="D25:J25"/>
    <mergeCell ref="B27:E27"/>
    <mergeCell ref="A1:P1"/>
    <mergeCell ref="A2:P2"/>
    <mergeCell ref="A3:P3"/>
    <mergeCell ref="A4:D4"/>
    <mergeCell ref="A5:P5"/>
  </mergeCells>
  <conditionalFormatting sqref="F10">
    <cfRule type="notContainsBlanks" dxfId="125" priority="4">
      <formula>LEN(TRIM(F10))&gt;0</formula>
    </cfRule>
  </conditionalFormatting>
  <conditionalFormatting sqref="F11:S11">
    <cfRule type="expression" dxfId="124" priority="2">
      <formula>E11="NO SE REPORTA"</formula>
    </cfRule>
    <cfRule type="expression" dxfId="123" priority="3">
      <formula>E10="NO APLICA"</formula>
    </cfRule>
  </conditionalFormatting>
  <conditionalFormatting sqref="E12:R12">
    <cfRule type="expression" dxfId="122"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U75"/>
  <sheetViews>
    <sheetView showGridLines="0" topLeftCell="C9" zoomScale="98" zoomScaleNormal="98" workbookViewId="0">
      <selection activeCell="E14" sqref="E14"/>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162</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1188</v>
      </c>
      <c r="C8" s="262">
        <v>2021</v>
      </c>
      <c r="D8" s="257">
        <f>IF(E10="NO APLICA","NO APLICA",IF(E11="NO SE REPORTA","SIN INFORMACION",+F22))</f>
        <v>0.94444444444444442</v>
      </c>
      <c r="E8" s="264"/>
      <c r="F8" s="248" t="s">
        <v>130</v>
      </c>
      <c r="G8" s="248"/>
      <c r="H8" s="248"/>
      <c r="I8" s="248"/>
      <c r="J8" s="248"/>
      <c r="K8" s="248"/>
    </row>
    <row r="9" spans="1:21" x14ac:dyDescent="0.25">
      <c r="A9" s="245"/>
      <c r="B9" s="497" t="s">
        <v>1189</v>
      </c>
      <c r="C9" s="304"/>
      <c r="D9" s="248"/>
      <c r="E9" s="248"/>
      <c r="F9" s="248"/>
      <c r="G9" s="248"/>
      <c r="H9" s="248"/>
      <c r="I9" s="248"/>
      <c r="J9" s="248"/>
      <c r="K9" s="248"/>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Gestión'!A180</f>
        <v>Proyecto 6.1. Evaluación, Seguimiento, Monitoreo y Control de la calidad de los recursos naturales y la biodiversidad.</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304"/>
      <c r="D14" s="248"/>
      <c r="E14" s="248"/>
      <c r="F14" s="248"/>
      <c r="G14" s="248"/>
      <c r="H14" s="248"/>
      <c r="I14" s="248"/>
      <c r="J14" s="248"/>
      <c r="K14" s="248"/>
    </row>
    <row r="15" spans="1:21" ht="15.75" thickBot="1" x14ac:dyDescent="0.3">
      <c r="A15" s="245"/>
      <c r="B15" s="1751" t="s">
        <v>2</v>
      </c>
      <c r="C15" s="268"/>
      <c r="D15" s="1742" t="s">
        <v>3</v>
      </c>
      <c r="E15" s="1743"/>
      <c r="F15" s="1743"/>
      <c r="G15" s="1743"/>
      <c r="H15" s="1743"/>
      <c r="I15" s="1743"/>
      <c r="J15" s="1744"/>
      <c r="K15" s="248"/>
    </row>
    <row r="16" spans="1:21" ht="36.75" thickBot="1" x14ac:dyDescent="0.3">
      <c r="A16" s="245"/>
      <c r="B16" s="1752"/>
      <c r="C16" s="272"/>
      <c r="D16" s="273" t="s">
        <v>176</v>
      </c>
      <c r="E16" s="217">
        <v>18</v>
      </c>
      <c r="F16" s="248"/>
      <c r="G16" s="248"/>
      <c r="H16" s="248"/>
      <c r="I16" s="248"/>
      <c r="J16" s="274"/>
      <c r="K16" s="248"/>
    </row>
    <row r="17" spans="1:11" ht="48.75" thickBot="1" x14ac:dyDescent="0.3">
      <c r="A17" s="245"/>
      <c r="B17" s="1752"/>
      <c r="C17" s="272"/>
      <c r="D17" s="275" t="s">
        <v>177</v>
      </c>
      <c r="E17" s="217">
        <v>18</v>
      </c>
      <c r="F17" s="248"/>
      <c r="G17" s="248"/>
      <c r="H17" s="248"/>
      <c r="I17" s="248"/>
      <c r="J17" s="274"/>
      <c r="K17" s="248"/>
    </row>
    <row r="18" spans="1:11" ht="15.75" thickBot="1" x14ac:dyDescent="0.3">
      <c r="A18" s="245"/>
      <c r="B18" s="1752"/>
      <c r="C18" s="276"/>
      <c r="D18" s="1757"/>
      <c r="E18" s="1758"/>
      <c r="F18" s="1758"/>
      <c r="G18" s="1758"/>
      <c r="H18" s="1758"/>
      <c r="I18" s="1758"/>
      <c r="J18" s="1759"/>
      <c r="K18" s="248"/>
    </row>
    <row r="19" spans="1:11" ht="15.75" thickBot="1" x14ac:dyDescent="0.3">
      <c r="A19" s="245"/>
      <c r="B19" s="1752"/>
      <c r="C19" s="279" t="s">
        <v>19</v>
      </c>
      <c r="D19" s="273" t="s">
        <v>150</v>
      </c>
      <c r="E19" s="280" t="s">
        <v>20</v>
      </c>
      <c r="F19" s="280" t="s">
        <v>21</v>
      </c>
      <c r="G19" s="280" t="s">
        <v>22</v>
      </c>
      <c r="H19" s="280" t="s">
        <v>23</v>
      </c>
      <c r="I19" s="234" t="s">
        <v>55</v>
      </c>
      <c r="J19" s="113"/>
      <c r="K19" s="248"/>
    </row>
    <row r="20" spans="1:11" ht="36.75" thickBot="1" x14ac:dyDescent="0.3">
      <c r="A20" s="245"/>
      <c r="B20" s="1752"/>
      <c r="C20" s="282" t="s">
        <v>152</v>
      </c>
      <c r="D20" s="275" t="s">
        <v>178</v>
      </c>
      <c r="E20" s="217">
        <v>13</v>
      </c>
      <c r="F20" s="217">
        <v>18</v>
      </c>
      <c r="G20" s="217"/>
      <c r="H20" s="217"/>
      <c r="I20" s="31"/>
      <c r="J20" s="114"/>
      <c r="K20" s="248"/>
    </row>
    <row r="21" spans="1:11" ht="36.75" thickBot="1" x14ac:dyDescent="0.3">
      <c r="A21" s="245"/>
      <c r="B21" s="1752"/>
      <c r="C21" s="282" t="s">
        <v>154</v>
      </c>
      <c r="D21" s="275" t="s">
        <v>179</v>
      </c>
      <c r="E21" s="217">
        <v>12</v>
      </c>
      <c r="F21" s="217">
        <v>17</v>
      </c>
      <c r="G21" s="217"/>
      <c r="H21" s="217"/>
      <c r="I21" s="31"/>
      <c r="J21" s="114"/>
      <c r="K21" s="248"/>
    </row>
    <row r="22" spans="1:11" ht="36.75" thickBot="1" x14ac:dyDescent="0.3">
      <c r="A22" s="245"/>
      <c r="B22" s="1753"/>
      <c r="C22" s="282" t="s">
        <v>156</v>
      </c>
      <c r="D22" s="275" t="s">
        <v>180</v>
      </c>
      <c r="E22" s="196">
        <f>IFERROR(E21/E20,"N.A.")</f>
        <v>0.92307692307692313</v>
      </c>
      <c r="F22" s="196">
        <f>IFERROR(F21/F20,"N.A.")</f>
        <v>0.94444444444444442</v>
      </c>
      <c r="G22" s="196" t="str">
        <f>IFERROR(G21/G20,"N.A.")</f>
        <v>N.A.</v>
      </c>
      <c r="H22" s="196" t="str">
        <f>IFERROR(H21/H20,"N.A.")</f>
        <v>N.A.</v>
      </c>
      <c r="I22" s="495"/>
      <c r="J22" s="115"/>
      <c r="K22" s="248"/>
    </row>
    <row r="23" spans="1:11" ht="24" customHeight="1" thickBot="1" x14ac:dyDescent="0.3">
      <c r="A23" s="245"/>
      <c r="B23" s="285" t="s">
        <v>34</v>
      </c>
      <c r="C23" s="286"/>
      <c r="D23" s="1754" t="s">
        <v>181</v>
      </c>
      <c r="E23" s="1755"/>
      <c r="F23" s="1755"/>
      <c r="G23" s="1755"/>
      <c r="H23" s="1755"/>
      <c r="I23" s="1755"/>
      <c r="J23" s="1756"/>
      <c r="K23" s="248"/>
    </row>
    <row r="24" spans="1:11" ht="24.75" thickBot="1" x14ac:dyDescent="0.3">
      <c r="A24" s="245"/>
      <c r="B24" s="285" t="s">
        <v>36</v>
      </c>
      <c r="C24" s="286"/>
      <c r="D24" s="1754" t="s">
        <v>159</v>
      </c>
      <c r="E24" s="1755"/>
      <c r="F24" s="1755"/>
      <c r="G24" s="1755"/>
      <c r="H24" s="1755"/>
      <c r="I24" s="1755"/>
      <c r="J24" s="1756"/>
      <c r="K24" s="248"/>
    </row>
    <row r="25" spans="1:11" ht="15.75" thickBot="1" x14ac:dyDescent="0.3">
      <c r="A25" s="245"/>
      <c r="B25" s="249"/>
      <c r="C25" s="250"/>
      <c r="D25" s="248"/>
      <c r="E25" s="248"/>
      <c r="F25" s="248"/>
      <c r="G25" s="248"/>
      <c r="H25" s="248"/>
      <c r="I25" s="248"/>
      <c r="J25" s="248"/>
      <c r="K25" s="248"/>
    </row>
    <row r="26" spans="1:11" ht="24" customHeight="1" thickBot="1" x14ac:dyDescent="0.3">
      <c r="A26" s="245"/>
      <c r="B26" s="1760" t="s">
        <v>38</v>
      </c>
      <c r="C26" s="1761"/>
      <c r="D26" s="1761"/>
      <c r="E26" s="1762"/>
      <c r="F26" s="248"/>
      <c r="G26" s="248"/>
      <c r="H26" s="248"/>
      <c r="I26" s="248"/>
      <c r="J26" s="248"/>
      <c r="K26" s="248"/>
    </row>
    <row r="27" spans="1:11" ht="15.75" thickBot="1" x14ac:dyDescent="0.3">
      <c r="A27" s="245"/>
      <c r="B27" s="1751">
        <v>1</v>
      </c>
      <c r="C27" s="272"/>
      <c r="D27" s="289" t="s">
        <v>39</v>
      </c>
      <c r="E27" s="31" t="s">
        <v>2854</v>
      </c>
      <c r="F27" s="248"/>
      <c r="G27" s="248"/>
      <c r="H27" s="248"/>
      <c r="I27" s="248"/>
      <c r="J27" s="248"/>
      <c r="K27" s="248"/>
    </row>
    <row r="28" spans="1:11" ht="36.75" thickBot="1" x14ac:dyDescent="0.3">
      <c r="A28" s="245"/>
      <c r="B28" s="1752"/>
      <c r="C28" s="272"/>
      <c r="D28" s="275" t="s">
        <v>40</v>
      </c>
      <c r="E28" s="30" t="s">
        <v>2913</v>
      </c>
      <c r="F28" s="248"/>
      <c r="G28" s="248"/>
      <c r="H28" s="248"/>
      <c r="I28" s="248"/>
      <c r="J28" s="248"/>
      <c r="K28" s="248"/>
    </row>
    <row r="29" spans="1:11" ht="24.75" thickBot="1" x14ac:dyDescent="0.3">
      <c r="A29" s="245"/>
      <c r="B29" s="1752"/>
      <c r="C29" s="272"/>
      <c r="D29" s="275" t="s">
        <v>41</v>
      </c>
      <c r="E29" s="30" t="s">
        <v>2914</v>
      </c>
      <c r="F29" s="248"/>
      <c r="G29" s="248"/>
      <c r="H29" s="248"/>
      <c r="I29" s="248"/>
      <c r="J29" s="248"/>
      <c r="K29" s="248"/>
    </row>
    <row r="30" spans="1:11" ht="36.75" thickBot="1" x14ac:dyDescent="0.3">
      <c r="A30" s="245"/>
      <c r="B30" s="1752"/>
      <c r="C30" s="272"/>
      <c r="D30" s="275" t="s">
        <v>42</v>
      </c>
      <c r="E30" s="30" t="s">
        <v>2855</v>
      </c>
      <c r="F30" s="248"/>
      <c r="G30" s="248"/>
      <c r="H30" s="248"/>
      <c r="I30" s="248"/>
      <c r="J30" s="248"/>
      <c r="K30" s="248"/>
    </row>
    <row r="31" spans="1:11" ht="36.75" thickBot="1" x14ac:dyDescent="0.3">
      <c r="A31" s="245"/>
      <c r="B31" s="1752"/>
      <c r="C31" s="272"/>
      <c r="D31" s="275" t="s">
        <v>43</v>
      </c>
      <c r="E31" s="30" t="s">
        <v>2915</v>
      </c>
      <c r="F31" s="248"/>
      <c r="G31" s="248"/>
      <c r="H31" s="248"/>
      <c r="I31" s="248"/>
      <c r="J31" s="248"/>
      <c r="K31" s="248"/>
    </row>
    <row r="32" spans="1:11" ht="24.75" thickBot="1" x14ac:dyDescent="0.3">
      <c r="A32" s="245"/>
      <c r="B32" s="1752"/>
      <c r="C32" s="272"/>
      <c r="D32" s="275" t="s">
        <v>44</v>
      </c>
      <c r="E32" s="30" t="s">
        <v>2916</v>
      </c>
      <c r="F32" s="248"/>
      <c r="G32" s="248"/>
      <c r="H32" s="248"/>
      <c r="I32" s="248"/>
      <c r="J32" s="248"/>
      <c r="K32" s="248"/>
    </row>
    <row r="33" spans="1:11" ht="24.75" thickBot="1" x14ac:dyDescent="0.3">
      <c r="A33" s="245"/>
      <c r="B33" s="1753"/>
      <c r="C33" s="282"/>
      <c r="D33" s="275" t="s">
        <v>45</v>
      </c>
      <c r="E33" s="30" t="s">
        <v>2917</v>
      </c>
      <c r="F33" s="248"/>
      <c r="G33" s="248"/>
      <c r="H33" s="248"/>
      <c r="I33" s="248"/>
      <c r="J33" s="248"/>
      <c r="K33" s="248"/>
    </row>
    <row r="34" spans="1:11" ht="15.75" thickBot="1" x14ac:dyDescent="0.3">
      <c r="A34" s="245"/>
      <c r="B34" s="249"/>
      <c r="C34" s="250"/>
      <c r="D34" s="248"/>
      <c r="E34" s="248"/>
      <c r="F34" s="248"/>
      <c r="G34" s="248"/>
      <c r="H34" s="248"/>
      <c r="I34" s="248"/>
      <c r="J34" s="248"/>
      <c r="K34" s="248"/>
    </row>
    <row r="35" spans="1:11" ht="15.75" thickBot="1" x14ac:dyDescent="0.3">
      <c r="A35" s="245"/>
      <c r="B35" s="1760" t="s">
        <v>46</v>
      </c>
      <c r="C35" s="1761"/>
      <c r="D35" s="1761"/>
      <c r="E35" s="1762"/>
      <c r="F35" s="248"/>
      <c r="G35" s="248"/>
      <c r="H35" s="248"/>
      <c r="I35" s="248"/>
      <c r="J35" s="248"/>
      <c r="K35" s="248"/>
    </row>
    <row r="36" spans="1:11" ht="15.75" thickBot="1" x14ac:dyDescent="0.3">
      <c r="A36" s="245"/>
      <c r="B36" s="1751">
        <v>1</v>
      </c>
      <c r="C36" s="272"/>
      <c r="D36" s="289" t="s">
        <v>39</v>
      </c>
      <c r="E36" s="302" t="s">
        <v>47</v>
      </c>
      <c r="F36" s="248"/>
      <c r="G36" s="248"/>
      <c r="H36" s="248"/>
      <c r="I36" s="248"/>
      <c r="J36" s="248"/>
      <c r="K36" s="248"/>
    </row>
    <row r="37" spans="1:11" ht="15.75" thickBot="1" x14ac:dyDescent="0.3">
      <c r="A37" s="245"/>
      <c r="B37" s="1752"/>
      <c r="C37" s="272"/>
      <c r="D37" s="275" t="s">
        <v>40</v>
      </c>
      <c r="E37" s="302" t="s">
        <v>160</v>
      </c>
      <c r="F37" s="248"/>
      <c r="G37" s="248"/>
      <c r="H37" s="248"/>
      <c r="I37" s="248"/>
      <c r="J37" s="248"/>
      <c r="K37" s="248"/>
    </row>
    <row r="38" spans="1:11" ht="15.75" thickBot="1" x14ac:dyDescent="0.3">
      <c r="A38" s="245"/>
      <c r="B38" s="1752"/>
      <c r="C38" s="272"/>
      <c r="D38" s="275" t="s">
        <v>41</v>
      </c>
      <c r="E38" s="315"/>
      <c r="F38" s="248"/>
      <c r="G38" s="248"/>
      <c r="H38" s="248"/>
      <c r="I38" s="248"/>
      <c r="J38" s="248"/>
      <c r="K38" s="248"/>
    </row>
    <row r="39" spans="1:11" ht="15.75" thickBot="1" x14ac:dyDescent="0.3">
      <c r="A39" s="245"/>
      <c r="B39" s="1752"/>
      <c r="C39" s="272"/>
      <c r="D39" s="275" t="s">
        <v>42</v>
      </c>
      <c r="E39" s="315"/>
      <c r="F39" s="248"/>
      <c r="G39" s="248"/>
      <c r="H39" s="248"/>
      <c r="I39" s="248"/>
      <c r="J39" s="248"/>
      <c r="K39" s="248"/>
    </row>
    <row r="40" spans="1:11" ht="15.75" thickBot="1" x14ac:dyDescent="0.3">
      <c r="A40" s="245"/>
      <c r="B40" s="1752"/>
      <c r="C40" s="272"/>
      <c r="D40" s="275" t="s">
        <v>43</v>
      </c>
      <c r="E40" s="315"/>
      <c r="F40" s="248"/>
      <c r="G40" s="248"/>
      <c r="H40" s="248"/>
      <c r="I40" s="248"/>
      <c r="J40" s="248"/>
      <c r="K40" s="248"/>
    </row>
    <row r="41" spans="1:11" ht="15.75" thickBot="1" x14ac:dyDescent="0.3">
      <c r="A41" s="245"/>
      <c r="B41" s="1752"/>
      <c r="C41" s="272"/>
      <c r="D41" s="275" t="s">
        <v>44</v>
      </c>
      <c r="E41" s="315"/>
      <c r="F41" s="248"/>
      <c r="G41" s="248"/>
      <c r="H41" s="248"/>
      <c r="I41" s="248"/>
      <c r="J41" s="248"/>
      <c r="K41" s="248"/>
    </row>
    <row r="42" spans="1:11" ht="15.75" thickBot="1" x14ac:dyDescent="0.3">
      <c r="A42" s="245"/>
      <c r="B42" s="1753"/>
      <c r="C42" s="282"/>
      <c r="D42" s="275" t="s">
        <v>45</v>
      </c>
      <c r="E42" s="315"/>
      <c r="F42" s="248"/>
      <c r="G42" s="248"/>
      <c r="H42" s="248"/>
      <c r="I42" s="248"/>
      <c r="J42" s="248"/>
      <c r="K42" s="248"/>
    </row>
    <row r="43" spans="1:11" ht="15.75" thickBot="1" x14ac:dyDescent="0.3">
      <c r="A43" s="245"/>
      <c r="B43" s="249"/>
      <c r="C43" s="250"/>
      <c r="D43" s="248"/>
      <c r="E43" s="248"/>
      <c r="F43" s="248"/>
      <c r="G43" s="248"/>
      <c r="H43" s="248"/>
      <c r="I43" s="248"/>
      <c r="J43" s="248"/>
      <c r="K43" s="248"/>
    </row>
    <row r="44" spans="1:11" ht="15" customHeight="1" thickBot="1" x14ac:dyDescent="0.3">
      <c r="A44" s="245"/>
      <c r="B44" s="306" t="s">
        <v>49</v>
      </c>
      <c r="C44" s="292"/>
      <c r="D44" s="292"/>
      <c r="E44" s="293"/>
      <c r="F44" s="245"/>
      <c r="G44" s="248"/>
      <c r="H44" s="248"/>
      <c r="I44" s="248"/>
      <c r="J44" s="248"/>
      <c r="K44" s="248"/>
    </row>
    <row r="45" spans="1:11" ht="24.75" thickBot="1" x14ac:dyDescent="0.3">
      <c r="A45" s="245"/>
      <c r="B45" s="285" t="s">
        <v>50</v>
      </c>
      <c r="C45" s="275" t="s">
        <v>51</v>
      </c>
      <c r="D45" s="275" t="s">
        <v>52</v>
      </c>
      <c r="E45" s="275" t="s">
        <v>53</v>
      </c>
      <c r="F45" s="248"/>
      <c r="G45" s="248"/>
      <c r="H45" s="248"/>
      <c r="I45" s="248"/>
      <c r="J45" s="248"/>
      <c r="K45" s="245"/>
    </row>
    <row r="46" spans="1:11" ht="72.75" thickBot="1" x14ac:dyDescent="0.3">
      <c r="A46" s="245"/>
      <c r="B46" s="295">
        <v>42401</v>
      </c>
      <c r="C46" s="275">
        <v>0.01</v>
      </c>
      <c r="D46" s="307" t="s">
        <v>182</v>
      </c>
      <c r="E46" s="275"/>
      <c r="F46" s="248"/>
      <c r="G46" s="248"/>
      <c r="H46" s="248"/>
      <c r="I46" s="248"/>
      <c r="J46" s="248"/>
      <c r="K46" s="245"/>
    </row>
    <row r="47" spans="1:11" ht="15.75" thickBot="1" x14ac:dyDescent="0.3">
      <c r="A47" s="245"/>
      <c r="B47" s="308"/>
      <c r="C47" s="309"/>
      <c r="D47" s="248"/>
      <c r="E47" s="248"/>
      <c r="F47" s="248"/>
      <c r="G47" s="248"/>
      <c r="H47" s="248"/>
      <c r="I47" s="248"/>
      <c r="J47" s="248"/>
      <c r="K47" s="248"/>
    </row>
    <row r="48" spans="1:11" x14ac:dyDescent="0.25">
      <c r="A48" s="245"/>
      <c r="B48" s="297" t="s">
        <v>55</v>
      </c>
      <c r="C48" s="298"/>
      <c r="D48" s="248"/>
      <c r="E48" s="248"/>
      <c r="F48" s="248"/>
      <c r="G48" s="248"/>
      <c r="H48" s="248"/>
      <c r="I48" s="248"/>
      <c r="J48" s="248"/>
      <c r="K48" s="248"/>
    </row>
    <row r="49" spans="1:11" x14ac:dyDescent="0.25">
      <c r="A49" s="245"/>
      <c r="B49" s="1782"/>
      <c r="C49" s="1783"/>
      <c r="D49" s="1783"/>
      <c r="E49" s="1784"/>
      <c r="F49" s="248"/>
      <c r="G49" s="248"/>
      <c r="H49" s="248"/>
      <c r="I49" s="248"/>
      <c r="J49" s="248"/>
      <c r="K49" s="248"/>
    </row>
    <row r="50" spans="1:11" ht="15.75" thickBot="1" x14ac:dyDescent="0.3">
      <c r="A50" s="245"/>
      <c r="B50" s="248"/>
      <c r="C50" s="265"/>
      <c r="D50" s="248"/>
      <c r="E50" s="248"/>
      <c r="F50" s="248"/>
      <c r="G50" s="248"/>
      <c r="H50" s="248"/>
      <c r="I50" s="248"/>
      <c r="J50" s="248"/>
      <c r="K50" s="248"/>
    </row>
    <row r="51" spans="1:11" ht="24.75" thickBot="1" x14ac:dyDescent="0.3">
      <c r="A51" s="245"/>
      <c r="B51" s="310" t="s">
        <v>56</v>
      </c>
      <c r="C51" s="311"/>
      <c r="D51" s="248"/>
      <c r="E51" s="248"/>
      <c r="F51" s="248"/>
      <c r="G51" s="248"/>
      <c r="H51" s="248"/>
      <c r="I51" s="248"/>
      <c r="J51" s="248"/>
      <c r="K51" s="248"/>
    </row>
    <row r="52" spans="1:11" ht="15.75" thickBot="1" x14ac:dyDescent="0.3">
      <c r="A52" s="245"/>
      <c r="B52" s="249"/>
      <c r="C52" s="250"/>
      <c r="D52" s="248"/>
      <c r="E52" s="248"/>
      <c r="F52" s="248"/>
      <c r="G52" s="248"/>
      <c r="H52" s="248"/>
      <c r="I52" s="248"/>
      <c r="J52" s="248"/>
      <c r="K52" s="248"/>
    </row>
    <row r="53" spans="1:11" ht="60.75" thickBot="1" x14ac:dyDescent="0.3">
      <c r="A53" s="245"/>
      <c r="B53" s="299" t="s">
        <v>57</v>
      </c>
      <c r="C53" s="279"/>
      <c r="D53" s="273" t="s">
        <v>163</v>
      </c>
      <c r="E53" s="248"/>
      <c r="F53" s="248"/>
      <c r="G53" s="248"/>
      <c r="H53" s="248"/>
      <c r="I53" s="248"/>
      <c r="J53" s="248"/>
      <c r="K53" s="248"/>
    </row>
    <row r="54" spans="1:11" x14ac:dyDescent="0.25">
      <c r="A54" s="245"/>
      <c r="B54" s="1751" t="s">
        <v>59</v>
      </c>
      <c r="C54" s="272"/>
      <c r="D54" s="312" t="s">
        <v>60</v>
      </c>
      <c r="E54" s="248"/>
      <c r="F54" s="248"/>
      <c r="G54" s="248"/>
      <c r="H54" s="248"/>
      <c r="I54" s="248"/>
      <c r="J54" s="248"/>
      <c r="K54" s="248"/>
    </row>
    <row r="55" spans="1:11" ht="60" x14ac:dyDescent="0.25">
      <c r="A55" s="245"/>
      <c r="B55" s="1752"/>
      <c r="C55" s="272"/>
      <c r="D55" s="313" t="s">
        <v>164</v>
      </c>
      <c r="E55" s="248"/>
      <c r="F55" s="248"/>
      <c r="G55" s="248"/>
      <c r="H55" s="248"/>
      <c r="I55" s="248"/>
      <c r="J55" s="248"/>
      <c r="K55" s="248"/>
    </row>
    <row r="56" spans="1:11" x14ac:dyDescent="0.25">
      <c r="A56" s="245"/>
      <c r="B56" s="1752"/>
      <c r="C56" s="272"/>
      <c r="D56" s="312" t="s">
        <v>134</v>
      </c>
      <c r="E56" s="248"/>
      <c r="F56" s="248"/>
      <c r="G56" s="248"/>
      <c r="H56" s="248"/>
      <c r="I56" s="248"/>
      <c r="J56" s="248"/>
      <c r="K56" s="248"/>
    </row>
    <row r="57" spans="1:11" x14ac:dyDescent="0.25">
      <c r="A57" s="245"/>
      <c r="B57" s="1752"/>
      <c r="C57" s="272"/>
      <c r="D57" s="313" t="s">
        <v>64</v>
      </c>
      <c r="E57" s="248"/>
      <c r="F57" s="248"/>
      <c r="G57" s="248"/>
      <c r="H57" s="248"/>
      <c r="I57" s="248"/>
      <c r="J57" s="248"/>
      <c r="K57" s="248"/>
    </row>
    <row r="58" spans="1:11" x14ac:dyDescent="0.25">
      <c r="A58" s="245"/>
      <c r="B58" s="1752"/>
      <c r="C58" s="272"/>
      <c r="D58" s="313" t="s">
        <v>165</v>
      </c>
      <c r="E58" s="248"/>
      <c r="F58" s="248"/>
      <c r="G58" s="248"/>
      <c r="H58" s="248"/>
      <c r="I58" s="248"/>
      <c r="J58" s="248"/>
      <c r="K58" s="248"/>
    </row>
    <row r="59" spans="1:11" x14ac:dyDescent="0.25">
      <c r="A59" s="245"/>
      <c r="B59" s="1752"/>
      <c r="C59" s="272"/>
      <c r="D59" s="313" t="s">
        <v>166</v>
      </c>
      <c r="E59" s="248"/>
      <c r="F59" s="248"/>
      <c r="G59" s="248"/>
      <c r="H59" s="248"/>
      <c r="I59" s="248"/>
      <c r="J59" s="248"/>
      <c r="K59" s="248"/>
    </row>
    <row r="60" spans="1:11" x14ac:dyDescent="0.25">
      <c r="A60" s="245"/>
      <c r="B60" s="1752"/>
      <c r="C60" s="272"/>
      <c r="D60" s="313" t="s">
        <v>167</v>
      </c>
      <c r="E60" s="248"/>
      <c r="F60" s="248"/>
      <c r="G60" s="248"/>
      <c r="H60" s="248"/>
      <c r="I60" s="248"/>
      <c r="J60" s="248"/>
      <c r="K60" s="248"/>
    </row>
    <row r="61" spans="1:11" x14ac:dyDescent="0.25">
      <c r="A61" s="245"/>
      <c r="B61" s="1752"/>
      <c r="C61" s="272"/>
      <c r="D61" s="313" t="s">
        <v>168</v>
      </c>
      <c r="E61" s="248"/>
      <c r="F61" s="248"/>
      <c r="G61" s="248"/>
      <c r="H61" s="248"/>
      <c r="I61" s="248"/>
      <c r="J61" s="248"/>
      <c r="K61" s="248"/>
    </row>
    <row r="62" spans="1:11" ht="15.75" thickBot="1" x14ac:dyDescent="0.3">
      <c r="A62" s="245"/>
      <c r="B62" s="1753"/>
      <c r="C62" s="282"/>
      <c r="D62" s="307"/>
      <c r="E62" s="248"/>
      <c r="F62" s="248"/>
      <c r="G62" s="248"/>
      <c r="H62" s="248"/>
      <c r="I62" s="248"/>
      <c r="J62" s="248"/>
      <c r="K62" s="248"/>
    </row>
    <row r="63" spans="1:11" ht="24.75" thickBot="1" x14ac:dyDescent="0.3">
      <c r="A63" s="245"/>
      <c r="B63" s="285" t="s">
        <v>72</v>
      </c>
      <c r="C63" s="282"/>
      <c r="D63" s="275"/>
      <c r="E63" s="248"/>
      <c r="F63" s="248"/>
      <c r="G63" s="248"/>
      <c r="H63" s="248"/>
      <c r="I63" s="248"/>
      <c r="J63" s="248"/>
      <c r="K63" s="248"/>
    </row>
    <row r="64" spans="1:11" ht="108" x14ac:dyDescent="0.25">
      <c r="A64" s="245"/>
      <c r="B64" s="1751" t="s">
        <v>73</v>
      </c>
      <c r="C64" s="272"/>
      <c r="D64" s="313" t="s">
        <v>169</v>
      </c>
      <c r="E64" s="248"/>
      <c r="F64" s="248"/>
      <c r="G64" s="248"/>
      <c r="H64" s="248"/>
      <c r="I64" s="248"/>
      <c r="J64" s="248"/>
      <c r="K64" s="248"/>
    </row>
    <row r="65" spans="1:11" ht="96" x14ac:dyDescent="0.25">
      <c r="A65" s="245"/>
      <c r="B65" s="1752"/>
      <c r="C65" s="272"/>
      <c r="D65" s="313" t="s">
        <v>170</v>
      </c>
      <c r="E65" s="248"/>
      <c r="F65" s="248"/>
      <c r="G65" s="248"/>
      <c r="H65" s="248"/>
      <c r="I65" s="248"/>
      <c r="J65" s="248"/>
      <c r="K65" s="248"/>
    </row>
    <row r="66" spans="1:11" ht="120.75" thickBot="1" x14ac:dyDescent="0.3">
      <c r="A66" s="245"/>
      <c r="B66" s="1753"/>
      <c r="C66" s="282"/>
      <c r="D66" s="275" t="s">
        <v>171</v>
      </c>
      <c r="E66" s="248"/>
      <c r="F66" s="248"/>
      <c r="G66" s="248"/>
      <c r="H66" s="248"/>
      <c r="I66" s="248"/>
      <c r="J66" s="248"/>
      <c r="K66" s="248"/>
    </row>
    <row r="67" spans="1:11" x14ac:dyDescent="0.25">
      <c r="A67" s="245"/>
      <c r="B67" s="1751" t="s">
        <v>90</v>
      </c>
      <c r="C67" s="272"/>
      <c r="D67" s="313"/>
      <c r="E67" s="248"/>
      <c r="F67" s="248"/>
      <c r="G67" s="248"/>
      <c r="H67" s="248"/>
      <c r="I67" s="248"/>
      <c r="J67" s="248"/>
      <c r="K67" s="248"/>
    </row>
    <row r="68" spans="1:11" x14ac:dyDescent="0.25">
      <c r="A68" s="245"/>
      <c r="B68" s="1752"/>
      <c r="C68" s="272"/>
      <c r="D68" s="314"/>
      <c r="E68" s="248"/>
      <c r="F68" s="248"/>
      <c r="G68" s="248"/>
      <c r="H68" s="248"/>
      <c r="I68" s="248"/>
      <c r="J68" s="248"/>
      <c r="K68" s="248"/>
    </row>
    <row r="69" spans="1:11" x14ac:dyDescent="0.25">
      <c r="A69" s="245"/>
      <c r="B69" s="1752"/>
      <c r="C69" s="272"/>
      <c r="D69" s="313" t="s">
        <v>91</v>
      </c>
      <c r="E69" s="248"/>
      <c r="F69" s="248"/>
      <c r="G69" s="248"/>
      <c r="H69" s="248"/>
      <c r="I69" s="248"/>
      <c r="J69" s="248"/>
      <c r="K69" s="248"/>
    </row>
    <row r="70" spans="1:11" ht="37.5" x14ac:dyDescent="0.25">
      <c r="A70" s="245"/>
      <c r="B70" s="1752"/>
      <c r="C70" s="272"/>
      <c r="D70" s="313" t="s">
        <v>172</v>
      </c>
      <c r="E70" s="248"/>
      <c r="F70" s="248"/>
      <c r="G70" s="248"/>
      <c r="H70" s="248"/>
      <c r="I70" s="248"/>
      <c r="J70" s="248"/>
      <c r="K70" s="248"/>
    </row>
    <row r="71" spans="1:11" ht="37.5" x14ac:dyDescent="0.25">
      <c r="A71" s="245"/>
      <c r="B71" s="1752"/>
      <c r="C71" s="272"/>
      <c r="D71" s="313" t="s">
        <v>173</v>
      </c>
      <c r="E71" s="248"/>
      <c r="F71" s="248"/>
      <c r="G71" s="248"/>
      <c r="H71" s="248"/>
      <c r="I71" s="248"/>
      <c r="J71" s="248"/>
      <c r="K71" s="248"/>
    </row>
    <row r="72" spans="1:11" ht="37.5" x14ac:dyDescent="0.25">
      <c r="A72" s="245"/>
      <c r="B72" s="1752"/>
      <c r="C72" s="272"/>
      <c r="D72" s="313" t="s">
        <v>174</v>
      </c>
      <c r="E72" s="248"/>
      <c r="F72" s="248"/>
      <c r="G72" s="248"/>
      <c r="H72" s="248"/>
      <c r="I72" s="248"/>
      <c r="J72" s="248"/>
      <c r="K72" s="248"/>
    </row>
    <row r="73" spans="1:11" ht="48.75" thickBot="1" x14ac:dyDescent="0.3">
      <c r="A73" s="245"/>
      <c r="B73" s="1753"/>
      <c r="C73" s="282"/>
      <c r="D73" s="275" t="s">
        <v>175</v>
      </c>
      <c r="E73" s="248"/>
      <c r="F73" s="248"/>
      <c r="G73" s="248"/>
      <c r="H73" s="248"/>
      <c r="I73" s="248"/>
      <c r="J73" s="248"/>
      <c r="K73" s="248"/>
    </row>
    <row r="74" spans="1:11" x14ac:dyDescent="0.25">
      <c r="A74" s="245"/>
      <c r="B74" s="248"/>
      <c r="C74" s="265"/>
      <c r="D74" s="248"/>
      <c r="E74" s="248"/>
      <c r="F74" s="248"/>
      <c r="G74" s="248"/>
      <c r="H74" s="248"/>
      <c r="I74" s="248"/>
      <c r="J74" s="248"/>
      <c r="K74" s="248"/>
    </row>
    <row r="75" spans="1:11" x14ac:dyDescent="0.25">
      <c r="A75" s="245"/>
      <c r="B75" s="248"/>
      <c r="C75" s="265"/>
      <c r="D75" s="248"/>
      <c r="E75" s="248"/>
      <c r="F75" s="248"/>
      <c r="G75" s="248"/>
      <c r="H75" s="248"/>
      <c r="I75" s="248"/>
      <c r="J75" s="248"/>
      <c r="K75" s="248"/>
    </row>
  </sheetData>
  <mergeCells count="23">
    <mergeCell ref="B10:D10"/>
    <mergeCell ref="F10:S10"/>
    <mergeCell ref="F11:S11"/>
    <mergeCell ref="E12:R12"/>
    <mergeCell ref="E13:R13"/>
    <mergeCell ref="B67:B73"/>
    <mergeCell ref="B15:B22"/>
    <mergeCell ref="D23:J23"/>
    <mergeCell ref="D24:J24"/>
    <mergeCell ref="B26:E26"/>
    <mergeCell ref="B27:B33"/>
    <mergeCell ref="B35:E35"/>
    <mergeCell ref="D15:J15"/>
    <mergeCell ref="D18:J18"/>
    <mergeCell ref="B36:B42"/>
    <mergeCell ref="B54:B62"/>
    <mergeCell ref="B64:B66"/>
    <mergeCell ref="B49:E49"/>
    <mergeCell ref="A1:P1"/>
    <mergeCell ref="A2:P2"/>
    <mergeCell ref="A3:P3"/>
    <mergeCell ref="A4:D4"/>
    <mergeCell ref="A5:P5"/>
  </mergeCells>
  <conditionalFormatting sqref="F10">
    <cfRule type="notContainsBlanks" dxfId="121" priority="4">
      <formula>LEN(TRIM(F10))&gt;0</formula>
    </cfRule>
  </conditionalFormatting>
  <conditionalFormatting sqref="F11:S11">
    <cfRule type="expression" dxfId="120" priority="2">
      <formula>E11="NO SE REPORTA"</formula>
    </cfRule>
    <cfRule type="expression" dxfId="119" priority="3">
      <formula>E10="NO APLICA"</formula>
    </cfRule>
  </conditionalFormatting>
  <conditionalFormatting sqref="E12:R12">
    <cfRule type="expression" dxfId="118"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U75"/>
  <sheetViews>
    <sheetView showGridLines="0" topLeftCell="A57" zoomScale="98" zoomScaleNormal="98" workbookViewId="0">
      <selection activeCell="A5" sqref="A5:P5"/>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183</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1188</v>
      </c>
      <c r="C8" s="262">
        <v>2020</v>
      </c>
      <c r="D8" s="257" t="str">
        <f>+E23</f>
        <v>N.A.</v>
      </c>
      <c r="E8" s="264"/>
      <c r="F8" s="248" t="s">
        <v>130</v>
      </c>
      <c r="G8" s="248"/>
      <c r="H8" s="248"/>
      <c r="I8" s="248"/>
      <c r="J8" s="248"/>
      <c r="K8" s="248"/>
    </row>
    <row r="9" spans="1:21" x14ac:dyDescent="0.25">
      <c r="A9" s="245"/>
      <c r="B9" s="497" t="s">
        <v>1189</v>
      </c>
      <c r="C9" s="304"/>
      <c r="D9" s="248"/>
      <c r="E9" s="248"/>
      <c r="F9" s="248"/>
      <c r="G9" s="248"/>
      <c r="H9" s="248"/>
      <c r="I9" s="248"/>
      <c r="J9" s="248"/>
      <c r="K9" s="248"/>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304"/>
      <c r="D14" s="248"/>
      <c r="E14" s="248"/>
      <c r="F14" s="248"/>
      <c r="G14" s="248"/>
      <c r="H14" s="248"/>
      <c r="I14" s="248"/>
      <c r="J14" s="248"/>
      <c r="K14" s="248"/>
    </row>
    <row r="15" spans="1:21" ht="15.75" thickBot="1" x14ac:dyDescent="0.3">
      <c r="A15" s="245"/>
      <c r="B15" s="1751" t="s">
        <v>2</v>
      </c>
      <c r="C15" s="268"/>
      <c r="D15" s="1742" t="s">
        <v>3</v>
      </c>
      <c r="E15" s="1743"/>
      <c r="F15" s="1743"/>
      <c r="G15" s="1743"/>
      <c r="H15" s="1743"/>
      <c r="I15" s="1743"/>
      <c r="J15" s="1744"/>
      <c r="K15" s="248"/>
    </row>
    <row r="16" spans="1:21" ht="24.75" thickBot="1" x14ac:dyDescent="0.3">
      <c r="A16" s="245"/>
      <c r="B16" s="1752"/>
      <c r="C16" s="272"/>
      <c r="D16" s="273" t="s">
        <v>193</v>
      </c>
      <c r="E16" s="217"/>
      <c r="F16" s="248"/>
      <c r="G16" s="248"/>
      <c r="H16" s="248"/>
      <c r="I16" s="248"/>
      <c r="J16" s="274"/>
      <c r="K16" s="248"/>
    </row>
    <row r="17" spans="1:11" ht="40.5" customHeight="1" thickBot="1" x14ac:dyDescent="0.3">
      <c r="A17" s="245"/>
      <c r="B17" s="1752"/>
      <c r="C17" s="272"/>
      <c r="D17" s="275" t="s">
        <v>1768</v>
      </c>
      <c r="E17" s="217"/>
      <c r="F17" s="248"/>
      <c r="G17" s="248"/>
      <c r="H17" s="248"/>
      <c r="I17" s="248"/>
      <c r="J17" s="274"/>
      <c r="K17" s="248"/>
    </row>
    <row r="18" spans="1:11" ht="36.75" thickBot="1" x14ac:dyDescent="0.3">
      <c r="A18" s="245"/>
      <c r="B18" s="1752"/>
      <c r="C18" s="272"/>
      <c r="D18" s="275" t="s">
        <v>194</v>
      </c>
      <c r="E18" s="217"/>
      <c r="F18" s="248"/>
      <c r="G18" s="248"/>
      <c r="H18" s="248"/>
      <c r="I18" s="248"/>
      <c r="J18" s="274"/>
      <c r="K18" s="248"/>
    </row>
    <row r="19" spans="1:11" ht="15.75" thickBot="1" x14ac:dyDescent="0.3">
      <c r="A19" s="245"/>
      <c r="B19" s="1752"/>
      <c r="C19" s="276"/>
      <c r="D19" s="1757"/>
      <c r="E19" s="1758"/>
      <c r="F19" s="1758"/>
      <c r="G19" s="1758"/>
      <c r="H19" s="1758"/>
      <c r="I19" s="1758"/>
      <c r="J19" s="1759"/>
      <c r="K19" s="248"/>
    </row>
    <row r="20" spans="1:11" ht="15.75" thickBot="1" x14ac:dyDescent="0.3">
      <c r="A20" s="245"/>
      <c r="B20" s="1752"/>
      <c r="C20" s="279" t="s">
        <v>19</v>
      </c>
      <c r="D20" s="273" t="s">
        <v>150</v>
      </c>
      <c r="E20" s="280" t="s">
        <v>20</v>
      </c>
      <c r="F20" s="280" t="s">
        <v>21</v>
      </c>
      <c r="G20" s="280" t="s">
        <v>22</v>
      </c>
      <c r="H20" s="280" t="s">
        <v>23</v>
      </c>
      <c r="I20" s="280" t="s">
        <v>151</v>
      </c>
      <c r="J20" s="113"/>
      <c r="K20" s="248"/>
    </row>
    <row r="21" spans="1:11" ht="36.75" thickBot="1" x14ac:dyDescent="0.3">
      <c r="A21" s="245"/>
      <c r="B21" s="1752"/>
      <c r="C21" s="282" t="s">
        <v>152</v>
      </c>
      <c r="D21" s="275" t="s">
        <v>195</v>
      </c>
      <c r="E21" s="217"/>
      <c r="F21" s="217"/>
      <c r="G21" s="217"/>
      <c r="H21" s="217"/>
      <c r="I21" s="283">
        <f>SUM(E21:H21)</f>
        <v>0</v>
      </c>
      <c r="J21" s="114"/>
      <c r="K21" s="248"/>
    </row>
    <row r="22" spans="1:11" ht="36.75" thickBot="1" x14ac:dyDescent="0.3">
      <c r="A22" s="245"/>
      <c r="B22" s="1752"/>
      <c r="C22" s="282" t="s">
        <v>154</v>
      </c>
      <c r="D22" s="275" t="s">
        <v>196</v>
      </c>
      <c r="E22" s="217"/>
      <c r="F22" s="217"/>
      <c r="G22" s="217"/>
      <c r="H22" s="217"/>
      <c r="I22" s="283">
        <f>SUM(E22:H22)</f>
        <v>0</v>
      </c>
      <c r="J22" s="114"/>
      <c r="K22" s="248"/>
    </row>
    <row r="23" spans="1:11" ht="36.75" thickBot="1" x14ac:dyDescent="0.3">
      <c r="A23" s="245"/>
      <c r="B23" s="1753"/>
      <c r="C23" s="282" t="s">
        <v>156</v>
      </c>
      <c r="D23" s="275" t="s">
        <v>197</v>
      </c>
      <c r="E23" s="196" t="str">
        <f>IFERROR(E22/E21,"N.A.")</f>
        <v>N.A.</v>
      </c>
      <c r="F23" s="196" t="str">
        <f>IFERROR(F22/F21,"N.A.")</f>
        <v>N.A.</v>
      </c>
      <c r="G23" s="196" t="str">
        <f>IFERROR(G22/G21,"N.A.")</f>
        <v>N.A.</v>
      </c>
      <c r="H23" s="196" t="str">
        <f>IFERROR(H22/H21,"N.A.")</f>
        <v>N.A.</v>
      </c>
      <c r="I23" s="196" t="str">
        <f>IFERROR(I22/I21,"N.A.")</f>
        <v>N.A.</v>
      </c>
      <c r="J23" s="115"/>
      <c r="K23" s="248"/>
    </row>
    <row r="24" spans="1:11" ht="24" customHeight="1" thickBot="1" x14ac:dyDescent="0.3">
      <c r="A24" s="245"/>
      <c r="B24" s="285" t="s">
        <v>34</v>
      </c>
      <c r="C24" s="286"/>
      <c r="D24" s="1754" t="s">
        <v>198</v>
      </c>
      <c r="E24" s="1755"/>
      <c r="F24" s="1755"/>
      <c r="G24" s="1755"/>
      <c r="H24" s="1755"/>
      <c r="I24" s="1755"/>
      <c r="J24" s="1756"/>
      <c r="K24" s="248"/>
    </row>
    <row r="25" spans="1:11" ht="24.75" thickBot="1" x14ac:dyDescent="0.3">
      <c r="A25" s="245"/>
      <c r="B25" s="285" t="s">
        <v>36</v>
      </c>
      <c r="C25" s="286"/>
      <c r="D25" s="1754" t="s">
        <v>159</v>
      </c>
      <c r="E25" s="1755"/>
      <c r="F25" s="1755"/>
      <c r="G25" s="1755"/>
      <c r="H25" s="1755"/>
      <c r="I25" s="1755"/>
      <c r="J25" s="1756"/>
      <c r="K25" s="248"/>
    </row>
    <row r="26" spans="1:11" ht="15.75" thickBot="1" x14ac:dyDescent="0.3">
      <c r="A26" s="245"/>
      <c r="B26" s="249"/>
      <c r="C26" s="250"/>
      <c r="D26" s="248"/>
      <c r="E26" s="248"/>
      <c r="F26" s="248"/>
      <c r="G26" s="248"/>
      <c r="H26" s="248"/>
      <c r="I26" s="248"/>
      <c r="J26" s="248"/>
      <c r="K26" s="248"/>
    </row>
    <row r="27" spans="1:11" ht="15" customHeight="1" thickBot="1" x14ac:dyDescent="0.3">
      <c r="A27" s="245"/>
      <c r="B27" s="291" t="s">
        <v>38</v>
      </c>
      <c r="C27" s="292"/>
      <c r="D27" s="292"/>
      <c r="E27" s="292"/>
      <c r="F27" s="293"/>
      <c r="G27" s="248"/>
      <c r="H27" s="248"/>
      <c r="I27" s="248"/>
      <c r="J27" s="248"/>
      <c r="K27" s="248"/>
    </row>
    <row r="28" spans="1:11" ht="15.75" thickBot="1" x14ac:dyDescent="0.3">
      <c r="A28" s="245"/>
      <c r="B28" s="1751">
        <v>1</v>
      </c>
      <c r="C28" s="272"/>
      <c r="D28" s="289" t="s">
        <v>39</v>
      </c>
      <c r="E28" s="167"/>
      <c r="F28" s="316"/>
      <c r="G28" s="248"/>
      <c r="H28" s="248"/>
      <c r="I28" s="248"/>
      <c r="J28" s="248"/>
      <c r="K28" s="248"/>
    </row>
    <row r="29" spans="1:11" ht="15.75" thickBot="1" x14ac:dyDescent="0.3">
      <c r="A29" s="245"/>
      <c r="B29" s="1752"/>
      <c r="C29" s="272"/>
      <c r="D29" s="275" t="s">
        <v>40</v>
      </c>
      <c r="E29" s="167"/>
      <c r="F29" s="316"/>
      <c r="G29" s="248"/>
      <c r="H29" s="248"/>
      <c r="I29" s="248"/>
      <c r="J29" s="248"/>
      <c r="K29" s="248"/>
    </row>
    <row r="30" spans="1:11" ht="15.75" thickBot="1" x14ac:dyDescent="0.3">
      <c r="A30" s="245"/>
      <c r="B30" s="1752"/>
      <c r="C30" s="272"/>
      <c r="D30" s="275" t="s">
        <v>41</v>
      </c>
      <c r="E30" s="167"/>
      <c r="F30" s="316"/>
      <c r="G30" s="248"/>
      <c r="H30" s="248"/>
      <c r="I30" s="248"/>
      <c r="J30" s="248"/>
      <c r="K30" s="248"/>
    </row>
    <row r="31" spans="1:11" ht="15.75" thickBot="1" x14ac:dyDescent="0.3">
      <c r="A31" s="245"/>
      <c r="B31" s="1752"/>
      <c r="C31" s="272"/>
      <c r="D31" s="275" t="s">
        <v>42</v>
      </c>
      <c r="E31" s="167"/>
      <c r="F31" s="316"/>
      <c r="G31" s="248"/>
      <c r="H31" s="248"/>
      <c r="I31" s="248"/>
      <c r="J31" s="248"/>
      <c r="K31" s="248"/>
    </row>
    <row r="32" spans="1:11" ht="15.75" thickBot="1" x14ac:dyDescent="0.3">
      <c r="A32" s="245"/>
      <c r="B32" s="1752"/>
      <c r="C32" s="272"/>
      <c r="D32" s="275" t="s">
        <v>43</v>
      </c>
      <c r="E32" s="167"/>
      <c r="F32" s="316"/>
      <c r="G32" s="248"/>
      <c r="H32" s="248"/>
      <c r="I32" s="248"/>
      <c r="J32" s="248"/>
      <c r="K32" s="248"/>
    </row>
    <row r="33" spans="1:11" ht="15.75" thickBot="1" x14ac:dyDescent="0.3">
      <c r="A33" s="245"/>
      <c r="B33" s="1752"/>
      <c r="C33" s="272"/>
      <c r="D33" s="275" t="s">
        <v>44</v>
      </c>
      <c r="E33" s="167"/>
      <c r="F33" s="316"/>
      <c r="G33" s="248"/>
      <c r="H33" s="248"/>
      <c r="I33" s="248"/>
      <c r="J33" s="248"/>
      <c r="K33" s="248"/>
    </row>
    <row r="34" spans="1:11" ht="15.75" thickBot="1" x14ac:dyDescent="0.3">
      <c r="A34" s="245"/>
      <c r="B34" s="1753"/>
      <c r="C34" s="282"/>
      <c r="D34" s="275" t="s">
        <v>45</v>
      </c>
      <c r="E34" s="167"/>
      <c r="F34" s="316"/>
      <c r="G34" s="248"/>
      <c r="H34" s="248"/>
      <c r="I34" s="248"/>
      <c r="J34" s="248"/>
      <c r="K34" s="248"/>
    </row>
    <row r="35" spans="1:11" ht="15.75" thickBot="1" x14ac:dyDescent="0.3">
      <c r="A35" s="245"/>
      <c r="B35" s="249"/>
      <c r="C35" s="250"/>
      <c r="D35" s="248"/>
      <c r="E35" s="248"/>
      <c r="F35" s="248"/>
      <c r="G35" s="248"/>
      <c r="H35" s="248"/>
      <c r="I35" s="248"/>
      <c r="J35" s="248"/>
      <c r="K35" s="248"/>
    </row>
    <row r="36" spans="1:11" ht="15" customHeight="1" thickBot="1" x14ac:dyDescent="0.3">
      <c r="A36" s="245"/>
      <c r="B36" s="291" t="s">
        <v>46</v>
      </c>
      <c r="C36" s="292"/>
      <c r="D36" s="292"/>
      <c r="E36" s="292"/>
      <c r="F36" s="293"/>
      <c r="G36" s="248"/>
      <c r="H36" s="248"/>
      <c r="I36" s="248"/>
      <c r="J36" s="248"/>
      <c r="K36" s="248"/>
    </row>
    <row r="37" spans="1:11" ht="15.75" thickBot="1" x14ac:dyDescent="0.3">
      <c r="A37" s="245"/>
      <c r="B37" s="1751">
        <v>1</v>
      </c>
      <c r="C37" s="272"/>
      <c r="D37" s="289" t="s">
        <v>39</v>
      </c>
      <c r="E37" s="302" t="s">
        <v>47</v>
      </c>
      <c r="F37" s="316"/>
      <c r="G37" s="248"/>
      <c r="H37" s="248"/>
      <c r="I37" s="248"/>
      <c r="J37" s="248"/>
      <c r="K37" s="248"/>
    </row>
    <row r="38" spans="1:11" ht="15.75" thickBot="1" x14ac:dyDescent="0.3">
      <c r="A38" s="245"/>
      <c r="B38" s="1752"/>
      <c r="C38" s="272"/>
      <c r="D38" s="275" t="s">
        <v>40</v>
      </c>
      <c r="E38" s="302" t="s">
        <v>160</v>
      </c>
      <c r="F38" s="316"/>
      <c r="G38" s="248"/>
      <c r="H38" s="248"/>
      <c r="I38" s="248"/>
      <c r="J38" s="248"/>
      <c r="K38" s="248"/>
    </row>
    <row r="39" spans="1:11" ht="15.75" thickBot="1" x14ac:dyDescent="0.3">
      <c r="A39" s="245"/>
      <c r="B39" s="1752"/>
      <c r="C39" s="272"/>
      <c r="D39" s="275" t="s">
        <v>41</v>
      </c>
      <c r="E39" s="315"/>
      <c r="F39" s="316"/>
      <c r="G39" s="248"/>
      <c r="H39" s="248"/>
      <c r="I39" s="248"/>
      <c r="J39" s="248"/>
      <c r="K39" s="248"/>
    </row>
    <row r="40" spans="1:11" ht="15.75" thickBot="1" x14ac:dyDescent="0.3">
      <c r="A40" s="245"/>
      <c r="B40" s="1752"/>
      <c r="C40" s="272"/>
      <c r="D40" s="275" t="s">
        <v>42</v>
      </c>
      <c r="E40" s="315"/>
      <c r="F40" s="316"/>
      <c r="G40" s="248"/>
      <c r="H40" s="248"/>
      <c r="I40" s="248"/>
      <c r="J40" s="248"/>
      <c r="K40" s="248"/>
    </row>
    <row r="41" spans="1:11" ht="15.75" thickBot="1" x14ac:dyDescent="0.3">
      <c r="A41" s="245"/>
      <c r="B41" s="1752"/>
      <c r="C41" s="272"/>
      <c r="D41" s="275" t="s">
        <v>43</v>
      </c>
      <c r="E41" s="315"/>
      <c r="F41" s="316"/>
      <c r="G41" s="248"/>
      <c r="H41" s="248"/>
      <c r="I41" s="248"/>
      <c r="J41" s="248"/>
      <c r="K41" s="248"/>
    </row>
    <row r="42" spans="1:11" ht="15.75" thickBot="1" x14ac:dyDescent="0.3">
      <c r="A42" s="245"/>
      <c r="B42" s="1752"/>
      <c r="C42" s="272"/>
      <c r="D42" s="275" t="s">
        <v>44</v>
      </c>
      <c r="E42" s="315"/>
      <c r="F42" s="316"/>
      <c r="G42" s="248"/>
      <c r="H42" s="248"/>
      <c r="I42" s="248"/>
      <c r="J42" s="248"/>
      <c r="K42" s="248"/>
    </row>
    <row r="43" spans="1:11" ht="15.75" thickBot="1" x14ac:dyDescent="0.3">
      <c r="A43" s="245"/>
      <c r="B43" s="1753"/>
      <c r="C43" s="282"/>
      <c r="D43" s="275" t="s">
        <v>45</v>
      </c>
      <c r="E43" s="315"/>
      <c r="F43" s="316"/>
      <c r="G43" s="248"/>
      <c r="H43" s="248"/>
      <c r="I43" s="248"/>
      <c r="J43" s="248"/>
      <c r="K43" s="248"/>
    </row>
    <row r="44" spans="1:11" ht="15.75" thickBot="1" x14ac:dyDescent="0.3">
      <c r="A44" s="245"/>
      <c r="B44" s="249"/>
      <c r="C44" s="250"/>
      <c r="D44" s="248"/>
      <c r="E44" s="248"/>
      <c r="F44" s="248"/>
      <c r="G44" s="248"/>
      <c r="H44" s="248"/>
      <c r="I44" s="248"/>
      <c r="J44" s="248"/>
      <c r="K44" s="248"/>
    </row>
    <row r="45" spans="1:11" ht="15" customHeight="1" thickBot="1" x14ac:dyDescent="0.3">
      <c r="A45" s="245"/>
      <c r="B45" s="291" t="s">
        <v>49</v>
      </c>
      <c r="C45" s="292"/>
      <c r="D45" s="292"/>
      <c r="E45" s="293"/>
      <c r="F45" s="245"/>
      <c r="G45" s="248"/>
      <c r="H45" s="248"/>
      <c r="I45" s="248"/>
      <c r="J45" s="248"/>
      <c r="K45" s="248"/>
    </row>
    <row r="46" spans="1:11" ht="24.75" thickBot="1" x14ac:dyDescent="0.3">
      <c r="A46" s="245"/>
      <c r="B46" s="285" t="s">
        <v>50</v>
      </c>
      <c r="C46" s="275" t="s">
        <v>51</v>
      </c>
      <c r="D46" s="275" t="s">
        <v>52</v>
      </c>
      <c r="E46" s="275" t="s">
        <v>53</v>
      </c>
      <c r="F46" s="248"/>
      <c r="G46" s="248"/>
      <c r="H46" s="248"/>
      <c r="I46" s="248"/>
      <c r="J46" s="248"/>
      <c r="K46" s="245"/>
    </row>
    <row r="47" spans="1:11" ht="72.75" thickBot="1" x14ac:dyDescent="0.3">
      <c r="A47" s="245"/>
      <c r="B47" s="295">
        <v>42401</v>
      </c>
      <c r="C47" s="275">
        <v>0.01</v>
      </c>
      <c r="D47" s="307" t="s">
        <v>199</v>
      </c>
      <c r="E47" s="275"/>
      <c r="F47" s="248"/>
      <c r="G47" s="248"/>
      <c r="H47" s="248"/>
      <c r="I47" s="248"/>
      <c r="J47" s="248"/>
      <c r="K47" s="245"/>
    </row>
    <row r="48" spans="1:11" ht="15.75" thickBot="1" x14ac:dyDescent="0.3">
      <c r="A48" s="245"/>
      <c r="B48" s="308"/>
      <c r="C48" s="309"/>
      <c r="D48" s="248"/>
      <c r="E48" s="248"/>
      <c r="F48" s="248"/>
      <c r="G48" s="248"/>
      <c r="H48" s="248"/>
      <c r="I48" s="248"/>
      <c r="J48" s="248"/>
      <c r="K48" s="248"/>
    </row>
    <row r="49" spans="1:11" x14ac:dyDescent="0.25">
      <c r="A49" s="245"/>
      <c r="B49" s="297" t="s">
        <v>55</v>
      </c>
      <c r="C49" s="298"/>
      <c r="D49" s="248"/>
      <c r="E49" s="248"/>
      <c r="F49" s="248"/>
      <c r="G49" s="248"/>
      <c r="H49" s="248"/>
      <c r="I49" s="248"/>
      <c r="J49" s="248"/>
      <c r="K49" s="248"/>
    </row>
    <row r="50" spans="1:11" x14ac:dyDescent="0.25">
      <c r="A50" s="245"/>
      <c r="B50" s="1785"/>
      <c r="C50" s="1786"/>
      <c r="D50" s="1786"/>
      <c r="E50" s="1787"/>
      <c r="F50" s="248"/>
      <c r="G50" s="248"/>
      <c r="H50" s="248"/>
      <c r="I50" s="248"/>
      <c r="J50" s="248"/>
      <c r="K50" s="248"/>
    </row>
    <row r="51" spans="1:11" x14ac:dyDescent="0.25">
      <c r="A51" s="245"/>
      <c r="B51" s="1788"/>
      <c r="C51" s="1789"/>
      <c r="D51" s="1789"/>
      <c r="E51" s="1790"/>
      <c r="F51" s="248"/>
      <c r="G51" s="248"/>
      <c r="H51" s="248"/>
      <c r="I51" s="248"/>
      <c r="J51" s="248"/>
      <c r="K51" s="248"/>
    </row>
    <row r="52" spans="1:11" ht="15.75" thickBot="1" x14ac:dyDescent="0.3">
      <c r="A52" s="245"/>
      <c r="B52" s="248"/>
      <c r="C52" s="265"/>
      <c r="D52" s="248"/>
      <c r="E52" s="248"/>
      <c r="F52" s="248"/>
      <c r="G52" s="248"/>
      <c r="H52" s="248"/>
      <c r="I52" s="248"/>
      <c r="J52" s="248"/>
      <c r="K52" s="248"/>
    </row>
    <row r="53" spans="1:11" ht="24.75" thickBot="1" x14ac:dyDescent="0.3">
      <c r="A53" s="245"/>
      <c r="B53" s="310" t="s">
        <v>56</v>
      </c>
      <c r="C53" s="311"/>
      <c r="D53" s="248"/>
      <c r="E53" s="248"/>
      <c r="F53" s="248"/>
      <c r="G53" s="248"/>
      <c r="H53" s="248"/>
      <c r="I53" s="248"/>
      <c r="J53" s="248"/>
      <c r="K53" s="248"/>
    </row>
    <row r="54" spans="1:11" ht="15.75" thickBot="1" x14ac:dyDescent="0.3">
      <c r="A54" s="245"/>
      <c r="B54" s="249"/>
      <c r="C54" s="250"/>
      <c r="D54" s="248"/>
      <c r="E54" s="248"/>
      <c r="F54" s="248"/>
      <c r="G54" s="248"/>
      <c r="H54" s="248"/>
      <c r="I54" s="248"/>
      <c r="J54" s="248"/>
      <c r="K54" s="248"/>
    </row>
    <row r="55" spans="1:11" ht="60.75" thickBot="1" x14ac:dyDescent="0.3">
      <c r="A55" s="245"/>
      <c r="B55" s="299" t="s">
        <v>57</v>
      </c>
      <c r="C55" s="279"/>
      <c r="D55" s="273" t="s">
        <v>184</v>
      </c>
      <c r="E55" s="248"/>
      <c r="F55" s="248"/>
      <c r="G55" s="248"/>
      <c r="H55" s="248"/>
      <c r="I55" s="248"/>
      <c r="J55" s="248"/>
      <c r="K55" s="248"/>
    </row>
    <row r="56" spans="1:11" x14ac:dyDescent="0.25">
      <c r="A56" s="245"/>
      <c r="B56" s="1751" t="s">
        <v>59</v>
      </c>
      <c r="C56" s="272"/>
      <c r="D56" s="312" t="s">
        <v>60</v>
      </c>
      <c r="E56" s="248"/>
      <c r="F56" s="248"/>
      <c r="G56" s="248"/>
      <c r="H56" s="248"/>
      <c r="I56" s="248"/>
      <c r="J56" s="248"/>
      <c r="K56" s="248"/>
    </row>
    <row r="57" spans="1:11" ht="60" x14ac:dyDescent="0.25">
      <c r="A57" s="245"/>
      <c r="B57" s="1752"/>
      <c r="C57" s="272"/>
      <c r="D57" s="313" t="s">
        <v>185</v>
      </c>
      <c r="E57" s="248"/>
      <c r="F57" s="248"/>
      <c r="G57" s="248"/>
      <c r="H57" s="248"/>
      <c r="I57" s="248"/>
      <c r="J57" s="248"/>
      <c r="K57" s="248"/>
    </row>
    <row r="58" spans="1:11" x14ac:dyDescent="0.25">
      <c r="A58" s="245"/>
      <c r="B58" s="1752"/>
      <c r="C58" s="272"/>
      <c r="D58" s="312" t="s">
        <v>134</v>
      </c>
      <c r="E58" s="248"/>
      <c r="F58" s="248"/>
      <c r="G58" s="248"/>
      <c r="H58" s="248"/>
      <c r="I58" s="248"/>
      <c r="J58" s="248"/>
      <c r="K58" s="248"/>
    </row>
    <row r="59" spans="1:11" ht="24" x14ac:dyDescent="0.25">
      <c r="A59" s="245"/>
      <c r="B59" s="1752"/>
      <c r="C59" s="272"/>
      <c r="D59" s="313" t="s">
        <v>136</v>
      </c>
      <c r="E59" s="248"/>
      <c r="F59" s="248"/>
      <c r="G59" s="248"/>
      <c r="H59" s="248"/>
      <c r="I59" s="248"/>
      <c r="J59" s="248"/>
      <c r="K59" s="248"/>
    </row>
    <row r="60" spans="1:11" x14ac:dyDescent="0.25">
      <c r="A60" s="245"/>
      <c r="B60" s="1752"/>
      <c r="C60" s="272"/>
      <c r="D60" s="313" t="s">
        <v>165</v>
      </c>
      <c r="E60" s="248"/>
      <c r="F60" s="248"/>
      <c r="G60" s="248"/>
      <c r="H60" s="248"/>
      <c r="I60" s="248"/>
      <c r="J60" s="248"/>
      <c r="K60" s="248"/>
    </row>
    <row r="61" spans="1:11" ht="36" x14ac:dyDescent="0.25">
      <c r="A61" s="245"/>
      <c r="B61" s="1752"/>
      <c r="C61" s="272"/>
      <c r="D61" s="313" t="s">
        <v>140</v>
      </c>
      <c r="E61" s="248"/>
      <c r="F61" s="248"/>
      <c r="G61" s="248"/>
      <c r="H61" s="248"/>
      <c r="I61" s="248"/>
      <c r="J61" s="248"/>
      <c r="K61" s="248"/>
    </row>
    <row r="62" spans="1:11" x14ac:dyDescent="0.25">
      <c r="A62" s="245"/>
      <c r="B62" s="1752"/>
      <c r="C62" s="272"/>
      <c r="D62" s="312" t="s">
        <v>141</v>
      </c>
      <c r="E62" s="248"/>
      <c r="F62" s="248"/>
      <c r="G62" s="248"/>
      <c r="H62" s="248"/>
      <c r="I62" s="248"/>
      <c r="J62" s="248"/>
      <c r="K62" s="248"/>
    </row>
    <row r="63" spans="1:11" ht="24.75" thickBot="1" x14ac:dyDescent="0.3">
      <c r="A63" s="245"/>
      <c r="B63" s="1753"/>
      <c r="C63" s="282"/>
      <c r="D63" s="275" t="s">
        <v>142</v>
      </c>
      <c r="E63" s="248"/>
      <c r="F63" s="248"/>
      <c r="G63" s="248"/>
      <c r="H63" s="248"/>
      <c r="I63" s="248"/>
      <c r="J63" s="248"/>
      <c r="K63" s="248"/>
    </row>
    <row r="64" spans="1:11" ht="24.75" thickBot="1" x14ac:dyDescent="0.3">
      <c r="A64" s="245"/>
      <c r="B64" s="285" t="s">
        <v>72</v>
      </c>
      <c r="C64" s="282"/>
      <c r="D64" s="275"/>
      <c r="E64" s="248"/>
      <c r="F64" s="248"/>
      <c r="G64" s="248"/>
      <c r="H64" s="248"/>
      <c r="I64" s="248"/>
      <c r="J64" s="248"/>
      <c r="K64" s="248"/>
    </row>
    <row r="65" spans="1:11" ht="108" x14ac:dyDescent="0.25">
      <c r="A65" s="245"/>
      <c r="B65" s="1751" t="s">
        <v>73</v>
      </c>
      <c r="C65" s="272"/>
      <c r="D65" s="313" t="s">
        <v>186</v>
      </c>
      <c r="E65" s="248"/>
      <c r="F65" s="248"/>
      <c r="G65" s="248"/>
      <c r="H65" s="248"/>
      <c r="I65" s="248"/>
      <c r="J65" s="248"/>
      <c r="K65" s="248"/>
    </row>
    <row r="66" spans="1:11" ht="240" x14ac:dyDescent="0.25">
      <c r="A66" s="245"/>
      <c r="B66" s="1752"/>
      <c r="C66" s="272"/>
      <c r="D66" s="313" t="s">
        <v>187</v>
      </c>
      <c r="E66" s="248"/>
      <c r="F66" s="248"/>
      <c r="G66" s="248"/>
      <c r="H66" s="248"/>
      <c r="I66" s="248"/>
      <c r="J66" s="248"/>
      <c r="K66" s="248"/>
    </row>
    <row r="67" spans="1:11" ht="48.75" thickBot="1" x14ac:dyDescent="0.3">
      <c r="A67" s="245"/>
      <c r="B67" s="1753"/>
      <c r="C67" s="282"/>
      <c r="D67" s="275" t="s">
        <v>188</v>
      </c>
      <c r="E67" s="248"/>
      <c r="F67" s="248"/>
      <c r="G67" s="248"/>
      <c r="H67" s="248"/>
      <c r="I67" s="248"/>
      <c r="J67" s="248"/>
      <c r="K67" s="248"/>
    </row>
    <row r="68" spans="1:11" x14ac:dyDescent="0.25">
      <c r="A68" s="245"/>
      <c r="B68" s="1751" t="s">
        <v>90</v>
      </c>
      <c r="C68" s="272"/>
      <c r="D68" s="313"/>
      <c r="E68" s="248"/>
      <c r="F68" s="248"/>
      <c r="G68" s="248"/>
      <c r="H68" s="248"/>
      <c r="I68" s="248"/>
      <c r="J68" s="248"/>
      <c r="K68" s="248"/>
    </row>
    <row r="69" spans="1:11" x14ac:dyDescent="0.25">
      <c r="A69" s="245"/>
      <c r="B69" s="1752"/>
      <c r="C69" s="272"/>
      <c r="D69" s="314"/>
      <c r="E69" s="248"/>
      <c r="F69" s="248"/>
      <c r="G69" s="248"/>
      <c r="H69" s="248"/>
      <c r="I69" s="248"/>
      <c r="J69" s="248"/>
      <c r="K69" s="248"/>
    </row>
    <row r="70" spans="1:11" x14ac:dyDescent="0.25">
      <c r="A70" s="245"/>
      <c r="B70" s="1752"/>
      <c r="C70" s="272"/>
      <c r="D70" s="313" t="s">
        <v>91</v>
      </c>
      <c r="E70" s="248"/>
      <c r="F70" s="248"/>
      <c r="G70" s="248"/>
      <c r="H70" s="248"/>
      <c r="I70" s="248"/>
      <c r="J70" s="248"/>
      <c r="K70" s="248"/>
    </row>
    <row r="71" spans="1:11" ht="37.5" x14ac:dyDescent="0.25">
      <c r="A71" s="245"/>
      <c r="B71" s="1752"/>
      <c r="C71" s="272"/>
      <c r="D71" s="313" t="s">
        <v>189</v>
      </c>
      <c r="E71" s="248"/>
      <c r="F71" s="248"/>
      <c r="G71" s="248"/>
      <c r="H71" s="248"/>
      <c r="I71" s="248"/>
      <c r="J71" s="248"/>
      <c r="K71" s="248"/>
    </row>
    <row r="72" spans="1:11" ht="37.5" x14ac:dyDescent="0.25">
      <c r="A72" s="245"/>
      <c r="B72" s="1752"/>
      <c r="C72" s="272"/>
      <c r="D72" s="313" t="s">
        <v>190</v>
      </c>
      <c r="E72" s="248"/>
      <c r="F72" s="248"/>
      <c r="G72" s="248"/>
      <c r="H72" s="248"/>
      <c r="I72" s="248"/>
      <c r="J72" s="248"/>
      <c r="K72" s="248"/>
    </row>
    <row r="73" spans="1:11" ht="37.5" x14ac:dyDescent="0.25">
      <c r="A73" s="245"/>
      <c r="B73" s="1752"/>
      <c r="C73" s="272"/>
      <c r="D73" s="313" t="s">
        <v>191</v>
      </c>
      <c r="E73" s="248"/>
      <c r="F73" s="248"/>
      <c r="G73" s="248"/>
      <c r="H73" s="248"/>
      <c r="I73" s="248"/>
      <c r="J73" s="248"/>
      <c r="K73" s="248"/>
    </row>
    <row r="74" spans="1:11" ht="48.75" thickBot="1" x14ac:dyDescent="0.3">
      <c r="A74" s="245"/>
      <c r="B74" s="1753"/>
      <c r="C74" s="282"/>
      <c r="D74" s="275" t="s">
        <v>192</v>
      </c>
      <c r="E74" s="248"/>
      <c r="F74" s="248"/>
      <c r="G74" s="248"/>
      <c r="H74" s="248"/>
      <c r="I74" s="248"/>
      <c r="J74" s="248"/>
      <c r="K74" s="248"/>
    </row>
    <row r="75" spans="1:11" x14ac:dyDescent="0.25">
      <c r="A75" s="245"/>
      <c r="B75" s="248"/>
      <c r="C75" s="265"/>
      <c r="D75" s="248"/>
      <c r="E75" s="248"/>
      <c r="F75" s="248"/>
      <c r="G75" s="248"/>
      <c r="H75" s="248"/>
      <c r="I75" s="248"/>
      <c r="J75" s="248"/>
      <c r="K75" s="248"/>
    </row>
  </sheetData>
  <mergeCells count="21">
    <mergeCell ref="B10:D10"/>
    <mergeCell ref="F10:S10"/>
    <mergeCell ref="F11:S11"/>
    <mergeCell ref="E12:R12"/>
    <mergeCell ref="E13:R13"/>
    <mergeCell ref="B56:B63"/>
    <mergeCell ref="B65:B67"/>
    <mergeCell ref="B68:B74"/>
    <mergeCell ref="B15:B23"/>
    <mergeCell ref="D15:J15"/>
    <mergeCell ref="D19:J19"/>
    <mergeCell ref="D24:J24"/>
    <mergeCell ref="D25:J25"/>
    <mergeCell ref="B28:B34"/>
    <mergeCell ref="B37:B43"/>
    <mergeCell ref="B50:E51"/>
    <mergeCell ref="A1:P1"/>
    <mergeCell ref="A2:P2"/>
    <mergeCell ref="A3:P3"/>
    <mergeCell ref="A4:D4"/>
    <mergeCell ref="A5:P5"/>
  </mergeCells>
  <conditionalFormatting sqref="F10">
    <cfRule type="notContainsBlanks" dxfId="117" priority="4">
      <formula>LEN(TRIM(F10))&gt;0</formula>
    </cfRule>
  </conditionalFormatting>
  <conditionalFormatting sqref="F11:S11">
    <cfRule type="expression" dxfId="116" priority="2">
      <formula>E11="NO SE REPORTA"</formula>
    </cfRule>
    <cfRule type="expression" dxfId="115" priority="3">
      <formula>E10="NO APLICA"</formula>
    </cfRule>
  </conditionalFormatting>
  <conditionalFormatting sqref="E12:R12">
    <cfRule type="expression" dxfId="114"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U78"/>
  <sheetViews>
    <sheetView showGridLines="0" topLeftCell="A5" zoomScale="98" zoomScaleNormal="98"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200</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1188</v>
      </c>
      <c r="C8" s="262">
        <v>2021</v>
      </c>
      <c r="D8" s="257">
        <f>IF(E10="NO APLICA","NO APLICA",IF(E11="NO SE REPORTA","SIN INFORMACION",+F22))</f>
        <v>0.9</v>
      </c>
      <c r="E8" s="264"/>
      <c r="F8" s="248" t="s">
        <v>130</v>
      </c>
      <c r="G8" s="248"/>
      <c r="H8" s="248"/>
      <c r="I8" s="248"/>
      <c r="J8" s="248"/>
      <c r="K8" s="248"/>
    </row>
    <row r="9" spans="1:21" x14ac:dyDescent="0.25">
      <c r="A9" s="245"/>
      <c r="B9" s="497" t="s">
        <v>1189</v>
      </c>
      <c r="C9" s="304"/>
      <c r="D9" s="248"/>
      <c r="E9" s="248"/>
      <c r="F9" s="248"/>
      <c r="G9" s="248"/>
      <c r="H9" s="248"/>
      <c r="I9" s="248"/>
      <c r="J9" s="248"/>
      <c r="K9" s="248"/>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Gestión'!A180</f>
        <v>Proyecto 6.1. Evaluación, Seguimiento, Monitoreo y Control de la calidad de los recursos naturales y la biodiversidad.</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304"/>
      <c r="D14" s="248"/>
      <c r="E14" s="248"/>
      <c r="F14" s="248"/>
      <c r="G14" s="248"/>
      <c r="H14" s="248"/>
      <c r="I14" s="248"/>
      <c r="J14" s="248"/>
      <c r="K14" s="248"/>
    </row>
    <row r="15" spans="1:21" ht="15.75" thickBot="1" x14ac:dyDescent="0.3">
      <c r="A15" s="245"/>
      <c r="B15" s="1751" t="s">
        <v>2</v>
      </c>
      <c r="C15" s="268"/>
      <c r="D15" s="1742" t="s">
        <v>3</v>
      </c>
      <c r="E15" s="1743"/>
      <c r="F15" s="1743"/>
      <c r="G15" s="1743"/>
      <c r="H15" s="1743"/>
      <c r="I15" s="1743"/>
      <c r="J15" s="1744"/>
      <c r="K15" s="248"/>
    </row>
    <row r="16" spans="1:21" ht="48.75" thickBot="1" x14ac:dyDescent="0.3">
      <c r="A16" s="245"/>
      <c r="B16" s="1752"/>
      <c r="C16" s="272"/>
      <c r="D16" s="273" t="s">
        <v>1769</v>
      </c>
      <c r="E16" s="217">
        <v>10</v>
      </c>
      <c r="F16" s="248"/>
      <c r="G16" s="248"/>
      <c r="H16" s="248"/>
      <c r="I16" s="248"/>
      <c r="J16" s="274"/>
      <c r="K16" s="248"/>
    </row>
    <row r="17" spans="1:11" ht="48.75" thickBot="1" x14ac:dyDescent="0.3">
      <c r="A17" s="245"/>
      <c r="B17" s="1752"/>
      <c r="C17" s="272"/>
      <c r="D17" s="275" t="s">
        <v>214</v>
      </c>
      <c r="E17" s="217">
        <v>10</v>
      </c>
      <c r="F17" s="248"/>
      <c r="G17" s="248"/>
      <c r="H17" s="248"/>
      <c r="I17" s="248"/>
      <c r="J17" s="274"/>
      <c r="K17" s="248"/>
    </row>
    <row r="18" spans="1:11" ht="15.75" thickBot="1" x14ac:dyDescent="0.3">
      <c r="A18" s="245"/>
      <c r="B18" s="1752"/>
      <c r="C18" s="276"/>
      <c r="D18" s="1757"/>
      <c r="E18" s="1758"/>
      <c r="F18" s="1758"/>
      <c r="G18" s="1758"/>
      <c r="H18" s="1758"/>
      <c r="I18" s="1758"/>
      <c r="J18" s="1759"/>
      <c r="K18" s="248"/>
    </row>
    <row r="19" spans="1:11" ht="15.75" thickBot="1" x14ac:dyDescent="0.3">
      <c r="A19" s="245"/>
      <c r="B19" s="1752"/>
      <c r="C19" s="279" t="s">
        <v>19</v>
      </c>
      <c r="D19" s="273" t="s">
        <v>150</v>
      </c>
      <c r="E19" s="317" t="s">
        <v>20</v>
      </c>
      <c r="F19" s="317" t="s">
        <v>21</v>
      </c>
      <c r="G19" s="317" t="s">
        <v>22</v>
      </c>
      <c r="H19" s="317" t="s">
        <v>23</v>
      </c>
      <c r="I19" s="234" t="s">
        <v>55</v>
      </c>
      <c r="J19" s="113"/>
      <c r="K19" s="248"/>
    </row>
    <row r="20" spans="1:11" ht="36.75" thickBot="1" x14ac:dyDescent="0.3">
      <c r="A20" s="245"/>
      <c r="B20" s="1752"/>
      <c r="C20" s="282" t="s">
        <v>152</v>
      </c>
      <c r="D20" s="275" t="s">
        <v>215</v>
      </c>
      <c r="E20" s="217">
        <v>11</v>
      </c>
      <c r="F20" s="217">
        <v>10</v>
      </c>
      <c r="G20" s="217"/>
      <c r="H20" s="217"/>
      <c r="I20" s="31"/>
      <c r="J20" s="114"/>
      <c r="K20" s="248"/>
    </row>
    <row r="21" spans="1:11" ht="36.75" thickBot="1" x14ac:dyDescent="0.3">
      <c r="A21" s="245"/>
      <c r="B21" s="1752"/>
      <c r="C21" s="282" t="s">
        <v>154</v>
      </c>
      <c r="D21" s="275" t="s">
        <v>216</v>
      </c>
      <c r="E21" s="217">
        <v>10</v>
      </c>
      <c r="F21" s="217">
        <v>9</v>
      </c>
      <c r="G21" s="217"/>
      <c r="H21" s="217"/>
      <c r="I21" s="31"/>
      <c r="J21" s="114"/>
      <c r="K21" s="248"/>
    </row>
    <row r="22" spans="1:11" ht="36.75" thickBot="1" x14ac:dyDescent="0.3">
      <c r="A22" s="245"/>
      <c r="B22" s="1753"/>
      <c r="C22" s="282" t="s">
        <v>156</v>
      </c>
      <c r="D22" s="275" t="s">
        <v>217</v>
      </c>
      <c r="E22" s="196">
        <f>IFERROR(E21/E20,"N.A.")</f>
        <v>0.90909090909090906</v>
      </c>
      <c r="F22" s="196">
        <f>IFERROR(F21/F20,"N.A.")</f>
        <v>0.9</v>
      </c>
      <c r="G22" s="196" t="str">
        <f>IFERROR(G21/G20,"N.A.")</f>
        <v>N.A.</v>
      </c>
      <c r="H22" s="196" t="str">
        <f>IFERROR(H21/H20,"N.A.")</f>
        <v>N.A.</v>
      </c>
      <c r="I22" s="495"/>
      <c r="J22" s="115"/>
      <c r="K22" s="248"/>
    </row>
    <row r="23" spans="1:11" ht="24" customHeight="1" thickBot="1" x14ac:dyDescent="0.3">
      <c r="A23" s="245"/>
      <c r="B23" s="285" t="s">
        <v>34</v>
      </c>
      <c r="C23" s="286"/>
      <c r="D23" s="1754" t="s">
        <v>218</v>
      </c>
      <c r="E23" s="1755"/>
      <c r="F23" s="1755"/>
      <c r="G23" s="1755"/>
      <c r="H23" s="1755"/>
      <c r="I23" s="1755"/>
      <c r="J23" s="1756"/>
      <c r="K23" s="248"/>
    </row>
    <row r="24" spans="1:11" ht="24.75" thickBot="1" x14ac:dyDescent="0.3">
      <c r="A24" s="245"/>
      <c r="B24" s="285" t="s">
        <v>36</v>
      </c>
      <c r="C24" s="286"/>
      <c r="D24" s="1754" t="s">
        <v>159</v>
      </c>
      <c r="E24" s="1755"/>
      <c r="F24" s="1755"/>
      <c r="G24" s="1755"/>
      <c r="H24" s="1755"/>
      <c r="I24" s="1755"/>
      <c r="J24" s="1756"/>
      <c r="K24" s="248"/>
    </row>
    <row r="25" spans="1:11" ht="15.75" thickBot="1" x14ac:dyDescent="0.3">
      <c r="A25" s="245"/>
      <c r="B25" s="318"/>
      <c r="C25" s="304"/>
      <c r="D25" s="248"/>
      <c r="E25" s="248"/>
      <c r="F25" s="248"/>
      <c r="G25" s="248"/>
      <c r="H25" s="248"/>
      <c r="I25" s="248"/>
      <c r="J25" s="319"/>
      <c r="K25" s="248"/>
    </row>
    <row r="26" spans="1:11" ht="15" customHeight="1" thickBot="1" x14ac:dyDescent="0.3">
      <c r="A26" s="245"/>
      <c r="B26" s="291" t="s">
        <v>38</v>
      </c>
      <c r="C26" s="320"/>
      <c r="D26" s="320"/>
      <c r="E26" s="320"/>
      <c r="F26" s="320"/>
      <c r="G26" s="320"/>
      <c r="H26" s="320"/>
      <c r="I26" s="320"/>
      <c r="J26" s="321"/>
      <c r="K26" s="248"/>
    </row>
    <row r="27" spans="1:11" ht="15.75" thickBot="1" x14ac:dyDescent="0.3">
      <c r="A27" s="245"/>
      <c r="B27" s="1751">
        <v>1</v>
      </c>
      <c r="C27" s="268"/>
      <c r="D27" s="322" t="s">
        <v>39</v>
      </c>
      <c r="E27" s="1800" t="s">
        <v>2854</v>
      </c>
      <c r="F27" s="1801"/>
      <c r="G27" s="245"/>
      <c r="H27" s="245"/>
      <c r="I27" s="316"/>
      <c r="J27" s="323"/>
      <c r="K27" s="248"/>
    </row>
    <row r="28" spans="1:11" ht="15.75" thickBot="1" x14ac:dyDescent="0.3">
      <c r="A28" s="245"/>
      <c r="B28" s="1752"/>
      <c r="C28" s="276"/>
      <c r="D28" s="324" t="s">
        <v>40</v>
      </c>
      <c r="E28" s="1800" t="s">
        <v>2913</v>
      </c>
      <c r="F28" s="1801"/>
      <c r="G28" s="245"/>
      <c r="H28" s="245"/>
      <c r="I28" s="316"/>
      <c r="J28" s="274"/>
      <c r="K28" s="248"/>
    </row>
    <row r="29" spans="1:11" ht="15.75" thickBot="1" x14ac:dyDescent="0.3">
      <c r="A29" s="245"/>
      <c r="B29" s="1752"/>
      <c r="C29" s="276"/>
      <c r="D29" s="324" t="s">
        <v>41</v>
      </c>
      <c r="E29" s="1800" t="s">
        <v>2914</v>
      </c>
      <c r="F29" s="1801"/>
      <c r="G29" s="245"/>
      <c r="H29" s="245"/>
      <c r="I29" s="316"/>
      <c r="J29" s="274"/>
      <c r="K29" s="248"/>
    </row>
    <row r="30" spans="1:11" ht="15.75" thickBot="1" x14ac:dyDescent="0.3">
      <c r="A30" s="245"/>
      <c r="B30" s="1752"/>
      <c r="C30" s="276"/>
      <c r="D30" s="324" t="s">
        <v>42</v>
      </c>
      <c r="E30" s="1800" t="s">
        <v>2918</v>
      </c>
      <c r="F30" s="1801"/>
      <c r="G30" s="245"/>
      <c r="H30" s="245"/>
      <c r="I30" s="316"/>
      <c r="J30" s="274"/>
      <c r="K30" s="248"/>
    </row>
    <row r="31" spans="1:11" ht="15.75" thickBot="1" x14ac:dyDescent="0.3">
      <c r="A31" s="245"/>
      <c r="B31" s="1752"/>
      <c r="C31" s="276"/>
      <c r="D31" s="324" t="s">
        <v>43</v>
      </c>
      <c r="E31" s="1800" t="s">
        <v>2915</v>
      </c>
      <c r="F31" s="1801"/>
      <c r="G31" s="245"/>
      <c r="H31" s="245"/>
      <c r="I31" s="316"/>
      <c r="J31" s="274"/>
      <c r="K31" s="248"/>
    </row>
    <row r="32" spans="1:11" ht="15.75" thickBot="1" x14ac:dyDescent="0.3">
      <c r="A32" s="245"/>
      <c r="B32" s="1752"/>
      <c r="C32" s="276"/>
      <c r="D32" s="324" t="s">
        <v>44</v>
      </c>
      <c r="E32" s="1800" t="s">
        <v>2919</v>
      </c>
      <c r="F32" s="1801"/>
      <c r="G32" s="245"/>
      <c r="H32" s="245"/>
      <c r="I32" s="316"/>
      <c r="J32" s="274"/>
      <c r="K32" s="248"/>
    </row>
    <row r="33" spans="1:11" ht="15.75" thickBot="1" x14ac:dyDescent="0.3">
      <c r="A33" s="245"/>
      <c r="B33" s="1753"/>
      <c r="C33" s="286"/>
      <c r="D33" s="324" t="s">
        <v>45</v>
      </c>
      <c r="E33" s="1800" t="s">
        <v>2920</v>
      </c>
      <c r="F33" s="1801"/>
      <c r="G33" s="245"/>
      <c r="H33" s="245"/>
      <c r="I33" s="325"/>
      <c r="J33" s="326"/>
      <c r="K33" s="248"/>
    </row>
    <row r="34" spans="1:11" ht="15" customHeight="1" thickBot="1" x14ac:dyDescent="0.3">
      <c r="A34" s="245"/>
      <c r="B34" s="291" t="s">
        <v>46</v>
      </c>
      <c r="C34" s="292"/>
      <c r="D34" s="292"/>
      <c r="E34" s="292"/>
      <c r="F34" s="292"/>
      <c r="G34" s="292"/>
      <c r="H34" s="292"/>
      <c r="I34" s="320"/>
      <c r="J34" s="321"/>
      <c r="K34" s="248"/>
    </row>
    <row r="35" spans="1:11" ht="14.45" customHeight="1" thickBot="1" x14ac:dyDescent="0.3">
      <c r="A35" s="245"/>
      <c r="B35" s="1751">
        <v>1</v>
      </c>
      <c r="C35" s="268"/>
      <c r="D35" s="327" t="s">
        <v>39</v>
      </c>
      <c r="E35" s="233" t="s">
        <v>47</v>
      </c>
      <c r="F35" s="234"/>
      <c r="G35" s="245"/>
      <c r="H35" s="245"/>
      <c r="I35" s="316"/>
      <c r="J35" s="323"/>
      <c r="K35" s="248"/>
    </row>
    <row r="36" spans="1:11" ht="15.75" thickBot="1" x14ac:dyDescent="0.3">
      <c r="A36" s="245"/>
      <c r="B36" s="1752"/>
      <c r="C36" s="276"/>
      <c r="D36" s="328" t="s">
        <v>40</v>
      </c>
      <c r="E36" s="233" t="s">
        <v>160</v>
      </c>
      <c r="F36" s="233"/>
      <c r="G36" s="245"/>
      <c r="H36" s="245"/>
      <c r="I36" s="316"/>
      <c r="J36" s="274"/>
      <c r="K36" s="248"/>
    </row>
    <row r="37" spans="1:11" ht="15.75" thickBot="1" x14ac:dyDescent="0.3">
      <c r="A37" s="245"/>
      <c r="B37" s="1752"/>
      <c r="C37" s="276"/>
      <c r="D37" s="328" t="s">
        <v>41</v>
      </c>
      <c r="E37" s="1798"/>
      <c r="F37" s="1799"/>
      <c r="G37" s="245"/>
      <c r="H37" s="245"/>
      <c r="I37" s="316"/>
      <c r="J37" s="274"/>
      <c r="K37" s="248"/>
    </row>
    <row r="38" spans="1:11" ht="15.75" thickBot="1" x14ac:dyDescent="0.3">
      <c r="A38" s="245"/>
      <c r="B38" s="1752"/>
      <c r="C38" s="276"/>
      <c r="D38" s="328" t="s">
        <v>42</v>
      </c>
      <c r="E38" s="1798"/>
      <c r="F38" s="1799"/>
      <c r="G38" s="245"/>
      <c r="H38" s="245"/>
      <c r="I38" s="316"/>
      <c r="J38" s="274"/>
      <c r="K38" s="248"/>
    </row>
    <row r="39" spans="1:11" ht="15.75" thickBot="1" x14ac:dyDescent="0.3">
      <c r="A39" s="245"/>
      <c r="B39" s="1752"/>
      <c r="C39" s="276"/>
      <c r="D39" s="328" t="s">
        <v>43</v>
      </c>
      <c r="E39" s="1798"/>
      <c r="F39" s="1799"/>
      <c r="G39" s="245"/>
      <c r="H39" s="245"/>
      <c r="I39" s="316"/>
      <c r="J39" s="274"/>
      <c r="K39" s="248"/>
    </row>
    <row r="40" spans="1:11" ht="15.75" thickBot="1" x14ac:dyDescent="0.3">
      <c r="A40" s="245"/>
      <c r="B40" s="1752"/>
      <c r="C40" s="276"/>
      <c r="D40" s="328" t="s">
        <v>44</v>
      </c>
      <c r="E40" s="1798"/>
      <c r="F40" s="1799"/>
      <c r="G40" s="245"/>
      <c r="H40" s="245"/>
      <c r="I40" s="316"/>
      <c r="J40" s="274"/>
      <c r="K40" s="248"/>
    </row>
    <row r="41" spans="1:11" ht="15.75" thickBot="1" x14ac:dyDescent="0.3">
      <c r="A41" s="245"/>
      <c r="B41" s="1753"/>
      <c r="C41" s="286"/>
      <c r="D41" s="328" t="s">
        <v>45</v>
      </c>
      <c r="E41" s="1798"/>
      <c r="F41" s="1799"/>
      <c r="G41" s="245"/>
      <c r="H41" s="245"/>
      <c r="I41" s="325"/>
      <c r="J41" s="326"/>
      <c r="K41" s="248"/>
    </row>
    <row r="42" spans="1:11" ht="15.75" thickBot="1" x14ac:dyDescent="0.3">
      <c r="A42" s="245"/>
      <c r="B42" s="329"/>
      <c r="C42" s="330"/>
      <c r="D42" s="331"/>
      <c r="E42" s="331"/>
      <c r="F42" s="331"/>
      <c r="G42" s="320"/>
      <c r="H42" s="320"/>
      <c r="I42" s="320"/>
      <c r="J42" s="321"/>
      <c r="K42" s="248"/>
    </row>
    <row r="43" spans="1:11" ht="15.75" thickBot="1" x14ac:dyDescent="0.3">
      <c r="A43" s="245"/>
      <c r="B43" s="1760" t="s">
        <v>49</v>
      </c>
      <c r="C43" s="1761"/>
      <c r="D43" s="1761"/>
      <c r="E43" s="1761"/>
      <c r="F43" s="1761"/>
      <c r="G43" s="1761"/>
      <c r="H43" s="1761"/>
      <c r="I43" s="1762"/>
      <c r="J43" s="321"/>
      <c r="K43" s="248"/>
    </row>
    <row r="44" spans="1:11" ht="24" customHeight="1" thickBot="1" x14ac:dyDescent="0.3">
      <c r="A44" s="245"/>
      <c r="B44" s="1754" t="s">
        <v>50</v>
      </c>
      <c r="C44" s="1755"/>
      <c r="D44" s="1756"/>
      <c r="E44" s="275" t="s">
        <v>51</v>
      </c>
      <c r="F44" s="1754" t="s">
        <v>52</v>
      </c>
      <c r="G44" s="1756"/>
      <c r="H44" s="1754" t="s">
        <v>53</v>
      </c>
      <c r="I44" s="1756"/>
      <c r="J44" s="281"/>
      <c r="K44" s="248"/>
    </row>
    <row r="45" spans="1:11" ht="108" customHeight="1" thickBot="1" x14ac:dyDescent="0.3">
      <c r="A45" s="245"/>
      <c r="B45" s="1793">
        <v>42401</v>
      </c>
      <c r="C45" s="1794"/>
      <c r="D45" s="1795"/>
      <c r="E45" s="275">
        <v>0.01</v>
      </c>
      <c r="F45" s="1796" t="s">
        <v>219</v>
      </c>
      <c r="G45" s="1797"/>
      <c r="H45" s="1754"/>
      <c r="I45" s="1756"/>
      <c r="J45" s="284"/>
      <c r="K45" s="248"/>
    </row>
    <row r="46" spans="1:11" x14ac:dyDescent="0.25">
      <c r="A46" s="245"/>
      <c r="B46" s="333"/>
      <c r="C46" s="334"/>
      <c r="D46" s="333"/>
      <c r="E46" s="333"/>
      <c r="F46" s="333"/>
      <c r="G46" s="333"/>
      <c r="H46" s="333"/>
      <c r="I46" s="333"/>
      <c r="J46" s="248"/>
      <c r="K46" s="248"/>
    </row>
    <row r="47" spans="1:11" ht="15.75" thickBot="1" x14ac:dyDescent="0.3">
      <c r="A47" s="245"/>
      <c r="B47" s="249"/>
      <c r="C47" s="250"/>
      <c r="D47" s="248"/>
      <c r="E47" s="248"/>
      <c r="F47" s="248"/>
      <c r="G47" s="248"/>
      <c r="H47" s="248"/>
      <c r="I47" s="248"/>
      <c r="J47" s="248"/>
      <c r="K47" s="248"/>
    </row>
    <row r="48" spans="1:11" ht="15.75" thickBot="1" x14ac:dyDescent="0.3">
      <c r="A48" s="245"/>
      <c r="B48" s="335" t="s">
        <v>55</v>
      </c>
      <c r="C48" s="298"/>
      <c r="D48" s="248"/>
      <c r="E48" s="248"/>
      <c r="F48" s="248"/>
      <c r="G48" s="248"/>
      <c r="H48" s="248"/>
      <c r="I48" s="248"/>
      <c r="J48" s="248"/>
      <c r="K48" s="248"/>
    </row>
    <row r="49" spans="1:11" x14ac:dyDescent="0.25">
      <c r="A49" s="245"/>
      <c r="B49" s="1791"/>
      <c r="C49" s="1792"/>
      <c r="D49" s="1792"/>
      <c r="E49" s="1792"/>
      <c r="F49" s="1792"/>
      <c r="G49" s="1792"/>
      <c r="H49" s="1792"/>
      <c r="I49" s="1792"/>
      <c r="J49" s="1792"/>
      <c r="K49" s="248"/>
    </row>
    <row r="50" spans="1:11" x14ac:dyDescent="0.25">
      <c r="A50" s="245"/>
      <c r="B50" s="1791"/>
      <c r="C50" s="1792"/>
      <c r="D50" s="1792"/>
      <c r="E50" s="1792"/>
      <c r="F50" s="1792"/>
      <c r="G50" s="1792"/>
      <c r="H50" s="1792"/>
      <c r="I50" s="1792"/>
      <c r="J50" s="1792"/>
      <c r="K50" s="248"/>
    </row>
    <row r="51" spans="1:11" x14ac:dyDescent="0.25">
      <c r="A51" s="245"/>
      <c r="B51" s="249"/>
      <c r="C51" s="250"/>
      <c r="D51" s="248"/>
      <c r="E51" s="248"/>
      <c r="F51" s="248"/>
      <c r="G51" s="248"/>
      <c r="H51" s="248"/>
      <c r="I51" s="248"/>
      <c r="J51" s="248"/>
      <c r="K51" s="248"/>
    </row>
    <row r="52" spans="1:11" ht="15.75" thickBot="1" x14ac:dyDescent="0.3">
      <c r="A52" s="245"/>
      <c r="B52" s="248"/>
      <c r="C52" s="265"/>
      <c r="D52" s="248"/>
      <c r="E52" s="248"/>
      <c r="F52" s="248"/>
      <c r="G52" s="248"/>
      <c r="H52" s="248"/>
      <c r="I52" s="248"/>
      <c r="J52" s="248"/>
      <c r="K52" s="248"/>
    </row>
    <row r="53" spans="1:11" ht="24.75" thickBot="1" x14ac:dyDescent="0.3">
      <c r="A53" s="245"/>
      <c r="B53" s="310" t="s">
        <v>56</v>
      </c>
      <c r="C53" s="311"/>
      <c r="D53" s="248"/>
      <c r="E53" s="248"/>
      <c r="F53" s="248"/>
      <c r="G53" s="248"/>
      <c r="H53" s="248"/>
      <c r="I53" s="248"/>
      <c r="J53" s="248"/>
      <c r="K53" s="248"/>
    </row>
    <row r="54" spans="1:11" ht="15.75" thickBot="1" x14ac:dyDescent="0.3">
      <c r="A54" s="245"/>
      <c r="B54" s="249"/>
      <c r="C54" s="250"/>
      <c r="D54" s="248"/>
      <c r="E54" s="248"/>
      <c r="F54" s="248"/>
      <c r="G54" s="248"/>
      <c r="H54" s="248"/>
      <c r="I54" s="248"/>
      <c r="J54" s="248"/>
      <c r="K54" s="248"/>
    </row>
    <row r="55" spans="1:11" ht="72.75" thickBot="1" x14ac:dyDescent="0.3">
      <c r="A55" s="245"/>
      <c r="B55" s="299" t="s">
        <v>57</v>
      </c>
      <c r="C55" s="279"/>
      <c r="D55" s="273" t="s">
        <v>201</v>
      </c>
      <c r="E55" s="248"/>
      <c r="F55" s="248"/>
      <c r="G55" s="248"/>
      <c r="H55" s="248"/>
      <c r="I55" s="248"/>
      <c r="J55" s="248"/>
      <c r="K55" s="248"/>
    </row>
    <row r="56" spans="1:11" x14ac:dyDescent="0.25">
      <c r="A56" s="245"/>
      <c r="B56" s="1751" t="s">
        <v>59</v>
      </c>
      <c r="C56" s="272"/>
      <c r="D56" s="312" t="s">
        <v>60</v>
      </c>
      <c r="E56" s="248"/>
      <c r="F56" s="248"/>
      <c r="G56" s="248"/>
      <c r="H56" s="248"/>
      <c r="I56" s="248"/>
      <c r="J56" s="248"/>
      <c r="K56" s="248"/>
    </row>
    <row r="57" spans="1:11" ht="60" x14ac:dyDescent="0.25">
      <c r="A57" s="245"/>
      <c r="B57" s="1752"/>
      <c r="C57" s="272"/>
      <c r="D57" s="313" t="s">
        <v>202</v>
      </c>
      <c r="E57" s="248"/>
      <c r="F57" s="248"/>
      <c r="G57" s="248"/>
      <c r="H57" s="248"/>
      <c r="I57" s="248"/>
      <c r="J57" s="248"/>
      <c r="K57" s="248"/>
    </row>
    <row r="58" spans="1:11" x14ac:dyDescent="0.25">
      <c r="A58" s="245"/>
      <c r="B58" s="1752"/>
      <c r="C58" s="272"/>
      <c r="D58" s="312" t="s">
        <v>134</v>
      </c>
      <c r="E58" s="248"/>
      <c r="F58" s="248"/>
      <c r="G58" s="248"/>
      <c r="H58" s="248"/>
      <c r="I58" s="248"/>
      <c r="J58" s="248"/>
      <c r="K58" s="248"/>
    </row>
    <row r="59" spans="1:11" x14ac:dyDescent="0.25">
      <c r="A59" s="245"/>
      <c r="B59" s="1752"/>
      <c r="C59" s="272"/>
      <c r="D59" s="313" t="s">
        <v>64</v>
      </c>
      <c r="E59" s="248"/>
      <c r="F59" s="248"/>
      <c r="G59" s="248"/>
      <c r="H59" s="248"/>
      <c r="I59" s="248"/>
      <c r="J59" s="248"/>
      <c r="K59" s="248"/>
    </row>
    <row r="60" spans="1:11" x14ac:dyDescent="0.25">
      <c r="A60" s="245"/>
      <c r="B60" s="1752"/>
      <c r="C60" s="272"/>
      <c r="D60" s="313" t="s">
        <v>165</v>
      </c>
      <c r="E60" s="248"/>
      <c r="F60" s="248"/>
      <c r="G60" s="248"/>
      <c r="H60" s="248"/>
      <c r="I60" s="248"/>
      <c r="J60" s="248"/>
      <c r="K60" s="248"/>
    </row>
    <row r="61" spans="1:11" x14ac:dyDescent="0.25">
      <c r="A61" s="245"/>
      <c r="B61" s="1752"/>
      <c r="C61" s="272"/>
      <c r="D61" s="313" t="s">
        <v>203</v>
      </c>
      <c r="E61" s="248"/>
      <c r="F61" s="248"/>
      <c r="G61" s="248"/>
      <c r="H61" s="248"/>
      <c r="I61" s="248"/>
      <c r="J61" s="248"/>
      <c r="K61" s="248"/>
    </row>
    <row r="62" spans="1:11" x14ac:dyDescent="0.25">
      <c r="A62" s="245"/>
      <c r="B62" s="1752"/>
      <c r="C62" s="272"/>
      <c r="D62" s="313" t="s">
        <v>204</v>
      </c>
      <c r="E62" s="248"/>
      <c r="F62" s="248"/>
      <c r="G62" s="248"/>
      <c r="H62" s="248"/>
      <c r="I62" s="248"/>
      <c r="J62" s="248"/>
      <c r="K62" s="248"/>
    </row>
    <row r="63" spans="1:11" ht="24" x14ac:dyDescent="0.25">
      <c r="A63" s="245"/>
      <c r="B63" s="1752"/>
      <c r="C63" s="272"/>
      <c r="D63" s="313" t="s">
        <v>205</v>
      </c>
      <c r="E63" s="248"/>
      <c r="F63" s="248"/>
      <c r="G63" s="248"/>
      <c r="H63" s="248"/>
      <c r="I63" s="248"/>
      <c r="J63" s="248"/>
      <c r="K63" s="248"/>
    </row>
    <row r="64" spans="1:11" x14ac:dyDescent="0.25">
      <c r="A64" s="245"/>
      <c r="B64" s="1752"/>
      <c r="C64" s="272"/>
      <c r="D64" s="312" t="s">
        <v>141</v>
      </c>
      <c r="E64" s="248"/>
      <c r="F64" s="248"/>
      <c r="G64" s="248"/>
      <c r="H64" s="248"/>
      <c r="I64" s="248"/>
      <c r="J64" s="248"/>
      <c r="K64" s="248"/>
    </row>
    <row r="65" spans="1:11" ht="15.75" thickBot="1" x14ac:dyDescent="0.3">
      <c r="A65" s="245"/>
      <c r="B65" s="1753"/>
      <c r="C65" s="282"/>
      <c r="D65" s="307"/>
      <c r="E65" s="248"/>
      <c r="F65" s="248"/>
      <c r="G65" s="248"/>
      <c r="H65" s="248"/>
      <c r="I65" s="248"/>
      <c r="J65" s="248"/>
      <c r="K65" s="248"/>
    </row>
    <row r="66" spans="1:11" ht="24.75" thickBot="1" x14ac:dyDescent="0.3">
      <c r="A66" s="245"/>
      <c r="B66" s="285" t="s">
        <v>72</v>
      </c>
      <c r="C66" s="282"/>
      <c r="D66" s="275"/>
      <c r="E66" s="248"/>
      <c r="F66" s="248"/>
      <c r="G66" s="248"/>
      <c r="H66" s="248"/>
      <c r="I66" s="248"/>
      <c r="J66" s="248"/>
      <c r="K66" s="248"/>
    </row>
    <row r="67" spans="1:11" ht="156" x14ac:dyDescent="0.25">
      <c r="A67" s="245"/>
      <c r="B67" s="1751" t="s">
        <v>73</v>
      </c>
      <c r="C67" s="272"/>
      <c r="D67" s="313" t="s">
        <v>206</v>
      </c>
      <c r="E67" s="248"/>
      <c r="F67" s="248"/>
      <c r="G67" s="248"/>
      <c r="H67" s="248"/>
      <c r="I67" s="248"/>
      <c r="J67" s="248"/>
      <c r="K67" s="248"/>
    </row>
    <row r="68" spans="1:11" ht="132" x14ac:dyDescent="0.25">
      <c r="A68" s="245"/>
      <c r="B68" s="1752"/>
      <c r="C68" s="272"/>
      <c r="D68" s="313" t="s">
        <v>207</v>
      </c>
      <c r="E68" s="248"/>
      <c r="F68" s="248"/>
      <c r="G68" s="248"/>
      <c r="H68" s="248"/>
      <c r="I68" s="248"/>
      <c r="J68" s="248"/>
      <c r="K68" s="248"/>
    </row>
    <row r="69" spans="1:11" ht="216" x14ac:dyDescent="0.25">
      <c r="A69" s="245"/>
      <c r="B69" s="1752"/>
      <c r="C69" s="272"/>
      <c r="D69" s="313" t="s">
        <v>208</v>
      </c>
      <c r="E69" s="248"/>
      <c r="F69" s="248"/>
      <c r="G69" s="248"/>
      <c r="H69" s="248"/>
      <c r="I69" s="248"/>
      <c r="J69" s="248"/>
      <c r="K69" s="248"/>
    </row>
    <row r="70" spans="1:11" ht="72" x14ac:dyDescent="0.25">
      <c r="A70" s="245"/>
      <c r="B70" s="1752"/>
      <c r="C70" s="272"/>
      <c r="D70" s="313" t="s">
        <v>209</v>
      </c>
      <c r="E70" s="248"/>
      <c r="F70" s="248"/>
      <c r="G70" s="248"/>
      <c r="H70" s="248"/>
      <c r="I70" s="248"/>
      <c r="J70" s="248"/>
      <c r="K70" s="248"/>
    </row>
    <row r="71" spans="1:11" ht="15.75" thickBot="1" x14ac:dyDescent="0.3">
      <c r="A71" s="245"/>
      <c r="B71" s="1753"/>
      <c r="C71" s="282"/>
      <c r="D71" s="275"/>
      <c r="E71" s="248"/>
      <c r="F71" s="248"/>
      <c r="G71" s="248"/>
      <c r="H71" s="248"/>
      <c r="I71" s="248"/>
      <c r="J71" s="248"/>
      <c r="K71" s="248"/>
    </row>
    <row r="72" spans="1:11" x14ac:dyDescent="0.25">
      <c r="A72" s="245"/>
      <c r="B72" s="1751" t="s">
        <v>90</v>
      </c>
      <c r="C72" s="272"/>
      <c r="D72" s="313"/>
      <c r="E72" s="248"/>
      <c r="F72" s="248"/>
      <c r="G72" s="248"/>
      <c r="H72" s="248"/>
      <c r="I72" s="248"/>
      <c r="J72" s="248"/>
      <c r="K72" s="248"/>
    </row>
    <row r="73" spans="1:11" x14ac:dyDescent="0.25">
      <c r="A73" s="245"/>
      <c r="B73" s="1752"/>
      <c r="C73" s="272"/>
      <c r="D73" s="314"/>
      <c r="E73" s="248"/>
      <c r="F73" s="248"/>
      <c r="G73" s="248"/>
      <c r="H73" s="248"/>
      <c r="I73" s="248"/>
      <c r="J73" s="248"/>
      <c r="K73" s="248"/>
    </row>
    <row r="74" spans="1:11" x14ac:dyDescent="0.25">
      <c r="A74" s="245"/>
      <c r="B74" s="1752"/>
      <c r="C74" s="272"/>
      <c r="D74" s="313" t="s">
        <v>91</v>
      </c>
      <c r="E74" s="248"/>
      <c r="F74" s="248"/>
      <c r="G74" s="248"/>
      <c r="H74" s="248"/>
      <c r="I74" s="248"/>
      <c r="J74" s="248"/>
      <c r="K74" s="248"/>
    </row>
    <row r="75" spans="1:11" ht="37.5" x14ac:dyDescent="0.25">
      <c r="A75" s="245"/>
      <c r="B75" s="1752"/>
      <c r="C75" s="272"/>
      <c r="D75" s="313" t="s">
        <v>210</v>
      </c>
      <c r="E75" s="248"/>
      <c r="F75" s="248"/>
      <c r="G75" s="248"/>
      <c r="H75" s="248"/>
      <c r="I75" s="248"/>
      <c r="J75" s="248"/>
      <c r="K75" s="248"/>
    </row>
    <row r="76" spans="1:11" ht="37.5" x14ac:dyDescent="0.25">
      <c r="A76" s="245"/>
      <c r="B76" s="1752"/>
      <c r="C76" s="272"/>
      <c r="D76" s="313" t="s">
        <v>211</v>
      </c>
      <c r="E76" s="248"/>
      <c r="F76" s="248"/>
      <c r="G76" s="248"/>
      <c r="H76" s="248"/>
      <c r="I76" s="248"/>
      <c r="J76" s="248"/>
      <c r="K76" s="248"/>
    </row>
    <row r="77" spans="1:11" ht="37.5" x14ac:dyDescent="0.25">
      <c r="A77" s="245"/>
      <c r="B77" s="1752"/>
      <c r="C77" s="272"/>
      <c r="D77" s="313" t="s">
        <v>212</v>
      </c>
      <c r="E77" s="248"/>
      <c r="F77" s="248"/>
      <c r="G77" s="248"/>
      <c r="H77" s="248"/>
      <c r="I77" s="248"/>
      <c r="J77" s="248"/>
      <c r="K77" s="248"/>
    </row>
    <row r="78" spans="1:11" ht="48.75" thickBot="1" x14ac:dyDescent="0.3">
      <c r="A78" s="245"/>
      <c r="B78" s="1753"/>
      <c r="C78" s="282"/>
      <c r="D78" s="275" t="s">
        <v>213</v>
      </c>
      <c r="E78" s="248"/>
      <c r="F78" s="248"/>
      <c r="G78" s="248"/>
      <c r="H78" s="248"/>
      <c r="I78" s="248"/>
      <c r="J78" s="248"/>
      <c r="K78" s="248"/>
    </row>
  </sheetData>
  <sheetProtection insertColumns="0" insertRows="0"/>
  <mergeCells count="40">
    <mergeCell ref="B10:D10"/>
    <mergeCell ref="F10:S10"/>
    <mergeCell ref="F11:S11"/>
    <mergeCell ref="E12:R12"/>
    <mergeCell ref="E13:R1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E40:F40"/>
    <mergeCell ref="E33:F33"/>
    <mergeCell ref="B35:B41"/>
    <mergeCell ref="E37:F37"/>
    <mergeCell ref="B27:B33"/>
    <mergeCell ref="B49:J50"/>
    <mergeCell ref="B45:D45"/>
    <mergeCell ref="F45:G45"/>
    <mergeCell ref="H45:I45"/>
    <mergeCell ref="E41:F41"/>
    <mergeCell ref="B43:I43"/>
    <mergeCell ref="B44:D44"/>
    <mergeCell ref="F44:G44"/>
    <mergeCell ref="H44:I44"/>
    <mergeCell ref="A1:P1"/>
    <mergeCell ref="A2:P2"/>
    <mergeCell ref="A3:P3"/>
    <mergeCell ref="A4:D4"/>
    <mergeCell ref="A5:P5"/>
  </mergeCells>
  <conditionalFormatting sqref="F10">
    <cfRule type="notContainsBlanks" dxfId="113" priority="4">
      <formula>LEN(TRIM(F10))&gt;0</formula>
    </cfRule>
  </conditionalFormatting>
  <conditionalFormatting sqref="F11:S11">
    <cfRule type="expression" dxfId="112" priority="2">
      <formula>E11="NO SE REPORTA"</formula>
    </cfRule>
    <cfRule type="expression" dxfId="111" priority="3">
      <formula>E10="NO APLICA"</formula>
    </cfRule>
  </conditionalFormatting>
  <conditionalFormatting sqref="E12:R12">
    <cfRule type="expression" dxfId="11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FF0000"/>
  </sheetPr>
  <dimension ref="A1:U128"/>
  <sheetViews>
    <sheetView showGridLines="0" zoomScale="98" zoomScaleNormal="98"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6" max="6" width="14.42578125" customWidth="1"/>
    <col min="7" max="7" width="13.85546875" customWidth="1"/>
    <col min="8" max="8" width="14.8554687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220</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1188</v>
      </c>
      <c r="C8" s="222">
        <v>2021</v>
      </c>
      <c r="D8" s="226">
        <f>IF(E10="NO APLICA","NO APLICA",IF(E11="NO SE REPORTA","SIN INFORMACION",))+E27</f>
        <v>0.5</v>
      </c>
      <c r="E8" s="223"/>
      <c r="F8" s="6" t="s">
        <v>130</v>
      </c>
      <c r="G8" s="6"/>
      <c r="H8" s="6"/>
      <c r="I8" s="6"/>
      <c r="J8" s="6"/>
      <c r="K8" s="6"/>
    </row>
    <row r="9" spans="1:21" x14ac:dyDescent="0.25">
      <c r="B9" s="497" t="s">
        <v>1189</v>
      </c>
      <c r="C9" s="88"/>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802" t="str">
        <f>'Anexo 1 Matriz Inf Gestión'!A40</f>
        <v>Proyecto No 2.1. Administración de la Oferta y Demanda del Recurso Hídrico (superficiales y subterráneas)</v>
      </c>
      <c r="F12" s="1802"/>
      <c r="G12" s="1802"/>
      <c r="H12" s="1802"/>
      <c r="I12" s="1803" t="str">
        <f>'Anexo 1 Matriz Inf Gestión'!A67</f>
        <v>Proyecto No 3.1. Ecosistemas estratégicos continentales.</v>
      </c>
      <c r="J12" s="1803"/>
      <c r="K12" s="1803"/>
      <c r="L12" s="1803"/>
      <c r="M12" s="1803"/>
      <c r="N12" s="1508"/>
      <c r="O12" s="1508"/>
      <c r="P12" s="1508"/>
      <c r="Q12" s="1508"/>
      <c r="R12" s="1508"/>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8"/>
      <c r="D14" s="6"/>
      <c r="E14" s="6"/>
      <c r="F14" s="6"/>
      <c r="G14" s="6"/>
      <c r="H14" s="6"/>
      <c r="I14" s="6"/>
      <c r="J14" s="6"/>
      <c r="K14" s="6"/>
    </row>
    <row r="15" spans="1:21" ht="15" customHeight="1" thickTop="1" x14ac:dyDescent="0.25">
      <c r="B15" s="1823" t="s">
        <v>2</v>
      </c>
      <c r="C15" s="89"/>
      <c r="D15" s="1825" t="s">
        <v>3</v>
      </c>
      <c r="E15" s="1826"/>
      <c r="F15" s="1826"/>
      <c r="G15" s="1826"/>
      <c r="H15" s="1826"/>
      <c r="I15" s="1826"/>
      <c r="J15" s="1826"/>
      <c r="K15" s="1827"/>
    </row>
    <row r="16" spans="1:21" ht="15.75" thickBot="1" x14ac:dyDescent="0.3">
      <c r="B16" s="1824"/>
      <c r="C16" s="92"/>
      <c r="D16" s="1810" t="s">
        <v>252</v>
      </c>
      <c r="E16" s="1811"/>
      <c r="F16" s="1811"/>
      <c r="G16" s="1811"/>
      <c r="H16" s="1811"/>
      <c r="I16" s="1811"/>
      <c r="J16" s="1811"/>
      <c r="K16" s="1812"/>
    </row>
    <row r="17" spans="2:11" ht="15.75" thickBot="1" x14ac:dyDescent="0.3">
      <c r="B17" s="1824"/>
      <c r="C17" s="98" t="s">
        <v>19</v>
      </c>
      <c r="D17" s="39" t="s">
        <v>253</v>
      </c>
      <c r="E17" s="39" t="s">
        <v>20</v>
      </c>
      <c r="F17" s="39" t="s">
        <v>21</v>
      </c>
      <c r="G17" s="39" t="s">
        <v>22</v>
      </c>
      <c r="H17" s="39" t="s">
        <v>23</v>
      </c>
      <c r="I17" s="234"/>
      <c r="K17" s="22"/>
    </row>
    <row r="18" spans="2:11" ht="15.75" thickBot="1" x14ac:dyDescent="0.3">
      <c r="B18" s="1824"/>
      <c r="C18" s="3" t="s">
        <v>152</v>
      </c>
      <c r="D18" s="40" t="s">
        <v>255</v>
      </c>
      <c r="E18" s="217">
        <v>4</v>
      </c>
      <c r="F18" s="217">
        <v>4</v>
      </c>
      <c r="G18" s="217"/>
      <c r="H18" s="217"/>
      <c r="I18" s="341"/>
      <c r="K18" s="22"/>
    </row>
    <row r="19" spans="2:11" ht="15.75" thickBot="1" x14ac:dyDescent="0.3">
      <c r="B19" s="1824"/>
      <c r="C19" s="3" t="s">
        <v>154</v>
      </c>
      <c r="D19" s="40" t="s">
        <v>256</v>
      </c>
      <c r="E19" s="217">
        <v>2</v>
      </c>
      <c r="F19" s="217">
        <v>2</v>
      </c>
      <c r="G19" s="217"/>
      <c r="H19" s="217"/>
      <c r="I19" s="341"/>
      <c r="K19" s="22"/>
    </row>
    <row r="20" spans="2:11" ht="15.75" thickBot="1" x14ac:dyDescent="0.3">
      <c r="B20" s="1824"/>
      <c r="C20" s="3" t="s">
        <v>156</v>
      </c>
      <c r="D20" s="40" t="s">
        <v>257</v>
      </c>
      <c r="E20" s="217">
        <v>0</v>
      </c>
      <c r="F20" s="217">
        <v>2</v>
      </c>
      <c r="G20" s="217"/>
      <c r="H20" s="217"/>
      <c r="I20" s="341"/>
      <c r="K20" s="22"/>
    </row>
    <row r="21" spans="2:11" ht="15.75" thickBot="1" x14ac:dyDescent="0.3">
      <c r="B21" s="1824"/>
      <c r="C21" s="3" t="s">
        <v>258</v>
      </c>
      <c r="D21" s="40" t="s">
        <v>259</v>
      </c>
      <c r="E21" s="217">
        <v>0</v>
      </c>
      <c r="F21" s="217">
        <v>1</v>
      </c>
      <c r="G21" s="217"/>
      <c r="H21" s="217">
        <v>0</v>
      </c>
      <c r="I21" s="341"/>
      <c r="K21" s="22"/>
    </row>
    <row r="22" spans="2:11" ht="15.75" thickBot="1" x14ac:dyDescent="0.3">
      <c r="B22" s="1824"/>
      <c r="C22" s="3" t="s">
        <v>260</v>
      </c>
      <c r="D22" s="40" t="s">
        <v>261</v>
      </c>
      <c r="E22" s="217">
        <v>0</v>
      </c>
      <c r="F22" s="217">
        <v>0</v>
      </c>
      <c r="G22" s="217">
        <v>0</v>
      </c>
      <c r="H22" s="217">
        <v>0</v>
      </c>
      <c r="I22" s="341"/>
      <c r="K22" s="22"/>
    </row>
    <row r="23" spans="2:11" ht="15.75" thickBot="1" x14ac:dyDescent="0.3">
      <c r="B23" s="1824"/>
      <c r="C23" s="3" t="s">
        <v>262</v>
      </c>
      <c r="D23" s="40" t="s">
        <v>263</v>
      </c>
      <c r="E23" s="217">
        <v>0</v>
      </c>
      <c r="F23" s="217">
        <v>0</v>
      </c>
      <c r="G23" s="217">
        <v>0</v>
      </c>
      <c r="H23" s="217">
        <v>0</v>
      </c>
      <c r="I23" s="341"/>
      <c r="K23" s="22"/>
    </row>
    <row r="24" spans="2:11" ht="15.75" thickBot="1" x14ac:dyDescent="0.3">
      <c r="B24" s="1824"/>
      <c r="C24" s="3" t="s">
        <v>264</v>
      </c>
      <c r="D24" s="40" t="s">
        <v>265</v>
      </c>
      <c r="E24" s="196">
        <f>IFERROR(E19/E18,"N.A.")</f>
        <v>0.5</v>
      </c>
      <c r="F24" s="196">
        <f>IFERROR(F19/F18,"N.A.")</f>
        <v>0.5</v>
      </c>
      <c r="G24" s="196" t="str">
        <f>IFERROR(G19/G18,"N.A.")</f>
        <v>N.A.</v>
      </c>
      <c r="H24" s="196" t="str">
        <f>IFERROR(H19/H18,"N.A.")</f>
        <v>N.A.</v>
      </c>
      <c r="I24" s="305"/>
      <c r="K24" s="22"/>
    </row>
    <row r="25" spans="2:11" ht="15.75" thickBot="1" x14ac:dyDescent="0.3">
      <c r="B25" s="1824"/>
      <c r="C25" s="3" t="s">
        <v>266</v>
      </c>
      <c r="D25" s="40" t="s">
        <v>267</v>
      </c>
      <c r="E25" s="196" t="str">
        <f>IFERROR(E21/E20,"N.A.")</f>
        <v>N.A.</v>
      </c>
      <c r="F25" s="196">
        <f>IFERROR(F21/F20,"N.A.")</f>
        <v>0.5</v>
      </c>
      <c r="G25" s="196" t="str">
        <f>IFERROR(G21/G20,"N.A.")</f>
        <v>N.A.</v>
      </c>
      <c r="H25" s="196" t="str">
        <f>IFERROR(H21/H20,"N.A.")</f>
        <v>N.A.</v>
      </c>
      <c r="I25" s="305"/>
      <c r="K25" s="22"/>
    </row>
    <row r="26" spans="2:11" ht="15.75" thickBot="1" x14ac:dyDescent="0.3">
      <c r="B26" s="1824"/>
      <c r="C26" s="3" t="s">
        <v>268</v>
      </c>
      <c r="D26" s="40" t="s">
        <v>269</v>
      </c>
      <c r="E26" s="196" t="str">
        <f>IFERROR(E23/E22,"N.A.")</f>
        <v>N.A.</v>
      </c>
      <c r="F26" s="196" t="str">
        <f>IFERROR(F23/F22,"N.A.")</f>
        <v>N.A.</v>
      </c>
      <c r="G26" s="196" t="str">
        <f>IFERROR(G23/G22,"N.A.")</f>
        <v>N.A.</v>
      </c>
      <c r="H26" s="196" t="str">
        <f>IFERROR(H23/H22,"N.A.")</f>
        <v>N.A.</v>
      </c>
      <c r="I26" s="305"/>
      <c r="K26" s="22"/>
    </row>
    <row r="27" spans="2:11" ht="15.75" thickBot="1" x14ac:dyDescent="0.3">
      <c r="B27" s="338"/>
      <c r="C27" s="131"/>
      <c r="D27" s="339" t="s">
        <v>1199</v>
      </c>
      <c r="E27" s="196">
        <f>IFERROR(AVERAGE(E24:E26),"N.A.")</f>
        <v>0.5</v>
      </c>
      <c r="F27" s="196">
        <f>IFERROR(AVERAGE(F24:F26),"N.A.")</f>
        <v>0.5</v>
      </c>
      <c r="G27" s="196" t="str">
        <f>IFERROR(AVERAGE(G24:G26),"N.A.")</f>
        <v>N.A.</v>
      </c>
      <c r="H27" s="196" t="str">
        <f>IFERROR(AVERAGE(H24:H26),"N.A.")</f>
        <v>N.A.</v>
      </c>
      <c r="I27" s="305"/>
      <c r="K27" s="22"/>
    </row>
    <row r="28" spans="2:11" x14ac:dyDescent="0.25">
      <c r="B28" s="230"/>
      <c r="C28" s="92"/>
      <c r="D28" s="1828"/>
      <c r="E28" s="1829"/>
      <c r="F28" s="1829"/>
      <c r="G28" s="1829"/>
      <c r="H28" s="1829"/>
      <c r="I28" s="1829"/>
      <c r="J28" s="1829"/>
      <c r="K28" s="1830"/>
    </row>
    <row r="29" spans="2:11" x14ac:dyDescent="0.25">
      <c r="B29" s="230"/>
      <c r="C29" s="92"/>
      <c r="D29" s="1810" t="s">
        <v>246</v>
      </c>
      <c r="E29" s="1811"/>
      <c r="F29" s="1811"/>
      <c r="G29" s="1811"/>
      <c r="H29" s="1811"/>
      <c r="I29" s="1811"/>
      <c r="J29" s="1811"/>
      <c r="K29" s="1812"/>
    </row>
    <row r="30" spans="2:11" ht="15.75" thickBot="1" x14ac:dyDescent="0.3">
      <c r="B30" s="230"/>
      <c r="C30" s="92"/>
      <c r="D30" s="1813" t="s">
        <v>247</v>
      </c>
      <c r="E30" s="1814"/>
      <c r="F30" s="1814"/>
      <c r="G30" s="1814"/>
      <c r="H30" s="1814"/>
      <c r="I30" s="1814"/>
      <c r="J30" s="1814"/>
      <c r="K30" s="1815"/>
    </row>
    <row r="31" spans="2:11" ht="24.75" thickBot="1" x14ac:dyDescent="0.3">
      <c r="B31" s="230"/>
      <c r="C31" s="98" t="s">
        <v>19</v>
      </c>
      <c r="D31" s="43" t="s">
        <v>270</v>
      </c>
      <c r="E31" s="43" t="s">
        <v>271</v>
      </c>
      <c r="F31" s="43" t="s">
        <v>272</v>
      </c>
      <c r="G31" s="43" t="s">
        <v>273</v>
      </c>
      <c r="H31" s="43" t="s">
        <v>274</v>
      </c>
      <c r="I31" s="43" t="s">
        <v>275</v>
      </c>
      <c r="J31" s="43" t="s">
        <v>55</v>
      </c>
      <c r="K31" s="116"/>
    </row>
    <row r="32" spans="2:11" s="199" customFormat="1" ht="15.75" thickBot="1" x14ac:dyDescent="0.3">
      <c r="B32" s="227"/>
      <c r="C32" s="232">
        <v>1</v>
      </c>
      <c r="D32" s="31" t="s">
        <v>3328</v>
      </c>
      <c r="E32" s="1202" t="s">
        <v>11</v>
      </c>
      <c r="F32" s="218"/>
      <c r="G32" s="218"/>
      <c r="H32" s="218"/>
      <c r="I32" s="218"/>
      <c r="J32" s="31"/>
      <c r="K32" s="114"/>
    </row>
    <row r="33" spans="2:11" s="199" customFormat="1" ht="45.75" thickBot="1" x14ac:dyDescent="0.3">
      <c r="B33" s="227"/>
      <c r="C33" s="232">
        <v>2</v>
      </c>
      <c r="D33" s="1819" t="s">
        <v>3329</v>
      </c>
      <c r="E33" s="1821" t="s">
        <v>11</v>
      </c>
      <c r="F33" s="1001">
        <v>12965753877</v>
      </c>
      <c r="G33" s="1001">
        <v>12965753877</v>
      </c>
      <c r="H33" s="1001">
        <v>12963488096</v>
      </c>
      <c r="I33" s="1276">
        <v>6173042578</v>
      </c>
      <c r="J33" s="1003" t="s">
        <v>3330</v>
      </c>
      <c r="K33" s="114"/>
    </row>
    <row r="34" spans="2:11" s="199" customFormat="1" ht="45.75" thickBot="1" x14ac:dyDescent="0.3">
      <c r="B34" s="227"/>
      <c r="C34" s="232">
        <v>3</v>
      </c>
      <c r="D34" s="1820"/>
      <c r="E34" s="1822"/>
      <c r="F34" s="1001">
        <v>915514837</v>
      </c>
      <c r="G34" s="1001">
        <v>915514837</v>
      </c>
      <c r="H34" s="1001">
        <v>1006873806</v>
      </c>
      <c r="I34" s="1276">
        <v>503436903</v>
      </c>
      <c r="J34" s="1003" t="s">
        <v>3331</v>
      </c>
      <c r="K34" s="114"/>
    </row>
    <row r="35" spans="2:11" s="199" customFormat="1" ht="15.75" thickBot="1" x14ac:dyDescent="0.3">
      <c r="B35" s="227"/>
      <c r="C35" s="232">
        <v>4</v>
      </c>
      <c r="D35" s="31" t="s">
        <v>3332</v>
      </c>
      <c r="E35" s="1202" t="s">
        <v>11</v>
      </c>
      <c r="F35" s="218"/>
      <c r="G35" s="218"/>
      <c r="H35" s="218"/>
      <c r="I35" s="218"/>
      <c r="J35" s="31"/>
      <c r="K35" s="114"/>
    </row>
    <row r="36" spans="2:11" s="199" customFormat="1" ht="15.75" thickBot="1" x14ac:dyDescent="0.3">
      <c r="B36" s="227"/>
      <c r="C36" s="232">
        <v>5</v>
      </c>
      <c r="D36" s="30" t="s">
        <v>3333</v>
      </c>
      <c r="E36" s="1202" t="s">
        <v>12</v>
      </c>
      <c r="F36" s="218"/>
      <c r="G36" s="218"/>
      <c r="H36" s="218"/>
      <c r="I36" s="218"/>
      <c r="J36" s="31"/>
      <c r="K36" s="114"/>
    </row>
    <row r="37" spans="2:11" s="199" customFormat="1" ht="36.75" thickBot="1" x14ac:dyDescent="0.3">
      <c r="B37" s="227"/>
      <c r="C37" s="232">
        <v>6</v>
      </c>
      <c r="D37" s="1165" t="s">
        <v>3334</v>
      </c>
      <c r="E37" s="1202" t="s">
        <v>12</v>
      </c>
      <c r="F37" s="218"/>
      <c r="G37" s="218"/>
      <c r="H37" s="218"/>
      <c r="I37" s="218"/>
      <c r="J37" s="31"/>
      <c r="K37" s="114"/>
    </row>
    <row r="38" spans="2:11" s="199" customFormat="1" ht="24.75" thickBot="1" x14ac:dyDescent="0.3">
      <c r="B38" s="227"/>
      <c r="C38" s="232">
        <v>7</v>
      </c>
      <c r="D38" s="1165" t="s">
        <v>3335</v>
      </c>
      <c r="E38" s="1202" t="s">
        <v>12</v>
      </c>
      <c r="F38" s="218"/>
      <c r="G38" s="218"/>
      <c r="H38" s="218"/>
      <c r="I38" s="218"/>
      <c r="J38" s="31"/>
      <c r="K38" s="114"/>
    </row>
    <row r="39" spans="2:11" s="199" customFormat="1" ht="72.75" thickBot="1" x14ac:dyDescent="0.3">
      <c r="B39" s="227"/>
      <c r="C39" s="232">
        <v>8</v>
      </c>
      <c r="D39" s="1165" t="s">
        <v>3336</v>
      </c>
      <c r="E39" s="1202" t="s">
        <v>12</v>
      </c>
      <c r="F39" s="218"/>
      <c r="G39" s="218"/>
      <c r="H39" s="218"/>
      <c r="I39" s="218"/>
      <c r="J39" s="31"/>
      <c r="K39" s="114"/>
    </row>
    <row r="40" spans="2:11" s="199" customFormat="1" ht="36.75" thickBot="1" x14ac:dyDescent="0.3">
      <c r="B40" s="227"/>
      <c r="C40" s="232">
        <v>9</v>
      </c>
      <c r="D40" s="1277" t="s">
        <v>3337</v>
      </c>
      <c r="E40" s="1202" t="s">
        <v>12</v>
      </c>
      <c r="F40" s="218"/>
      <c r="G40" s="218"/>
      <c r="H40" s="218"/>
      <c r="I40" s="218"/>
      <c r="J40" s="31"/>
      <c r="K40" s="114"/>
    </row>
    <row r="41" spans="2:11" s="199" customFormat="1" ht="24.75" thickBot="1" x14ac:dyDescent="0.3">
      <c r="B41" s="227"/>
      <c r="C41" s="232">
        <v>10</v>
      </c>
      <c r="D41" s="1277" t="s">
        <v>3338</v>
      </c>
      <c r="E41" s="1202" t="s">
        <v>12</v>
      </c>
      <c r="F41" s="218"/>
      <c r="G41" s="218"/>
      <c r="H41" s="218"/>
      <c r="I41" s="218"/>
      <c r="J41" s="31"/>
      <c r="K41" s="114"/>
    </row>
    <row r="42" spans="2:11" s="199" customFormat="1" ht="48.75" thickBot="1" x14ac:dyDescent="0.3">
      <c r="B42" s="227"/>
      <c r="C42" s="232">
        <v>11</v>
      </c>
      <c r="D42" s="1277" t="s">
        <v>3339</v>
      </c>
      <c r="E42" s="1202" t="s">
        <v>12</v>
      </c>
      <c r="F42" s="218"/>
      <c r="G42" s="218"/>
      <c r="H42" s="218"/>
      <c r="I42" s="218"/>
      <c r="J42" s="31"/>
      <c r="K42" s="114"/>
    </row>
    <row r="43" spans="2:11" s="199" customFormat="1" ht="60.75" thickBot="1" x14ac:dyDescent="0.3">
      <c r="B43" s="227"/>
      <c r="C43" s="232">
        <v>12</v>
      </c>
      <c r="D43" s="1277" t="s">
        <v>3340</v>
      </c>
      <c r="E43" s="1202" t="s">
        <v>12</v>
      </c>
      <c r="F43" s="218"/>
      <c r="G43" s="218"/>
      <c r="H43" s="218"/>
      <c r="I43" s="218"/>
      <c r="J43" s="31"/>
      <c r="K43" s="114"/>
    </row>
    <row r="44" spans="2:11" s="199" customFormat="1" ht="36.75" thickBot="1" x14ac:dyDescent="0.3">
      <c r="B44" s="227"/>
      <c r="C44" s="232">
        <v>13</v>
      </c>
      <c r="D44" s="1277" t="s">
        <v>3341</v>
      </c>
      <c r="E44" s="1202" t="s">
        <v>12</v>
      </c>
      <c r="F44" s="218"/>
      <c r="G44" s="218"/>
      <c r="H44" s="218"/>
      <c r="I44" s="218"/>
      <c r="J44" s="31"/>
      <c r="K44" s="114"/>
    </row>
    <row r="45" spans="2:11" s="199" customFormat="1" ht="24.75" thickBot="1" x14ac:dyDescent="0.3">
      <c r="B45" s="227"/>
      <c r="C45" s="232">
        <v>14</v>
      </c>
      <c r="D45" s="1277" t="s">
        <v>3342</v>
      </c>
      <c r="E45" s="1202" t="s">
        <v>12</v>
      </c>
      <c r="F45" s="218"/>
      <c r="G45" s="218"/>
      <c r="H45" s="218"/>
      <c r="I45" s="218"/>
      <c r="J45" s="31"/>
      <c r="K45" s="114"/>
    </row>
    <row r="46" spans="2:11" s="199" customFormat="1" ht="36.75" thickBot="1" x14ac:dyDescent="0.3">
      <c r="B46" s="227"/>
      <c r="C46" s="232">
        <v>15</v>
      </c>
      <c r="D46" s="1277" t="s">
        <v>3343</v>
      </c>
      <c r="E46" s="1202" t="s">
        <v>12</v>
      </c>
      <c r="F46" s="218"/>
      <c r="G46" s="218"/>
      <c r="H46" s="218"/>
      <c r="I46" s="218"/>
      <c r="J46" s="31"/>
      <c r="K46" s="114"/>
    </row>
    <row r="47" spans="2:11" s="199" customFormat="1" ht="36.75" thickBot="1" x14ac:dyDescent="0.3">
      <c r="B47" s="227"/>
      <c r="C47" s="232">
        <v>16</v>
      </c>
      <c r="D47" s="1277" t="s">
        <v>3344</v>
      </c>
      <c r="E47" s="1202" t="s">
        <v>12</v>
      </c>
      <c r="F47" s="218"/>
      <c r="G47" s="218"/>
      <c r="H47" s="218"/>
      <c r="I47" s="218"/>
      <c r="J47" s="31"/>
      <c r="K47" s="114"/>
    </row>
    <row r="48" spans="2:11" s="199" customFormat="1" ht="48.75" thickBot="1" x14ac:dyDescent="0.3">
      <c r="B48" s="227"/>
      <c r="C48" s="232">
        <v>17</v>
      </c>
      <c r="D48" s="1277" t="s">
        <v>3345</v>
      </c>
      <c r="E48" s="1202" t="s">
        <v>12</v>
      </c>
      <c r="F48" s="218"/>
      <c r="G48" s="218"/>
      <c r="H48" s="218"/>
      <c r="I48" s="218"/>
      <c r="J48" s="31"/>
      <c r="K48" s="114"/>
    </row>
    <row r="49" spans="2:11" s="199" customFormat="1" ht="15.75" thickBot="1" x14ac:dyDescent="0.3">
      <c r="B49" s="227"/>
      <c r="C49" s="232">
        <v>18</v>
      </c>
      <c r="D49" s="1277" t="s">
        <v>3346</v>
      </c>
      <c r="E49" s="1202" t="s">
        <v>11</v>
      </c>
      <c r="F49" s="218"/>
      <c r="G49" s="218"/>
      <c r="H49" s="218"/>
      <c r="I49" s="218"/>
      <c r="J49" s="1278"/>
      <c r="K49" s="114"/>
    </row>
    <row r="50" spans="2:11" s="199" customFormat="1" ht="15.75" thickBot="1" x14ac:dyDescent="0.3">
      <c r="B50" s="1157"/>
      <c r="C50" s="240"/>
      <c r="D50" s="1277"/>
      <c r="E50" s="167"/>
      <c r="F50" s="218"/>
      <c r="G50" s="218"/>
      <c r="H50" s="218"/>
      <c r="I50" s="218"/>
      <c r="J50" s="31"/>
      <c r="K50" s="114"/>
    </row>
    <row r="51" spans="2:11" s="199" customFormat="1" ht="15.75" thickBot="1" x14ac:dyDescent="0.3">
      <c r="B51" s="227"/>
      <c r="C51" s="232">
        <v>19</v>
      </c>
      <c r="D51" s="1277"/>
      <c r="E51" s="167"/>
      <c r="F51" s="218"/>
      <c r="G51" s="218"/>
      <c r="H51" s="218"/>
      <c r="I51" s="218"/>
      <c r="J51" s="31"/>
      <c r="K51" s="114"/>
    </row>
    <row r="52" spans="2:11" ht="15.75" thickBot="1" x14ac:dyDescent="0.3">
      <c r="B52" s="230"/>
      <c r="C52" s="3"/>
      <c r="D52" s="41" t="s">
        <v>151</v>
      </c>
      <c r="E52" s="112"/>
      <c r="F52" s="143">
        <f>SUM(F32:F51)</f>
        <v>13881268714</v>
      </c>
      <c r="G52" s="143">
        <f>SUM(G32:G51)</f>
        <v>13881268714</v>
      </c>
      <c r="H52" s="143">
        <f>SUM(H32:H51)</f>
        <v>13970361902</v>
      </c>
      <c r="I52" s="143">
        <f>SUM(I32:I51)</f>
        <v>6676479481</v>
      </c>
      <c r="J52" s="31"/>
      <c r="K52" s="118"/>
    </row>
    <row r="53" spans="2:11" ht="15.75" thickBot="1" x14ac:dyDescent="0.3">
      <c r="B53" s="231"/>
      <c r="C53" s="93"/>
      <c r="D53" s="1816" t="s">
        <v>276</v>
      </c>
      <c r="E53" s="1817"/>
      <c r="F53" s="1817"/>
      <c r="G53" s="1817"/>
      <c r="H53" s="1817"/>
      <c r="I53" s="1817"/>
      <c r="J53" s="1817"/>
      <c r="K53" s="1818"/>
    </row>
    <row r="54" spans="2:11" ht="36" customHeight="1" thickBot="1" x14ac:dyDescent="0.3">
      <c r="B54" s="72" t="s">
        <v>34</v>
      </c>
      <c r="C54" s="108"/>
      <c r="D54" s="1816" t="s">
        <v>277</v>
      </c>
      <c r="E54" s="1817"/>
      <c r="F54" s="1817"/>
      <c r="G54" s="1817"/>
      <c r="H54" s="1817"/>
      <c r="I54" s="1817"/>
      <c r="J54" s="1817"/>
      <c r="K54" s="1818"/>
    </row>
    <row r="55" spans="2:11" ht="23.25" thickBot="1" x14ac:dyDescent="0.3">
      <c r="B55" s="72" t="s">
        <v>36</v>
      </c>
      <c r="C55" s="108"/>
      <c r="D55" s="1816" t="s">
        <v>278</v>
      </c>
      <c r="E55" s="1817"/>
      <c r="F55" s="1817"/>
      <c r="G55" s="1817"/>
      <c r="H55" s="1817"/>
      <c r="I55" s="1817"/>
      <c r="J55" s="1817"/>
      <c r="K55" s="1818"/>
    </row>
    <row r="56" spans="2:11" ht="15.75" thickBot="1" x14ac:dyDescent="0.3">
      <c r="B56" s="2"/>
      <c r="C56" s="76"/>
      <c r="D56" s="6"/>
      <c r="E56" s="6"/>
      <c r="F56" s="6"/>
      <c r="G56" s="6"/>
      <c r="H56" s="6"/>
      <c r="I56" s="6"/>
      <c r="J56" s="6"/>
      <c r="K56" s="6"/>
    </row>
    <row r="57" spans="2:11" ht="24" customHeight="1" thickBot="1" x14ac:dyDescent="0.3">
      <c r="B57" s="1807" t="s">
        <v>38</v>
      </c>
      <c r="C57" s="1808"/>
      <c r="D57" s="1808"/>
      <c r="E57" s="1809"/>
      <c r="F57" s="6"/>
      <c r="G57" s="6"/>
      <c r="H57" s="6"/>
      <c r="I57" s="6"/>
      <c r="J57" s="6"/>
      <c r="K57" s="6"/>
    </row>
    <row r="58" spans="2:11" ht="15.75" thickBot="1" x14ac:dyDescent="0.3">
      <c r="B58" s="1804">
        <v>1</v>
      </c>
      <c r="C58" s="94"/>
      <c r="D58" s="48" t="s">
        <v>39</v>
      </c>
      <c r="E58" s="31"/>
      <c r="F58" s="6"/>
      <c r="G58" s="6"/>
      <c r="H58" s="6"/>
      <c r="I58" s="6"/>
      <c r="J58" s="6"/>
      <c r="K58" s="6"/>
    </row>
    <row r="59" spans="2:11" ht="15.75" thickBot="1" x14ac:dyDescent="0.3">
      <c r="B59" s="1805"/>
      <c r="C59" s="94"/>
      <c r="D59" s="41" t="s">
        <v>40</v>
      </c>
      <c r="E59" s="31"/>
      <c r="F59" s="6"/>
      <c r="G59" s="6"/>
      <c r="H59" s="6"/>
      <c r="I59" s="6"/>
      <c r="J59" s="6"/>
      <c r="K59" s="6"/>
    </row>
    <row r="60" spans="2:11" ht="15.75" thickBot="1" x14ac:dyDescent="0.3">
      <c r="B60" s="1805"/>
      <c r="C60" s="94"/>
      <c r="D60" s="41" t="s">
        <v>41</v>
      </c>
      <c r="E60" s="31"/>
      <c r="F60" s="6"/>
      <c r="G60" s="6"/>
      <c r="H60" s="6"/>
      <c r="I60" s="6"/>
      <c r="J60" s="6"/>
      <c r="K60" s="6"/>
    </row>
    <row r="61" spans="2:11" ht="15.75" thickBot="1" x14ac:dyDescent="0.3">
      <c r="B61" s="1805"/>
      <c r="C61" s="94"/>
      <c r="D61" s="41" t="s">
        <v>42</v>
      </c>
      <c r="E61" s="31"/>
      <c r="F61" s="6"/>
      <c r="G61" s="6"/>
      <c r="H61" s="6"/>
      <c r="I61" s="6"/>
      <c r="J61" s="6"/>
      <c r="K61" s="6"/>
    </row>
    <row r="62" spans="2:11" ht="15.75" thickBot="1" x14ac:dyDescent="0.3">
      <c r="B62" s="1805"/>
      <c r="C62" s="94"/>
      <c r="D62" s="41" t="s">
        <v>43</v>
      </c>
      <c r="E62" s="31"/>
      <c r="F62" s="6"/>
      <c r="G62" s="6"/>
      <c r="H62" s="6"/>
      <c r="I62" s="6"/>
      <c r="J62" s="6"/>
      <c r="K62" s="6"/>
    </row>
    <row r="63" spans="2:11" ht="15.75" thickBot="1" x14ac:dyDescent="0.3">
      <c r="B63" s="1805"/>
      <c r="C63" s="94"/>
      <c r="D63" s="41" t="s">
        <v>44</v>
      </c>
      <c r="E63" s="31"/>
      <c r="F63" s="6"/>
      <c r="G63" s="6"/>
      <c r="H63" s="6"/>
      <c r="I63" s="6"/>
      <c r="J63" s="6"/>
      <c r="K63" s="6"/>
    </row>
    <row r="64" spans="2:11" ht="15.75" thickBot="1" x14ac:dyDescent="0.3">
      <c r="B64" s="1806"/>
      <c r="C64" s="3"/>
      <c r="D64" s="41" t="s">
        <v>45</v>
      </c>
      <c r="E64" s="31"/>
      <c r="F64" s="6"/>
      <c r="G64" s="6"/>
      <c r="H64" s="6"/>
      <c r="I64" s="6"/>
      <c r="J64" s="6"/>
      <c r="K64" s="6"/>
    </row>
    <row r="65" spans="2:11" ht="15.75" thickBot="1" x14ac:dyDescent="0.3">
      <c r="B65" s="2"/>
      <c r="C65" s="76"/>
      <c r="D65" s="6"/>
      <c r="E65" s="6"/>
      <c r="F65" s="6"/>
      <c r="G65" s="6"/>
      <c r="H65" s="6"/>
      <c r="I65" s="6"/>
      <c r="J65" s="6"/>
      <c r="K65" s="6"/>
    </row>
    <row r="66" spans="2:11" ht="15.75" thickBot="1" x14ac:dyDescent="0.3">
      <c r="B66" s="1807" t="s">
        <v>46</v>
      </c>
      <c r="C66" s="1808"/>
      <c r="D66" s="1808"/>
      <c r="E66" s="1809"/>
      <c r="F66" s="6"/>
      <c r="G66" s="6"/>
      <c r="H66" s="6"/>
      <c r="I66" s="6"/>
      <c r="J66" s="6"/>
      <c r="K66" s="6"/>
    </row>
    <row r="67" spans="2:11" ht="15.75" thickBot="1" x14ac:dyDescent="0.3">
      <c r="B67" s="1804">
        <v>1</v>
      </c>
      <c r="C67" s="94"/>
      <c r="D67" s="48" t="s">
        <v>39</v>
      </c>
      <c r="E67" s="233" t="s">
        <v>47</v>
      </c>
      <c r="F67" s="6"/>
      <c r="G67" s="6"/>
      <c r="H67" s="6"/>
      <c r="I67" s="6"/>
      <c r="J67" s="6"/>
      <c r="K67" s="6"/>
    </row>
    <row r="68" spans="2:11" ht="15.75" thickBot="1" x14ac:dyDescent="0.3">
      <c r="B68" s="1805"/>
      <c r="C68" s="94"/>
      <c r="D68" s="41" t="s">
        <v>40</v>
      </c>
      <c r="E68" s="233" t="s">
        <v>48</v>
      </c>
      <c r="F68" s="6"/>
      <c r="G68" s="6"/>
      <c r="H68" s="6"/>
      <c r="I68" s="6"/>
      <c r="J68" s="6"/>
      <c r="K68" s="6"/>
    </row>
    <row r="69" spans="2:11" ht="15.75" thickBot="1" x14ac:dyDescent="0.3">
      <c r="B69" s="1805"/>
      <c r="C69" s="94"/>
      <c r="D69" s="41" t="s">
        <v>41</v>
      </c>
      <c r="E69" s="303"/>
      <c r="F69" s="6"/>
      <c r="G69" s="6"/>
      <c r="H69" s="6"/>
      <c r="I69" s="6"/>
      <c r="J69" s="6"/>
      <c r="K69" s="6"/>
    </row>
    <row r="70" spans="2:11" ht="15.75" thickBot="1" x14ac:dyDescent="0.3">
      <c r="B70" s="1805"/>
      <c r="C70" s="94"/>
      <c r="D70" s="41" t="s">
        <v>42</v>
      </c>
      <c r="E70" s="303"/>
      <c r="F70" s="6"/>
      <c r="G70" s="6"/>
      <c r="H70" s="6"/>
      <c r="I70" s="6"/>
      <c r="J70" s="6"/>
      <c r="K70" s="6"/>
    </row>
    <row r="71" spans="2:11" ht="15.75" thickBot="1" x14ac:dyDescent="0.3">
      <c r="B71" s="1805"/>
      <c r="C71" s="94"/>
      <c r="D71" s="41" t="s">
        <v>43</v>
      </c>
      <c r="E71" s="303"/>
      <c r="F71" s="6"/>
      <c r="G71" s="6"/>
      <c r="H71" s="6"/>
      <c r="I71" s="6"/>
      <c r="J71" s="6"/>
      <c r="K71" s="6"/>
    </row>
    <row r="72" spans="2:11" ht="15.75" thickBot="1" x14ac:dyDescent="0.3">
      <c r="B72" s="1805"/>
      <c r="C72" s="94"/>
      <c r="D72" s="41" t="s">
        <v>44</v>
      </c>
      <c r="E72" s="303"/>
      <c r="F72" s="6"/>
      <c r="G72" s="6"/>
      <c r="H72" s="6"/>
      <c r="I72" s="6"/>
      <c r="J72" s="6"/>
      <c r="K72" s="6"/>
    </row>
    <row r="73" spans="2:11" ht="15.75" thickBot="1" x14ac:dyDescent="0.3">
      <c r="B73" s="1806"/>
      <c r="C73" s="3"/>
      <c r="D73" s="41" t="s">
        <v>45</v>
      </c>
      <c r="E73" s="303"/>
      <c r="F73" s="6"/>
      <c r="G73" s="6"/>
      <c r="H73" s="6"/>
      <c r="I73" s="6"/>
      <c r="J73" s="6"/>
      <c r="K73" s="6"/>
    </row>
    <row r="74" spans="2:11" ht="15.75" thickBot="1" x14ac:dyDescent="0.3">
      <c r="B74" s="2"/>
      <c r="C74" s="76"/>
      <c r="D74" s="6"/>
      <c r="E74" s="6"/>
      <c r="F74" s="6"/>
      <c r="G74" s="6"/>
      <c r="H74" s="6"/>
      <c r="I74" s="6"/>
      <c r="J74" s="6"/>
      <c r="K74" s="6"/>
    </row>
    <row r="75" spans="2:11" ht="15.75" thickBot="1" x14ac:dyDescent="0.3">
      <c r="B75" s="1807" t="s">
        <v>49</v>
      </c>
      <c r="C75" s="1808"/>
      <c r="D75" s="1808"/>
      <c r="E75" s="1808"/>
      <c r="F75" s="1809"/>
      <c r="G75" s="6"/>
      <c r="H75" s="6"/>
      <c r="I75" s="6"/>
      <c r="J75" s="6"/>
      <c r="K75" s="6"/>
    </row>
    <row r="76" spans="2:11" ht="24.75" thickBot="1" x14ac:dyDescent="0.3">
      <c r="B76" s="47" t="s">
        <v>50</v>
      </c>
      <c r="C76" s="41" t="s">
        <v>51</v>
      </c>
      <c r="D76" s="41" t="s">
        <v>52</v>
      </c>
      <c r="E76" s="41" t="s">
        <v>53</v>
      </c>
      <c r="F76" s="6"/>
      <c r="G76" s="6"/>
      <c r="H76" s="6"/>
      <c r="I76" s="6"/>
      <c r="J76" s="6"/>
    </row>
    <row r="77" spans="2:11" ht="96.75" thickBot="1" x14ac:dyDescent="0.3">
      <c r="B77" s="49">
        <v>42401</v>
      </c>
      <c r="C77" s="41">
        <v>0.01</v>
      </c>
      <c r="D77" s="68" t="s">
        <v>279</v>
      </c>
      <c r="E77" s="41"/>
      <c r="F77" s="6"/>
      <c r="G77" s="6"/>
      <c r="H77" s="6"/>
      <c r="I77" s="6"/>
      <c r="J77" s="6"/>
    </row>
    <row r="78" spans="2:11" ht="15.75" thickBot="1" x14ac:dyDescent="0.3">
      <c r="B78" s="2"/>
      <c r="C78" s="76"/>
      <c r="D78" s="6"/>
      <c r="E78" s="6"/>
      <c r="F78" s="6"/>
      <c r="G78" s="6"/>
      <c r="H78" s="6"/>
      <c r="I78" s="6"/>
      <c r="J78" s="6"/>
      <c r="K78" s="6"/>
    </row>
    <row r="79" spans="2:11" ht="15.75" thickBot="1" x14ac:dyDescent="0.3">
      <c r="B79" s="5" t="s">
        <v>55</v>
      </c>
      <c r="C79" s="96"/>
      <c r="D79" s="6"/>
      <c r="E79" s="6"/>
      <c r="F79" s="6"/>
      <c r="G79" s="6"/>
      <c r="H79" s="6"/>
      <c r="I79" s="6"/>
      <c r="J79" s="6"/>
      <c r="K79" s="6"/>
    </row>
    <row r="80" spans="2:11" x14ac:dyDescent="0.25">
      <c r="B80" s="1791"/>
      <c r="C80" s="1792"/>
      <c r="D80" s="1792"/>
      <c r="E80" s="1792"/>
      <c r="F80" s="1792"/>
      <c r="G80" s="1792"/>
      <c r="H80" s="1792"/>
      <c r="I80" s="1792"/>
      <c r="J80" s="1792"/>
      <c r="K80" s="6"/>
    </row>
    <row r="81" spans="2:11" ht="15.75" thickBot="1" x14ac:dyDescent="0.3">
      <c r="B81" s="1791"/>
      <c r="C81" s="1792"/>
      <c r="D81" s="1792"/>
      <c r="E81" s="1792"/>
      <c r="F81" s="1792"/>
      <c r="G81" s="1792"/>
      <c r="H81" s="1792"/>
      <c r="I81" s="1792"/>
      <c r="J81" s="1792"/>
      <c r="K81" s="6"/>
    </row>
    <row r="82" spans="2:11" ht="15.75" thickBot="1" x14ac:dyDescent="0.3">
      <c r="B82" s="1807" t="s">
        <v>56</v>
      </c>
      <c r="C82" s="1808"/>
      <c r="D82" s="1809"/>
      <c r="E82" s="6"/>
      <c r="F82" s="6"/>
      <c r="G82" s="6"/>
      <c r="H82" s="6"/>
      <c r="I82" s="6"/>
      <c r="J82" s="6"/>
      <c r="K82" s="6"/>
    </row>
    <row r="83" spans="2:11" ht="120.75" thickBot="1" x14ac:dyDescent="0.3">
      <c r="B83" s="47" t="s">
        <v>57</v>
      </c>
      <c r="C83" s="3"/>
      <c r="D83" s="41" t="s">
        <v>221</v>
      </c>
      <c r="E83" s="6"/>
      <c r="F83" s="6"/>
      <c r="G83" s="6"/>
      <c r="H83" s="6"/>
      <c r="I83" s="6"/>
      <c r="J83" s="6"/>
      <c r="K83" s="6"/>
    </row>
    <row r="84" spans="2:11" x14ac:dyDescent="0.25">
      <c r="B84" s="1804" t="s">
        <v>59</v>
      </c>
      <c r="C84" s="94"/>
      <c r="D84" s="53" t="s">
        <v>60</v>
      </c>
      <c r="E84" s="6"/>
      <c r="F84" s="6"/>
      <c r="G84" s="6"/>
      <c r="H84" s="6"/>
      <c r="I84" s="6"/>
      <c r="J84" s="6"/>
      <c r="K84" s="6"/>
    </row>
    <row r="85" spans="2:11" ht="72" x14ac:dyDescent="0.25">
      <c r="B85" s="1805"/>
      <c r="C85" s="94"/>
      <c r="D85" s="46" t="s">
        <v>222</v>
      </c>
      <c r="E85" s="6"/>
      <c r="F85" s="6"/>
      <c r="G85" s="6"/>
      <c r="H85" s="6"/>
      <c r="I85" s="6"/>
      <c r="J85" s="6"/>
      <c r="K85" s="6"/>
    </row>
    <row r="86" spans="2:11" ht="48" x14ac:dyDescent="0.25">
      <c r="B86" s="1805"/>
      <c r="C86" s="94"/>
      <c r="D86" s="46" t="s">
        <v>223</v>
      </c>
      <c r="E86" s="6"/>
      <c r="F86" s="6"/>
      <c r="G86" s="6"/>
      <c r="H86" s="6"/>
      <c r="I86" s="6"/>
      <c r="J86" s="6"/>
      <c r="K86" s="6"/>
    </row>
    <row r="87" spans="2:11" x14ac:dyDescent="0.25">
      <c r="B87" s="1805"/>
      <c r="C87" s="94"/>
      <c r="D87" s="53" t="s">
        <v>224</v>
      </c>
      <c r="E87" s="6"/>
      <c r="F87" s="6"/>
      <c r="G87" s="6"/>
      <c r="H87" s="6"/>
      <c r="I87" s="6"/>
      <c r="J87" s="6"/>
      <c r="K87" s="6"/>
    </row>
    <row r="88" spans="2:11" x14ac:dyDescent="0.25">
      <c r="B88" s="1805"/>
      <c r="C88" s="94"/>
      <c r="D88" s="46" t="s">
        <v>64</v>
      </c>
      <c r="E88" s="6"/>
      <c r="F88" s="6"/>
      <c r="G88" s="6"/>
      <c r="H88" s="6"/>
      <c r="I88" s="6"/>
      <c r="J88" s="6"/>
      <c r="K88" s="6"/>
    </row>
    <row r="89" spans="2:11" x14ac:dyDescent="0.25">
      <c r="B89" s="1805"/>
      <c r="C89" s="94"/>
      <c r="D89" s="46" t="s">
        <v>165</v>
      </c>
      <c r="E89" s="6"/>
      <c r="F89" s="6"/>
      <c r="G89" s="6"/>
      <c r="H89" s="6"/>
      <c r="I89" s="6"/>
      <c r="J89" s="6"/>
      <c r="K89" s="6"/>
    </row>
    <row r="90" spans="2:11" ht="15.75" thickBot="1" x14ac:dyDescent="0.3">
      <c r="B90" s="1806"/>
      <c r="C90" s="3"/>
      <c r="D90" s="41" t="s">
        <v>225</v>
      </c>
      <c r="E90" s="6"/>
      <c r="F90" s="6"/>
      <c r="G90" s="6"/>
      <c r="H90" s="6"/>
      <c r="I90" s="6"/>
      <c r="J90" s="6"/>
      <c r="K90" s="6"/>
    </row>
    <row r="91" spans="2:11" ht="24.75" thickBot="1" x14ac:dyDescent="0.3">
      <c r="B91" s="47" t="s">
        <v>72</v>
      </c>
      <c r="C91" s="3"/>
      <c r="D91" s="41"/>
      <c r="E91" s="6"/>
      <c r="F91" s="6"/>
      <c r="G91" s="6"/>
      <c r="H91" s="6"/>
      <c r="I91" s="6"/>
      <c r="J91" s="6"/>
      <c r="K91" s="6"/>
    </row>
    <row r="92" spans="2:11" ht="156" x14ac:dyDescent="0.25">
      <c r="B92" s="1804" t="s">
        <v>73</v>
      </c>
      <c r="C92" s="94"/>
      <c r="D92" s="46" t="s">
        <v>226</v>
      </c>
      <c r="E92" s="6"/>
      <c r="F92" s="6"/>
      <c r="G92" s="6"/>
      <c r="H92" s="6"/>
      <c r="I92" s="6"/>
      <c r="J92" s="6"/>
      <c r="K92" s="6"/>
    </row>
    <row r="93" spans="2:11" ht="132.75" thickBot="1" x14ac:dyDescent="0.3">
      <c r="B93" s="1806"/>
      <c r="C93" s="3"/>
      <c r="D93" s="41" t="s">
        <v>227</v>
      </c>
      <c r="E93" s="6"/>
      <c r="F93" s="6"/>
      <c r="G93" s="6"/>
      <c r="H93" s="6"/>
      <c r="I93" s="6"/>
      <c r="J93" s="6"/>
      <c r="K93" s="6"/>
    </row>
    <row r="94" spans="2:11" ht="29.45" customHeight="1" x14ac:dyDescent="0.25">
      <c r="B94" s="1804" t="s">
        <v>90</v>
      </c>
      <c r="C94" s="94"/>
      <c r="D94" s="46" t="s">
        <v>91</v>
      </c>
      <c r="E94" s="6"/>
      <c r="F94" s="6"/>
      <c r="G94" s="6"/>
      <c r="H94" s="6"/>
      <c r="I94" s="6"/>
      <c r="J94" s="6"/>
      <c r="K94" s="6"/>
    </row>
    <row r="95" spans="2:11" ht="73.5" x14ac:dyDescent="0.25">
      <c r="B95" s="1805"/>
      <c r="C95" s="94"/>
      <c r="D95" s="46" t="s">
        <v>228</v>
      </c>
      <c r="E95" s="6"/>
      <c r="F95" s="6"/>
      <c r="G95" s="6"/>
      <c r="H95" s="6"/>
      <c r="I95" s="6"/>
      <c r="J95" s="6"/>
      <c r="K95" s="6"/>
    </row>
    <row r="96" spans="2:11" ht="37.5" x14ac:dyDescent="0.25">
      <c r="B96" s="1805"/>
      <c r="C96" s="94"/>
      <c r="D96" s="46" t="s">
        <v>229</v>
      </c>
      <c r="E96" s="6"/>
      <c r="F96" s="6"/>
      <c r="G96" s="6"/>
      <c r="H96" s="6"/>
      <c r="I96" s="6"/>
      <c r="J96" s="6"/>
      <c r="K96" s="6"/>
    </row>
    <row r="97" spans="2:11" ht="37.5" x14ac:dyDescent="0.25">
      <c r="B97" s="1805"/>
      <c r="C97" s="94"/>
      <c r="D97" s="46" t="s">
        <v>230</v>
      </c>
      <c r="E97" s="6"/>
      <c r="F97" s="6"/>
      <c r="G97" s="6"/>
      <c r="H97" s="6"/>
      <c r="I97" s="6"/>
      <c r="J97" s="6"/>
      <c r="K97" s="6"/>
    </row>
    <row r="98" spans="2:11" ht="37.5" x14ac:dyDescent="0.25">
      <c r="B98" s="1805"/>
      <c r="C98" s="94"/>
      <c r="D98" s="46" t="s">
        <v>231</v>
      </c>
      <c r="E98" s="6"/>
      <c r="F98" s="6"/>
      <c r="G98" s="6"/>
      <c r="H98" s="6"/>
      <c r="I98" s="6"/>
      <c r="J98" s="6"/>
      <c r="K98" s="6"/>
    </row>
    <row r="99" spans="2:11" x14ac:dyDescent="0.25">
      <c r="B99" s="1805"/>
      <c r="C99" s="94"/>
      <c r="D99" s="46" t="s">
        <v>232</v>
      </c>
      <c r="E99" s="6"/>
      <c r="F99" s="6"/>
      <c r="G99" s="6"/>
      <c r="H99" s="6"/>
      <c r="I99" s="6"/>
      <c r="J99" s="6"/>
      <c r="K99" s="6"/>
    </row>
    <row r="100" spans="2:11" x14ac:dyDescent="0.25">
      <c r="B100" s="1805"/>
      <c r="C100" s="94"/>
      <c r="D100" s="46" t="s">
        <v>233</v>
      </c>
      <c r="E100" s="6"/>
      <c r="F100" s="6"/>
      <c r="G100" s="6"/>
      <c r="H100" s="6"/>
      <c r="I100" s="6"/>
      <c r="J100" s="6"/>
      <c r="K100" s="6"/>
    </row>
    <row r="101" spans="2:11" x14ac:dyDescent="0.25">
      <c r="B101" s="1805"/>
      <c r="C101" s="94"/>
      <c r="D101" s="46" t="s">
        <v>234</v>
      </c>
      <c r="E101" s="6"/>
      <c r="F101" s="6"/>
      <c r="G101" s="6"/>
      <c r="H101" s="6"/>
      <c r="I101" s="6"/>
      <c r="J101" s="6"/>
      <c r="K101" s="6"/>
    </row>
    <row r="102" spans="2:11" x14ac:dyDescent="0.25">
      <c r="B102" s="1805"/>
      <c r="C102" s="94"/>
      <c r="D102" s="46" t="s">
        <v>99</v>
      </c>
      <c r="E102" s="6"/>
      <c r="F102" s="6"/>
      <c r="G102" s="6"/>
      <c r="H102" s="6"/>
      <c r="I102" s="6"/>
      <c r="J102" s="6"/>
      <c r="K102" s="6"/>
    </row>
    <row r="103" spans="2:11" ht="84" x14ac:dyDescent="0.25">
      <c r="B103" s="1805"/>
      <c r="C103" s="94"/>
      <c r="D103" s="54" t="s">
        <v>235</v>
      </c>
      <c r="E103" s="6"/>
      <c r="F103" s="6"/>
      <c r="G103" s="6"/>
      <c r="H103" s="6"/>
      <c r="I103" s="6"/>
      <c r="J103" s="6"/>
      <c r="K103" s="6"/>
    </row>
    <row r="104" spans="2:11" ht="24" x14ac:dyDescent="0.25">
      <c r="B104" s="1805"/>
      <c r="C104" s="94"/>
      <c r="D104" s="53" t="s">
        <v>236</v>
      </c>
      <c r="E104" s="6"/>
      <c r="F104" s="6"/>
      <c r="G104" s="6"/>
      <c r="H104" s="6"/>
      <c r="I104" s="6"/>
      <c r="J104" s="6"/>
      <c r="K104" s="6"/>
    </row>
    <row r="105" spans="2:11" x14ac:dyDescent="0.25">
      <c r="B105" s="1805"/>
      <c r="C105" s="94"/>
      <c r="D105" s="17"/>
      <c r="E105" s="6"/>
      <c r="F105" s="6"/>
      <c r="G105" s="6"/>
      <c r="H105" s="6"/>
      <c r="I105" s="6"/>
      <c r="J105" s="6"/>
      <c r="K105" s="6"/>
    </row>
    <row r="106" spans="2:11" x14ac:dyDescent="0.25">
      <c r="B106" s="1805"/>
      <c r="C106" s="94"/>
      <c r="D106" s="46" t="s">
        <v>91</v>
      </c>
      <c r="E106" s="6"/>
      <c r="F106" s="6"/>
      <c r="G106" s="6"/>
      <c r="H106" s="6"/>
      <c r="I106" s="6"/>
      <c r="J106" s="6"/>
      <c r="K106" s="6"/>
    </row>
    <row r="107" spans="2:11" ht="37.5" x14ac:dyDescent="0.25">
      <c r="B107" s="1805"/>
      <c r="C107" s="94"/>
      <c r="D107" s="46" t="s">
        <v>229</v>
      </c>
      <c r="E107" s="6"/>
      <c r="F107" s="6"/>
      <c r="G107" s="6"/>
      <c r="H107" s="6"/>
      <c r="I107" s="6"/>
      <c r="J107" s="6"/>
      <c r="K107" s="6"/>
    </row>
    <row r="108" spans="2:11" ht="25.5" x14ac:dyDescent="0.25">
      <c r="B108" s="1805"/>
      <c r="C108" s="94"/>
      <c r="D108" s="46" t="s">
        <v>237</v>
      </c>
      <c r="E108" s="6"/>
      <c r="F108" s="6"/>
      <c r="G108" s="6"/>
      <c r="H108" s="6"/>
      <c r="I108" s="6"/>
      <c r="J108" s="6"/>
      <c r="K108" s="6"/>
    </row>
    <row r="109" spans="2:11" x14ac:dyDescent="0.25">
      <c r="B109" s="1805"/>
      <c r="C109" s="94"/>
      <c r="D109" s="46" t="s">
        <v>238</v>
      </c>
      <c r="E109" s="6"/>
      <c r="F109" s="6"/>
      <c r="G109" s="6"/>
      <c r="H109" s="6"/>
      <c r="I109" s="6"/>
      <c r="J109" s="6"/>
      <c r="K109" s="6"/>
    </row>
    <row r="110" spans="2:11" x14ac:dyDescent="0.25">
      <c r="B110" s="1805"/>
      <c r="C110" s="94"/>
      <c r="D110" s="53" t="s">
        <v>239</v>
      </c>
      <c r="E110" s="6"/>
      <c r="F110" s="6"/>
      <c r="G110" s="6"/>
      <c r="H110" s="6"/>
      <c r="I110" s="6"/>
      <c r="J110" s="6"/>
      <c r="K110" s="6"/>
    </row>
    <row r="111" spans="2:11" x14ac:dyDescent="0.25">
      <c r="B111" s="1805"/>
      <c r="C111" s="94"/>
      <c r="D111" s="17"/>
      <c r="E111" s="6"/>
      <c r="F111" s="6"/>
      <c r="G111" s="6"/>
      <c r="H111" s="6"/>
      <c r="I111" s="6"/>
      <c r="J111" s="6"/>
      <c r="K111" s="6"/>
    </row>
    <row r="112" spans="2:11" x14ac:dyDescent="0.25">
      <c r="B112" s="1805"/>
      <c r="C112" s="94"/>
      <c r="D112" s="46" t="s">
        <v>91</v>
      </c>
      <c r="E112" s="6"/>
      <c r="F112" s="6"/>
      <c r="G112" s="6"/>
      <c r="H112" s="6"/>
      <c r="I112" s="6"/>
      <c r="J112" s="6"/>
      <c r="K112" s="6"/>
    </row>
    <row r="113" spans="2:11" ht="37.5" x14ac:dyDescent="0.25">
      <c r="B113" s="1805"/>
      <c r="C113" s="94"/>
      <c r="D113" s="46" t="s">
        <v>230</v>
      </c>
      <c r="E113" s="6"/>
      <c r="F113" s="6"/>
      <c r="G113" s="6"/>
      <c r="H113" s="6"/>
      <c r="I113" s="6"/>
      <c r="J113" s="6"/>
      <c r="K113" s="6"/>
    </row>
    <row r="114" spans="2:11" ht="25.5" x14ac:dyDescent="0.25">
      <c r="B114" s="1805"/>
      <c r="C114" s="94"/>
      <c r="D114" s="46" t="s">
        <v>240</v>
      </c>
      <c r="E114" s="6"/>
      <c r="F114" s="6"/>
      <c r="G114" s="6"/>
      <c r="H114" s="6"/>
      <c r="I114" s="6"/>
      <c r="J114" s="6"/>
      <c r="K114" s="6"/>
    </row>
    <row r="115" spans="2:11" x14ac:dyDescent="0.25">
      <c r="B115" s="1805"/>
      <c r="C115" s="94"/>
      <c r="D115" s="46" t="s">
        <v>241</v>
      </c>
      <c r="E115" s="6"/>
      <c r="F115" s="6"/>
      <c r="G115" s="6"/>
      <c r="H115" s="6"/>
      <c r="I115" s="6"/>
      <c r="J115" s="6"/>
      <c r="K115" s="6"/>
    </row>
    <row r="116" spans="2:11" x14ac:dyDescent="0.25">
      <c r="B116" s="1805"/>
      <c r="C116" s="94"/>
      <c r="D116" s="53" t="s">
        <v>242</v>
      </c>
      <c r="E116" s="6"/>
      <c r="F116" s="6"/>
      <c r="G116" s="6"/>
      <c r="H116" s="6"/>
      <c r="I116" s="6"/>
      <c r="J116" s="6"/>
      <c r="K116" s="6"/>
    </row>
    <row r="117" spans="2:11" x14ac:dyDescent="0.25">
      <c r="B117" s="1805"/>
      <c r="C117" s="94"/>
      <c r="D117" s="17"/>
      <c r="E117" s="6"/>
      <c r="F117" s="6"/>
      <c r="G117" s="6"/>
      <c r="H117" s="6"/>
      <c r="I117" s="6"/>
      <c r="J117" s="6"/>
      <c r="K117" s="6"/>
    </row>
    <row r="118" spans="2:11" x14ac:dyDescent="0.25">
      <c r="B118" s="1805"/>
      <c r="C118" s="94"/>
      <c r="D118" s="46" t="s">
        <v>91</v>
      </c>
      <c r="E118" s="6"/>
      <c r="F118" s="6"/>
      <c r="G118" s="6"/>
      <c r="H118" s="6"/>
      <c r="I118" s="6"/>
      <c r="J118" s="6"/>
      <c r="K118" s="6"/>
    </row>
    <row r="119" spans="2:11" ht="37.5" x14ac:dyDescent="0.25">
      <c r="B119" s="1805"/>
      <c r="C119" s="94"/>
      <c r="D119" s="46" t="s">
        <v>243</v>
      </c>
      <c r="E119" s="6"/>
      <c r="F119" s="6"/>
      <c r="G119" s="6"/>
      <c r="H119" s="6"/>
      <c r="I119" s="6"/>
      <c r="J119" s="6"/>
      <c r="K119" s="6"/>
    </row>
    <row r="120" spans="2:11" ht="25.5" x14ac:dyDescent="0.25">
      <c r="B120" s="1805"/>
      <c r="C120" s="94"/>
      <c r="D120" s="46" t="s">
        <v>244</v>
      </c>
      <c r="E120" s="6"/>
      <c r="F120" s="6"/>
      <c r="G120" s="6"/>
      <c r="H120" s="6"/>
      <c r="I120" s="6"/>
      <c r="J120" s="6"/>
      <c r="K120" s="6"/>
    </row>
    <row r="121" spans="2:11" x14ac:dyDescent="0.25">
      <c r="B121" s="1805"/>
      <c r="C121" s="94"/>
      <c r="D121" s="46" t="s">
        <v>245</v>
      </c>
      <c r="E121" s="6"/>
      <c r="F121" s="6"/>
      <c r="G121" s="6"/>
      <c r="H121" s="6"/>
      <c r="I121" s="6"/>
      <c r="J121" s="6"/>
      <c r="K121" s="6"/>
    </row>
    <row r="122" spans="2:11" x14ac:dyDescent="0.25">
      <c r="B122" s="1805"/>
      <c r="C122" s="94"/>
      <c r="D122" s="53" t="s">
        <v>246</v>
      </c>
      <c r="E122" s="6"/>
      <c r="F122" s="6"/>
      <c r="G122" s="6"/>
      <c r="H122" s="6"/>
      <c r="I122" s="6"/>
      <c r="J122" s="6"/>
      <c r="K122" s="6"/>
    </row>
    <row r="123" spans="2:11" ht="36" x14ac:dyDescent="0.25">
      <c r="B123" s="1805"/>
      <c r="C123" s="94"/>
      <c r="D123" s="53" t="s">
        <v>247</v>
      </c>
      <c r="E123" s="6"/>
      <c r="F123" s="6"/>
      <c r="G123" s="6"/>
      <c r="H123" s="6"/>
      <c r="I123" s="6"/>
      <c r="J123" s="6"/>
      <c r="K123" s="6"/>
    </row>
    <row r="124" spans="2:11" x14ac:dyDescent="0.25">
      <c r="B124" s="1805"/>
      <c r="C124" s="94"/>
      <c r="D124" s="46" t="s">
        <v>248</v>
      </c>
      <c r="E124" s="6"/>
      <c r="F124" s="6"/>
      <c r="G124" s="6"/>
      <c r="H124" s="6"/>
      <c r="I124" s="6"/>
      <c r="J124" s="6"/>
      <c r="K124" s="6"/>
    </row>
    <row r="125" spans="2:11" x14ac:dyDescent="0.25">
      <c r="B125" s="1805"/>
      <c r="C125" s="94"/>
      <c r="D125" s="46" t="s">
        <v>91</v>
      </c>
      <c r="E125" s="6"/>
      <c r="F125" s="6"/>
      <c r="G125" s="6"/>
      <c r="H125" s="6"/>
      <c r="I125" s="6"/>
      <c r="J125" s="6"/>
      <c r="K125" s="6"/>
    </row>
    <row r="126" spans="2:11" ht="49.5" x14ac:dyDescent="0.25">
      <c r="B126" s="1805"/>
      <c r="C126" s="94"/>
      <c r="D126" s="46" t="s">
        <v>249</v>
      </c>
      <c r="E126" s="6"/>
      <c r="F126" s="6"/>
      <c r="G126" s="6"/>
      <c r="H126" s="6"/>
      <c r="I126" s="6"/>
      <c r="J126" s="6"/>
      <c r="K126" s="6"/>
    </row>
    <row r="127" spans="2:11" ht="49.5" x14ac:dyDescent="0.25">
      <c r="B127" s="1805"/>
      <c r="C127" s="94"/>
      <c r="D127" s="46" t="s">
        <v>250</v>
      </c>
      <c r="E127" s="6"/>
      <c r="F127" s="6"/>
      <c r="G127" s="6"/>
      <c r="H127" s="6"/>
      <c r="I127" s="6"/>
      <c r="J127" s="6"/>
      <c r="K127" s="6"/>
    </row>
    <row r="128" spans="2:11" ht="50.25" thickBot="1" x14ac:dyDescent="0.3">
      <c r="B128" s="1806"/>
      <c r="C128" s="3"/>
      <c r="D128" s="41" t="s">
        <v>251</v>
      </c>
      <c r="E128" s="6"/>
      <c r="F128" s="6"/>
      <c r="G128" s="6"/>
      <c r="H128" s="6"/>
      <c r="I128" s="6"/>
      <c r="J128" s="6"/>
      <c r="K128" s="6"/>
    </row>
  </sheetData>
  <sheetProtection insertRows="0"/>
  <mergeCells count="32">
    <mergeCell ref="B94:B128"/>
    <mergeCell ref="B67:B73"/>
    <mergeCell ref="B75:F75"/>
    <mergeCell ref="B10:D10"/>
    <mergeCell ref="F10:S10"/>
    <mergeCell ref="F11:S11"/>
    <mergeCell ref="E13:R13"/>
    <mergeCell ref="D53:K53"/>
    <mergeCell ref="B15:B26"/>
    <mergeCell ref="B82:D82"/>
    <mergeCell ref="B84:B90"/>
    <mergeCell ref="B92:B93"/>
    <mergeCell ref="D15:K15"/>
    <mergeCell ref="D16:K16"/>
    <mergeCell ref="D28:K28"/>
    <mergeCell ref="B80:J81"/>
    <mergeCell ref="B58:B64"/>
    <mergeCell ref="B66:E66"/>
    <mergeCell ref="D29:K29"/>
    <mergeCell ref="D30:K30"/>
    <mergeCell ref="D54:K54"/>
    <mergeCell ref="D55:K55"/>
    <mergeCell ref="B57:E57"/>
    <mergeCell ref="D33:D34"/>
    <mergeCell ref="E33:E34"/>
    <mergeCell ref="E12:H12"/>
    <mergeCell ref="I12:M12"/>
    <mergeCell ref="A1:P1"/>
    <mergeCell ref="A2:P2"/>
    <mergeCell ref="A3:P3"/>
    <mergeCell ref="A4:D4"/>
    <mergeCell ref="A5:P5"/>
  </mergeCells>
  <conditionalFormatting sqref="F10">
    <cfRule type="notContainsBlanks" dxfId="109" priority="4">
      <formula>LEN(TRIM(F10))&gt;0</formula>
    </cfRule>
  </conditionalFormatting>
  <conditionalFormatting sqref="F11:S11">
    <cfRule type="expression" dxfId="108" priority="2">
      <formula>E11="NO SE REPORTA"</formula>
    </cfRule>
    <cfRule type="expression" dxfId="107" priority="3">
      <formula>E10="NO APLICA"</formula>
    </cfRule>
  </conditionalFormatting>
  <conditionalFormatting sqref="E12 N12:R12">
    <cfRule type="expression" dxfId="106"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1">
      <formula1>0</formula1>
    </dataValidation>
    <dataValidation type="textLength" allowBlank="1" showInputMessage="1" showErrorMessage="1" errorTitle="ERROR" error="Escriba POMCA, PMM o PMA" promptTitle="ESCRIBA" prompt="POMCA, PMA o PMM" sqref="E32:E33 E35:E51">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U101"/>
  <sheetViews>
    <sheetView showGridLines="0" topLeftCell="A7" zoomScale="80" zoomScaleNormal="80" workbookViewId="0">
      <selection activeCell="E13" sqref="E13:R13"/>
    </sheetView>
  </sheetViews>
  <sheetFormatPr baseColWidth="10" defaultRowHeight="15" x14ac:dyDescent="0.25"/>
  <cols>
    <col min="1" max="1" width="1.85546875" customWidth="1"/>
    <col min="2" max="2" width="12.85546875" customWidth="1"/>
    <col min="3" max="3" width="6.42578125" style="87"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280</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1188</v>
      </c>
      <c r="C8" s="262">
        <v>2021</v>
      </c>
      <c r="D8" s="257">
        <f>IF(E10="NO APLICA","NO APLICA",IF(E11="NO SE REPORTA","SIN INFORMACION",+F19))</f>
        <v>1</v>
      </c>
      <c r="E8" s="264"/>
      <c r="F8" s="248" t="s">
        <v>130</v>
      </c>
      <c r="G8" s="248"/>
      <c r="H8" s="248"/>
      <c r="I8" s="248"/>
      <c r="J8" s="248"/>
      <c r="K8" s="248"/>
    </row>
    <row r="9" spans="1:21" x14ac:dyDescent="0.25">
      <c r="A9" s="245"/>
      <c r="B9" s="497" t="s">
        <v>1189</v>
      </c>
      <c r="C9" s="265"/>
      <c r="D9" s="248"/>
      <c r="E9" s="248"/>
      <c r="F9" s="248"/>
      <c r="G9" s="248"/>
      <c r="H9" s="248"/>
      <c r="I9" s="248"/>
      <c r="J9" s="248"/>
      <c r="K9" s="248"/>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Gestión'!A19</f>
        <v>Proyecto No 1.2. Gestión del Riesgo y adaptación al Cambio Climático (2)</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2835</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265"/>
      <c r="D14" s="248"/>
      <c r="E14" s="248"/>
      <c r="F14" s="248"/>
      <c r="G14" s="248"/>
      <c r="H14" s="248"/>
      <c r="I14" s="248"/>
      <c r="J14" s="248"/>
      <c r="K14" s="248"/>
    </row>
    <row r="15" spans="1:21" ht="15.6" customHeight="1" thickTop="1" thickBot="1" x14ac:dyDescent="0.3">
      <c r="A15" s="245"/>
      <c r="B15" s="1833" t="s">
        <v>2</v>
      </c>
      <c r="C15" s="268"/>
      <c r="D15" s="1754" t="s">
        <v>3</v>
      </c>
      <c r="E15" s="1755"/>
      <c r="F15" s="1755"/>
      <c r="G15" s="1755"/>
      <c r="H15" s="1755"/>
      <c r="I15" s="1756"/>
      <c r="J15" s="248"/>
      <c r="K15" s="248"/>
    </row>
    <row r="16" spans="1:21" ht="15.75" thickBot="1" x14ac:dyDescent="0.3">
      <c r="A16" s="245"/>
      <c r="B16" s="1770"/>
      <c r="C16" s="272"/>
      <c r="D16" s="273" t="s">
        <v>150</v>
      </c>
      <c r="E16" s="280" t="s">
        <v>20</v>
      </c>
      <c r="F16" s="280" t="s">
        <v>21</v>
      </c>
      <c r="G16" s="280" t="s">
        <v>22</v>
      </c>
      <c r="H16" s="280" t="s">
        <v>23</v>
      </c>
      <c r="I16" s="342"/>
      <c r="J16" s="248"/>
      <c r="K16" s="248"/>
    </row>
    <row r="17" spans="1:11" ht="60.75" thickBot="1" x14ac:dyDescent="0.3">
      <c r="A17" s="245"/>
      <c r="B17" s="1770"/>
      <c r="C17" s="272"/>
      <c r="D17" s="343" t="s">
        <v>305</v>
      </c>
      <c r="E17" s="999">
        <v>25</v>
      </c>
      <c r="F17" s="999">
        <v>50</v>
      </c>
      <c r="G17" s="999">
        <v>75</v>
      </c>
      <c r="H17" s="999">
        <v>100</v>
      </c>
      <c r="I17" s="340"/>
      <c r="J17" s="248"/>
      <c r="K17" s="248"/>
    </row>
    <row r="18" spans="1:11" ht="60.75" thickBot="1" x14ac:dyDescent="0.3">
      <c r="A18" s="245"/>
      <c r="B18" s="1770"/>
      <c r="C18" s="272"/>
      <c r="D18" s="343" t="s">
        <v>306</v>
      </c>
      <c r="E18" s="999">
        <v>25</v>
      </c>
      <c r="F18" s="999">
        <v>50</v>
      </c>
      <c r="G18" s="999"/>
      <c r="H18" s="999"/>
      <c r="I18" s="340"/>
      <c r="J18" s="248"/>
      <c r="K18" s="248"/>
    </row>
    <row r="19" spans="1:11" ht="60.75" thickBot="1" x14ac:dyDescent="0.3">
      <c r="A19" s="245"/>
      <c r="B19" s="1770"/>
      <c r="C19" s="272"/>
      <c r="D19" s="343" t="s">
        <v>307</v>
      </c>
      <c r="E19" s="196">
        <f>IFERROR(E18/E17,"N.A.")</f>
        <v>1</v>
      </c>
      <c r="F19" s="196">
        <f>IFERROR(F18/F17,"N.A.")</f>
        <v>1</v>
      </c>
      <c r="G19" s="196">
        <f>IFERROR(G18/G17,"N.A.")</f>
        <v>0</v>
      </c>
      <c r="H19" s="196">
        <f>IFERROR(H18/H17,"N.A.")</f>
        <v>0</v>
      </c>
      <c r="I19" s="305"/>
      <c r="J19" s="248"/>
      <c r="K19" s="248"/>
    </row>
    <row r="20" spans="1:11" ht="15.75" thickBot="1" x14ac:dyDescent="0.3">
      <c r="A20" s="245"/>
      <c r="B20" s="1770"/>
      <c r="C20" s="276"/>
      <c r="D20" s="1742" t="s">
        <v>308</v>
      </c>
      <c r="E20" s="1743"/>
      <c r="F20" s="1743"/>
      <c r="G20" s="1743"/>
      <c r="H20" s="1743"/>
      <c r="I20" s="1744"/>
      <c r="J20" s="248"/>
      <c r="K20" s="248"/>
    </row>
    <row r="21" spans="1:11" ht="21" customHeight="1" x14ac:dyDescent="0.25">
      <c r="A21" s="245"/>
      <c r="B21" s="337"/>
      <c r="C21" s="1834" t="s">
        <v>19</v>
      </c>
      <c r="D21" s="1836" t="s">
        <v>309</v>
      </c>
      <c r="E21" s="1831" t="s">
        <v>313</v>
      </c>
      <c r="F21" s="1831" t="s">
        <v>310</v>
      </c>
      <c r="G21" s="1831" t="s">
        <v>55</v>
      </c>
      <c r="H21" s="245"/>
      <c r="I21" s="274"/>
      <c r="J21" s="248"/>
      <c r="K21" s="248"/>
    </row>
    <row r="22" spans="1:11" ht="15.75" thickBot="1" x14ac:dyDescent="0.3">
      <c r="A22" s="245"/>
      <c r="B22" s="337"/>
      <c r="C22" s="1835"/>
      <c r="D22" s="1837"/>
      <c r="E22" s="1832"/>
      <c r="F22" s="1832"/>
      <c r="G22" s="1832"/>
      <c r="H22" s="245"/>
      <c r="I22" s="274"/>
      <c r="J22" s="248"/>
      <c r="K22" s="248"/>
    </row>
    <row r="23" spans="1:11" s="199" customFormat="1" ht="240.75" thickBot="1" x14ac:dyDescent="0.3">
      <c r="B23" s="227"/>
      <c r="C23" s="232">
        <v>1</v>
      </c>
      <c r="D23" s="44" t="s">
        <v>3111</v>
      </c>
      <c r="E23" s="1025">
        <v>16</v>
      </c>
      <c r="F23" s="1159" t="s">
        <v>3112</v>
      </c>
      <c r="G23" s="1160"/>
      <c r="I23" s="20"/>
      <c r="J23" s="19"/>
      <c r="K23" s="19"/>
    </row>
    <row r="24" spans="1:11" s="199" customFormat="1" ht="79.5" thickBot="1" x14ac:dyDescent="0.3">
      <c r="B24" s="227"/>
      <c r="C24" s="232">
        <v>2</v>
      </c>
      <c r="D24" s="1161" t="s">
        <v>3205</v>
      </c>
      <c r="E24" s="1025">
        <v>8</v>
      </c>
      <c r="F24" s="1162" t="s">
        <v>3113</v>
      </c>
      <c r="G24" s="1163" t="s">
        <v>3114</v>
      </c>
      <c r="I24" s="20"/>
      <c r="J24" s="19"/>
      <c r="K24" s="19"/>
    </row>
    <row r="25" spans="1:11" s="199" customFormat="1" ht="15.75" thickBot="1" x14ac:dyDescent="0.3">
      <c r="B25" s="227"/>
      <c r="C25" s="232">
        <v>3</v>
      </c>
      <c r="D25" s="31"/>
      <c r="E25" s="7"/>
      <c r="F25" s="30"/>
      <c r="G25" s="30"/>
      <c r="H25" s="350"/>
      <c r="I25" s="20"/>
      <c r="J25" s="19"/>
      <c r="K25" s="19"/>
    </row>
    <row r="26" spans="1:11" s="199" customFormat="1" ht="15.75" thickBot="1" x14ac:dyDescent="0.3">
      <c r="B26" s="227"/>
      <c r="C26" s="232">
        <v>4</v>
      </c>
      <c r="D26" s="31"/>
      <c r="E26" s="7"/>
      <c r="F26" s="30"/>
      <c r="G26" s="30"/>
      <c r="H26" s="350"/>
      <c r="I26" s="20"/>
      <c r="J26" s="19"/>
      <c r="K26" s="19"/>
    </row>
    <row r="27" spans="1:11" s="199" customFormat="1" ht="15.75" thickBot="1" x14ac:dyDescent="0.3">
      <c r="B27" s="227"/>
      <c r="C27" s="232">
        <v>5</v>
      </c>
      <c r="D27" s="31"/>
      <c r="E27" s="7"/>
      <c r="F27" s="30"/>
      <c r="G27" s="30"/>
      <c r="H27" s="350"/>
      <c r="I27" s="20"/>
      <c r="J27" s="19"/>
      <c r="K27" s="19"/>
    </row>
    <row r="28" spans="1:11" s="199" customFormat="1" ht="15.75" thickBot="1" x14ac:dyDescent="0.3">
      <c r="B28" s="227"/>
      <c r="C28" s="232">
        <v>6</v>
      </c>
      <c r="D28" s="31"/>
      <c r="E28" s="7"/>
      <c r="F28" s="30"/>
      <c r="G28" s="30"/>
      <c r="H28" s="350"/>
      <c r="I28" s="20"/>
      <c r="J28" s="19"/>
      <c r="K28" s="19"/>
    </row>
    <row r="29" spans="1:11" s="199" customFormat="1" ht="15.75" thickBot="1" x14ac:dyDescent="0.3">
      <c r="B29" s="227"/>
      <c r="C29" s="232">
        <v>7</v>
      </c>
      <c r="D29" s="31"/>
      <c r="E29" s="7"/>
      <c r="F29" s="30"/>
      <c r="G29" s="30"/>
      <c r="H29" s="350"/>
      <c r="I29" s="20"/>
      <c r="J29" s="19"/>
      <c r="K29" s="19"/>
    </row>
    <row r="30" spans="1:11" s="199" customFormat="1" ht="15.75" thickBot="1" x14ac:dyDescent="0.3">
      <c r="B30" s="227"/>
      <c r="C30" s="232">
        <v>8</v>
      </c>
      <c r="D30" s="31"/>
      <c r="E30" s="7"/>
      <c r="F30" s="30"/>
      <c r="G30" s="30"/>
      <c r="H30" s="350"/>
      <c r="I30" s="20"/>
      <c r="J30" s="19"/>
      <c r="K30" s="19"/>
    </row>
    <row r="31" spans="1:11" s="199" customFormat="1" ht="15.75" thickBot="1" x14ac:dyDescent="0.3">
      <c r="B31" s="227"/>
      <c r="C31" s="232">
        <v>9</v>
      </c>
      <c r="D31" s="31"/>
      <c r="E31" s="7"/>
      <c r="F31" s="30"/>
      <c r="G31" s="30"/>
      <c r="H31" s="350"/>
      <c r="I31" s="20"/>
      <c r="J31" s="19"/>
      <c r="K31" s="19"/>
    </row>
    <row r="32" spans="1:11" s="199" customFormat="1" ht="15.75" thickBot="1" x14ac:dyDescent="0.3">
      <c r="B32" s="227"/>
      <c r="C32" s="232">
        <v>10</v>
      </c>
      <c r="D32" s="31"/>
      <c r="E32" s="7"/>
      <c r="F32" s="30"/>
      <c r="G32" s="30"/>
      <c r="H32" s="350"/>
      <c r="I32" s="20"/>
      <c r="J32" s="19"/>
      <c r="K32" s="19"/>
    </row>
    <row r="33" spans="1:11" s="199" customFormat="1" ht="15.75" thickBot="1" x14ac:dyDescent="0.3">
      <c r="B33" s="227"/>
      <c r="C33" s="232">
        <v>11</v>
      </c>
      <c r="D33" s="31"/>
      <c r="E33" s="7"/>
      <c r="F33" s="30"/>
      <c r="G33" s="30"/>
      <c r="H33" s="350"/>
      <c r="I33" s="20"/>
      <c r="J33" s="19"/>
      <c r="K33" s="19"/>
    </row>
    <row r="34" spans="1:11" s="199" customFormat="1" ht="15.75" thickBot="1" x14ac:dyDescent="0.3">
      <c r="B34" s="227"/>
      <c r="C34" s="232">
        <v>12</v>
      </c>
      <c r="D34" s="31"/>
      <c r="E34" s="7"/>
      <c r="F34" s="30"/>
      <c r="G34" s="30"/>
      <c r="H34" s="350"/>
      <c r="I34" s="20"/>
      <c r="J34" s="19"/>
      <c r="K34" s="19"/>
    </row>
    <row r="35" spans="1:11" s="199" customFormat="1" ht="15.75" thickBot="1" x14ac:dyDescent="0.3">
      <c r="B35" s="227"/>
      <c r="C35" s="232">
        <v>13</v>
      </c>
      <c r="D35" s="31"/>
      <c r="E35" s="7"/>
      <c r="F35" s="30"/>
      <c r="G35" s="30"/>
      <c r="H35" s="350"/>
      <c r="I35" s="20"/>
      <c r="J35" s="19"/>
      <c r="K35" s="19"/>
    </row>
    <row r="36" spans="1:11" s="199" customFormat="1" ht="15.75" thickBot="1" x14ac:dyDescent="0.3">
      <c r="B36" s="227"/>
      <c r="C36" s="232">
        <v>14</v>
      </c>
      <c r="D36" s="31"/>
      <c r="E36" s="7"/>
      <c r="F36" s="30"/>
      <c r="G36" s="30"/>
      <c r="H36" s="350"/>
      <c r="I36" s="20"/>
      <c r="J36" s="19"/>
      <c r="K36" s="19"/>
    </row>
    <row r="37" spans="1:11" s="199" customFormat="1" ht="15.75" thickBot="1" x14ac:dyDescent="0.3">
      <c r="B37" s="227"/>
      <c r="C37" s="232">
        <v>15</v>
      </c>
      <c r="D37" s="31"/>
      <c r="E37" s="7"/>
      <c r="F37" s="30"/>
      <c r="G37" s="30"/>
      <c r="H37" s="350"/>
      <c r="I37" s="20"/>
      <c r="J37" s="19"/>
      <c r="K37" s="19"/>
    </row>
    <row r="38" spans="1:11" s="199" customFormat="1" ht="15.75" thickBot="1" x14ac:dyDescent="0.3">
      <c r="B38" s="227"/>
      <c r="C38" s="232">
        <v>16</v>
      </c>
      <c r="D38" s="31"/>
      <c r="E38" s="7"/>
      <c r="F38" s="30"/>
      <c r="G38" s="30"/>
      <c r="H38" s="350"/>
      <c r="I38" s="20"/>
      <c r="J38" s="19"/>
      <c r="K38" s="19"/>
    </row>
    <row r="39" spans="1:11" s="199" customFormat="1" ht="15.75" thickBot="1" x14ac:dyDescent="0.3">
      <c r="B39" s="227"/>
      <c r="C39" s="232">
        <v>17</v>
      </c>
      <c r="D39" s="31"/>
      <c r="E39" s="7"/>
      <c r="F39" s="30"/>
      <c r="G39" s="30"/>
      <c r="H39" s="350"/>
      <c r="I39" s="20"/>
      <c r="J39" s="19"/>
      <c r="K39" s="19"/>
    </row>
    <row r="40" spans="1:11" s="199" customFormat="1" ht="15.75" thickBot="1" x14ac:dyDescent="0.3">
      <c r="B40" s="227"/>
      <c r="C40" s="232">
        <v>18</v>
      </c>
      <c r="D40" s="31"/>
      <c r="E40" s="7"/>
      <c r="F40" s="30"/>
      <c r="G40" s="30"/>
      <c r="H40" s="350"/>
      <c r="I40" s="20"/>
      <c r="J40" s="19"/>
      <c r="K40" s="19"/>
    </row>
    <row r="41" spans="1:11" s="199" customFormat="1" ht="15.75" thickBot="1" x14ac:dyDescent="0.3">
      <c r="B41" s="227"/>
      <c r="C41" s="232">
        <v>19</v>
      </c>
      <c r="D41" s="31"/>
      <c r="E41" s="7"/>
      <c r="F41" s="30"/>
      <c r="G41" s="30"/>
      <c r="I41" s="20"/>
      <c r="J41" s="19"/>
      <c r="K41" s="19"/>
    </row>
    <row r="42" spans="1:11" s="199" customFormat="1" ht="15.75" thickBot="1" x14ac:dyDescent="0.3">
      <c r="B42" s="228"/>
      <c r="C42" s="232">
        <v>20</v>
      </c>
      <c r="D42" s="31"/>
      <c r="E42" s="7"/>
      <c r="F42" s="30"/>
      <c r="G42" s="30"/>
      <c r="I42" s="202"/>
      <c r="J42" s="19"/>
      <c r="K42" s="19"/>
    </row>
    <row r="43" spans="1:11" ht="36" customHeight="1" thickBot="1" x14ac:dyDescent="0.3">
      <c r="A43" s="245"/>
      <c r="B43" s="285" t="s">
        <v>34</v>
      </c>
      <c r="C43" s="286"/>
      <c r="D43" s="1754" t="s">
        <v>311</v>
      </c>
      <c r="E43" s="1755"/>
      <c r="F43" s="1755"/>
      <c r="G43" s="1755"/>
      <c r="H43" s="1755"/>
      <c r="I43" s="1756"/>
      <c r="J43" s="248"/>
      <c r="K43" s="248"/>
    </row>
    <row r="44" spans="1:11" ht="24.75" thickBot="1" x14ac:dyDescent="0.3">
      <c r="A44" s="245"/>
      <c r="B44" s="285" t="s">
        <v>36</v>
      </c>
      <c r="C44" s="286"/>
      <c r="D44" s="1754" t="s">
        <v>278</v>
      </c>
      <c r="E44" s="1755"/>
      <c r="F44" s="1755"/>
      <c r="G44" s="1755"/>
      <c r="H44" s="1755"/>
      <c r="I44" s="1756"/>
      <c r="J44" s="248"/>
      <c r="K44" s="248"/>
    </row>
    <row r="45" spans="1:11" ht="15.75" thickBot="1" x14ac:dyDescent="0.3">
      <c r="A45" s="245"/>
      <c r="B45" s="249"/>
      <c r="C45" s="250"/>
      <c r="D45" s="248"/>
      <c r="E45" s="248"/>
      <c r="F45" s="248"/>
      <c r="G45" s="248"/>
      <c r="H45" s="248"/>
      <c r="I45" s="248"/>
      <c r="J45" s="248"/>
      <c r="K45" s="248"/>
    </row>
    <row r="46" spans="1:11" ht="24" customHeight="1" thickBot="1" x14ac:dyDescent="0.3">
      <c r="A46" s="245"/>
      <c r="B46" s="1760" t="s">
        <v>38</v>
      </c>
      <c r="C46" s="1761"/>
      <c r="D46" s="1761"/>
      <c r="E46" s="1762"/>
      <c r="F46" s="248"/>
      <c r="G46" s="248"/>
      <c r="H46" s="248"/>
      <c r="I46" s="248"/>
      <c r="J46" s="248"/>
      <c r="K46" s="248"/>
    </row>
    <row r="47" spans="1:11" ht="15.75" thickBot="1" x14ac:dyDescent="0.3">
      <c r="A47" s="245"/>
      <c r="B47" s="1751">
        <v>1</v>
      </c>
      <c r="C47" s="272"/>
      <c r="D47" s="289" t="s">
        <v>39</v>
      </c>
      <c r="E47" s="31" t="s">
        <v>2854</v>
      </c>
      <c r="F47" s="248"/>
      <c r="G47" s="248"/>
      <c r="H47" s="248"/>
      <c r="I47" s="248"/>
      <c r="J47" s="248"/>
      <c r="K47" s="248"/>
    </row>
    <row r="48" spans="1:11" ht="15.75" thickBot="1" x14ac:dyDescent="0.3">
      <c r="A48" s="245"/>
      <c r="B48" s="1752"/>
      <c r="C48" s="272"/>
      <c r="D48" s="275" t="s">
        <v>40</v>
      </c>
      <c r="E48" s="31" t="s">
        <v>3115</v>
      </c>
      <c r="F48" s="248"/>
      <c r="G48" s="248"/>
      <c r="H48" s="248"/>
      <c r="I48" s="248"/>
      <c r="J48" s="248"/>
      <c r="K48" s="248"/>
    </row>
    <row r="49" spans="1:11" ht="15.75" thickBot="1" x14ac:dyDescent="0.3">
      <c r="A49" s="245"/>
      <c r="B49" s="1752"/>
      <c r="C49" s="272"/>
      <c r="D49" s="275" t="s">
        <v>41</v>
      </c>
      <c r="E49" s="31" t="s">
        <v>3116</v>
      </c>
      <c r="F49" s="248"/>
      <c r="G49" s="248"/>
      <c r="H49" s="248"/>
      <c r="I49" s="248"/>
      <c r="J49" s="248"/>
      <c r="K49" s="248"/>
    </row>
    <row r="50" spans="1:11" ht="15.75" thickBot="1" x14ac:dyDescent="0.3">
      <c r="A50" s="245"/>
      <c r="B50" s="1752"/>
      <c r="C50" s="272"/>
      <c r="D50" s="275" t="s">
        <v>42</v>
      </c>
      <c r="E50" s="31" t="s">
        <v>2923</v>
      </c>
      <c r="F50" s="248"/>
      <c r="G50" s="248"/>
      <c r="H50" s="248"/>
      <c r="I50" s="248"/>
      <c r="J50" s="248"/>
      <c r="K50" s="248"/>
    </row>
    <row r="51" spans="1:11" ht="15.75" thickBot="1" x14ac:dyDescent="0.3">
      <c r="A51" s="245"/>
      <c r="B51" s="1752"/>
      <c r="C51" s="272"/>
      <c r="D51" s="275" t="s">
        <v>43</v>
      </c>
      <c r="E51" s="1004" t="s">
        <v>3117</v>
      </c>
      <c r="F51" s="248"/>
      <c r="G51" s="248"/>
      <c r="H51" s="248"/>
      <c r="I51" s="248"/>
      <c r="J51" s="248"/>
      <c r="K51" s="248"/>
    </row>
    <row r="52" spans="1:11" ht="15.75" thickBot="1" x14ac:dyDescent="0.3">
      <c r="A52" s="245"/>
      <c r="B52" s="1752"/>
      <c r="C52" s="272"/>
      <c r="D52" s="275" t="s">
        <v>44</v>
      </c>
      <c r="E52" s="31" t="s">
        <v>3118</v>
      </c>
      <c r="F52" s="248"/>
      <c r="G52" s="248"/>
      <c r="H52" s="248"/>
      <c r="I52" s="248"/>
      <c r="J52" s="248"/>
      <c r="K52" s="248"/>
    </row>
    <row r="53" spans="1:11" ht="15.75" thickBot="1" x14ac:dyDescent="0.3">
      <c r="A53" s="245"/>
      <c r="B53" s="1753"/>
      <c r="C53" s="282"/>
      <c r="D53" s="275" t="s">
        <v>45</v>
      </c>
      <c r="E53" s="31" t="s">
        <v>3119</v>
      </c>
      <c r="F53" s="248"/>
      <c r="G53" s="248"/>
      <c r="H53" s="248"/>
      <c r="I53" s="248"/>
      <c r="J53" s="248"/>
      <c r="K53" s="248"/>
    </row>
    <row r="54" spans="1:11" ht="15.75" thickBot="1" x14ac:dyDescent="0.3">
      <c r="A54" s="245"/>
      <c r="B54" s="249"/>
      <c r="C54" s="250"/>
      <c r="D54" s="248"/>
      <c r="E54" s="248"/>
      <c r="F54" s="248"/>
      <c r="G54" s="248"/>
      <c r="H54" s="248"/>
      <c r="I54" s="248"/>
      <c r="J54" s="248"/>
      <c r="K54" s="248"/>
    </row>
    <row r="55" spans="1:11" ht="15.75" thickBot="1" x14ac:dyDescent="0.3">
      <c r="A55" s="245"/>
      <c r="B55" s="1760" t="s">
        <v>46</v>
      </c>
      <c r="C55" s="1761"/>
      <c r="D55" s="1761"/>
      <c r="E55" s="1762"/>
      <c r="F55" s="248"/>
      <c r="G55" s="248"/>
      <c r="H55" s="248"/>
      <c r="I55" s="248"/>
      <c r="J55" s="248"/>
      <c r="K55" s="248"/>
    </row>
    <row r="56" spans="1:11" ht="15.75" thickBot="1" x14ac:dyDescent="0.3">
      <c r="A56" s="245"/>
      <c r="B56" s="1751">
        <v>1</v>
      </c>
      <c r="C56" s="272"/>
      <c r="D56" s="289" t="s">
        <v>39</v>
      </c>
      <c r="E56" s="233" t="s">
        <v>47</v>
      </c>
      <c r="F56" s="248"/>
      <c r="G56" s="248"/>
      <c r="H56" s="248"/>
      <c r="I56" s="248"/>
      <c r="J56" s="248"/>
      <c r="K56" s="248"/>
    </row>
    <row r="57" spans="1:11" ht="15.75" thickBot="1" x14ac:dyDescent="0.3">
      <c r="A57" s="245"/>
      <c r="B57" s="1752"/>
      <c r="C57" s="272"/>
      <c r="D57" s="275" t="s">
        <v>40</v>
      </c>
      <c r="E57" s="233" t="s">
        <v>48</v>
      </c>
      <c r="F57" s="248"/>
      <c r="G57" s="248"/>
      <c r="H57" s="248"/>
      <c r="I57" s="248"/>
      <c r="J57" s="248"/>
      <c r="K57" s="248"/>
    </row>
    <row r="58" spans="1:11" ht="15.75" thickBot="1" x14ac:dyDescent="0.3">
      <c r="A58" s="245"/>
      <c r="B58" s="1752"/>
      <c r="C58" s="272"/>
      <c r="D58" s="275" t="s">
        <v>41</v>
      </c>
      <c r="E58" s="315"/>
      <c r="F58" s="248"/>
      <c r="G58" s="248"/>
      <c r="H58" s="248"/>
      <c r="I58" s="248"/>
      <c r="J58" s="248"/>
      <c r="K58" s="248"/>
    </row>
    <row r="59" spans="1:11" ht="15.75" thickBot="1" x14ac:dyDescent="0.3">
      <c r="A59" s="245"/>
      <c r="B59" s="1752"/>
      <c r="C59" s="272"/>
      <c r="D59" s="275" t="s">
        <v>42</v>
      </c>
      <c r="E59" s="315"/>
      <c r="F59" s="248"/>
      <c r="G59" s="248"/>
      <c r="H59" s="248"/>
      <c r="I59" s="248"/>
      <c r="J59" s="248"/>
      <c r="K59" s="248"/>
    </row>
    <row r="60" spans="1:11" ht="15.75" thickBot="1" x14ac:dyDescent="0.3">
      <c r="A60" s="245"/>
      <c r="B60" s="1752"/>
      <c r="C60" s="272"/>
      <c r="D60" s="275" t="s">
        <v>43</v>
      </c>
      <c r="E60" s="315"/>
      <c r="F60" s="248"/>
      <c r="G60" s="248"/>
      <c r="H60" s="248"/>
      <c r="I60" s="248"/>
      <c r="J60" s="248"/>
      <c r="K60" s="248"/>
    </row>
    <row r="61" spans="1:11" ht="15.75" thickBot="1" x14ac:dyDescent="0.3">
      <c r="A61" s="245"/>
      <c r="B61" s="1752"/>
      <c r="C61" s="272"/>
      <c r="D61" s="275" t="s">
        <v>44</v>
      </c>
      <c r="E61" s="315"/>
      <c r="F61" s="248"/>
      <c r="G61" s="248"/>
      <c r="H61" s="248"/>
      <c r="I61" s="248"/>
      <c r="J61" s="248"/>
      <c r="K61" s="248"/>
    </row>
    <row r="62" spans="1:11" ht="15.75" thickBot="1" x14ac:dyDescent="0.3">
      <c r="A62" s="245"/>
      <c r="B62" s="1753"/>
      <c r="C62" s="282"/>
      <c r="D62" s="275" t="s">
        <v>45</v>
      </c>
      <c r="E62" s="315"/>
      <c r="F62" s="248"/>
      <c r="G62" s="248"/>
      <c r="H62" s="248"/>
      <c r="I62" s="248"/>
      <c r="J62" s="248"/>
      <c r="K62" s="248"/>
    </row>
    <row r="63" spans="1:11" ht="15.75" thickBot="1" x14ac:dyDescent="0.3">
      <c r="A63" s="245"/>
      <c r="B63" s="249"/>
      <c r="C63" s="250"/>
      <c r="D63" s="248"/>
      <c r="E63" s="248"/>
      <c r="F63" s="248"/>
      <c r="G63" s="248"/>
      <c r="H63" s="248"/>
      <c r="I63" s="248"/>
      <c r="J63" s="248"/>
      <c r="K63" s="248"/>
    </row>
    <row r="64" spans="1:11" ht="15" customHeight="1" thickBot="1" x14ac:dyDescent="0.3">
      <c r="A64" s="245"/>
      <c r="B64" s="291" t="s">
        <v>49</v>
      </c>
      <c r="C64" s="292"/>
      <c r="D64" s="292"/>
      <c r="E64" s="293"/>
      <c r="F64" s="245"/>
      <c r="G64" s="248"/>
      <c r="H64" s="248"/>
      <c r="I64" s="248"/>
      <c r="J64" s="248"/>
      <c r="K64" s="248"/>
    </row>
    <row r="65" spans="1:11" ht="24.75" thickBot="1" x14ac:dyDescent="0.3">
      <c r="A65" s="245"/>
      <c r="B65" s="285" t="s">
        <v>50</v>
      </c>
      <c r="C65" s="275" t="s">
        <v>51</v>
      </c>
      <c r="D65" s="275" t="s">
        <v>52</v>
      </c>
      <c r="E65" s="275" t="s">
        <v>53</v>
      </c>
      <c r="F65" s="248"/>
      <c r="G65" s="248"/>
      <c r="H65" s="248"/>
      <c r="I65" s="248"/>
      <c r="J65" s="248"/>
      <c r="K65" s="245"/>
    </row>
    <row r="66" spans="1:11" ht="96.75" thickBot="1" x14ac:dyDescent="0.3">
      <c r="A66" s="245"/>
      <c r="B66" s="295">
        <v>42401</v>
      </c>
      <c r="C66" s="275">
        <v>0.01</v>
      </c>
      <c r="D66" s="307" t="s">
        <v>312</v>
      </c>
      <c r="E66" s="275"/>
      <c r="F66" s="248"/>
      <c r="G66" s="248"/>
      <c r="H66" s="248"/>
      <c r="I66" s="248"/>
      <c r="J66" s="248"/>
      <c r="K66" s="245"/>
    </row>
    <row r="67" spans="1:11" ht="15.75" thickBot="1" x14ac:dyDescent="0.3">
      <c r="A67" s="245"/>
      <c r="B67" s="308"/>
      <c r="C67" s="309"/>
      <c r="D67" s="248"/>
      <c r="E67" s="248"/>
      <c r="F67" s="248"/>
      <c r="G67" s="248"/>
      <c r="H67" s="248"/>
      <c r="I67" s="248"/>
      <c r="J67" s="248"/>
      <c r="K67" s="248"/>
    </row>
    <row r="68" spans="1:11" x14ac:dyDescent="0.25">
      <c r="A68" s="245"/>
      <c r="B68" s="297" t="s">
        <v>55</v>
      </c>
      <c r="C68" s="298"/>
      <c r="D68" s="248"/>
      <c r="E68" s="248"/>
      <c r="F68" s="248"/>
      <c r="G68" s="248"/>
      <c r="H68" s="248"/>
      <c r="I68" s="248"/>
      <c r="J68" s="248"/>
      <c r="K68" s="248"/>
    </row>
    <row r="69" spans="1:11" x14ac:dyDescent="0.25">
      <c r="A69" s="245"/>
      <c r="B69" s="1782"/>
      <c r="C69" s="1783"/>
      <c r="D69" s="1783"/>
      <c r="E69" s="1784"/>
      <c r="F69" s="248"/>
      <c r="G69" s="248"/>
      <c r="H69" s="248"/>
      <c r="I69" s="248"/>
      <c r="J69" s="248"/>
      <c r="K69" s="248"/>
    </row>
    <row r="70" spans="1:11" ht="15.75" thickBot="1" x14ac:dyDescent="0.3">
      <c r="A70" s="245"/>
      <c r="B70" s="248"/>
      <c r="C70" s="265"/>
      <c r="D70" s="248"/>
      <c r="E70" s="248"/>
      <c r="F70" s="248"/>
      <c r="G70" s="248"/>
      <c r="H70" s="248"/>
      <c r="I70" s="248"/>
      <c r="J70" s="248"/>
      <c r="K70" s="248"/>
    </row>
    <row r="71" spans="1:11" ht="15.75" thickBot="1" x14ac:dyDescent="0.3">
      <c r="A71" s="245"/>
      <c r="B71" s="1760" t="s">
        <v>56</v>
      </c>
      <c r="C71" s="1761"/>
      <c r="D71" s="1762"/>
      <c r="E71" s="248"/>
      <c r="F71" s="248"/>
      <c r="G71" s="248"/>
      <c r="H71" s="248"/>
      <c r="I71" s="248"/>
      <c r="J71" s="248"/>
      <c r="K71" s="248"/>
    </row>
    <row r="72" spans="1:11" ht="120.75" thickBot="1" x14ac:dyDescent="0.3">
      <c r="A72" s="245"/>
      <c r="B72" s="285" t="s">
        <v>57</v>
      </c>
      <c r="C72" s="282"/>
      <c r="D72" s="275" t="s">
        <v>281</v>
      </c>
      <c r="E72" s="248"/>
      <c r="F72" s="248"/>
      <c r="G72" s="248"/>
      <c r="H72" s="248"/>
      <c r="I72" s="248"/>
      <c r="J72" s="248"/>
      <c r="K72" s="248"/>
    </row>
    <row r="73" spans="1:11" x14ac:dyDescent="0.25">
      <c r="A73" s="245"/>
      <c r="B73" s="1751" t="s">
        <v>59</v>
      </c>
      <c r="C73" s="272"/>
      <c r="D73" s="312" t="s">
        <v>60</v>
      </c>
      <c r="E73" s="248"/>
      <c r="F73" s="248"/>
      <c r="G73" s="248"/>
      <c r="H73" s="248"/>
      <c r="I73" s="248"/>
      <c r="J73" s="248"/>
      <c r="K73" s="248"/>
    </row>
    <row r="74" spans="1:11" ht="96" x14ac:dyDescent="0.25">
      <c r="A74" s="245"/>
      <c r="B74" s="1752"/>
      <c r="C74" s="272"/>
      <c r="D74" s="313" t="s">
        <v>282</v>
      </c>
      <c r="E74" s="248"/>
      <c r="F74" s="248"/>
      <c r="G74" s="248"/>
      <c r="H74" s="248"/>
      <c r="I74" s="248"/>
      <c r="J74" s="248"/>
      <c r="K74" s="248"/>
    </row>
    <row r="75" spans="1:11" ht="60" x14ac:dyDescent="0.25">
      <c r="A75" s="245"/>
      <c r="B75" s="1752"/>
      <c r="C75" s="272"/>
      <c r="D75" s="313" t="s">
        <v>283</v>
      </c>
      <c r="E75" s="248"/>
      <c r="F75" s="248"/>
      <c r="G75" s="248"/>
      <c r="H75" s="248"/>
      <c r="I75" s="248"/>
      <c r="J75" s="248"/>
      <c r="K75" s="248"/>
    </row>
    <row r="76" spans="1:11" x14ac:dyDescent="0.25">
      <c r="A76" s="245"/>
      <c r="B76" s="1752"/>
      <c r="C76" s="272"/>
      <c r="D76" s="312" t="s">
        <v>63</v>
      </c>
      <c r="E76" s="248"/>
      <c r="F76" s="248"/>
      <c r="G76" s="248"/>
      <c r="H76" s="248"/>
      <c r="I76" s="248"/>
      <c r="J76" s="248"/>
      <c r="K76" s="248"/>
    </row>
    <row r="77" spans="1:11" ht="24" x14ac:dyDescent="0.25">
      <c r="A77" s="245"/>
      <c r="B77" s="1752"/>
      <c r="C77" s="272"/>
      <c r="D77" s="313" t="s">
        <v>284</v>
      </c>
      <c r="E77" s="248"/>
      <c r="F77" s="248"/>
      <c r="G77" s="248"/>
      <c r="H77" s="248"/>
      <c r="I77" s="248"/>
      <c r="J77" s="248"/>
      <c r="K77" s="248"/>
    </row>
    <row r="78" spans="1:11" ht="48" x14ac:dyDescent="0.25">
      <c r="A78" s="245"/>
      <c r="B78" s="1752"/>
      <c r="C78" s="272"/>
      <c r="D78" s="313" t="s">
        <v>285</v>
      </c>
      <c r="E78" s="248"/>
      <c r="F78" s="248"/>
      <c r="G78" s="248"/>
      <c r="H78" s="248"/>
      <c r="I78" s="248"/>
      <c r="J78" s="248"/>
      <c r="K78" s="248"/>
    </row>
    <row r="79" spans="1:11" x14ac:dyDescent="0.25">
      <c r="A79" s="245"/>
      <c r="B79" s="1752"/>
      <c r="C79" s="272"/>
      <c r="D79" s="313" t="s">
        <v>286</v>
      </c>
      <c r="E79" s="248"/>
      <c r="F79" s="248"/>
      <c r="G79" s="248"/>
      <c r="H79" s="248"/>
      <c r="I79" s="248"/>
      <c r="J79" s="248"/>
      <c r="K79" s="248"/>
    </row>
    <row r="80" spans="1:11" ht="36" x14ac:dyDescent="0.25">
      <c r="A80" s="245"/>
      <c r="B80" s="1752"/>
      <c r="C80" s="272"/>
      <c r="D80" s="313" t="s">
        <v>287</v>
      </c>
      <c r="E80" s="248"/>
      <c r="F80" s="248"/>
      <c r="G80" s="248"/>
      <c r="H80" s="248"/>
      <c r="I80" s="248"/>
      <c r="J80" s="248"/>
      <c r="K80" s="248"/>
    </row>
    <row r="81" spans="1:11" x14ac:dyDescent="0.25">
      <c r="A81" s="245"/>
      <c r="B81" s="1752"/>
      <c r="C81" s="272"/>
      <c r="D81" s="312" t="s">
        <v>288</v>
      </c>
      <c r="E81" s="248"/>
      <c r="F81" s="248"/>
      <c r="G81" s="248"/>
      <c r="H81" s="248"/>
      <c r="I81" s="248"/>
      <c r="J81" s="248"/>
      <c r="K81" s="248"/>
    </row>
    <row r="82" spans="1:11" x14ac:dyDescent="0.25">
      <c r="A82" s="245"/>
      <c r="B82" s="1752"/>
      <c r="C82" s="272"/>
      <c r="D82" s="313" t="s">
        <v>289</v>
      </c>
      <c r="E82" s="248"/>
      <c r="F82" s="248"/>
      <c r="G82" s="248"/>
      <c r="H82" s="248"/>
      <c r="I82" s="248"/>
      <c r="J82" s="248"/>
      <c r="K82" s="248"/>
    </row>
    <row r="83" spans="1:11" ht="36" x14ac:dyDescent="0.25">
      <c r="A83" s="245"/>
      <c r="B83" s="1752"/>
      <c r="C83" s="272"/>
      <c r="D83" s="313" t="s">
        <v>290</v>
      </c>
      <c r="E83" s="248"/>
      <c r="F83" s="248"/>
      <c r="G83" s="248"/>
      <c r="H83" s="248"/>
      <c r="I83" s="248"/>
      <c r="J83" s="248"/>
      <c r="K83" s="248"/>
    </row>
    <row r="84" spans="1:11" ht="45.75" thickBot="1" x14ac:dyDescent="0.3">
      <c r="A84" s="245"/>
      <c r="B84" s="1753"/>
      <c r="C84" s="282"/>
      <c r="D84" s="346" t="s">
        <v>291</v>
      </c>
      <c r="E84" s="248"/>
      <c r="F84" s="248"/>
      <c r="G84" s="248"/>
      <c r="H84" s="248"/>
      <c r="I84" s="248"/>
      <c r="J84" s="248"/>
      <c r="K84" s="248"/>
    </row>
    <row r="85" spans="1:11" ht="24.75" thickBot="1" x14ac:dyDescent="0.3">
      <c r="A85" s="245"/>
      <c r="B85" s="285" t="s">
        <v>72</v>
      </c>
      <c r="C85" s="282"/>
      <c r="D85" s="275"/>
      <c r="E85" s="248"/>
      <c r="F85" s="248"/>
      <c r="G85" s="248"/>
      <c r="H85" s="248"/>
      <c r="I85" s="248"/>
      <c r="J85" s="248"/>
      <c r="K85" s="248"/>
    </row>
    <row r="86" spans="1:11" ht="228" x14ac:dyDescent="0.25">
      <c r="A86" s="245"/>
      <c r="B86" s="1751" t="s">
        <v>73</v>
      </c>
      <c r="C86" s="272"/>
      <c r="D86" s="313" t="s">
        <v>292</v>
      </c>
      <c r="E86" s="248"/>
      <c r="F86" s="248"/>
      <c r="G86" s="248"/>
      <c r="H86" s="248"/>
      <c r="I86" s="248"/>
      <c r="J86" s="248"/>
      <c r="K86" s="248"/>
    </row>
    <row r="87" spans="1:11" ht="180" x14ac:dyDescent="0.25">
      <c r="A87" s="245"/>
      <c r="B87" s="1752"/>
      <c r="C87" s="272"/>
      <c r="D87" s="313" t="s">
        <v>293</v>
      </c>
      <c r="E87" s="248"/>
      <c r="F87" s="248"/>
      <c r="G87" s="248"/>
      <c r="H87" s="248"/>
      <c r="I87" s="248"/>
      <c r="J87" s="248"/>
      <c r="K87" s="248"/>
    </row>
    <row r="88" spans="1:11" ht="72" x14ac:dyDescent="0.25">
      <c r="A88" s="245"/>
      <c r="B88" s="1752"/>
      <c r="C88" s="272"/>
      <c r="D88" s="313" t="s">
        <v>294</v>
      </c>
      <c r="E88" s="248"/>
      <c r="F88" s="248"/>
      <c r="G88" s="248"/>
      <c r="H88" s="248"/>
      <c r="I88" s="248"/>
      <c r="J88" s="248"/>
      <c r="K88" s="248"/>
    </row>
    <row r="89" spans="1:11" ht="24" x14ac:dyDescent="0.25">
      <c r="A89" s="245"/>
      <c r="B89" s="1752"/>
      <c r="C89" s="272"/>
      <c r="D89" s="313" t="s">
        <v>295</v>
      </c>
      <c r="E89" s="248"/>
      <c r="F89" s="248"/>
      <c r="G89" s="248"/>
      <c r="H89" s="248"/>
      <c r="I89" s="248"/>
      <c r="J89" s="248"/>
      <c r="K89" s="248"/>
    </row>
    <row r="90" spans="1:11" ht="72" x14ac:dyDescent="0.25">
      <c r="A90" s="245"/>
      <c r="B90" s="1752"/>
      <c r="C90" s="272"/>
      <c r="D90" s="347" t="s">
        <v>296</v>
      </c>
      <c r="E90" s="248"/>
      <c r="F90" s="248"/>
      <c r="G90" s="248"/>
      <c r="H90" s="248"/>
      <c r="I90" s="248"/>
      <c r="J90" s="248"/>
      <c r="K90" s="248"/>
    </row>
    <row r="91" spans="1:11" ht="84" x14ac:dyDescent="0.25">
      <c r="A91" s="245"/>
      <c r="B91" s="1752"/>
      <c r="C91" s="272"/>
      <c r="D91" s="347" t="s">
        <v>297</v>
      </c>
      <c r="E91" s="248"/>
      <c r="F91" s="248"/>
      <c r="G91" s="248"/>
      <c r="H91" s="248"/>
      <c r="I91" s="248"/>
      <c r="J91" s="248"/>
      <c r="K91" s="248"/>
    </row>
    <row r="92" spans="1:11" ht="36" x14ac:dyDescent="0.25">
      <c r="A92" s="245"/>
      <c r="B92" s="1752"/>
      <c r="C92" s="272"/>
      <c r="D92" s="347" t="s">
        <v>298</v>
      </c>
      <c r="E92" s="248"/>
      <c r="F92" s="248"/>
      <c r="G92" s="248"/>
      <c r="H92" s="248"/>
      <c r="I92" s="248"/>
      <c r="J92" s="248"/>
      <c r="K92" s="248"/>
    </row>
    <row r="93" spans="1:11" ht="36" x14ac:dyDescent="0.25">
      <c r="A93" s="245"/>
      <c r="B93" s="1752"/>
      <c r="C93" s="272"/>
      <c r="D93" s="347" t="s">
        <v>299</v>
      </c>
      <c r="E93" s="248"/>
      <c r="F93" s="248"/>
      <c r="G93" s="248"/>
      <c r="H93" s="248"/>
      <c r="I93" s="248"/>
      <c r="J93" s="248"/>
      <c r="K93" s="248"/>
    </row>
    <row r="94" spans="1:11" ht="48" x14ac:dyDescent="0.25">
      <c r="A94" s="245"/>
      <c r="B94" s="1752"/>
      <c r="C94" s="272"/>
      <c r="D94" s="347" t="s">
        <v>300</v>
      </c>
      <c r="E94" s="248"/>
      <c r="F94" s="248"/>
      <c r="G94" s="248"/>
      <c r="H94" s="248"/>
      <c r="I94" s="248"/>
      <c r="J94" s="248"/>
      <c r="K94" s="248"/>
    </row>
    <row r="95" spans="1:11" ht="60.75" thickBot="1" x14ac:dyDescent="0.3">
      <c r="A95" s="245"/>
      <c r="B95" s="1753"/>
      <c r="C95" s="282"/>
      <c r="D95" s="348" t="s">
        <v>301</v>
      </c>
      <c r="E95" s="248"/>
      <c r="F95" s="248"/>
      <c r="G95" s="248"/>
      <c r="H95" s="248"/>
      <c r="I95" s="248"/>
      <c r="J95" s="248"/>
      <c r="K95" s="248"/>
    </row>
    <row r="96" spans="1:11" x14ac:dyDescent="0.25">
      <c r="A96" s="245"/>
      <c r="B96" s="1751" t="s">
        <v>90</v>
      </c>
      <c r="C96" s="272"/>
      <c r="D96" s="313"/>
      <c r="E96" s="248"/>
      <c r="F96" s="248"/>
      <c r="G96" s="248"/>
      <c r="H96" s="248"/>
      <c r="I96" s="248"/>
      <c r="J96" s="248"/>
      <c r="K96" s="248"/>
    </row>
    <row r="97" spans="1:11" x14ac:dyDescent="0.25">
      <c r="A97" s="245"/>
      <c r="B97" s="1752"/>
      <c r="C97" s="272"/>
      <c r="D97" s="314"/>
      <c r="E97" s="248"/>
      <c r="F97" s="248"/>
      <c r="G97" s="248"/>
      <c r="H97" s="248"/>
      <c r="I97" s="248"/>
      <c r="J97" s="248"/>
      <c r="K97" s="248"/>
    </row>
    <row r="98" spans="1:11" x14ac:dyDescent="0.25">
      <c r="A98" s="245"/>
      <c r="B98" s="1752"/>
      <c r="C98" s="272"/>
      <c r="D98" s="313" t="s">
        <v>91</v>
      </c>
      <c r="E98" s="248"/>
      <c r="F98" s="248"/>
      <c r="G98" s="248"/>
      <c r="H98" s="248"/>
      <c r="I98" s="248"/>
      <c r="J98" s="248"/>
      <c r="K98" s="248"/>
    </row>
    <row r="99" spans="1:11" ht="61.5" x14ac:dyDescent="0.25">
      <c r="A99" s="245"/>
      <c r="B99" s="1752"/>
      <c r="C99" s="272"/>
      <c r="D99" s="313" t="s">
        <v>302</v>
      </c>
      <c r="E99" s="248"/>
      <c r="F99" s="248"/>
      <c r="G99" s="248"/>
      <c r="H99" s="248"/>
      <c r="I99" s="248"/>
      <c r="J99" s="248"/>
      <c r="K99" s="248"/>
    </row>
    <row r="100" spans="1:11" ht="61.5" x14ac:dyDescent="0.25">
      <c r="A100" s="245"/>
      <c r="B100" s="1752"/>
      <c r="C100" s="272"/>
      <c r="D100" s="313" t="s">
        <v>303</v>
      </c>
      <c r="E100" s="248"/>
      <c r="F100" s="248"/>
      <c r="G100" s="248"/>
      <c r="H100" s="248"/>
      <c r="I100" s="248"/>
      <c r="J100" s="248"/>
      <c r="K100" s="248"/>
    </row>
    <row r="101" spans="1:11" ht="62.25" thickBot="1" x14ac:dyDescent="0.3">
      <c r="A101" s="245"/>
      <c r="B101" s="1753"/>
      <c r="C101" s="282"/>
      <c r="D101" s="275" t="s">
        <v>304</v>
      </c>
      <c r="E101" s="248"/>
      <c r="F101" s="248"/>
      <c r="G101" s="248"/>
      <c r="H101" s="248"/>
      <c r="I101" s="248"/>
      <c r="J101" s="248"/>
      <c r="K101" s="248"/>
    </row>
  </sheetData>
  <mergeCells count="29">
    <mergeCell ref="B10:D10"/>
    <mergeCell ref="F10:S10"/>
    <mergeCell ref="F11:S11"/>
    <mergeCell ref="E12:R12"/>
    <mergeCell ref="E13:R13"/>
    <mergeCell ref="B71:D71"/>
    <mergeCell ref="B73:B84"/>
    <mergeCell ref="B86:B95"/>
    <mergeCell ref="B96:B101"/>
    <mergeCell ref="C21:C22"/>
    <mergeCell ref="D21:D22"/>
    <mergeCell ref="B56:B62"/>
    <mergeCell ref="B69:E69"/>
    <mergeCell ref="D44:I44"/>
    <mergeCell ref="B46:E46"/>
    <mergeCell ref="B47:B53"/>
    <mergeCell ref="B55:E55"/>
    <mergeCell ref="D15:I15"/>
    <mergeCell ref="D20:I20"/>
    <mergeCell ref="D43:I43"/>
    <mergeCell ref="E21:E22"/>
    <mergeCell ref="B15:B20"/>
    <mergeCell ref="F21:F22"/>
    <mergeCell ref="G21:G22"/>
    <mergeCell ref="A1:P1"/>
    <mergeCell ref="A2:P2"/>
    <mergeCell ref="A3:P3"/>
    <mergeCell ref="A4:D4"/>
    <mergeCell ref="A5:P5"/>
  </mergeCells>
  <conditionalFormatting sqref="F10">
    <cfRule type="notContainsBlanks" dxfId="105" priority="4">
      <formula>LEN(TRIM(F10))&gt;0</formula>
    </cfRule>
  </conditionalFormatting>
  <conditionalFormatting sqref="F11:S11">
    <cfRule type="expression" dxfId="104" priority="2">
      <formula>E11="NO SE REPORTA"</formula>
    </cfRule>
    <cfRule type="expression" dxfId="103" priority="3">
      <formula>E10="NO APLICA"</formula>
    </cfRule>
  </conditionalFormatting>
  <conditionalFormatting sqref="E12:R12">
    <cfRule type="expression" dxfId="102"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 ref="E51" r:id="rId2"/>
  </hyperlinks>
  <pageMargins left="0.25" right="0.25" top="0.75" bottom="0.75" header="0.3" footer="0.3"/>
  <pageSetup paperSize="178" orientation="landscape" horizontalDpi="1200" verticalDpi="1200"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U99"/>
  <sheetViews>
    <sheetView showGridLines="0" zoomScale="98" zoomScaleNormal="98" workbookViewId="0">
      <selection activeCell="E12" sqref="E12:R12"/>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314</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1188</v>
      </c>
      <c r="C8" s="262">
        <v>2021</v>
      </c>
      <c r="D8" s="257" t="str">
        <f>IF(E10="NO APLICA","NO APLICA",IF(E11="NO SE REPORTA","SIN INFORMACION",+E19))</f>
        <v>N.A.</v>
      </c>
      <c r="E8" s="264"/>
      <c r="F8" s="248" t="s">
        <v>130</v>
      </c>
      <c r="G8" s="248"/>
      <c r="H8" s="248"/>
      <c r="I8" s="248"/>
      <c r="J8" s="248"/>
      <c r="K8" s="248"/>
    </row>
    <row r="9" spans="1:21" x14ac:dyDescent="0.25">
      <c r="A9" s="245"/>
      <c r="B9" s="497" t="s">
        <v>1189</v>
      </c>
      <c r="C9" s="265"/>
      <c r="D9" s="248"/>
      <c r="E9" s="248"/>
      <c r="F9" s="248"/>
      <c r="G9" s="248"/>
      <c r="H9" s="248"/>
      <c r="I9" s="248"/>
      <c r="J9" s="248"/>
      <c r="K9" s="248"/>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265"/>
      <c r="D14" s="248"/>
      <c r="E14" s="248"/>
      <c r="F14" s="248"/>
      <c r="G14" s="248"/>
      <c r="H14" s="248"/>
      <c r="I14" s="248"/>
      <c r="J14" s="248"/>
      <c r="K14" s="248"/>
    </row>
    <row r="15" spans="1:21" ht="15.6" customHeight="1" thickTop="1" thickBot="1" x14ac:dyDescent="0.3">
      <c r="A15" s="245"/>
      <c r="B15" s="1833" t="s">
        <v>2</v>
      </c>
      <c r="C15" s="268"/>
      <c r="D15" s="1742" t="s">
        <v>336</v>
      </c>
      <c r="E15" s="1743"/>
      <c r="F15" s="1743"/>
      <c r="G15" s="1743"/>
      <c r="H15" s="1743"/>
      <c r="I15" s="1743"/>
      <c r="J15" s="1743"/>
      <c r="K15" s="1744"/>
    </row>
    <row r="16" spans="1:21" ht="15.75" thickBot="1" x14ac:dyDescent="0.3">
      <c r="A16" s="199"/>
      <c r="B16" s="1770"/>
      <c r="C16" s="279" t="s">
        <v>19</v>
      </c>
      <c r="D16" s="273" t="s">
        <v>1196</v>
      </c>
      <c r="E16" s="273" t="s">
        <v>20</v>
      </c>
      <c r="F16" s="273" t="s">
        <v>21</v>
      </c>
      <c r="G16" s="273" t="s">
        <v>22</v>
      </c>
      <c r="H16" s="273" t="s">
        <v>23</v>
      </c>
      <c r="I16" s="229"/>
      <c r="J16" s="199"/>
      <c r="K16" s="274"/>
    </row>
    <row r="17" spans="1:11" ht="24.75" thickBot="1" x14ac:dyDescent="0.3">
      <c r="A17" s="245"/>
      <c r="B17" s="1770"/>
      <c r="C17" s="282" t="s">
        <v>152</v>
      </c>
      <c r="D17" s="275" t="s">
        <v>337</v>
      </c>
      <c r="E17" s="1001">
        <v>0</v>
      </c>
      <c r="F17" s="1001">
        <v>50</v>
      </c>
      <c r="G17" s="1001">
        <v>50</v>
      </c>
      <c r="H17" s="1001">
        <v>50</v>
      </c>
      <c r="I17" s="200"/>
      <c r="J17" s="199"/>
      <c r="K17" s="274"/>
    </row>
    <row r="18" spans="1:11" ht="24.75" thickBot="1" x14ac:dyDescent="0.3">
      <c r="A18" s="245"/>
      <c r="B18" s="1770"/>
      <c r="C18" s="282" t="s">
        <v>154</v>
      </c>
      <c r="D18" s="275" t="s">
        <v>338</v>
      </c>
      <c r="E18" s="1001">
        <v>0</v>
      </c>
      <c r="F18" s="1001">
        <v>0</v>
      </c>
      <c r="G18" s="1001"/>
      <c r="H18" s="1001"/>
      <c r="I18" s="200"/>
      <c r="J18" s="199"/>
      <c r="K18" s="274"/>
    </row>
    <row r="19" spans="1:11" ht="24.75" thickBot="1" x14ac:dyDescent="0.3">
      <c r="A19" s="245"/>
      <c r="B19" s="1770"/>
      <c r="C19" s="282" t="s">
        <v>156</v>
      </c>
      <c r="D19" s="275" t="s">
        <v>339</v>
      </c>
      <c r="E19" s="196" t="str">
        <f>IFERROR(E18/E17,"N.A.")</f>
        <v>N.A.</v>
      </c>
      <c r="F19" s="196">
        <f>IFERROR(F18/F17,"N.A.")</f>
        <v>0</v>
      </c>
      <c r="G19" s="196">
        <f>IFERROR(G18/G17,"N.A.")</f>
        <v>0</v>
      </c>
      <c r="H19" s="196">
        <f>IFERROR(H18/H17,"N.A.")</f>
        <v>0</v>
      </c>
      <c r="I19" s="196"/>
      <c r="J19" s="245"/>
      <c r="K19" s="274"/>
    </row>
    <row r="20" spans="1:11" x14ac:dyDescent="0.25">
      <c r="A20" s="245"/>
      <c r="B20" s="337"/>
      <c r="C20" s="276"/>
      <c r="D20" s="1838" t="s">
        <v>1195</v>
      </c>
      <c r="E20" s="1839"/>
      <c r="F20" s="1839"/>
      <c r="G20" s="1839"/>
      <c r="H20" s="1839"/>
      <c r="I20" s="1839"/>
      <c r="J20" s="1839"/>
      <c r="K20" s="1840"/>
    </row>
    <row r="21" spans="1:11" x14ac:dyDescent="0.25">
      <c r="A21" s="245"/>
      <c r="B21" s="337"/>
      <c r="C21" s="276"/>
      <c r="D21" s="1745" t="s">
        <v>246</v>
      </c>
      <c r="E21" s="1780"/>
      <c r="F21" s="1780"/>
      <c r="G21" s="1780"/>
      <c r="H21" s="1780"/>
      <c r="I21" s="1780"/>
      <c r="J21" s="1780"/>
      <c r="K21" s="1747"/>
    </row>
    <row r="22" spans="1:11" x14ac:dyDescent="0.25">
      <c r="A22" s="245"/>
      <c r="B22" s="337"/>
      <c r="C22" s="276"/>
      <c r="D22" s="1745" t="s">
        <v>333</v>
      </c>
      <c r="E22" s="1780"/>
      <c r="F22" s="1780"/>
      <c r="G22" s="1780"/>
      <c r="H22" s="1780"/>
      <c r="I22" s="1780"/>
      <c r="J22" s="1780"/>
      <c r="K22" s="1747"/>
    </row>
    <row r="23" spans="1:11" ht="15.75" thickBot="1" x14ac:dyDescent="0.3">
      <c r="A23" s="245"/>
      <c r="B23" s="337"/>
      <c r="C23" s="276"/>
      <c r="D23" s="1757" t="s">
        <v>340</v>
      </c>
      <c r="E23" s="1758"/>
      <c r="F23" s="1758"/>
      <c r="G23" s="1758"/>
      <c r="H23" s="1758"/>
      <c r="I23" s="1758"/>
      <c r="J23" s="1758"/>
      <c r="K23" s="1759"/>
    </row>
    <row r="24" spans="1:11" ht="36.75" thickBot="1" x14ac:dyDescent="0.3">
      <c r="A24" s="245"/>
      <c r="B24" s="337"/>
      <c r="C24" s="279" t="s">
        <v>19</v>
      </c>
      <c r="D24" s="273" t="s">
        <v>270</v>
      </c>
      <c r="E24" s="273" t="s">
        <v>341</v>
      </c>
      <c r="F24" s="273" t="s">
        <v>342</v>
      </c>
      <c r="G24" s="273" t="s">
        <v>343</v>
      </c>
      <c r="H24" s="273" t="s">
        <v>344</v>
      </c>
      <c r="I24" s="273" t="s">
        <v>274</v>
      </c>
      <c r="J24" s="273" t="s">
        <v>275</v>
      </c>
      <c r="K24" s="434" t="s">
        <v>55</v>
      </c>
    </row>
    <row r="25" spans="1:11" s="199" customFormat="1" ht="15.75" thickBot="1" x14ac:dyDescent="0.3">
      <c r="B25" s="227"/>
      <c r="C25" s="232">
        <v>1</v>
      </c>
      <c r="D25" s="31"/>
      <c r="E25" s="31"/>
      <c r="F25" s="218"/>
      <c r="G25" s="218"/>
      <c r="H25" s="218"/>
      <c r="I25" s="218"/>
      <c r="J25" s="218"/>
      <c r="K25" s="218"/>
    </row>
    <row r="26" spans="1:11" s="199" customFormat="1" ht="15.75" thickBot="1" x14ac:dyDescent="0.3">
      <c r="B26" s="227"/>
      <c r="C26" s="232">
        <v>2</v>
      </c>
      <c r="D26" s="31"/>
      <c r="E26" s="31"/>
      <c r="F26" s="218"/>
      <c r="G26" s="218"/>
      <c r="H26" s="218"/>
      <c r="I26" s="218"/>
      <c r="J26" s="218"/>
      <c r="K26" s="218"/>
    </row>
    <row r="27" spans="1:11" s="199" customFormat="1" ht="15.75" thickBot="1" x14ac:dyDescent="0.3">
      <c r="B27" s="227"/>
      <c r="C27" s="232">
        <v>3</v>
      </c>
      <c r="D27" s="31"/>
      <c r="E27" s="31"/>
      <c r="F27" s="218"/>
      <c r="G27" s="218"/>
      <c r="H27" s="218"/>
      <c r="I27" s="218"/>
      <c r="J27" s="218"/>
      <c r="K27" s="218"/>
    </row>
    <row r="28" spans="1:11" s="199" customFormat="1" ht="15.75" thickBot="1" x14ac:dyDescent="0.3">
      <c r="B28" s="227"/>
      <c r="C28" s="232">
        <v>4</v>
      </c>
      <c r="D28" s="31"/>
      <c r="E28" s="31"/>
      <c r="F28" s="218"/>
      <c r="G28" s="218"/>
      <c r="H28" s="218"/>
      <c r="I28" s="218"/>
      <c r="J28" s="218"/>
      <c r="K28" s="218"/>
    </row>
    <row r="29" spans="1:11" s="199" customFormat="1" ht="15.75" thickBot="1" x14ac:dyDescent="0.3">
      <c r="B29" s="227"/>
      <c r="C29" s="232">
        <v>5</v>
      </c>
      <c r="D29" s="31"/>
      <c r="E29" s="31"/>
      <c r="F29" s="218"/>
      <c r="G29" s="218"/>
      <c r="H29" s="218"/>
      <c r="I29" s="218"/>
      <c r="J29" s="218"/>
      <c r="K29" s="218"/>
    </row>
    <row r="30" spans="1:11" s="199" customFormat="1" ht="15.75" thickBot="1" x14ac:dyDescent="0.3">
      <c r="B30" s="227"/>
      <c r="C30" s="232">
        <v>6</v>
      </c>
      <c r="D30" s="31"/>
      <c r="E30" s="31"/>
      <c r="F30" s="218"/>
      <c r="G30" s="218"/>
      <c r="H30" s="218"/>
      <c r="I30" s="218"/>
      <c r="J30" s="218"/>
      <c r="K30" s="218"/>
    </row>
    <row r="31" spans="1:11" s="199" customFormat="1" ht="15.75" thickBot="1" x14ac:dyDescent="0.3">
      <c r="B31" s="227"/>
      <c r="C31" s="232">
        <v>7</v>
      </c>
      <c r="D31" s="31"/>
      <c r="E31" s="31"/>
      <c r="F31" s="218"/>
      <c r="G31" s="218"/>
      <c r="H31" s="218"/>
      <c r="I31" s="218"/>
      <c r="J31" s="218"/>
      <c r="K31" s="218"/>
    </row>
    <row r="32" spans="1:11" s="199" customFormat="1" ht="15.75" thickBot="1" x14ac:dyDescent="0.3">
      <c r="B32" s="227"/>
      <c r="C32" s="232">
        <v>8</v>
      </c>
      <c r="D32" s="31"/>
      <c r="E32" s="31"/>
      <c r="F32" s="218"/>
      <c r="G32" s="218"/>
      <c r="H32" s="218"/>
      <c r="I32" s="218"/>
      <c r="J32" s="218"/>
      <c r="K32" s="218"/>
    </row>
    <row r="33" spans="1:11" s="199" customFormat="1" ht="15.75" thickBot="1" x14ac:dyDescent="0.3">
      <c r="B33" s="227"/>
      <c r="C33" s="232">
        <v>9</v>
      </c>
      <c r="D33" s="31"/>
      <c r="E33" s="31"/>
      <c r="F33" s="218"/>
      <c r="G33" s="218"/>
      <c r="H33" s="218"/>
      <c r="I33" s="218"/>
      <c r="J33" s="218"/>
      <c r="K33" s="218"/>
    </row>
    <row r="34" spans="1:11" s="199" customFormat="1" ht="15.75" thickBot="1" x14ac:dyDescent="0.3">
      <c r="B34" s="227"/>
      <c r="C34" s="232">
        <v>10</v>
      </c>
      <c r="D34" s="31"/>
      <c r="E34" s="31"/>
      <c r="F34" s="218"/>
      <c r="G34" s="218"/>
      <c r="H34" s="218"/>
      <c r="I34" s="218"/>
      <c r="J34" s="218"/>
      <c r="K34" s="218"/>
    </row>
    <row r="35" spans="1:11" s="199" customFormat="1" ht="15.75" thickBot="1" x14ac:dyDescent="0.3">
      <c r="B35" s="227"/>
      <c r="C35" s="232">
        <v>11</v>
      </c>
      <c r="D35" s="31"/>
      <c r="E35" s="31"/>
      <c r="F35" s="218"/>
      <c r="G35" s="218"/>
      <c r="H35" s="218"/>
      <c r="I35" s="218"/>
      <c r="J35" s="218"/>
      <c r="K35" s="218"/>
    </row>
    <row r="36" spans="1:11" s="199" customFormat="1" ht="15.75" thickBot="1" x14ac:dyDescent="0.3">
      <c r="B36" s="227"/>
      <c r="C36" s="232">
        <v>12</v>
      </c>
      <c r="D36" s="31"/>
      <c r="E36" s="31"/>
      <c r="F36" s="218"/>
      <c r="G36" s="218"/>
      <c r="H36" s="218"/>
      <c r="I36" s="218"/>
      <c r="J36" s="218"/>
      <c r="K36" s="218"/>
    </row>
    <row r="37" spans="1:11" ht="15.75" thickBot="1" x14ac:dyDescent="0.3">
      <c r="A37" s="245"/>
      <c r="B37" s="285"/>
      <c r="C37" s="282"/>
      <c r="D37" s="275" t="s">
        <v>151</v>
      </c>
      <c r="E37" s="275"/>
      <c r="F37" s="351">
        <f>SUM(F25:F36)</f>
        <v>0</v>
      </c>
      <c r="G37" s="351">
        <f>SUM(G25:G36)</f>
        <v>0</v>
      </c>
      <c r="H37" s="351">
        <f>SUM(H25:H36)</f>
        <v>0</v>
      </c>
      <c r="I37" s="351">
        <f>SUM(I25:I36)</f>
        <v>0</v>
      </c>
      <c r="J37" s="351">
        <f>SUM(J25:J36)</f>
        <v>0</v>
      </c>
      <c r="K37" s="352"/>
    </row>
    <row r="38" spans="1:11" ht="24" customHeight="1" thickBot="1" x14ac:dyDescent="0.3">
      <c r="A38" s="245"/>
      <c r="B38" s="353" t="s">
        <v>34</v>
      </c>
      <c r="C38" s="354"/>
      <c r="D38" s="1754" t="s">
        <v>345</v>
      </c>
      <c r="E38" s="1755"/>
      <c r="F38" s="1755"/>
      <c r="G38" s="1755"/>
      <c r="H38" s="1755"/>
      <c r="I38" s="1755"/>
      <c r="J38" s="1755"/>
      <c r="K38" s="1756"/>
    </row>
    <row r="39" spans="1:11" ht="24" customHeight="1" thickBot="1" x14ac:dyDescent="0.3">
      <c r="A39" s="245"/>
      <c r="B39" s="353" t="s">
        <v>36</v>
      </c>
      <c r="C39" s="354"/>
      <c r="D39" s="1754" t="s">
        <v>346</v>
      </c>
      <c r="E39" s="1755"/>
      <c r="F39" s="1755"/>
      <c r="G39" s="1755"/>
      <c r="H39" s="1755"/>
      <c r="I39" s="1755"/>
      <c r="J39" s="1755"/>
      <c r="K39" s="1756"/>
    </row>
    <row r="40" spans="1:11" ht="15.75" thickBot="1" x14ac:dyDescent="0.3">
      <c r="A40" s="245"/>
      <c r="B40" s="249"/>
      <c r="C40" s="250"/>
      <c r="D40" s="248"/>
      <c r="E40" s="248"/>
      <c r="F40" s="248"/>
      <c r="G40" s="248"/>
      <c r="H40" s="248"/>
      <c r="I40" s="248"/>
      <c r="J40" s="248"/>
      <c r="K40" s="248"/>
    </row>
    <row r="41" spans="1:11" ht="24" customHeight="1" thickBot="1" x14ac:dyDescent="0.3">
      <c r="A41" s="245"/>
      <c r="B41" s="1760" t="s">
        <v>38</v>
      </c>
      <c r="C41" s="1761"/>
      <c r="D41" s="1761"/>
      <c r="E41" s="1762"/>
      <c r="F41" s="248"/>
      <c r="G41" s="248"/>
      <c r="H41" s="248"/>
      <c r="I41" s="248"/>
      <c r="J41" s="248"/>
      <c r="K41" s="248"/>
    </row>
    <row r="42" spans="1:11" ht="15.75" thickBot="1" x14ac:dyDescent="0.3">
      <c r="A42" s="245"/>
      <c r="B42" s="1751">
        <v>1</v>
      </c>
      <c r="C42" s="272"/>
      <c r="D42" s="289" t="s">
        <v>39</v>
      </c>
      <c r="E42" s="31"/>
      <c r="F42" s="248"/>
      <c r="G42" s="248"/>
      <c r="H42" s="248"/>
      <c r="I42" s="248"/>
      <c r="J42" s="248"/>
      <c r="K42" s="248"/>
    </row>
    <row r="43" spans="1:11" ht="15.75" thickBot="1" x14ac:dyDescent="0.3">
      <c r="A43" s="245"/>
      <c r="B43" s="1752"/>
      <c r="C43" s="272"/>
      <c r="D43" s="275" t="s">
        <v>40</v>
      </c>
      <c r="E43" s="31"/>
      <c r="F43" s="248"/>
      <c r="G43" s="248"/>
      <c r="H43" s="248"/>
      <c r="I43" s="248"/>
      <c r="J43" s="248"/>
      <c r="K43" s="248"/>
    </row>
    <row r="44" spans="1:11" ht="15.75" thickBot="1" x14ac:dyDescent="0.3">
      <c r="A44" s="245"/>
      <c r="B44" s="1752"/>
      <c r="C44" s="272"/>
      <c r="D44" s="275" t="s">
        <v>41</v>
      </c>
      <c r="E44" s="31"/>
      <c r="F44" s="248"/>
      <c r="G44" s="248"/>
      <c r="H44" s="248"/>
      <c r="I44" s="248"/>
      <c r="J44" s="248"/>
      <c r="K44" s="248"/>
    </row>
    <row r="45" spans="1:11" ht="15.75" thickBot="1" x14ac:dyDescent="0.3">
      <c r="A45" s="245"/>
      <c r="B45" s="1752"/>
      <c r="C45" s="272"/>
      <c r="D45" s="275" t="s">
        <v>42</v>
      </c>
      <c r="E45" s="31"/>
      <c r="F45" s="248"/>
      <c r="G45" s="248"/>
      <c r="H45" s="248"/>
      <c r="I45" s="248"/>
      <c r="J45" s="248"/>
      <c r="K45" s="248"/>
    </row>
    <row r="46" spans="1:11" ht="15.75" thickBot="1" x14ac:dyDescent="0.3">
      <c r="A46" s="245"/>
      <c r="B46" s="1752"/>
      <c r="C46" s="272"/>
      <c r="D46" s="275" t="s">
        <v>43</v>
      </c>
      <c r="E46" s="31"/>
      <c r="F46" s="248"/>
      <c r="G46" s="248"/>
      <c r="H46" s="248"/>
      <c r="I46" s="248"/>
      <c r="J46" s="248"/>
      <c r="K46" s="248"/>
    </row>
    <row r="47" spans="1:11" ht="15.75" thickBot="1" x14ac:dyDescent="0.3">
      <c r="A47" s="245"/>
      <c r="B47" s="1752"/>
      <c r="C47" s="272"/>
      <c r="D47" s="275" t="s">
        <v>44</v>
      </c>
      <c r="E47" s="31"/>
      <c r="F47" s="248"/>
      <c r="G47" s="248"/>
      <c r="H47" s="248"/>
      <c r="I47" s="248"/>
      <c r="J47" s="248"/>
      <c r="K47" s="248"/>
    </row>
    <row r="48" spans="1:11" ht="15.75" thickBot="1" x14ac:dyDescent="0.3">
      <c r="A48" s="245"/>
      <c r="B48" s="1753"/>
      <c r="C48" s="282"/>
      <c r="D48" s="275" t="s">
        <v>45</v>
      </c>
      <c r="E48" s="31"/>
      <c r="F48" s="248"/>
      <c r="G48" s="248"/>
      <c r="H48" s="248"/>
      <c r="I48" s="248"/>
      <c r="J48" s="248"/>
      <c r="K48" s="248"/>
    </row>
    <row r="49" spans="1:11" ht="15.75" thickBot="1" x14ac:dyDescent="0.3">
      <c r="A49" s="245"/>
      <c r="B49" s="249"/>
      <c r="C49" s="250"/>
      <c r="D49" s="248"/>
      <c r="E49" s="248"/>
      <c r="F49" s="248"/>
      <c r="G49" s="248"/>
      <c r="H49" s="248"/>
      <c r="I49" s="248"/>
      <c r="J49" s="248"/>
      <c r="K49" s="248"/>
    </row>
    <row r="50" spans="1:11" ht="15.75" thickBot="1" x14ac:dyDescent="0.3">
      <c r="A50" s="245"/>
      <c r="B50" s="1760" t="s">
        <v>46</v>
      </c>
      <c r="C50" s="1761"/>
      <c r="D50" s="1761"/>
      <c r="E50" s="1762"/>
      <c r="F50" s="248"/>
      <c r="G50" s="248"/>
      <c r="H50" s="248"/>
      <c r="I50" s="248"/>
      <c r="J50" s="248"/>
      <c r="K50" s="248"/>
    </row>
    <row r="51" spans="1:11" ht="15.75" thickBot="1" x14ac:dyDescent="0.3">
      <c r="A51" s="245"/>
      <c r="B51" s="1751">
        <v>1</v>
      </c>
      <c r="C51" s="272"/>
      <c r="D51" s="289" t="s">
        <v>39</v>
      </c>
      <c r="E51" s="444" t="s">
        <v>47</v>
      </c>
      <c r="F51" s="248"/>
      <c r="G51" s="248"/>
      <c r="H51" s="248"/>
      <c r="I51" s="248"/>
      <c r="J51" s="248"/>
      <c r="K51" s="248"/>
    </row>
    <row r="52" spans="1:11" ht="15.75" thickBot="1" x14ac:dyDescent="0.3">
      <c r="A52" s="245"/>
      <c r="B52" s="1752"/>
      <c r="C52" s="272"/>
      <c r="D52" s="275" t="s">
        <v>40</v>
      </c>
      <c r="E52" s="444" t="s">
        <v>160</v>
      </c>
      <c r="F52" s="248"/>
      <c r="G52" s="248"/>
      <c r="H52" s="248"/>
      <c r="I52" s="248"/>
      <c r="J52" s="248"/>
      <c r="K52" s="248"/>
    </row>
    <row r="53" spans="1:11" ht="15.75" thickBot="1" x14ac:dyDescent="0.3">
      <c r="A53" s="245"/>
      <c r="B53" s="1752"/>
      <c r="C53" s="272"/>
      <c r="D53" s="275" t="s">
        <v>41</v>
      </c>
      <c r="E53" s="315"/>
      <c r="F53" s="248"/>
      <c r="G53" s="248"/>
      <c r="H53" s="248"/>
      <c r="I53" s="248"/>
      <c r="J53" s="248"/>
      <c r="K53" s="248"/>
    </row>
    <row r="54" spans="1:11" ht="15.75" thickBot="1" x14ac:dyDescent="0.3">
      <c r="A54" s="245"/>
      <c r="B54" s="1752"/>
      <c r="C54" s="272"/>
      <c r="D54" s="275" t="s">
        <v>42</v>
      </c>
      <c r="E54" s="315"/>
      <c r="F54" s="248"/>
      <c r="G54" s="248"/>
      <c r="H54" s="248"/>
      <c r="I54" s="248"/>
      <c r="J54" s="248"/>
      <c r="K54" s="248"/>
    </row>
    <row r="55" spans="1:11" ht="15.75" thickBot="1" x14ac:dyDescent="0.3">
      <c r="A55" s="245"/>
      <c r="B55" s="1752"/>
      <c r="C55" s="272"/>
      <c r="D55" s="275" t="s">
        <v>43</v>
      </c>
      <c r="E55" s="315"/>
      <c r="F55" s="248"/>
      <c r="G55" s="248"/>
      <c r="H55" s="248"/>
      <c r="I55" s="248"/>
      <c r="J55" s="248"/>
      <c r="K55" s="248"/>
    </row>
    <row r="56" spans="1:11" ht="15.75" thickBot="1" x14ac:dyDescent="0.3">
      <c r="A56" s="245"/>
      <c r="B56" s="1752"/>
      <c r="C56" s="272"/>
      <c r="D56" s="275" t="s">
        <v>44</v>
      </c>
      <c r="E56" s="315"/>
      <c r="F56" s="248"/>
      <c r="G56" s="248"/>
      <c r="H56" s="248"/>
      <c r="I56" s="248"/>
      <c r="J56" s="248"/>
      <c r="K56" s="248"/>
    </row>
    <row r="57" spans="1:11" ht="15.75" thickBot="1" x14ac:dyDescent="0.3">
      <c r="A57" s="245"/>
      <c r="B57" s="1753"/>
      <c r="C57" s="282"/>
      <c r="D57" s="275" t="s">
        <v>45</v>
      </c>
      <c r="E57" s="315"/>
      <c r="F57" s="248"/>
      <c r="G57" s="248"/>
      <c r="H57" s="248"/>
      <c r="I57" s="248"/>
      <c r="J57" s="248"/>
      <c r="K57" s="248"/>
    </row>
    <row r="58" spans="1:11" ht="15.75" thickBot="1" x14ac:dyDescent="0.3">
      <c r="A58" s="245"/>
      <c r="B58" s="249"/>
      <c r="C58" s="250"/>
      <c r="D58" s="248"/>
      <c r="E58" s="248"/>
      <c r="F58" s="248"/>
      <c r="G58" s="248"/>
      <c r="H58" s="248"/>
      <c r="I58" s="248"/>
      <c r="J58" s="248"/>
      <c r="K58" s="248"/>
    </row>
    <row r="59" spans="1:11" ht="15" customHeight="1" thickBot="1" x14ac:dyDescent="0.3">
      <c r="A59" s="245"/>
      <c r="B59" s="291" t="s">
        <v>49</v>
      </c>
      <c r="C59" s="292"/>
      <c r="D59" s="292"/>
      <c r="E59" s="293"/>
      <c r="F59" s="245"/>
      <c r="G59" s="248"/>
      <c r="H59" s="248"/>
      <c r="I59" s="248"/>
      <c r="J59" s="248"/>
      <c r="K59" s="248"/>
    </row>
    <row r="60" spans="1:11" ht="24.75" thickBot="1" x14ac:dyDescent="0.3">
      <c r="A60" s="245"/>
      <c r="B60" s="285" t="s">
        <v>50</v>
      </c>
      <c r="C60" s="275" t="s">
        <v>51</v>
      </c>
      <c r="D60" s="275" t="s">
        <v>52</v>
      </c>
      <c r="E60" s="275" t="s">
        <v>53</v>
      </c>
      <c r="F60" s="248"/>
      <c r="G60" s="248"/>
      <c r="H60" s="248"/>
      <c r="I60" s="248"/>
      <c r="J60" s="248"/>
      <c r="K60" s="245"/>
    </row>
    <row r="61" spans="1:11" ht="72.75" thickBot="1" x14ac:dyDescent="0.3">
      <c r="A61" s="245"/>
      <c r="B61" s="295">
        <v>42401</v>
      </c>
      <c r="C61" s="275">
        <v>0.01</v>
      </c>
      <c r="D61" s="296" t="s">
        <v>347</v>
      </c>
      <c r="E61" s="275"/>
      <c r="F61" s="248"/>
      <c r="G61" s="248"/>
      <c r="H61" s="248"/>
      <c r="I61" s="248"/>
      <c r="J61" s="248"/>
      <c r="K61" s="245"/>
    </row>
    <row r="62" spans="1:11" ht="15.75" thickBot="1" x14ac:dyDescent="0.3">
      <c r="A62" s="245"/>
      <c r="B62" s="308"/>
      <c r="C62" s="309"/>
      <c r="D62" s="248"/>
      <c r="E62" s="248"/>
      <c r="F62" s="248"/>
      <c r="G62" s="248"/>
      <c r="H62" s="248"/>
      <c r="I62" s="248"/>
      <c r="J62" s="248"/>
      <c r="K62" s="248"/>
    </row>
    <row r="63" spans="1:11" ht="15.75" thickBot="1" x14ac:dyDescent="0.3">
      <c r="A63" s="245"/>
      <c r="B63" s="335" t="s">
        <v>55</v>
      </c>
      <c r="C63" s="298"/>
      <c r="D63" s="248"/>
      <c r="E63" s="248"/>
      <c r="F63" s="248"/>
      <c r="G63" s="248"/>
      <c r="H63" s="248"/>
      <c r="I63" s="248"/>
      <c r="J63" s="248"/>
      <c r="K63" s="248"/>
    </row>
    <row r="64" spans="1:11" x14ac:dyDescent="0.25">
      <c r="A64" s="245"/>
      <c r="B64" s="1791"/>
      <c r="C64" s="1792"/>
      <c r="D64" s="1792"/>
      <c r="E64" s="1792"/>
      <c r="F64" s="248"/>
      <c r="G64" s="248"/>
      <c r="H64" s="248"/>
      <c r="I64" s="248"/>
      <c r="J64" s="248"/>
      <c r="K64" s="248"/>
    </row>
    <row r="65" spans="1:11" x14ac:dyDescent="0.25">
      <c r="A65" s="245"/>
      <c r="B65" s="1791"/>
      <c r="C65" s="1792"/>
      <c r="D65" s="1792"/>
      <c r="E65" s="1792"/>
      <c r="F65" s="248"/>
      <c r="G65" s="248"/>
      <c r="H65" s="248"/>
      <c r="I65" s="248"/>
      <c r="J65" s="248"/>
      <c r="K65" s="248"/>
    </row>
    <row r="66" spans="1:11" ht="15.75" thickBot="1" x14ac:dyDescent="0.3">
      <c r="A66" s="245"/>
      <c r="B66" s="248"/>
      <c r="C66" s="265"/>
      <c r="D66" s="248"/>
      <c r="E66" s="248"/>
      <c r="F66" s="248"/>
      <c r="G66" s="248"/>
      <c r="H66" s="248"/>
      <c r="I66" s="248"/>
      <c r="J66" s="248"/>
      <c r="K66" s="248"/>
    </row>
    <row r="67" spans="1:11" ht="24.75" thickBot="1" x14ac:dyDescent="0.3">
      <c r="A67" s="245"/>
      <c r="B67" s="310" t="s">
        <v>56</v>
      </c>
      <c r="C67" s="311"/>
      <c r="D67" s="248"/>
      <c r="E67" s="248"/>
      <c r="F67" s="248"/>
      <c r="G67" s="248"/>
      <c r="H67" s="248"/>
      <c r="I67" s="248"/>
      <c r="J67" s="248"/>
      <c r="K67" s="248"/>
    </row>
    <row r="68" spans="1:11" ht="15.75" thickBot="1" x14ac:dyDescent="0.3">
      <c r="A68" s="245"/>
      <c r="B68" s="318"/>
      <c r="C68" s="304"/>
      <c r="D68" s="248"/>
      <c r="E68" s="248"/>
      <c r="F68" s="248"/>
      <c r="G68" s="248"/>
      <c r="H68" s="248"/>
      <c r="I68" s="248"/>
      <c r="J68" s="248"/>
      <c r="K68" s="248"/>
    </row>
    <row r="69" spans="1:11" ht="60.75" thickBot="1" x14ac:dyDescent="0.3">
      <c r="A69" s="245"/>
      <c r="B69" s="299" t="s">
        <v>57</v>
      </c>
      <c r="C69" s="279"/>
      <c r="D69" s="273" t="s">
        <v>315</v>
      </c>
      <c r="E69" s="248"/>
      <c r="F69" s="248"/>
      <c r="G69" s="248"/>
      <c r="H69" s="248"/>
      <c r="I69" s="248"/>
      <c r="J69" s="248"/>
      <c r="K69" s="248"/>
    </row>
    <row r="70" spans="1:11" x14ac:dyDescent="0.25">
      <c r="A70" s="245"/>
      <c r="B70" s="1751" t="s">
        <v>59</v>
      </c>
      <c r="C70" s="272"/>
      <c r="D70" s="312" t="s">
        <v>60</v>
      </c>
      <c r="E70" s="248"/>
      <c r="F70" s="248"/>
      <c r="G70" s="248"/>
      <c r="H70" s="248"/>
      <c r="I70" s="248"/>
      <c r="J70" s="248"/>
      <c r="K70" s="248"/>
    </row>
    <row r="71" spans="1:11" ht="72" x14ac:dyDescent="0.25">
      <c r="A71" s="245"/>
      <c r="B71" s="1752"/>
      <c r="C71" s="272"/>
      <c r="D71" s="313" t="s">
        <v>316</v>
      </c>
      <c r="E71" s="248"/>
      <c r="F71" s="248"/>
      <c r="G71" s="248"/>
      <c r="H71" s="248"/>
      <c r="I71" s="248"/>
      <c r="J71" s="248"/>
      <c r="K71" s="248"/>
    </row>
    <row r="72" spans="1:11" x14ac:dyDescent="0.25">
      <c r="A72" s="245"/>
      <c r="B72" s="1752"/>
      <c r="C72" s="272"/>
      <c r="D72" s="312" t="s">
        <v>317</v>
      </c>
      <c r="E72" s="248"/>
      <c r="F72" s="248"/>
      <c r="G72" s="248"/>
      <c r="H72" s="248"/>
      <c r="I72" s="248"/>
      <c r="J72" s="248"/>
      <c r="K72" s="248"/>
    </row>
    <row r="73" spans="1:11" x14ac:dyDescent="0.25">
      <c r="A73" s="245"/>
      <c r="B73" s="1752"/>
      <c r="C73" s="272"/>
      <c r="D73" s="313" t="s">
        <v>318</v>
      </c>
      <c r="E73" s="248"/>
      <c r="F73" s="248"/>
      <c r="G73" s="248"/>
      <c r="H73" s="248"/>
      <c r="I73" s="248"/>
      <c r="J73" s="248"/>
      <c r="K73" s="248"/>
    </row>
    <row r="74" spans="1:11" ht="60" x14ac:dyDescent="0.25">
      <c r="A74" s="245"/>
      <c r="B74" s="1752"/>
      <c r="C74" s="272"/>
      <c r="D74" s="313" t="s">
        <v>319</v>
      </c>
      <c r="E74" s="248"/>
      <c r="F74" s="248"/>
      <c r="G74" s="248"/>
      <c r="H74" s="248"/>
      <c r="I74" s="248"/>
      <c r="J74" s="248"/>
      <c r="K74" s="248"/>
    </row>
    <row r="75" spans="1:11" ht="252" x14ac:dyDescent="0.25">
      <c r="A75" s="245"/>
      <c r="B75" s="1752"/>
      <c r="C75" s="272"/>
      <c r="D75" s="313" t="s">
        <v>320</v>
      </c>
      <c r="E75" s="248"/>
      <c r="F75" s="248"/>
      <c r="G75" s="248"/>
      <c r="H75" s="248"/>
      <c r="I75" s="248"/>
      <c r="J75" s="248"/>
      <c r="K75" s="248"/>
    </row>
    <row r="76" spans="1:11" x14ac:dyDescent="0.25">
      <c r="A76" s="245"/>
      <c r="B76" s="1752"/>
      <c r="C76" s="272"/>
      <c r="D76" s="312" t="s">
        <v>288</v>
      </c>
      <c r="E76" s="248"/>
      <c r="F76" s="248"/>
      <c r="G76" s="248"/>
      <c r="H76" s="248"/>
      <c r="I76" s="248"/>
      <c r="J76" s="248"/>
      <c r="K76" s="248"/>
    </row>
    <row r="77" spans="1:11" ht="15.75" thickBot="1" x14ac:dyDescent="0.3">
      <c r="A77" s="245"/>
      <c r="B77" s="1753"/>
      <c r="C77" s="282"/>
      <c r="D77" s="275" t="s">
        <v>321</v>
      </c>
      <c r="E77" s="248"/>
      <c r="F77" s="248"/>
      <c r="G77" s="248"/>
      <c r="H77" s="248"/>
      <c r="I77" s="248"/>
      <c r="J77" s="248"/>
      <c r="K77" s="248"/>
    </row>
    <row r="78" spans="1:11" x14ac:dyDescent="0.25">
      <c r="A78" s="245"/>
      <c r="B78" s="1751" t="s">
        <v>72</v>
      </c>
      <c r="C78" s="349"/>
      <c r="D78" s="1751"/>
      <c r="E78" s="248"/>
      <c r="F78" s="248"/>
      <c r="G78" s="248"/>
      <c r="H78" s="248"/>
      <c r="I78" s="248"/>
      <c r="J78" s="248"/>
      <c r="K78" s="248"/>
    </row>
    <row r="79" spans="1:11" ht="15.75" thickBot="1" x14ac:dyDescent="0.3">
      <c r="A79" s="245"/>
      <c r="B79" s="1753"/>
      <c r="C79" s="355"/>
      <c r="D79" s="1753"/>
      <c r="E79" s="248"/>
      <c r="F79" s="248"/>
      <c r="G79" s="248"/>
      <c r="H79" s="248"/>
      <c r="I79" s="248"/>
      <c r="J79" s="248"/>
      <c r="K79" s="248"/>
    </row>
    <row r="80" spans="1:11" ht="180" x14ac:dyDescent="0.25">
      <c r="A80" s="245"/>
      <c r="B80" s="1751" t="s">
        <v>73</v>
      </c>
      <c r="C80" s="272"/>
      <c r="D80" s="313" t="s">
        <v>322</v>
      </c>
      <c r="E80" s="248"/>
      <c r="F80" s="248"/>
      <c r="G80" s="248"/>
      <c r="H80" s="248"/>
      <c r="I80" s="248"/>
      <c r="J80" s="248"/>
      <c r="K80" s="248"/>
    </row>
    <row r="81" spans="1:11" ht="120" x14ac:dyDescent="0.25">
      <c r="A81" s="245"/>
      <c r="B81" s="1752"/>
      <c r="C81" s="272"/>
      <c r="D81" s="313" t="s">
        <v>323</v>
      </c>
      <c r="E81" s="248"/>
      <c r="F81" s="248"/>
      <c r="G81" s="248"/>
      <c r="H81" s="248"/>
      <c r="I81" s="248"/>
      <c r="J81" s="248"/>
      <c r="K81" s="248"/>
    </row>
    <row r="82" spans="1:11" ht="120" x14ac:dyDescent="0.25">
      <c r="A82" s="245"/>
      <c r="B82" s="1752"/>
      <c r="C82" s="272"/>
      <c r="D82" s="313" t="s">
        <v>324</v>
      </c>
      <c r="E82" s="248"/>
      <c r="F82" s="248"/>
      <c r="G82" s="248"/>
      <c r="H82" s="248"/>
      <c r="I82" s="248"/>
      <c r="J82" s="248"/>
      <c r="K82" s="248"/>
    </row>
    <row r="83" spans="1:11" ht="84" x14ac:dyDescent="0.25">
      <c r="A83" s="245"/>
      <c r="B83" s="1752"/>
      <c r="C83" s="272"/>
      <c r="D83" s="313" t="s">
        <v>325</v>
      </c>
      <c r="E83" s="248"/>
      <c r="F83" s="248"/>
      <c r="G83" s="248"/>
      <c r="H83" s="248"/>
      <c r="I83" s="248"/>
      <c r="J83" s="248"/>
      <c r="K83" s="248"/>
    </row>
    <row r="84" spans="1:11" ht="72" x14ac:dyDescent="0.25">
      <c r="A84" s="245"/>
      <c r="B84" s="1752"/>
      <c r="C84" s="272"/>
      <c r="D84" s="313" t="s">
        <v>326</v>
      </c>
      <c r="E84" s="248"/>
      <c r="F84" s="248"/>
      <c r="G84" s="248"/>
      <c r="H84" s="248"/>
      <c r="I84" s="248"/>
      <c r="J84" s="248"/>
      <c r="K84" s="248"/>
    </row>
    <row r="85" spans="1:11" ht="192" x14ac:dyDescent="0.25">
      <c r="A85" s="245"/>
      <c r="B85" s="1752"/>
      <c r="C85" s="272"/>
      <c r="D85" s="313" t="s">
        <v>327</v>
      </c>
      <c r="E85" s="248"/>
      <c r="F85" s="248"/>
      <c r="G85" s="248"/>
      <c r="H85" s="248"/>
      <c r="I85" s="248"/>
      <c r="J85" s="248"/>
      <c r="K85" s="248"/>
    </row>
    <row r="86" spans="1:11" ht="108.75" thickBot="1" x14ac:dyDescent="0.3">
      <c r="A86" s="245"/>
      <c r="B86" s="1753"/>
      <c r="C86" s="282"/>
      <c r="D86" s="275" t="s">
        <v>328</v>
      </c>
      <c r="E86" s="248"/>
      <c r="F86" s="248"/>
      <c r="G86" s="248"/>
      <c r="H86" s="248"/>
      <c r="I86" s="248"/>
      <c r="J86" s="248"/>
      <c r="K86" s="248"/>
    </row>
    <row r="87" spans="1:11" ht="24" x14ac:dyDescent="0.25">
      <c r="A87" s="245"/>
      <c r="B87" s="1751" t="s">
        <v>90</v>
      </c>
      <c r="C87" s="272"/>
      <c r="D87" s="312" t="s">
        <v>329</v>
      </c>
      <c r="E87" s="248"/>
      <c r="F87" s="248"/>
      <c r="G87" s="248"/>
      <c r="H87" s="248"/>
      <c r="I87" s="248"/>
      <c r="J87" s="248"/>
      <c r="K87" s="248"/>
    </row>
    <row r="88" spans="1:11" x14ac:dyDescent="0.25">
      <c r="A88" s="245"/>
      <c r="B88" s="1752"/>
      <c r="C88" s="272"/>
      <c r="D88" s="314"/>
      <c r="E88" s="248"/>
      <c r="F88" s="248"/>
      <c r="G88" s="248"/>
      <c r="H88" s="248"/>
      <c r="I88" s="248"/>
      <c r="J88" s="248"/>
      <c r="K88" s="248"/>
    </row>
    <row r="89" spans="1:11" x14ac:dyDescent="0.25">
      <c r="A89" s="245"/>
      <c r="B89" s="1752"/>
      <c r="C89" s="272"/>
      <c r="D89" s="313" t="s">
        <v>91</v>
      </c>
      <c r="E89" s="248"/>
      <c r="F89" s="248"/>
      <c r="G89" s="248"/>
      <c r="H89" s="248"/>
      <c r="I89" s="248"/>
      <c r="J89" s="248"/>
      <c r="K89" s="248"/>
    </row>
    <row r="90" spans="1:11" ht="37.5" x14ac:dyDescent="0.25">
      <c r="A90" s="245"/>
      <c r="B90" s="1752"/>
      <c r="C90" s="272"/>
      <c r="D90" s="313" t="s">
        <v>330</v>
      </c>
      <c r="E90" s="248"/>
      <c r="F90" s="248"/>
      <c r="G90" s="248"/>
      <c r="H90" s="248"/>
      <c r="I90" s="248"/>
      <c r="J90" s="248"/>
      <c r="K90" s="248"/>
    </row>
    <row r="91" spans="1:11" ht="37.5" x14ac:dyDescent="0.25">
      <c r="A91" s="245"/>
      <c r="B91" s="1752"/>
      <c r="C91" s="272"/>
      <c r="D91" s="313" t="s">
        <v>331</v>
      </c>
      <c r="E91" s="248"/>
      <c r="F91" s="248"/>
      <c r="G91" s="248"/>
      <c r="H91" s="248"/>
      <c r="I91" s="248"/>
      <c r="J91" s="248"/>
      <c r="K91" s="248"/>
    </row>
    <row r="92" spans="1:11" ht="37.5" x14ac:dyDescent="0.25">
      <c r="A92" s="245"/>
      <c r="B92" s="1752"/>
      <c r="C92" s="272"/>
      <c r="D92" s="313" t="s">
        <v>332</v>
      </c>
      <c r="E92" s="248"/>
      <c r="F92" s="248"/>
      <c r="G92" s="248"/>
      <c r="H92" s="248"/>
      <c r="I92" s="248"/>
      <c r="J92" s="248"/>
      <c r="K92" s="248"/>
    </row>
    <row r="93" spans="1:11" ht="84" x14ac:dyDescent="0.25">
      <c r="A93" s="245"/>
      <c r="B93" s="1752"/>
      <c r="C93" s="272"/>
      <c r="D93" s="356" t="s">
        <v>235</v>
      </c>
      <c r="E93" s="248"/>
      <c r="F93" s="248"/>
      <c r="G93" s="248"/>
      <c r="H93" s="248"/>
      <c r="I93" s="248"/>
      <c r="J93" s="248"/>
      <c r="K93" s="248"/>
    </row>
    <row r="94" spans="1:11" x14ac:dyDescent="0.25">
      <c r="A94" s="245"/>
      <c r="B94" s="1752"/>
      <c r="C94" s="272"/>
      <c r="D94" s="312" t="s">
        <v>246</v>
      </c>
      <c r="E94" s="248"/>
      <c r="F94" s="248"/>
      <c r="G94" s="248"/>
      <c r="H94" s="248"/>
      <c r="I94" s="248"/>
      <c r="J94" s="248"/>
      <c r="K94" s="248"/>
    </row>
    <row r="95" spans="1:11" ht="36" x14ac:dyDescent="0.25">
      <c r="A95" s="245"/>
      <c r="B95" s="1752"/>
      <c r="C95" s="272"/>
      <c r="D95" s="312" t="s">
        <v>333</v>
      </c>
      <c r="E95" s="248"/>
      <c r="F95" s="248"/>
      <c r="G95" s="248"/>
      <c r="H95" s="248"/>
      <c r="I95" s="248"/>
      <c r="J95" s="248"/>
      <c r="K95" s="248"/>
    </row>
    <row r="96" spans="1:11" x14ac:dyDescent="0.25">
      <c r="A96" s="245"/>
      <c r="B96" s="1752"/>
      <c r="C96" s="272"/>
      <c r="D96" s="314"/>
      <c r="E96" s="248"/>
      <c r="F96" s="248"/>
      <c r="G96" s="248"/>
      <c r="H96" s="248"/>
      <c r="I96" s="248"/>
      <c r="J96" s="248"/>
      <c r="K96" s="248"/>
    </row>
    <row r="97" spans="1:11" x14ac:dyDescent="0.25">
      <c r="A97" s="245"/>
      <c r="B97" s="1752"/>
      <c r="C97" s="272"/>
      <c r="D97" s="313" t="s">
        <v>91</v>
      </c>
      <c r="E97" s="248"/>
      <c r="F97" s="248"/>
      <c r="G97" s="248"/>
      <c r="H97" s="248"/>
      <c r="I97" s="248"/>
      <c r="J97" s="248"/>
      <c r="K97" s="248"/>
    </row>
    <row r="98" spans="1:11" ht="37.5" x14ac:dyDescent="0.25">
      <c r="A98" s="245"/>
      <c r="B98" s="1752"/>
      <c r="C98" s="272"/>
      <c r="D98" s="313" t="s">
        <v>334</v>
      </c>
      <c r="E98" s="248"/>
      <c r="F98" s="248"/>
      <c r="G98" s="248"/>
      <c r="H98" s="248"/>
      <c r="I98" s="248"/>
      <c r="J98" s="248"/>
      <c r="K98" s="248"/>
    </row>
    <row r="99" spans="1:11" ht="62.25" thickBot="1" x14ac:dyDescent="0.3">
      <c r="A99" s="245"/>
      <c r="B99" s="1753"/>
      <c r="C99" s="282"/>
      <c r="D99" s="275" t="s">
        <v>335</v>
      </c>
      <c r="E99" s="248"/>
      <c r="F99" s="248"/>
      <c r="G99" s="248"/>
      <c r="H99" s="248"/>
      <c r="I99" s="248"/>
      <c r="J99" s="248"/>
      <c r="K99" s="248"/>
    </row>
  </sheetData>
  <mergeCells count="28">
    <mergeCell ref="B10:D10"/>
    <mergeCell ref="F10:S10"/>
    <mergeCell ref="F11:S11"/>
    <mergeCell ref="E12:R12"/>
    <mergeCell ref="E13:R13"/>
    <mergeCell ref="B70:B77"/>
    <mergeCell ref="B78:B79"/>
    <mergeCell ref="D78:D79"/>
    <mergeCell ref="B80:B86"/>
    <mergeCell ref="B87:B99"/>
    <mergeCell ref="B64:E65"/>
    <mergeCell ref="D15:K15"/>
    <mergeCell ref="D20:K20"/>
    <mergeCell ref="D21:K21"/>
    <mergeCell ref="D22:K22"/>
    <mergeCell ref="B15:B19"/>
    <mergeCell ref="B51:B57"/>
    <mergeCell ref="D23:K23"/>
    <mergeCell ref="D38:K38"/>
    <mergeCell ref="D39:K39"/>
    <mergeCell ref="B41:E41"/>
    <mergeCell ref="B42:B48"/>
    <mergeCell ref="B50:E50"/>
    <mergeCell ref="A1:P1"/>
    <mergeCell ref="A2:P2"/>
    <mergeCell ref="A3:P3"/>
    <mergeCell ref="A4:D4"/>
    <mergeCell ref="A5:P5"/>
  </mergeCells>
  <conditionalFormatting sqref="F10">
    <cfRule type="notContainsBlanks" dxfId="101" priority="4">
      <formula>LEN(TRIM(F10))&gt;0</formula>
    </cfRule>
  </conditionalFormatting>
  <conditionalFormatting sqref="F11:S11">
    <cfRule type="expression" dxfId="100" priority="2">
      <formula>E11="NO SE REPORTA"</formula>
    </cfRule>
    <cfRule type="expression" dxfId="99" priority="3">
      <formula>E10="NO APLICA"</formula>
    </cfRule>
  </conditionalFormatting>
  <conditionalFormatting sqref="E12:R12">
    <cfRule type="expression" dxfId="98" priority="1">
      <formula>E11="SI SE REPORTA"</formula>
    </cfRule>
  </conditionalFormatting>
  <dataValidations count="6">
    <dataValidation type="whole" operator="greaterThanOrEqual" allowBlank="1" showInputMessage="1" showErrorMessage="1" errorTitle="ERROR" error="Valor en PESOS (sin centavos)" sqref="G25:J36">
      <formula1>0</formula1>
    </dataValidation>
    <dataValidation type="whole" operator="greaterThanOrEqual" allowBlank="1" showInputMessage="1" showErrorMessage="1" errorTitle="ERROR" error="Valor en HECTAREAS (sin decimales)_x000a_" sqref="F25:F36 E17:H18">
      <formula1>0</formula1>
    </dataValidation>
    <dataValidation allowBlank="1" showInputMessage="1" showErrorMessage="1" promptTitle="OJO" prompt="NO TOCAR" sqref="F37:J37"/>
    <dataValidation allowBlank="1" showInputMessage="1" showErrorMessage="1" sqref="E19:H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AF221"/>
  <sheetViews>
    <sheetView tabSelected="1" topLeftCell="A5" zoomScale="80" zoomScaleNormal="80" zoomScaleSheetLayoutView="75" workbookViewId="0">
      <pane xSplit="3" ySplit="5" topLeftCell="D10" activePane="bottomRight" state="frozen"/>
      <selection activeCell="A5" sqref="A5"/>
      <selection pane="topRight" activeCell="D5" sqref="D5"/>
      <selection pane="bottomLeft" activeCell="A10" sqref="A10"/>
      <selection pane="bottomRight" activeCell="AC197" sqref="AC197"/>
    </sheetView>
  </sheetViews>
  <sheetFormatPr baseColWidth="10" defaultRowHeight="12.75" x14ac:dyDescent="0.25"/>
  <cols>
    <col min="1" max="2" width="24.42578125" style="544" customWidth="1"/>
    <col min="3" max="3" width="8.7109375" style="544" customWidth="1"/>
    <col min="4" max="4" width="10" style="544" customWidth="1"/>
    <col min="5" max="5" width="10.85546875" style="544" customWidth="1"/>
    <col min="6" max="6" width="12.140625" style="544" customWidth="1"/>
    <col min="7" max="7" width="11.42578125" style="544" customWidth="1"/>
    <col min="8" max="8" width="16.28515625" style="544" customWidth="1"/>
    <col min="9" max="9" width="10.5703125" style="544" customWidth="1"/>
    <col min="10" max="10" width="11.5703125" style="544" customWidth="1"/>
    <col min="11" max="11" width="16.140625" style="544" customWidth="1"/>
    <col min="12" max="12" width="13.7109375" style="544" customWidth="1"/>
    <col min="13" max="13" width="10.42578125" style="544" customWidth="1"/>
    <col min="14" max="14" width="11.42578125" style="544" customWidth="1"/>
    <col min="15" max="15" width="14.140625" style="544" customWidth="1"/>
    <col min="16" max="17" width="19.42578125" style="544" customWidth="1"/>
    <col min="18" max="18" width="20" style="544" customWidth="1"/>
    <col min="19" max="19" width="11" style="544" customWidth="1"/>
    <col min="20" max="20" width="18.28515625" style="544" customWidth="1"/>
    <col min="21" max="21" width="16.28515625" style="544" customWidth="1"/>
    <col min="22" max="22" width="19.5703125" style="544" customWidth="1"/>
    <col min="23" max="24" width="13" style="544" customWidth="1"/>
    <col min="25" max="25" width="24.5703125" style="544" customWidth="1"/>
    <col min="26" max="26" width="19.140625" style="544" customWidth="1"/>
    <col min="27" max="27" width="15.140625" style="544" customWidth="1"/>
    <col min="28" max="28" width="25" style="544" customWidth="1"/>
    <col min="29" max="29" width="20.7109375" style="544" customWidth="1"/>
    <col min="30" max="30" width="32.5703125" style="544" customWidth="1"/>
    <col min="31" max="31" width="15.7109375" style="544" customWidth="1"/>
    <col min="32" max="16384" width="11.42578125" style="544"/>
  </cols>
  <sheetData>
    <row r="1" spans="1:31" ht="130.5" customHeight="1" thickBot="1" x14ac:dyDescent="0.3">
      <c r="A1" s="1625"/>
      <c r="B1" s="1626"/>
      <c r="C1" s="1626"/>
      <c r="D1" s="1626"/>
      <c r="E1" s="1626"/>
      <c r="F1" s="1626"/>
      <c r="G1" s="1626"/>
      <c r="H1" s="1626"/>
      <c r="I1" s="1626"/>
      <c r="J1" s="1626"/>
      <c r="K1" s="1626"/>
      <c r="L1" s="1626"/>
      <c r="M1" s="1626"/>
      <c r="N1" s="1626"/>
      <c r="O1" s="1626"/>
      <c r="P1" s="1626"/>
      <c r="Q1" s="1626"/>
      <c r="R1" s="1626"/>
      <c r="S1" s="1626"/>
      <c r="T1" s="1626"/>
      <c r="U1" s="1626"/>
      <c r="V1" s="1626"/>
      <c r="W1" s="1626"/>
      <c r="X1" s="1626"/>
      <c r="Y1" s="1626"/>
      <c r="Z1" s="1626"/>
      <c r="AA1" s="1626"/>
      <c r="AB1" s="1626"/>
      <c r="AC1" s="1626"/>
      <c r="AD1" s="1626"/>
      <c r="AE1" s="1627"/>
    </row>
    <row r="2" spans="1:31" s="545" customFormat="1" ht="27.75" customHeight="1" x14ac:dyDescent="0.25">
      <c r="A2" s="1619" t="str">
        <f>+'Datos Generales'!C5</f>
        <v>Corporación Autónoma Regional de La Guajira – CORPOGUAJIRA</v>
      </c>
      <c r="B2" s="1620"/>
      <c r="C2" s="1620"/>
      <c r="D2" s="1620"/>
      <c r="E2" s="1620"/>
      <c r="F2" s="1620"/>
      <c r="G2" s="1620"/>
      <c r="H2" s="1620"/>
      <c r="I2" s="1620"/>
      <c r="J2" s="1620"/>
      <c r="K2" s="1620"/>
      <c r="L2" s="1620"/>
      <c r="M2" s="1620"/>
      <c r="N2" s="1620"/>
      <c r="O2" s="1620"/>
      <c r="P2" s="1620"/>
      <c r="Q2" s="1620"/>
      <c r="R2" s="1620"/>
      <c r="S2" s="1620"/>
      <c r="T2" s="1620"/>
      <c r="U2" s="1620"/>
      <c r="V2" s="1620"/>
      <c r="W2" s="1620"/>
      <c r="X2" s="1620"/>
      <c r="Y2" s="1620"/>
      <c r="Z2" s="1620"/>
      <c r="AA2" s="1620"/>
      <c r="AB2" s="1620"/>
      <c r="AC2" s="1620"/>
      <c r="AD2" s="1620"/>
      <c r="AE2" s="1621"/>
    </row>
    <row r="3" spans="1:31" s="545" customFormat="1" ht="33.75" customHeight="1" thickBot="1" x14ac:dyDescent="0.3">
      <c r="A3" s="1622" t="s">
        <v>1348</v>
      </c>
      <c r="B3" s="1623"/>
      <c r="C3" s="1623"/>
      <c r="D3" s="1623"/>
      <c r="E3" s="1623"/>
      <c r="F3" s="1623"/>
      <c r="G3" s="1623"/>
      <c r="H3" s="1623"/>
      <c r="I3" s="1623"/>
      <c r="J3" s="1623"/>
      <c r="K3" s="1623"/>
      <c r="L3" s="1623"/>
      <c r="M3" s="1623"/>
      <c r="N3" s="1623"/>
      <c r="O3" s="1623"/>
      <c r="P3" s="1623"/>
      <c r="Q3" s="1623"/>
      <c r="R3" s="1623"/>
      <c r="S3" s="1623"/>
      <c r="T3" s="1623"/>
      <c r="U3" s="1623"/>
      <c r="V3" s="1623"/>
      <c r="W3" s="1623"/>
      <c r="X3" s="1623"/>
      <c r="Y3" s="1623"/>
      <c r="Z3" s="1623"/>
      <c r="AA3" s="1623"/>
      <c r="AB3" s="1623"/>
      <c r="AC3" s="1623"/>
      <c r="AD3" s="1623"/>
      <c r="AE3" s="1624"/>
    </row>
    <row r="4" spans="1:31" s="545" customFormat="1" ht="16.5" thickBot="1" x14ac:dyDescent="0.3">
      <c r="A4" s="582" t="s">
        <v>1349</v>
      </c>
      <c r="B4" s="583"/>
      <c r="C4" s="583" t="str">
        <f>'Datos Generales'!C6</f>
        <v>2021-I</v>
      </c>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4"/>
    </row>
    <row r="5" spans="1:31" ht="53.25" customHeight="1" thickBot="1" x14ac:dyDescent="0.3">
      <c r="A5" s="1599" t="s">
        <v>1862</v>
      </c>
      <c r="B5" s="1602" t="s">
        <v>1251</v>
      </c>
      <c r="C5" s="1603"/>
      <c r="D5" s="1603"/>
      <c r="E5" s="1603"/>
      <c r="F5" s="1603"/>
      <c r="G5" s="1603"/>
      <c r="H5" s="1603"/>
      <c r="I5" s="1603"/>
      <c r="J5" s="1603"/>
      <c r="K5" s="1603"/>
      <c r="L5" s="1603"/>
      <c r="M5" s="1603"/>
      <c r="N5" s="1603"/>
      <c r="O5" s="1603"/>
      <c r="P5" s="1604"/>
      <c r="Q5" s="1590" t="s">
        <v>1252</v>
      </c>
      <c r="R5" s="1591"/>
      <c r="S5" s="1591"/>
      <c r="T5" s="1591"/>
      <c r="U5" s="1591"/>
      <c r="V5" s="1591"/>
      <c r="W5" s="1591"/>
      <c r="X5" s="1591"/>
      <c r="Y5" s="1591"/>
      <c r="Z5" s="1591"/>
      <c r="AA5" s="1591"/>
      <c r="AB5" s="1596" t="s">
        <v>1874</v>
      </c>
      <c r="AC5" s="1630" t="s">
        <v>1837</v>
      </c>
      <c r="AD5" s="1633" t="s">
        <v>1838</v>
      </c>
      <c r="AE5" s="1636" t="s">
        <v>1839</v>
      </c>
    </row>
    <row r="6" spans="1:31" s="798" customFormat="1" ht="102" customHeight="1" thickBot="1" x14ac:dyDescent="0.3">
      <c r="A6" s="1600"/>
      <c r="B6" s="1068"/>
      <c r="C6" s="1559" t="s">
        <v>1253</v>
      </c>
      <c r="D6" s="1593" t="s">
        <v>1254</v>
      </c>
      <c r="E6" s="1594"/>
      <c r="F6" s="1593" t="s">
        <v>2648</v>
      </c>
      <c r="G6" s="1594"/>
      <c r="H6" s="791" t="s">
        <v>2647</v>
      </c>
      <c r="I6" s="1593" t="s">
        <v>1255</v>
      </c>
      <c r="J6" s="1594"/>
      <c r="K6" s="1595" t="s">
        <v>1256</v>
      </c>
      <c r="L6" s="1595" t="s">
        <v>1257</v>
      </c>
      <c r="M6" s="1628" t="s">
        <v>1258</v>
      </c>
      <c r="N6" s="1628" t="s">
        <v>1259</v>
      </c>
      <c r="O6" s="1628" t="s">
        <v>1260</v>
      </c>
      <c r="P6" s="1628" t="s">
        <v>1261</v>
      </c>
      <c r="Q6" s="1550" t="s">
        <v>1262</v>
      </c>
      <c r="R6" s="1550" t="s">
        <v>1263</v>
      </c>
      <c r="S6" s="1550" t="s">
        <v>1264</v>
      </c>
      <c r="T6" s="1550" t="s">
        <v>1876</v>
      </c>
      <c r="U6" s="1550" t="s">
        <v>1883</v>
      </c>
      <c r="V6" s="1550" t="s">
        <v>1884</v>
      </c>
      <c r="W6" s="1550" t="s">
        <v>2645</v>
      </c>
      <c r="X6" s="1550" t="s">
        <v>2646</v>
      </c>
      <c r="Y6" s="1605" t="s">
        <v>1871</v>
      </c>
      <c r="Z6" s="1605" t="s">
        <v>1872</v>
      </c>
      <c r="AA6" s="797" t="s">
        <v>1873</v>
      </c>
      <c r="AB6" s="1597"/>
      <c r="AC6" s="1631"/>
      <c r="AD6" s="1634"/>
      <c r="AE6" s="1637"/>
    </row>
    <row r="7" spans="1:31" ht="17.25" customHeight="1" thickBot="1" x14ac:dyDescent="0.3">
      <c r="A7" s="1601"/>
      <c r="B7" s="1040" t="s">
        <v>2937</v>
      </c>
      <c r="C7" s="1560"/>
      <c r="D7" s="790">
        <v>2020</v>
      </c>
      <c r="E7" s="790">
        <v>2021</v>
      </c>
      <c r="F7" s="790">
        <v>2020</v>
      </c>
      <c r="G7" s="790">
        <v>2021</v>
      </c>
      <c r="H7" s="790">
        <v>2020</v>
      </c>
      <c r="I7" s="790">
        <v>2020</v>
      </c>
      <c r="J7" s="790">
        <v>2021</v>
      </c>
      <c r="K7" s="1560"/>
      <c r="L7" s="1560"/>
      <c r="M7" s="1629"/>
      <c r="N7" s="1629"/>
      <c r="O7" s="1629"/>
      <c r="P7" s="1629"/>
      <c r="Q7" s="1551"/>
      <c r="R7" s="1551"/>
      <c r="S7" s="1551"/>
      <c r="T7" s="1551"/>
      <c r="U7" s="1551"/>
      <c r="V7" s="1551"/>
      <c r="W7" s="1551"/>
      <c r="X7" s="1551"/>
      <c r="Y7" s="1606"/>
      <c r="Z7" s="1606"/>
      <c r="AA7" s="799"/>
      <c r="AB7" s="1598"/>
      <c r="AC7" s="1632"/>
      <c r="AD7" s="1635"/>
      <c r="AE7" s="1638"/>
    </row>
    <row r="8" spans="1:31" ht="13.5" thickBot="1" x14ac:dyDescent="0.3">
      <c r="A8" s="1607" t="s">
        <v>2649</v>
      </c>
      <c r="B8" s="1608"/>
      <c r="C8" s="1608"/>
      <c r="D8" s="1609"/>
      <c r="E8" s="808"/>
      <c r="F8" s="800"/>
      <c r="G8" s="800"/>
      <c r="H8" s="800"/>
      <c r="I8" s="1395">
        <f>(I9+I19+I32)/3</f>
        <v>0.95000000000000007</v>
      </c>
      <c r="J8" s="1395">
        <f ca="1">(J9+J19+J32)/3</f>
        <v>0.49863853355819093</v>
      </c>
      <c r="K8" s="547"/>
      <c r="L8" s="794"/>
      <c r="M8" s="792"/>
      <c r="N8" s="1204"/>
      <c r="O8" s="1480" t="e">
        <f ca="1">SUM(O9+O19+O32)/3</f>
        <v>#DIV/0!</v>
      </c>
      <c r="P8" s="795">
        <f>+P9+P19+P32</f>
        <v>0.18</v>
      </c>
      <c r="Q8" s="1482">
        <f>SUM(Q9+Q19+Q32)</f>
        <v>3541160399.48</v>
      </c>
      <c r="R8" s="1482">
        <f>SUM(R9+R19+R32)</f>
        <v>2387992710.1700001</v>
      </c>
      <c r="S8" s="743">
        <f>+R8/Q8</f>
        <v>0.67435316133114553</v>
      </c>
      <c r="T8" s="1482">
        <f>SUM(T9+T19+T32)</f>
        <v>349065316</v>
      </c>
      <c r="U8" s="743">
        <f>+T8/R8</f>
        <v>0.14617520167184689</v>
      </c>
      <c r="V8" s="1482">
        <f>SUM(V9+V19+V32)</f>
        <v>2038927394.1700001</v>
      </c>
      <c r="W8" s="745"/>
      <c r="X8" s="789">
        <f>+W8/V8</f>
        <v>0</v>
      </c>
      <c r="Y8" s="1482">
        <f>SUM(Y9+Y20+Y32)</f>
        <v>3559123716.0900002</v>
      </c>
      <c r="Z8" s="1482">
        <f>SUM(Z9+Z20+Z32)</f>
        <v>1680657889.0900002</v>
      </c>
      <c r="AA8" s="789">
        <f>+Z8/Y8</f>
        <v>0.47221114610096937</v>
      </c>
      <c r="AB8" s="796"/>
      <c r="AC8" s="727"/>
      <c r="AD8" s="728"/>
      <c r="AE8" s="729"/>
    </row>
    <row r="9" spans="1:31" ht="13.5" customHeight="1" thickBot="1" x14ac:dyDescent="0.3">
      <c r="A9" s="1577" t="s">
        <v>2650</v>
      </c>
      <c r="B9" s="1578"/>
      <c r="C9" s="1578"/>
      <c r="D9" s="1084"/>
      <c r="E9" s="809"/>
      <c r="F9" s="801"/>
      <c r="H9" s="801"/>
      <c r="I9" s="1396">
        <v>0.96</v>
      </c>
      <c r="J9" s="1397">
        <f ca="1">+(J10+J11+J12+J13+J14+J15+J17+J18)/8</f>
        <v>0.47195345171242381</v>
      </c>
      <c r="K9" s="549"/>
      <c r="L9" s="732"/>
      <c r="M9" s="549"/>
      <c r="N9" s="1204"/>
      <c r="O9" s="1481">
        <f ca="1">SUM(O10:O18)/9</f>
        <v>0.74814814814814812</v>
      </c>
      <c r="P9" s="730">
        <v>0.05</v>
      </c>
      <c r="Q9" s="1483">
        <f>'informe Gastos'!Y54</f>
        <v>552840733.09000003</v>
      </c>
      <c r="R9" s="1483">
        <f>'informe Gastos'!Z54</f>
        <v>327074464.09000003</v>
      </c>
      <c r="S9" s="734">
        <f t="shared" ref="S9:S32" si="0">+R9/Q9</f>
        <v>0.59162511825400133</v>
      </c>
      <c r="T9" s="1483">
        <f>'informe Gastos'!AA54</f>
        <v>96336440</v>
      </c>
      <c r="U9" s="734">
        <f t="shared" ref="U9:U32" si="1">+T9/R9</f>
        <v>0.29453977786994529</v>
      </c>
      <c r="V9" s="746">
        <f t="shared" ref="V9:V35" si="2">+R9-T9</f>
        <v>230738024.09000003</v>
      </c>
      <c r="W9" s="746"/>
      <c r="X9" s="746"/>
      <c r="Y9" s="1497">
        <f>(375248252+378343721+413714000+436882000)+567223162.09+39848700+105000000-10000000</f>
        <v>2306259835.0900002</v>
      </c>
      <c r="Z9" s="551">
        <f>931610184+R9</f>
        <v>1258684648.0900002</v>
      </c>
      <c r="AA9" s="789">
        <f>+Z9/Y9</f>
        <v>0.54576879367145592</v>
      </c>
      <c r="AB9" s="970" t="s">
        <v>2808</v>
      </c>
      <c r="AC9" s="1506"/>
      <c r="AD9" s="971"/>
      <c r="AE9" s="972"/>
    </row>
    <row r="10" spans="1:31" ht="72" x14ac:dyDescent="0.25">
      <c r="A10" s="1399" t="s">
        <v>2651</v>
      </c>
      <c r="B10" s="1400" t="s">
        <v>2935</v>
      </c>
      <c r="C10" s="810" t="s">
        <v>2652</v>
      </c>
      <c r="D10" s="811">
        <v>0</v>
      </c>
      <c r="E10" s="832">
        <v>0.4</v>
      </c>
      <c r="F10" s="945" t="s">
        <v>2806</v>
      </c>
      <c r="G10" s="815" t="str">
        <f ca="1">'1POMCAS'!D8</f>
        <v>N.A.</v>
      </c>
      <c r="H10" s="1146"/>
      <c r="I10" s="1147" t="e">
        <f t="shared" ref="I10:I72" si="3">IF((F10+H10)/D10&gt;=100%,100%,(F10+H10)/D10)</f>
        <v>#VALUE!</v>
      </c>
      <c r="J10" s="1147">
        <f ca="1">'1POMCAS'!H97</f>
        <v>0</v>
      </c>
      <c r="K10" s="549" t="s">
        <v>3263</v>
      </c>
      <c r="L10" s="733"/>
      <c r="M10" s="832">
        <v>1</v>
      </c>
      <c r="N10" s="1498">
        <f t="shared" ref="N10:N38" ca="1" si="4">SUM(E10:G10)</f>
        <v>0.4</v>
      </c>
      <c r="O10" s="793">
        <f t="shared" ref="O10:O38" ca="1" si="5">IF(N10/M10&gt;=100%,100%,N10/M10)</f>
        <v>0.4</v>
      </c>
      <c r="P10" s="733">
        <f>19%*$P$9</f>
        <v>9.5000000000000015E-3</v>
      </c>
      <c r="Q10" s="1485">
        <f>Q$9*P10/P$9</f>
        <v>105039739.28710002</v>
      </c>
      <c r="R10" s="1486">
        <f>R$9*P10/P$9</f>
        <v>62144148.177100018</v>
      </c>
      <c r="S10" s="734"/>
      <c r="T10" s="746"/>
      <c r="U10" s="734"/>
      <c r="V10" s="746"/>
      <c r="W10" s="746"/>
      <c r="X10" s="746"/>
      <c r="Y10" s="551"/>
      <c r="Z10" s="551"/>
      <c r="AA10" s="735"/>
      <c r="AB10" s="973" t="s">
        <v>2809</v>
      </c>
      <c r="AC10" s="1506" t="s">
        <v>1844</v>
      </c>
      <c r="AD10" s="974" t="s">
        <v>1152</v>
      </c>
      <c r="AE10" s="975" t="s">
        <v>2810</v>
      </c>
    </row>
    <row r="11" spans="1:31" ht="84.75" customHeight="1" x14ac:dyDescent="0.25">
      <c r="A11" s="812" t="s">
        <v>2653</v>
      </c>
      <c r="B11" s="1067" t="s">
        <v>2936</v>
      </c>
      <c r="C11" s="813" t="s">
        <v>2652</v>
      </c>
      <c r="D11" s="814">
        <v>0.25</v>
      </c>
      <c r="E11" s="815">
        <v>0.25</v>
      </c>
      <c r="F11" s="815">
        <v>0.25</v>
      </c>
      <c r="G11" s="815">
        <v>0.33333333333333331</v>
      </c>
      <c r="H11" s="1146"/>
      <c r="I11" s="1147">
        <f t="shared" si="3"/>
        <v>1</v>
      </c>
      <c r="J11" s="1147">
        <f t="shared" ref="J11:J73" si="6">IF(G11/E11&gt;=100%,100%,G11/E11)</f>
        <v>1</v>
      </c>
      <c r="K11" s="1398" t="s">
        <v>3264</v>
      </c>
      <c r="L11" s="733"/>
      <c r="M11" s="815">
        <v>1</v>
      </c>
      <c r="N11" s="1498">
        <f t="shared" si="4"/>
        <v>0.83333333333333326</v>
      </c>
      <c r="O11" s="793">
        <f t="shared" si="5"/>
        <v>0.83333333333333326</v>
      </c>
      <c r="P11" s="733">
        <f>8%*$P$9</f>
        <v>4.0000000000000001E-3</v>
      </c>
      <c r="Q11" s="1485">
        <f t="shared" ref="Q11:Q18" si="7">Q$9*P11/P$9</f>
        <v>44227258.647199996</v>
      </c>
      <c r="R11" s="1486">
        <f t="shared" ref="R11:R18" si="8">R$9*P11/P$9</f>
        <v>26165957.1272</v>
      </c>
      <c r="S11" s="734"/>
      <c r="T11" s="746"/>
      <c r="U11" s="734"/>
      <c r="V11" s="746"/>
      <c r="W11" s="746"/>
      <c r="X11" s="746"/>
      <c r="Y11" s="551"/>
      <c r="Z11" s="551"/>
      <c r="AA11" s="735"/>
      <c r="AB11" s="724"/>
      <c r="AC11" s="1506" t="s">
        <v>1844</v>
      </c>
      <c r="AD11" s="974" t="s">
        <v>1849</v>
      </c>
      <c r="AE11" s="976" t="s">
        <v>2810</v>
      </c>
    </row>
    <row r="12" spans="1:31" ht="165.75" x14ac:dyDescent="0.25">
      <c r="A12" s="816" t="s">
        <v>2654</v>
      </c>
      <c r="B12" s="1069" t="s">
        <v>2938</v>
      </c>
      <c r="C12" s="813" t="s">
        <v>2652</v>
      </c>
      <c r="D12" s="814">
        <v>1</v>
      </c>
      <c r="E12" s="817">
        <v>1</v>
      </c>
      <c r="F12" s="817">
        <v>1</v>
      </c>
      <c r="G12" s="815">
        <f>'24POT'!D7</f>
        <v>0.13333333333333333</v>
      </c>
      <c r="H12" s="1146"/>
      <c r="I12" s="1147">
        <f t="shared" si="3"/>
        <v>1</v>
      </c>
      <c r="J12" s="1147">
        <f t="shared" si="6"/>
        <v>0.13333333333333333</v>
      </c>
      <c r="K12" s="1398" t="s">
        <v>3265</v>
      </c>
      <c r="L12" s="731"/>
      <c r="M12" s="815">
        <v>1</v>
      </c>
      <c r="N12" s="1498">
        <f t="shared" si="4"/>
        <v>2.1333333333333333</v>
      </c>
      <c r="O12" s="793">
        <f t="shared" si="5"/>
        <v>1</v>
      </c>
      <c r="P12" s="733">
        <f>14%*$P$9</f>
        <v>7.000000000000001E-3</v>
      </c>
      <c r="Q12" s="1485">
        <f t="shared" si="7"/>
        <v>77397702.632600009</v>
      </c>
      <c r="R12" s="1486">
        <f t="shared" si="8"/>
        <v>45790424.972600013</v>
      </c>
      <c r="S12" s="734"/>
      <c r="T12" s="746"/>
      <c r="U12" s="734"/>
      <c r="V12" s="746"/>
      <c r="W12" s="746"/>
      <c r="X12" s="746"/>
      <c r="Y12" s="552"/>
      <c r="Z12" s="551"/>
      <c r="AA12" s="735"/>
      <c r="AB12" s="724"/>
      <c r="AC12" s="1506" t="s">
        <v>1844</v>
      </c>
      <c r="AD12" s="974" t="s">
        <v>968</v>
      </c>
      <c r="AE12" s="976" t="s">
        <v>2811</v>
      </c>
    </row>
    <row r="13" spans="1:31" ht="63" customHeight="1" x14ac:dyDescent="0.25">
      <c r="A13" s="818" t="s">
        <v>2655</v>
      </c>
      <c r="B13" s="1049" t="s">
        <v>2939</v>
      </c>
      <c r="C13" s="819" t="s">
        <v>2652</v>
      </c>
      <c r="D13" s="820">
        <v>1</v>
      </c>
      <c r="E13" s="817">
        <v>1</v>
      </c>
      <c r="F13" s="817">
        <v>1</v>
      </c>
      <c r="G13" s="1282">
        <v>6.6666666666666666E-2</v>
      </c>
      <c r="H13" s="1146"/>
      <c r="I13" s="1147">
        <f t="shared" si="3"/>
        <v>1</v>
      </c>
      <c r="J13" s="1147">
        <f t="shared" si="6"/>
        <v>6.6666666666666666E-2</v>
      </c>
      <c r="K13" s="1398" t="s">
        <v>3266</v>
      </c>
      <c r="L13" s="731"/>
      <c r="M13" s="815">
        <v>1</v>
      </c>
      <c r="N13" s="1498">
        <f t="shared" si="4"/>
        <v>2.0666666666666669</v>
      </c>
      <c r="O13" s="793">
        <f t="shared" si="5"/>
        <v>1</v>
      </c>
      <c r="P13" s="733">
        <f>9%*$P$9</f>
        <v>4.4999999999999997E-3</v>
      </c>
      <c r="Q13" s="1485">
        <f t="shared" si="7"/>
        <v>49755665.978100002</v>
      </c>
      <c r="R13" s="1486">
        <f t="shared" si="8"/>
        <v>29436701.768100001</v>
      </c>
      <c r="S13" s="734"/>
      <c r="T13" s="746"/>
      <c r="U13" s="734"/>
      <c r="V13" s="746"/>
      <c r="W13" s="746"/>
      <c r="X13" s="746"/>
      <c r="Y13" s="552"/>
      <c r="Z13" s="551"/>
      <c r="AA13" s="735"/>
      <c r="AB13" s="724"/>
      <c r="AC13" s="1506" t="s">
        <v>1844</v>
      </c>
      <c r="AD13" s="974" t="s">
        <v>968</v>
      </c>
      <c r="AE13" s="976" t="s">
        <v>2811</v>
      </c>
    </row>
    <row r="14" spans="1:31" ht="152.25" customHeight="1" x14ac:dyDescent="0.25">
      <c r="A14" s="1070" t="s">
        <v>2656</v>
      </c>
      <c r="B14" s="1070" t="s">
        <v>2940</v>
      </c>
      <c r="C14" s="813" t="s">
        <v>2652</v>
      </c>
      <c r="D14" s="814">
        <v>1</v>
      </c>
      <c r="E14" s="815">
        <v>1</v>
      </c>
      <c r="F14" s="815">
        <v>1</v>
      </c>
      <c r="G14" s="815">
        <v>1</v>
      </c>
      <c r="H14" s="1146"/>
      <c r="I14" s="1147">
        <f t="shared" si="3"/>
        <v>1</v>
      </c>
      <c r="J14" s="815">
        <f t="shared" si="6"/>
        <v>1</v>
      </c>
      <c r="K14" s="1398" t="s">
        <v>3267</v>
      </c>
      <c r="L14" s="731"/>
      <c r="M14" s="815">
        <v>1</v>
      </c>
      <c r="N14" s="1498">
        <f t="shared" si="4"/>
        <v>3</v>
      </c>
      <c r="O14" s="793">
        <f t="shared" si="5"/>
        <v>1</v>
      </c>
      <c r="P14" s="733">
        <f>12%*$P$9</f>
        <v>6.0000000000000001E-3</v>
      </c>
      <c r="Q14" s="1485">
        <f t="shared" si="7"/>
        <v>66340887.970800005</v>
      </c>
      <c r="R14" s="1486">
        <f t="shared" si="8"/>
        <v>39248935.690800004</v>
      </c>
      <c r="S14" s="734"/>
      <c r="T14" s="746"/>
      <c r="U14" s="734"/>
      <c r="V14" s="746"/>
      <c r="W14" s="746"/>
      <c r="X14" s="746"/>
      <c r="Y14" s="552"/>
      <c r="Z14" s="551"/>
      <c r="AA14" s="735"/>
      <c r="AB14" s="724"/>
      <c r="AC14" s="1506" t="s">
        <v>1844</v>
      </c>
      <c r="AD14" s="974" t="s">
        <v>1849</v>
      </c>
      <c r="AE14" s="976" t="s">
        <v>2812</v>
      </c>
    </row>
    <row r="15" spans="1:31" ht="89.25" x14ac:dyDescent="0.25">
      <c r="A15" s="821" t="s">
        <v>2657</v>
      </c>
      <c r="B15" s="821" t="s">
        <v>2941</v>
      </c>
      <c r="C15" s="813" t="s">
        <v>2652</v>
      </c>
      <c r="D15" s="814">
        <v>0</v>
      </c>
      <c r="E15" s="815">
        <v>0.5</v>
      </c>
      <c r="F15" s="815">
        <v>0</v>
      </c>
      <c r="G15" s="1146">
        <v>0</v>
      </c>
      <c r="H15" s="1146"/>
      <c r="I15" s="1147" t="e">
        <f t="shared" si="3"/>
        <v>#DIV/0!</v>
      </c>
      <c r="J15" s="824">
        <f t="shared" si="6"/>
        <v>0</v>
      </c>
      <c r="K15" s="1398" t="s">
        <v>3268</v>
      </c>
      <c r="L15" s="731"/>
      <c r="M15" s="815">
        <v>1</v>
      </c>
      <c r="N15" s="1498">
        <f t="shared" si="4"/>
        <v>0.5</v>
      </c>
      <c r="O15" s="793">
        <f t="shared" si="5"/>
        <v>0.5</v>
      </c>
      <c r="P15" s="733">
        <f>8%*$P$9</f>
        <v>4.0000000000000001E-3</v>
      </c>
      <c r="Q15" s="1485">
        <f t="shared" si="7"/>
        <v>44227258.647199996</v>
      </c>
      <c r="R15" s="1486">
        <f t="shared" si="8"/>
        <v>26165957.1272</v>
      </c>
      <c r="S15" s="734"/>
      <c r="T15" s="746"/>
      <c r="U15" s="734"/>
      <c r="V15" s="746"/>
      <c r="W15" s="746"/>
      <c r="X15" s="746"/>
      <c r="Y15" s="552"/>
      <c r="Z15" s="551"/>
      <c r="AA15" s="551"/>
      <c r="AB15" s="724"/>
      <c r="AC15" s="1506" t="s">
        <v>1844</v>
      </c>
      <c r="AD15" s="974" t="s">
        <v>1849</v>
      </c>
      <c r="AE15" s="976" t="s">
        <v>2810</v>
      </c>
    </row>
    <row r="16" spans="1:31" ht="48" x14ac:dyDescent="0.25">
      <c r="A16" s="822" t="s">
        <v>2658</v>
      </c>
      <c r="B16" s="822" t="s">
        <v>2942</v>
      </c>
      <c r="C16" s="813" t="s">
        <v>2652</v>
      </c>
      <c r="D16" s="814">
        <v>0</v>
      </c>
      <c r="E16" s="815">
        <v>0</v>
      </c>
      <c r="F16" s="815" t="s">
        <v>2806</v>
      </c>
      <c r="G16" s="1146" t="str">
        <f>'10Paramos'!D8</f>
        <v>NO APLICA</v>
      </c>
      <c r="H16" s="1146"/>
      <c r="I16" s="1147" t="e">
        <f t="shared" si="3"/>
        <v>#VALUE!</v>
      </c>
      <c r="J16" s="824" t="e">
        <f t="shared" si="6"/>
        <v>#VALUE!</v>
      </c>
      <c r="K16" s="824" t="s">
        <v>3269</v>
      </c>
      <c r="L16" s="731"/>
      <c r="M16" s="824" t="s">
        <v>2807</v>
      </c>
      <c r="N16" s="1498">
        <f t="shared" si="4"/>
        <v>0</v>
      </c>
      <c r="O16" s="793">
        <v>0</v>
      </c>
      <c r="P16" s="733">
        <v>0</v>
      </c>
      <c r="Q16" s="1485">
        <f t="shared" si="7"/>
        <v>0</v>
      </c>
      <c r="R16" s="1486">
        <f t="shared" si="8"/>
        <v>0</v>
      </c>
      <c r="S16" s="552"/>
      <c r="T16" s="746"/>
      <c r="U16" s="552"/>
      <c r="V16" s="746"/>
      <c r="W16" s="746"/>
      <c r="X16" s="746"/>
      <c r="Y16" s="552"/>
      <c r="Z16" s="551"/>
      <c r="AA16" s="551"/>
      <c r="AB16" s="977" t="s">
        <v>2813</v>
      </c>
      <c r="AC16" s="1506" t="s">
        <v>1844</v>
      </c>
      <c r="AD16" s="974" t="s">
        <v>396</v>
      </c>
      <c r="AE16" s="978"/>
    </row>
    <row r="17" spans="1:32" ht="75.75" customHeight="1" x14ac:dyDescent="0.25">
      <c r="A17" s="1071" t="s">
        <v>2659</v>
      </c>
      <c r="B17" s="1050" t="s">
        <v>2943</v>
      </c>
      <c r="C17" s="813" t="s">
        <v>2660</v>
      </c>
      <c r="D17" s="823">
        <v>40000</v>
      </c>
      <c r="E17" s="824">
        <v>42122</v>
      </c>
      <c r="F17" s="824">
        <v>40000</v>
      </c>
      <c r="G17" s="1146">
        <v>42000</v>
      </c>
      <c r="H17" s="1146"/>
      <c r="I17" s="1147">
        <f t="shared" si="3"/>
        <v>1</v>
      </c>
      <c r="J17" s="1282">
        <f t="shared" si="6"/>
        <v>0.99710365129860878</v>
      </c>
      <c r="K17" s="1398" t="s">
        <v>3270</v>
      </c>
      <c r="L17" s="731"/>
      <c r="M17" s="824">
        <v>99096</v>
      </c>
      <c r="N17" s="1503">
        <f t="shared" si="4"/>
        <v>124122</v>
      </c>
      <c r="O17" s="793">
        <f t="shared" si="5"/>
        <v>1</v>
      </c>
      <c r="P17" s="733">
        <f>24%*$P$9</f>
        <v>1.2E-2</v>
      </c>
      <c r="Q17" s="1485">
        <f t="shared" si="7"/>
        <v>132681775.94160001</v>
      </c>
      <c r="R17" s="1486">
        <f t="shared" si="8"/>
        <v>78497871.381600007</v>
      </c>
      <c r="S17" s="1201"/>
      <c r="T17" s="746"/>
      <c r="U17" s="552"/>
      <c r="V17" s="746"/>
      <c r="W17" s="746"/>
      <c r="X17" s="746"/>
      <c r="Y17" s="552"/>
      <c r="Z17" s="551"/>
      <c r="AA17" s="551"/>
      <c r="AB17" s="724"/>
      <c r="AC17" s="1506" t="s">
        <v>1844</v>
      </c>
      <c r="AD17" s="974" t="s">
        <v>348</v>
      </c>
      <c r="AE17" s="976" t="s">
        <v>2814</v>
      </c>
    </row>
    <row r="18" spans="1:32" ht="51.75" customHeight="1" thickBot="1" x14ac:dyDescent="0.3">
      <c r="A18" s="825" t="s">
        <v>2661</v>
      </c>
      <c r="B18" s="1079" t="s">
        <v>1070</v>
      </c>
      <c r="C18" s="826" t="s">
        <v>2652</v>
      </c>
      <c r="D18" s="827">
        <v>1</v>
      </c>
      <c r="E18" s="828">
        <v>1</v>
      </c>
      <c r="F18" s="828">
        <v>0.79</v>
      </c>
      <c r="G18" s="828">
        <f>'26SIAC'!D8</f>
        <v>0.5785239624007813</v>
      </c>
      <c r="H18" s="1148"/>
      <c r="I18" s="1046">
        <f t="shared" si="3"/>
        <v>0.79</v>
      </c>
      <c r="J18" s="828">
        <f t="shared" si="6"/>
        <v>0.5785239624007813</v>
      </c>
      <c r="K18" s="1398" t="s">
        <v>3271</v>
      </c>
      <c r="L18" s="549"/>
      <c r="M18" s="828">
        <v>1</v>
      </c>
      <c r="N18" s="1498">
        <f t="shared" si="4"/>
        <v>2.3685239624007814</v>
      </c>
      <c r="O18" s="793">
        <f t="shared" si="5"/>
        <v>1</v>
      </c>
      <c r="P18" s="733">
        <f>6%*$P$9</f>
        <v>3.0000000000000001E-3</v>
      </c>
      <c r="Q18" s="1485">
        <f t="shared" si="7"/>
        <v>33170443.985400002</v>
      </c>
      <c r="R18" s="1486">
        <f t="shared" si="8"/>
        <v>19624467.845400002</v>
      </c>
      <c r="S18" s="1201"/>
      <c r="T18" s="746"/>
      <c r="U18" s="552"/>
      <c r="V18" s="746"/>
      <c r="W18" s="746"/>
      <c r="X18" s="746"/>
      <c r="Y18" s="552"/>
      <c r="Z18" s="551"/>
      <c r="AA18" s="551"/>
      <c r="AB18" s="725"/>
      <c r="AC18" s="1506" t="s">
        <v>1844</v>
      </c>
      <c r="AD18" s="974" t="s">
        <v>1070</v>
      </c>
      <c r="AE18" s="979"/>
    </row>
    <row r="19" spans="1:32" ht="13.5" customHeight="1" thickBot="1" x14ac:dyDescent="0.3">
      <c r="A19" s="1617" t="s">
        <v>2662</v>
      </c>
      <c r="B19" s="1618"/>
      <c r="C19" s="1451"/>
      <c r="D19" s="1452"/>
      <c r="E19" s="938"/>
      <c r="F19" s="1078">
        <v>0.89</v>
      </c>
      <c r="G19" s="1453"/>
      <c r="H19" s="1453"/>
      <c r="I19" s="1402">
        <v>0.89</v>
      </c>
      <c r="J19" s="1249">
        <f>+(J20+J21+J23+J24+J25+J26+J27+J28+J30+J31)/10</f>
        <v>0.68269230769230771</v>
      </c>
      <c r="K19" s="1398"/>
      <c r="L19" s="549"/>
      <c r="M19" s="829"/>
      <c r="N19" s="1498">
        <f t="shared" si="4"/>
        <v>0.89</v>
      </c>
      <c r="O19" s="793" t="e">
        <f t="shared" si="5"/>
        <v>#DIV/0!</v>
      </c>
      <c r="P19" s="735">
        <v>0.08</v>
      </c>
      <c r="Q19" s="1483">
        <f>'informe Gastos'!Y57</f>
        <v>2555679153.3899999</v>
      </c>
      <c r="R19" s="1483">
        <f>'informe Gastos'!Z57</f>
        <v>1836290212.0799999</v>
      </c>
      <c r="S19" s="1492">
        <f t="shared" si="0"/>
        <v>0.71851359340011012</v>
      </c>
      <c r="T19" s="1483">
        <f>'informe Gastos'!AA57</f>
        <v>179284675</v>
      </c>
      <c r="U19" s="1201">
        <f t="shared" si="1"/>
        <v>9.7634172322315513E-2</v>
      </c>
      <c r="V19" s="746">
        <f t="shared" si="2"/>
        <v>1657005537.0799999</v>
      </c>
      <c r="W19" s="746"/>
      <c r="X19" s="746"/>
      <c r="Y19" s="552">
        <f>(1685158056+245183192+305109000+322195000)-39848700+4028421981.4+1408415700-10000000+163516000</f>
        <v>8108150229.3999996</v>
      </c>
      <c r="Z19" s="551">
        <f>5184194334+R19</f>
        <v>7020484546.0799999</v>
      </c>
      <c r="AA19" s="789">
        <f>+Z19/Y19</f>
        <v>0.86585526260032231</v>
      </c>
      <c r="AB19" s="980"/>
      <c r="AC19" s="1506"/>
      <c r="AD19" s="974"/>
      <c r="AE19" s="981"/>
    </row>
    <row r="20" spans="1:32" ht="83.25" customHeight="1" x14ac:dyDescent="0.25">
      <c r="A20" s="1080" t="s">
        <v>2663</v>
      </c>
      <c r="B20" s="1081" t="s">
        <v>2944</v>
      </c>
      <c r="C20" s="1082" t="s">
        <v>2652</v>
      </c>
      <c r="D20" s="831">
        <v>0.25</v>
      </c>
      <c r="E20" s="832">
        <v>0.5</v>
      </c>
      <c r="F20" s="832">
        <v>1</v>
      </c>
      <c r="G20" s="927">
        <f>+'7Clima'!D8</f>
        <v>1</v>
      </c>
      <c r="H20" s="1149"/>
      <c r="I20" s="1047">
        <f t="shared" si="3"/>
        <v>1</v>
      </c>
      <c r="J20" s="832">
        <f t="shared" si="6"/>
        <v>1</v>
      </c>
      <c r="K20" s="1401" t="s">
        <v>3272</v>
      </c>
      <c r="L20" s="553"/>
      <c r="M20" s="941">
        <v>1</v>
      </c>
      <c r="N20" s="1498">
        <f t="shared" si="4"/>
        <v>2.5</v>
      </c>
      <c r="O20" s="793">
        <f t="shared" si="5"/>
        <v>1</v>
      </c>
      <c r="P20" s="733">
        <f>10%*$P$19</f>
        <v>8.0000000000000002E-3</v>
      </c>
      <c r="Q20" s="1485">
        <f>Q$19*P20/P$19</f>
        <v>255567915.33900002</v>
      </c>
      <c r="R20" s="1486">
        <f>R$19*P20/P$19</f>
        <v>183629021.208</v>
      </c>
      <c r="S20" s="1487"/>
      <c r="T20" s="747"/>
      <c r="U20" s="555"/>
      <c r="V20" s="747"/>
      <c r="W20" s="747"/>
      <c r="X20" s="747"/>
      <c r="Y20" s="552"/>
      <c r="Z20" s="554"/>
      <c r="AA20" s="554"/>
      <c r="AB20" s="796"/>
      <c r="AC20" s="1507" t="s">
        <v>1845</v>
      </c>
      <c r="AD20" s="974" t="s">
        <v>280</v>
      </c>
      <c r="AE20" s="975" t="s">
        <v>2815</v>
      </c>
    </row>
    <row r="21" spans="1:32" ht="66" customHeight="1" x14ac:dyDescent="0.25">
      <c r="A21" s="833" t="s">
        <v>2664</v>
      </c>
      <c r="B21" s="1051" t="s">
        <v>2945</v>
      </c>
      <c r="C21" s="1083" t="s">
        <v>2665</v>
      </c>
      <c r="D21" s="835">
        <v>0</v>
      </c>
      <c r="E21" s="824">
        <v>1</v>
      </c>
      <c r="F21" s="824">
        <v>0</v>
      </c>
      <c r="G21" s="1148">
        <v>0</v>
      </c>
      <c r="H21" s="1148"/>
      <c r="I21" s="1147" t="e">
        <f t="shared" si="3"/>
        <v>#DIV/0!</v>
      </c>
      <c r="J21" s="824">
        <f t="shared" si="6"/>
        <v>0</v>
      </c>
      <c r="K21" s="1401" t="s">
        <v>3273</v>
      </c>
      <c r="L21" s="553"/>
      <c r="M21" s="942">
        <v>1</v>
      </c>
      <c r="N21" s="1498">
        <f t="shared" si="4"/>
        <v>1</v>
      </c>
      <c r="O21" s="793">
        <f t="shared" si="5"/>
        <v>1</v>
      </c>
      <c r="P21" s="733">
        <f>3%*$P$19</f>
        <v>2.3999999999999998E-3</v>
      </c>
      <c r="Q21" s="1485">
        <f t="shared" ref="Q21:Q31" si="9">Q$19*P21/P$19</f>
        <v>76670374.601699993</v>
      </c>
      <c r="R21" s="1486">
        <f t="shared" ref="R21:R31" si="10">R$19*P21/P$19</f>
        <v>55088706.362399995</v>
      </c>
      <c r="S21" s="1487"/>
      <c r="T21" s="747"/>
      <c r="U21" s="555"/>
      <c r="V21" s="747"/>
      <c r="W21" s="747"/>
      <c r="X21" s="747"/>
      <c r="Y21" s="555"/>
      <c r="Z21" s="554"/>
      <c r="AA21" s="554"/>
      <c r="AB21" s="724"/>
      <c r="AC21" s="1507" t="s">
        <v>1845</v>
      </c>
      <c r="AD21" s="974" t="s">
        <v>1849</v>
      </c>
      <c r="AE21" s="976" t="s">
        <v>2815</v>
      </c>
    </row>
    <row r="22" spans="1:32" ht="37.5" customHeight="1" x14ac:dyDescent="0.25">
      <c r="A22" s="836" t="s">
        <v>2666</v>
      </c>
      <c r="B22" s="850" t="s">
        <v>2946</v>
      </c>
      <c r="C22" s="837" t="s">
        <v>2652</v>
      </c>
      <c r="D22" s="838">
        <v>0</v>
      </c>
      <c r="E22" s="815">
        <v>0</v>
      </c>
      <c r="F22" s="815">
        <v>0</v>
      </c>
      <c r="G22" s="1148">
        <v>0</v>
      </c>
      <c r="H22" s="1148"/>
      <c r="I22" s="1147" t="e">
        <f t="shared" si="3"/>
        <v>#DIV/0!</v>
      </c>
      <c r="J22" s="824" t="e">
        <f t="shared" si="6"/>
        <v>#DIV/0!</v>
      </c>
      <c r="K22" s="553" t="s">
        <v>3274</v>
      </c>
      <c r="L22" s="553"/>
      <c r="M22" s="943">
        <v>0.4</v>
      </c>
      <c r="N22" s="1498">
        <f t="shared" si="4"/>
        <v>0</v>
      </c>
      <c r="O22" s="793">
        <f t="shared" si="5"/>
        <v>0</v>
      </c>
      <c r="P22" s="733">
        <f t="shared" ref="P22:P24" si="11">10%*$P$19</f>
        <v>8.0000000000000002E-3</v>
      </c>
      <c r="Q22" s="1485">
        <f t="shared" si="9"/>
        <v>255567915.33900002</v>
      </c>
      <c r="R22" s="1486">
        <f t="shared" si="10"/>
        <v>183629021.208</v>
      </c>
      <c r="S22" s="1487"/>
      <c r="T22" s="747"/>
      <c r="U22" s="555"/>
      <c r="V22" s="747"/>
      <c r="W22" s="747"/>
      <c r="X22" s="747"/>
      <c r="Y22" s="555"/>
      <c r="Z22" s="554"/>
      <c r="AA22" s="554"/>
      <c r="AB22" s="724"/>
      <c r="AC22" s="1507" t="s">
        <v>1845</v>
      </c>
      <c r="AD22" s="974" t="s">
        <v>1849</v>
      </c>
      <c r="AE22" s="976" t="s">
        <v>2815</v>
      </c>
    </row>
    <row r="23" spans="1:32" ht="87.75" customHeight="1" x14ac:dyDescent="0.25">
      <c r="A23" s="839" t="s">
        <v>2667</v>
      </c>
      <c r="B23" s="1072" t="s">
        <v>2947</v>
      </c>
      <c r="C23" s="834" t="s">
        <v>2665</v>
      </c>
      <c r="D23" s="840">
        <v>1</v>
      </c>
      <c r="E23" s="824">
        <v>1</v>
      </c>
      <c r="F23" s="824">
        <v>1</v>
      </c>
      <c r="G23" s="1148">
        <v>1</v>
      </c>
      <c r="H23" s="1148"/>
      <c r="I23" s="1147">
        <f t="shared" si="3"/>
        <v>1</v>
      </c>
      <c r="J23" s="815">
        <f t="shared" si="6"/>
        <v>1</v>
      </c>
      <c r="K23" s="1401" t="s">
        <v>3275</v>
      </c>
      <c r="L23" s="553"/>
      <c r="M23" s="942">
        <v>5</v>
      </c>
      <c r="N23" s="1498">
        <f t="shared" si="4"/>
        <v>3</v>
      </c>
      <c r="O23" s="793">
        <f t="shared" si="5"/>
        <v>0.6</v>
      </c>
      <c r="P23" s="733">
        <f>7%*$P$19</f>
        <v>5.6000000000000008E-3</v>
      </c>
      <c r="Q23" s="1485">
        <f t="shared" si="9"/>
        <v>178897540.73730001</v>
      </c>
      <c r="R23" s="1486">
        <f t="shared" si="10"/>
        <v>128540314.84559999</v>
      </c>
      <c r="S23" s="1487"/>
      <c r="T23" s="747"/>
      <c r="U23" s="555"/>
      <c r="V23" s="747"/>
      <c r="W23" s="747"/>
      <c r="X23" s="747"/>
      <c r="Y23" s="555"/>
      <c r="Z23" s="554"/>
      <c r="AA23" s="554"/>
      <c r="AB23" s="724"/>
      <c r="AC23" s="1507" t="s">
        <v>1845</v>
      </c>
      <c r="AD23" s="974" t="s">
        <v>1849</v>
      </c>
      <c r="AE23" s="976" t="s">
        <v>2815</v>
      </c>
      <c r="AF23" s="544" t="s">
        <v>3572</v>
      </c>
    </row>
    <row r="24" spans="1:32" ht="153.75" thickBot="1" x14ac:dyDescent="0.3">
      <c r="A24" s="841" t="s">
        <v>2668</v>
      </c>
      <c r="B24" s="1052" t="s">
        <v>2948</v>
      </c>
      <c r="C24" s="834" t="s">
        <v>2665</v>
      </c>
      <c r="D24" s="840">
        <v>0</v>
      </c>
      <c r="E24" s="824">
        <v>1</v>
      </c>
      <c r="F24" s="824">
        <v>0</v>
      </c>
      <c r="G24" s="1150">
        <v>1</v>
      </c>
      <c r="H24" s="1150"/>
      <c r="I24" s="1147" t="e">
        <f t="shared" si="3"/>
        <v>#DIV/0!</v>
      </c>
      <c r="J24" s="815">
        <f t="shared" si="6"/>
        <v>1</v>
      </c>
      <c r="K24" s="1403" t="s">
        <v>3276</v>
      </c>
      <c r="L24" s="556"/>
      <c r="M24" s="942">
        <v>4</v>
      </c>
      <c r="N24" s="1498">
        <f t="shared" si="4"/>
        <v>2</v>
      </c>
      <c r="O24" s="793">
        <f t="shared" si="5"/>
        <v>0.5</v>
      </c>
      <c r="P24" s="733">
        <f t="shared" si="11"/>
        <v>8.0000000000000002E-3</v>
      </c>
      <c r="Q24" s="1485">
        <f t="shared" si="9"/>
        <v>255567915.33900002</v>
      </c>
      <c r="R24" s="1486">
        <f t="shared" si="10"/>
        <v>183629021.208</v>
      </c>
      <c r="S24" s="1488"/>
      <c r="T24" s="748"/>
      <c r="U24" s="558"/>
      <c r="V24" s="748"/>
      <c r="W24" s="748"/>
      <c r="X24" s="748"/>
      <c r="Y24" s="558"/>
      <c r="Z24" s="557"/>
      <c r="AA24" s="557"/>
      <c r="AB24" s="724"/>
      <c r="AC24" s="1507" t="s">
        <v>1845</v>
      </c>
      <c r="AD24" s="974" t="s">
        <v>1849</v>
      </c>
      <c r="AE24" s="976" t="s">
        <v>2815</v>
      </c>
    </row>
    <row r="25" spans="1:32" ht="90" x14ac:dyDescent="0.25">
      <c r="A25" s="993" t="s">
        <v>2669</v>
      </c>
      <c r="B25" s="1053" t="s">
        <v>2949</v>
      </c>
      <c r="C25" s="834" t="s">
        <v>2665</v>
      </c>
      <c r="D25" s="840">
        <v>1</v>
      </c>
      <c r="E25" s="824">
        <v>1</v>
      </c>
      <c r="F25" s="824">
        <v>1</v>
      </c>
      <c r="G25" s="1151">
        <v>0</v>
      </c>
      <c r="H25" s="1151"/>
      <c r="I25" s="1147">
        <f t="shared" si="3"/>
        <v>1</v>
      </c>
      <c r="J25" s="824">
        <f t="shared" si="6"/>
        <v>0</v>
      </c>
      <c r="K25" s="1404" t="s">
        <v>3277</v>
      </c>
      <c r="L25" s="546"/>
      <c r="M25" s="942">
        <v>4</v>
      </c>
      <c r="N25" s="1498">
        <f t="shared" si="4"/>
        <v>2</v>
      </c>
      <c r="O25" s="1499">
        <f t="shared" si="5"/>
        <v>0.5</v>
      </c>
      <c r="P25" s="733">
        <f>8%*$P$19</f>
        <v>6.4000000000000003E-3</v>
      </c>
      <c r="Q25" s="1485">
        <f t="shared" si="9"/>
        <v>204454332.2712</v>
      </c>
      <c r="R25" s="1486">
        <f t="shared" si="10"/>
        <v>146903216.9664</v>
      </c>
      <c r="S25" s="1489"/>
      <c r="T25" s="749"/>
      <c r="U25" s="548"/>
      <c r="V25" s="749"/>
      <c r="W25" s="749"/>
      <c r="X25" s="749"/>
      <c r="Y25" s="548"/>
      <c r="Z25" s="559"/>
      <c r="AA25" s="559"/>
      <c r="AB25" s="982" t="s">
        <v>2816</v>
      </c>
      <c r="AC25" s="1507" t="s">
        <v>1845</v>
      </c>
      <c r="AD25" s="974" t="s">
        <v>1849</v>
      </c>
      <c r="AE25" s="976" t="s">
        <v>2815</v>
      </c>
    </row>
    <row r="26" spans="1:32" ht="140.25" x14ac:dyDescent="0.25">
      <c r="A26" s="842" t="s">
        <v>2670</v>
      </c>
      <c r="B26" s="1073" t="s">
        <v>2950</v>
      </c>
      <c r="C26" s="834" t="s">
        <v>2665</v>
      </c>
      <c r="D26" s="840">
        <v>2</v>
      </c>
      <c r="E26" s="824">
        <v>4</v>
      </c>
      <c r="F26" s="824">
        <v>2</v>
      </c>
      <c r="G26" s="1146">
        <v>3</v>
      </c>
      <c r="H26" s="1146"/>
      <c r="I26" s="1147">
        <f t="shared" si="3"/>
        <v>1</v>
      </c>
      <c r="J26" s="815">
        <f t="shared" si="6"/>
        <v>0.75</v>
      </c>
      <c r="K26" s="1398" t="s">
        <v>3549</v>
      </c>
      <c r="L26" s="549"/>
      <c r="M26" s="942">
        <v>14</v>
      </c>
      <c r="N26" s="1498">
        <f t="shared" si="4"/>
        <v>9</v>
      </c>
      <c r="O26" s="1500">
        <f t="shared" si="5"/>
        <v>0.6428571428571429</v>
      </c>
      <c r="P26" s="733">
        <f>5%*$P$19</f>
        <v>4.0000000000000001E-3</v>
      </c>
      <c r="Q26" s="1485">
        <f t="shared" si="9"/>
        <v>127783957.66950001</v>
      </c>
      <c r="R26" s="1486">
        <f t="shared" si="10"/>
        <v>91814510.604000002</v>
      </c>
      <c r="S26" s="735"/>
      <c r="T26" s="750"/>
      <c r="U26" s="551"/>
      <c r="V26" s="750"/>
      <c r="W26" s="750"/>
      <c r="X26" s="750"/>
      <c r="Y26" s="551"/>
      <c r="Z26" s="551"/>
      <c r="AA26" s="551"/>
      <c r="AB26" s="724"/>
      <c r="AC26" s="1507" t="s">
        <v>1845</v>
      </c>
      <c r="AD26" s="974" t="s">
        <v>1849</v>
      </c>
      <c r="AE26" s="976" t="s">
        <v>2815</v>
      </c>
    </row>
    <row r="27" spans="1:32" ht="94.5" customHeight="1" x14ac:dyDescent="0.25">
      <c r="A27" s="841" t="s">
        <v>2671</v>
      </c>
      <c r="B27" s="1052" t="s">
        <v>2951</v>
      </c>
      <c r="C27" s="834" t="s">
        <v>2665</v>
      </c>
      <c r="D27" s="840">
        <v>4</v>
      </c>
      <c r="E27" s="824">
        <v>4</v>
      </c>
      <c r="F27" s="824">
        <v>4</v>
      </c>
      <c r="G27" s="1146">
        <v>4</v>
      </c>
      <c r="H27" s="1146"/>
      <c r="I27" s="1147">
        <f t="shared" si="3"/>
        <v>1</v>
      </c>
      <c r="J27" s="815">
        <f t="shared" si="6"/>
        <v>1</v>
      </c>
      <c r="K27" s="1398" t="s">
        <v>3278</v>
      </c>
      <c r="L27" s="549"/>
      <c r="M27" s="942">
        <v>16</v>
      </c>
      <c r="N27" s="1498">
        <f t="shared" si="4"/>
        <v>12</v>
      </c>
      <c r="O27" s="1500">
        <f t="shared" si="5"/>
        <v>0.75</v>
      </c>
      <c r="P27" s="733">
        <f>8%*$P$19</f>
        <v>6.4000000000000003E-3</v>
      </c>
      <c r="Q27" s="1485">
        <f t="shared" si="9"/>
        <v>204454332.2712</v>
      </c>
      <c r="R27" s="1486">
        <f t="shared" si="10"/>
        <v>146903216.9664</v>
      </c>
      <c r="S27" s="735"/>
      <c r="T27" s="750"/>
      <c r="U27" s="551"/>
      <c r="V27" s="750"/>
      <c r="W27" s="750"/>
      <c r="X27" s="750"/>
      <c r="Y27" s="551"/>
      <c r="Z27" s="551"/>
      <c r="AA27" s="551"/>
      <c r="AB27" s="724"/>
      <c r="AC27" s="1507" t="s">
        <v>1845</v>
      </c>
      <c r="AD27" s="974" t="s">
        <v>1849</v>
      </c>
      <c r="AE27" s="976" t="s">
        <v>2811</v>
      </c>
    </row>
    <row r="28" spans="1:32" ht="72" customHeight="1" x14ac:dyDescent="0.25">
      <c r="A28" s="843" t="s">
        <v>2672</v>
      </c>
      <c r="B28" s="1072" t="s">
        <v>2952</v>
      </c>
      <c r="C28" s="830" t="s">
        <v>2652</v>
      </c>
      <c r="D28" s="838">
        <v>0.25</v>
      </c>
      <c r="E28" s="815">
        <v>0.5</v>
      </c>
      <c r="F28" s="815">
        <v>0.25</v>
      </c>
      <c r="G28" s="815">
        <v>0.5</v>
      </c>
      <c r="H28" s="1146"/>
      <c r="I28" s="1147">
        <f t="shared" si="3"/>
        <v>1</v>
      </c>
      <c r="J28" s="815">
        <f t="shared" si="6"/>
        <v>1</v>
      </c>
      <c r="K28" s="1398" t="s">
        <v>3279</v>
      </c>
      <c r="L28" s="549"/>
      <c r="M28" s="943">
        <v>1</v>
      </c>
      <c r="N28" s="1498">
        <f t="shared" si="4"/>
        <v>1.25</v>
      </c>
      <c r="O28" s="1500">
        <f t="shared" si="5"/>
        <v>1</v>
      </c>
      <c r="P28" s="733">
        <f>8%*$P$19</f>
        <v>6.4000000000000003E-3</v>
      </c>
      <c r="Q28" s="1485">
        <f t="shared" si="9"/>
        <v>204454332.2712</v>
      </c>
      <c r="R28" s="1486">
        <f t="shared" si="10"/>
        <v>146903216.9664</v>
      </c>
      <c r="S28" s="735"/>
      <c r="T28" s="750"/>
      <c r="U28" s="551"/>
      <c r="V28" s="750"/>
      <c r="W28" s="750"/>
      <c r="X28" s="750"/>
      <c r="Y28" s="551"/>
      <c r="Z28" s="551"/>
      <c r="AA28" s="551"/>
      <c r="AB28" s="724"/>
      <c r="AC28" s="1507" t="s">
        <v>1845</v>
      </c>
      <c r="AD28" s="974" t="s">
        <v>1849</v>
      </c>
      <c r="AE28" s="976" t="s">
        <v>2811</v>
      </c>
    </row>
    <row r="29" spans="1:32" ht="75.75" customHeight="1" x14ac:dyDescent="0.25">
      <c r="A29" s="839" t="s">
        <v>2673</v>
      </c>
      <c r="B29" s="1072" t="s">
        <v>2953</v>
      </c>
      <c r="C29" s="834" t="s">
        <v>2665</v>
      </c>
      <c r="D29" s="840">
        <v>0</v>
      </c>
      <c r="E29" s="824">
        <v>0</v>
      </c>
      <c r="F29" s="824">
        <v>0</v>
      </c>
      <c r="G29" s="1146">
        <v>0</v>
      </c>
      <c r="H29" s="1146"/>
      <c r="I29" s="1147" t="e">
        <f t="shared" si="3"/>
        <v>#DIV/0!</v>
      </c>
      <c r="J29" s="824" t="e">
        <f t="shared" si="6"/>
        <v>#DIV/0!</v>
      </c>
      <c r="K29" s="1398" t="s">
        <v>3280</v>
      </c>
      <c r="L29" s="549"/>
      <c r="M29" s="942">
        <v>1</v>
      </c>
      <c r="N29" s="1498">
        <f t="shared" si="4"/>
        <v>0</v>
      </c>
      <c r="O29" s="1500">
        <f t="shared" si="5"/>
        <v>0</v>
      </c>
      <c r="P29" s="733">
        <f>6%*$P$19</f>
        <v>4.7999999999999996E-3</v>
      </c>
      <c r="Q29" s="1485">
        <f t="shared" si="9"/>
        <v>153340749.20339999</v>
      </c>
      <c r="R29" s="1486">
        <f t="shared" si="10"/>
        <v>110177412.72479999</v>
      </c>
      <c r="S29" s="735"/>
      <c r="T29" s="750"/>
      <c r="U29" s="551"/>
      <c r="V29" s="750"/>
      <c r="W29" s="750"/>
      <c r="X29" s="750"/>
      <c r="Y29" s="551"/>
      <c r="Z29" s="551"/>
      <c r="AA29" s="551"/>
      <c r="AB29" s="724"/>
      <c r="AC29" s="1507" t="s">
        <v>1845</v>
      </c>
      <c r="AD29" s="974" t="s">
        <v>1849</v>
      </c>
      <c r="AE29" s="976" t="s">
        <v>2811</v>
      </c>
    </row>
    <row r="30" spans="1:32" ht="70.5" customHeight="1" x14ac:dyDescent="0.25">
      <c r="A30" s="843" t="s">
        <v>2674</v>
      </c>
      <c r="B30" s="1072" t="s">
        <v>3148</v>
      </c>
      <c r="C30" s="830" t="s">
        <v>2652</v>
      </c>
      <c r="D30" s="844">
        <v>0.2</v>
      </c>
      <c r="E30" s="815">
        <v>0.2</v>
      </c>
      <c r="F30" s="815">
        <v>0.2</v>
      </c>
      <c r="G30" s="815">
        <v>1</v>
      </c>
      <c r="H30" s="1146"/>
      <c r="I30" s="1147">
        <f t="shared" si="3"/>
        <v>1</v>
      </c>
      <c r="J30" s="815">
        <f t="shared" si="6"/>
        <v>1</v>
      </c>
      <c r="K30" s="1398" t="s">
        <v>3282</v>
      </c>
      <c r="L30" s="549"/>
      <c r="M30" s="943">
        <v>1</v>
      </c>
      <c r="N30" s="1498">
        <f t="shared" si="4"/>
        <v>1.4</v>
      </c>
      <c r="O30" s="1500">
        <f t="shared" si="5"/>
        <v>1</v>
      </c>
      <c r="P30" s="733">
        <f>8%*$P$19</f>
        <v>6.4000000000000003E-3</v>
      </c>
      <c r="Q30" s="1485">
        <f t="shared" si="9"/>
        <v>204454332.2712</v>
      </c>
      <c r="R30" s="1486">
        <f t="shared" si="10"/>
        <v>146903216.9664</v>
      </c>
      <c r="S30" s="735"/>
      <c r="T30" s="750"/>
      <c r="U30" s="551"/>
      <c r="V30" s="750"/>
      <c r="W30" s="750"/>
      <c r="X30" s="750"/>
      <c r="Y30" s="551"/>
      <c r="Z30" s="551"/>
      <c r="AA30" s="551"/>
      <c r="AB30" s="724"/>
      <c r="AC30" s="1507" t="s">
        <v>1845</v>
      </c>
      <c r="AD30" s="974" t="s">
        <v>1849</v>
      </c>
      <c r="AE30" s="976" t="s">
        <v>2815</v>
      </c>
    </row>
    <row r="31" spans="1:32" ht="83.25" customHeight="1" thickBot="1" x14ac:dyDescent="0.3">
      <c r="A31" s="845" t="s">
        <v>2675</v>
      </c>
      <c r="B31" s="1074" t="s">
        <v>997</v>
      </c>
      <c r="C31" s="846" t="s">
        <v>2652</v>
      </c>
      <c r="D31" s="847">
        <v>0.25</v>
      </c>
      <c r="E31" s="828">
        <v>0.5</v>
      </c>
      <c r="F31" s="828">
        <v>0.04</v>
      </c>
      <c r="G31" s="1203">
        <f>'25Redes'!D8</f>
        <v>3.8461538461538464E-2</v>
      </c>
      <c r="H31" s="1148"/>
      <c r="I31" s="1046">
        <f t="shared" si="3"/>
        <v>0.16</v>
      </c>
      <c r="J31" s="1203">
        <f t="shared" si="6"/>
        <v>7.6923076923076927E-2</v>
      </c>
      <c r="K31" s="1398" t="s">
        <v>3281</v>
      </c>
      <c r="L31" s="549"/>
      <c r="M31" s="944">
        <v>1</v>
      </c>
      <c r="N31" s="1498">
        <f t="shared" si="4"/>
        <v>0.57846153846153847</v>
      </c>
      <c r="O31" s="1500">
        <f t="shared" si="5"/>
        <v>0.57846153846153847</v>
      </c>
      <c r="P31" s="733">
        <f>17%*$P$19</f>
        <v>1.3600000000000001E-2</v>
      </c>
      <c r="Q31" s="1485">
        <f t="shared" si="9"/>
        <v>434465456.07630002</v>
      </c>
      <c r="R31" s="1486">
        <f t="shared" si="10"/>
        <v>312169336.05360001</v>
      </c>
      <c r="S31" s="735"/>
      <c r="T31" s="750"/>
      <c r="U31" s="551"/>
      <c r="V31" s="750"/>
      <c r="W31" s="750"/>
      <c r="X31" s="750"/>
      <c r="Y31" s="551"/>
      <c r="Z31" s="551"/>
      <c r="AA31" s="551"/>
      <c r="AB31" s="725"/>
      <c r="AC31" s="1507" t="s">
        <v>1845</v>
      </c>
      <c r="AD31" s="974" t="s">
        <v>997</v>
      </c>
      <c r="AE31" s="983" t="s">
        <v>2811</v>
      </c>
    </row>
    <row r="32" spans="1:32" ht="14.25" thickBot="1" x14ac:dyDescent="0.3">
      <c r="A32" s="1615" t="s">
        <v>2836</v>
      </c>
      <c r="B32" s="1616"/>
      <c r="C32" s="1454"/>
      <c r="D32" s="1455"/>
      <c r="E32" s="938"/>
      <c r="F32" s="1408">
        <v>1</v>
      </c>
      <c r="G32" s="1453"/>
      <c r="H32" s="1453"/>
      <c r="I32" s="1402">
        <v>1</v>
      </c>
      <c r="J32" s="1407">
        <f>+(J33+J34+J35+J36+J37+J38)/6</f>
        <v>0.34126984126984133</v>
      </c>
      <c r="K32" s="549"/>
      <c r="L32" s="549"/>
      <c r="M32" s="829"/>
      <c r="N32" s="1500"/>
      <c r="O32" s="1500"/>
      <c r="P32" s="735">
        <v>0.05</v>
      </c>
      <c r="Q32" s="1483">
        <f>'informe Gastos'!Y60</f>
        <v>432640513</v>
      </c>
      <c r="R32" s="1483">
        <f>'informe Gastos'!Z60</f>
        <v>224628034</v>
      </c>
      <c r="S32" s="1493">
        <f t="shared" si="0"/>
        <v>0.51920249549075403</v>
      </c>
      <c r="T32" s="1483">
        <f>'informe Gastos'!AA60</f>
        <v>73444201</v>
      </c>
      <c r="U32" s="735">
        <f t="shared" si="1"/>
        <v>0.32695919423841818</v>
      </c>
      <c r="V32" s="750">
        <f t="shared" si="2"/>
        <v>151183833</v>
      </c>
      <c r="W32" s="750"/>
      <c r="X32" s="750"/>
      <c r="Y32" s="551">
        <f>(251082368+332640513+276819000+292322000)-20000000+120000000</f>
        <v>1252863881</v>
      </c>
      <c r="Z32" s="551">
        <f>197345207+R32</f>
        <v>421973241</v>
      </c>
      <c r="AA32" s="789">
        <f>+Z32/Y32</f>
        <v>0.33680693281954388</v>
      </c>
      <c r="AB32" s="980"/>
      <c r="AC32" s="1506"/>
      <c r="AD32" s="974"/>
      <c r="AE32" s="981"/>
    </row>
    <row r="33" spans="1:31" ht="76.5" x14ac:dyDescent="0.25">
      <c r="A33" s="1085" t="s">
        <v>2676</v>
      </c>
      <c r="B33" s="1054" t="s">
        <v>2954</v>
      </c>
      <c r="C33" s="848" t="s">
        <v>2652</v>
      </c>
      <c r="D33" s="849">
        <v>1</v>
      </c>
      <c r="E33" s="1388">
        <v>1</v>
      </c>
      <c r="F33" s="1388">
        <v>1</v>
      </c>
      <c r="G33" s="926">
        <v>1</v>
      </c>
      <c r="H33" s="1456"/>
      <c r="I33" s="1047">
        <f t="shared" si="3"/>
        <v>1</v>
      </c>
      <c r="J33" s="832">
        <f t="shared" si="6"/>
        <v>1</v>
      </c>
      <c r="K33" s="1398" t="s">
        <v>3206</v>
      </c>
      <c r="L33" s="549"/>
      <c r="M33" s="941">
        <v>1</v>
      </c>
      <c r="N33" s="1498">
        <f t="shared" si="4"/>
        <v>3</v>
      </c>
      <c r="O33" s="1500">
        <f t="shared" si="5"/>
        <v>1</v>
      </c>
      <c r="P33" s="733">
        <f>25%*$P$32</f>
        <v>1.2500000000000001E-2</v>
      </c>
      <c r="Q33" s="1485">
        <f>Q$32*P33/P$32</f>
        <v>108160128.25</v>
      </c>
      <c r="R33" s="1486">
        <f>R$32*P33/P$32</f>
        <v>56157008.5</v>
      </c>
      <c r="S33" s="735"/>
      <c r="T33" s="750"/>
      <c r="U33" s="551"/>
      <c r="V33" s="750">
        <f t="shared" si="2"/>
        <v>56157008.5</v>
      </c>
      <c r="W33" s="750"/>
      <c r="X33" s="750"/>
      <c r="Y33" s="551"/>
      <c r="Z33" s="551"/>
      <c r="AA33" s="551"/>
      <c r="AB33" s="796"/>
      <c r="AC33" s="1506" t="s">
        <v>1843</v>
      </c>
      <c r="AD33" s="974" t="s">
        <v>1849</v>
      </c>
      <c r="AE33" s="975" t="s">
        <v>2817</v>
      </c>
    </row>
    <row r="34" spans="1:31" ht="102.75" customHeight="1" x14ac:dyDescent="0.25">
      <c r="A34" s="850" t="s">
        <v>2677</v>
      </c>
      <c r="B34" s="850" t="s">
        <v>2955</v>
      </c>
      <c r="C34" s="851" t="s">
        <v>2665</v>
      </c>
      <c r="D34" s="852">
        <v>5</v>
      </c>
      <c r="E34" s="1076">
        <v>7</v>
      </c>
      <c r="F34" s="1076">
        <v>7</v>
      </c>
      <c r="G34" s="1405">
        <v>5</v>
      </c>
      <c r="H34" s="1146"/>
      <c r="I34" s="1147">
        <f t="shared" si="3"/>
        <v>1</v>
      </c>
      <c r="J34" s="815">
        <f t="shared" si="6"/>
        <v>0.7142857142857143</v>
      </c>
      <c r="K34" s="1398" t="s">
        <v>3207</v>
      </c>
      <c r="L34" s="549"/>
      <c r="M34" s="824">
        <v>30</v>
      </c>
      <c r="N34" s="1498">
        <f t="shared" si="4"/>
        <v>19</v>
      </c>
      <c r="O34" s="1500">
        <f t="shared" si="5"/>
        <v>0.6333333333333333</v>
      </c>
      <c r="P34" s="733">
        <f>24%*$P$32</f>
        <v>1.2E-2</v>
      </c>
      <c r="Q34" s="1485">
        <f t="shared" ref="Q34:Q38" si="12">Q$32*P34/P$32</f>
        <v>103833723.12</v>
      </c>
      <c r="R34" s="1486">
        <f t="shared" ref="R34:R38" si="13">R$32*P34/P$32</f>
        <v>53910728.160000004</v>
      </c>
      <c r="S34" s="735"/>
      <c r="T34" s="750"/>
      <c r="U34" s="551"/>
      <c r="V34" s="750">
        <f t="shared" si="2"/>
        <v>53910728.160000004</v>
      </c>
      <c r="W34" s="750"/>
      <c r="X34" s="750"/>
      <c r="Y34" s="551"/>
      <c r="Z34" s="551"/>
      <c r="AA34" s="551"/>
      <c r="AB34" s="724"/>
      <c r="AC34" s="1506" t="s">
        <v>1843</v>
      </c>
      <c r="AD34" s="974" t="s">
        <v>1849</v>
      </c>
      <c r="AE34" s="975" t="s">
        <v>2817</v>
      </c>
    </row>
    <row r="35" spans="1:31" ht="84" customHeight="1" x14ac:dyDescent="0.25">
      <c r="A35" s="853" t="s">
        <v>2678</v>
      </c>
      <c r="B35" s="853" t="s">
        <v>2956</v>
      </c>
      <c r="C35" s="854" t="s">
        <v>2652</v>
      </c>
      <c r="D35" s="1075">
        <v>1</v>
      </c>
      <c r="E35" s="1389">
        <v>1</v>
      </c>
      <c r="F35" s="1389">
        <v>1</v>
      </c>
      <c r="G35" s="855">
        <v>0.33333333333333331</v>
      </c>
      <c r="H35" s="1146"/>
      <c r="I35" s="1147">
        <f t="shared" si="3"/>
        <v>1</v>
      </c>
      <c r="J35" s="815">
        <f t="shared" si="6"/>
        <v>0.33333333333333331</v>
      </c>
      <c r="K35" s="1398" t="s">
        <v>3208</v>
      </c>
      <c r="L35" s="549"/>
      <c r="M35" s="815">
        <v>1</v>
      </c>
      <c r="N35" s="1498">
        <f t="shared" si="4"/>
        <v>2.3333333333333335</v>
      </c>
      <c r="O35" s="1500">
        <f t="shared" si="5"/>
        <v>1</v>
      </c>
      <c r="P35" s="733">
        <f>45%*$P$32</f>
        <v>2.2500000000000003E-2</v>
      </c>
      <c r="Q35" s="1485">
        <f t="shared" si="12"/>
        <v>194688230.84999999</v>
      </c>
      <c r="R35" s="1486">
        <f t="shared" si="13"/>
        <v>101082615.30000001</v>
      </c>
      <c r="S35" s="735"/>
      <c r="T35" s="750"/>
      <c r="U35" s="551"/>
      <c r="V35" s="750">
        <f t="shared" si="2"/>
        <v>101082615.30000001</v>
      </c>
      <c r="W35" s="750"/>
      <c r="X35" s="750"/>
      <c r="Y35" s="551"/>
      <c r="Z35" s="551"/>
      <c r="AA35" s="551"/>
      <c r="AB35" s="724"/>
      <c r="AC35" s="1506" t="s">
        <v>1843</v>
      </c>
      <c r="AD35" s="974" t="s">
        <v>1849</v>
      </c>
      <c r="AE35" s="975" t="s">
        <v>2817</v>
      </c>
    </row>
    <row r="36" spans="1:31" ht="114.75" x14ac:dyDescent="0.25">
      <c r="A36" s="856" t="s">
        <v>2679</v>
      </c>
      <c r="B36" s="856" t="s">
        <v>2957</v>
      </c>
      <c r="C36" s="851" t="s">
        <v>2665</v>
      </c>
      <c r="D36" s="852">
        <v>0</v>
      </c>
      <c r="E36" s="1076">
        <v>30</v>
      </c>
      <c r="F36" s="1076">
        <v>0</v>
      </c>
      <c r="G36" s="1405">
        <v>0</v>
      </c>
      <c r="H36" s="1146"/>
      <c r="I36" s="1147" t="e">
        <f t="shared" si="3"/>
        <v>#DIV/0!</v>
      </c>
      <c r="J36" s="824">
        <f t="shared" si="6"/>
        <v>0</v>
      </c>
      <c r="K36" s="1398" t="s">
        <v>3209</v>
      </c>
      <c r="L36" s="549"/>
      <c r="M36" s="824">
        <v>80</v>
      </c>
      <c r="N36" s="1498">
        <f t="shared" si="4"/>
        <v>30</v>
      </c>
      <c r="O36" s="1500">
        <f t="shared" si="5"/>
        <v>0.375</v>
      </c>
      <c r="P36" s="733">
        <f>3%*$P$32</f>
        <v>1.5E-3</v>
      </c>
      <c r="Q36" s="1485">
        <f t="shared" si="12"/>
        <v>12979215.390000001</v>
      </c>
      <c r="R36" s="1486">
        <f t="shared" si="13"/>
        <v>6738841.0200000005</v>
      </c>
      <c r="S36" s="735"/>
      <c r="T36" s="750"/>
      <c r="U36" s="551"/>
      <c r="V36" s="750">
        <f>+R36-T36</f>
        <v>6738841.0200000005</v>
      </c>
      <c r="W36" s="750"/>
      <c r="X36" s="750"/>
      <c r="Y36" s="551"/>
      <c r="Z36" s="551"/>
      <c r="AA36" s="551"/>
      <c r="AB36" s="724"/>
      <c r="AC36" s="1506" t="s">
        <v>1843</v>
      </c>
      <c r="AD36" s="974" t="s">
        <v>1849</v>
      </c>
      <c r="AE36" s="975" t="s">
        <v>2817</v>
      </c>
    </row>
    <row r="37" spans="1:31" ht="140.25" x14ac:dyDescent="0.25">
      <c r="A37" s="858" t="s">
        <v>2680</v>
      </c>
      <c r="B37" s="993" t="s">
        <v>2958</v>
      </c>
      <c r="C37" s="854" t="s">
        <v>2652</v>
      </c>
      <c r="D37" s="1075">
        <v>0.75</v>
      </c>
      <c r="E37" s="1389">
        <v>0.85</v>
      </c>
      <c r="F37" s="1389">
        <v>0.78</v>
      </c>
      <c r="G37" s="1406">
        <v>0</v>
      </c>
      <c r="H37" s="1148"/>
      <c r="I37" s="1147">
        <f t="shared" si="3"/>
        <v>1</v>
      </c>
      <c r="J37" s="824">
        <f t="shared" si="6"/>
        <v>0</v>
      </c>
      <c r="K37" s="1401" t="s">
        <v>3210</v>
      </c>
      <c r="L37" s="553"/>
      <c r="M37" s="815">
        <v>0.95</v>
      </c>
      <c r="N37" s="1498">
        <f t="shared" si="4"/>
        <v>1.63</v>
      </c>
      <c r="O37" s="1500">
        <f t="shared" si="5"/>
        <v>1</v>
      </c>
      <c r="P37" s="733">
        <f>2%*$P$32</f>
        <v>1E-3</v>
      </c>
      <c r="Q37" s="1485">
        <f t="shared" si="12"/>
        <v>8652810.2599999998</v>
      </c>
      <c r="R37" s="1486">
        <f t="shared" si="13"/>
        <v>4492560.68</v>
      </c>
      <c r="S37" s="1246"/>
      <c r="T37" s="751"/>
      <c r="U37" s="554"/>
      <c r="V37" s="751">
        <f>+R37-T37</f>
        <v>4492560.68</v>
      </c>
      <c r="W37" s="751"/>
      <c r="X37" s="751"/>
      <c r="Y37" s="554"/>
      <c r="Z37" s="554"/>
      <c r="AA37" s="554"/>
      <c r="AB37" s="724"/>
      <c r="AC37" s="1506" t="s">
        <v>1843</v>
      </c>
      <c r="AD37" s="974" t="s">
        <v>1849</v>
      </c>
      <c r="AE37" s="975" t="s">
        <v>2817</v>
      </c>
    </row>
    <row r="38" spans="1:31" ht="90" thickBot="1" x14ac:dyDescent="0.3">
      <c r="A38" s="859" t="s">
        <v>2681</v>
      </c>
      <c r="B38" s="1086" t="s">
        <v>2959</v>
      </c>
      <c r="C38" s="860" t="s">
        <v>2665</v>
      </c>
      <c r="D38" s="861">
        <v>1</v>
      </c>
      <c r="E38" s="862">
        <v>1</v>
      </c>
      <c r="F38" s="1076">
        <v>1</v>
      </c>
      <c r="G38" s="1406">
        <v>0</v>
      </c>
      <c r="H38" s="1148"/>
      <c r="I38" s="1147">
        <f t="shared" si="3"/>
        <v>1</v>
      </c>
      <c r="J38" s="824">
        <f t="shared" si="6"/>
        <v>0</v>
      </c>
      <c r="K38" s="553" t="s">
        <v>3211</v>
      </c>
      <c r="L38" s="553"/>
      <c r="M38" s="890">
        <v>2</v>
      </c>
      <c r="N38" s="1498">
        <f t="shared" si="4"/>
        <v>2</v>
      </c>
      <c r="O38" s="1500">
        <f t="shared" si="5"/>
        <v>1</v>
      </c>
      <c r="P38" s="733">
        <f>1%*$P$32</f>
        <v>5.0000000000000001E-4</v>
      </c>
      <c r="Q38" s="1485">
        <f t="shared" si="12"/>
        <v>4326405.13</v>
      </c>
      <c r="R38" s="1486">
        <f t="shared" si="13"/>
        <v>2246280.34</v>
      </c>
      <c r="S38" s="1246"/>
      <c r="T38" s="751"/>
      <c r="U38" s="554"/>
      <c r="V38" s="751">
        <f>+R38-T38</f>
        <v>2246280.34</v>
      </c>
      <c r="W38" s="751"/>
      <c r="X38" s="751"/>
      <c r="Y38" s="554"/>
      <c r="Z38" s="554"/>
      <c r="AA38" s="554"/>
      <c r="AB38" s="984" t="s">
        <v>2816</v>
      </c>
      <c r="AC38" s="1506" t="s">
        <v>1843</v>
      </c>
      <c r="AD38" s="974" t="s">
        <v>1849</v>
      </c>
      <c r="AE38" s="975" t="s">
        <v>2817</v>
      </c>
    </row>
    <row r="39" spans="1:31" ht="13.5" thickBot="1" x14ac:dyDescent="0.3">
      <c r="A39" s="1548" t="s">
        <v>2682</v>
      </c>
      <c r="B39" s="1549"/>
      <c r="C39" s="808"/>
      <c r="D39" s="808"/>
      <c r="E39" s="808"/>
      <c r="F39" s="804"/>
      <c r="G39" s="802"/>
      <c r="H39" s="802"/>
      <c r="I39" s="1249">
        <f>SUM(I40+I56)/2</f>
        <v>0.89999999999999991</v>
      </c>
      <c r="J39" s="1249">
        <f ca="1">SUM(J40+J56)/2</f>
        <v>0.4519875776397515</v>
      </c>
      <c r="K39" s="553"/>
      <c r="L39" s="553"/>
      <c r="M39" s="829"/>
      <c r="N39" s="1501"/>
      <c r="O39" s="553"/>
      <c r="P39" s="1246">
        <f>P40+P56</f>
        <v>0.14000000000000001</v>
      </c>
      <c r="Q39" s="1482">
        <f>SUM(Q40+Q56)</f>
        <v>15805679270.26</v>
      </c>
      <c r="R39" s="1482">
        <f>SUM(R40+R56)</f>
        <v>14069174657.959999</v>
      </c>
      <c r="S39" s="1494">
        <f>+R39/Q39</f>
        <v>0.89013413579969247</v>
      </c>
      <c r="T39" s="1482">
        <f>SUM(T40+T56)</f>
        <v>3299744028</v>
      </c>
      <c r="U39" s="1246">
        <f>+T39/R39</f>
        <v>0.23453714295408826</v>
      </c>
      <c r="V39" s="751">
        <f>+R39-T39</f>
        <v>10769430629.959999</v>
      </c>
      <c r="W39" s="751"/>
      <c r="X39" s="751"/>
      <c r="Y39" s="1482">
        <f>SUM(Y40+Y56)</f>
        <v>38719384901.610001</v>
      </c>
      <c r="Z39" s="1482">
        <f>SUM(Z40+Z56)</f>
        <v>28068754379.459999</v>
      </c>
      <c r="AA39" s="789">
        <f>+Z39/Y39</f>
        <v>0.72492769321583062</v>
      </c>
      <c r="AB39" s="980"/>
      <c r="AC39" s="1506"/>
      <c r="AD39" s="974"/>
      <c r="AE39" s="981"/>
    </row>
    <row r="40" spans="1:31" ht="21.75" customHeight="1" thickBot="1" x14ac:dyDescent="0.3">
      <c r="A40" s="1610" t="s">
        <v>2837</v>
      </c>
      <c r="B40" s="1611"/>
      <c r="C40" s="1611"/>
      <c r="D40" s="1611"/>
      <c r="E40" s="1612"/>
      <c r="F40" s="803"/>
      <c r="G40" s="803"/>
      <c r="H40" s="803"/>
      <c r="I40" s="1396">
        <v>0.83</v>
      </c>
      <c r="J40" s="1397">
        <f ca="1">+(J41+J42+J43+J45+J48+J50+J52+J53+J54)/9</f>
        <v>0.3216666666666666</v>
      </c>
      <c r="K40" s="556"/>
      <c r="L40" s="556"/>
      <c r="M40" s="904"/>
      <c r="N40" s="1502"/>
      <c r="O40" s="556"/>
      <c r="P40" s="1490">
        <v>0.09</v>
      </c>
      <c r="Q40" s="1483">
        <f>'informe Gastos'!Y64</f>
        <v>14672604685.26</v>
      </c>
      <c r="R40" s="1483">
        <f>'informe Gastos'!Z64</f>
        <v>13842297447.959999</v>
      </c>
      <c r="S40" s="1490">
        <f>+R40/Q40</f>
        <v>0.94341105378964363</v>
      </c>
      <c r="T40" s="1483">
        <f>'informe Gastos'!AA64</f>
        <v>3141430453</v>
      </c>
      <c r="U40" s="1490">
        <f>+T40/R40</f>
        <v>0.22694429626369331</v>
      </c>
      <c r="V40" s="752">
        <f>+R40-T40</f>
        <v>10700866994.959999</v>
      </c>
      <c r="W40" s="752"/>
      <c r="X40" s="752"/>
      <c r="Y40" s="557">
        <f>(785073867+2060869177+865545000+914015000)+29724810600+201290000+606537137.61+248800000</f>
        <v>35406940781.610001</v>
      </c>
      <c r="Z40" s="557">
        <f>27167159130+R40-13565697955</f>
        <v>27443758622.959999</v>
      </c>
      <c r="AA40" s="789">
        <f>+Z40/Y40</f>
        <v>0.77509544787371187</v>
      </c>
      <c r="AB40" s="985"/>
      <c r="AC40" s="1506"/>
      <c r="AD40" s="974"/>
      <c r="AE40" s="986"/>
    </row>
    <row r="41" spans="1:31" ht="62.25" customHeight="1" x14ac:dyDescent="0.25">
      <c r="A41" s="863" t="s">
        <v>2683</v>
      </c>
      <c r="B41" s="1055" t="s">
        <v>2960</v>
      </c>
      <c r="C41" s="864" t="s">
        <v>2665</v>
      </c>
      <c r="D41" s="865">
        <v>3000</v>
      </c>
      <c r="E41" s="866">
        <v>6000</v>
      </c>
      <c r="F41" s="866">
        <v>3064</v>
      </c>
      <c r="G41" s="1409">
        <v>330</v>
      </c>
      <c r="H41" s="1410"/>
      <c r="I41" s="1411">
        <f t="shared" si="3"/>
        <v>1</v>
      </c>
      <c r="J41" s="1412">
        <f t="shared" si="6"/>
        <v>5.5E-2</v>
      </c>
      <c r="K41" s="804" t="s">
        <v>3283</v>
      </c>
      <c r="L41" s="804"/>
      <c r="M41" s="945">
        <v>15000</v>
      </c>
      <c r="N41" s="1503">
        <f t="shared" ref="N41:N104" si="14">SUM(E41:G41)</f>
        <v>9394</v>
      </c>
      <c r="O41" s="1500">
        <f t="shared" ref="O41:O104" si="15">IF(N41/M41&gt;=100%,100%,N41/M41)</f>
        <v>0.62626666666666664</v>
      </c>
      <c r="P41" s="733">
        <f>15%*$P$40</f>
        <v>1.35E-2</v>
      </c>
      <c r="Q41" s="1485">
        <f>Q$40*P41/P$40</f>
        <v>2200890702.789</v>
      </c>
      <c r="R41" s="1486">
        <f>R$40*P41/P$40</f>
        <v>2076344617.194</v>
      </c>
      <c r="S41" s="806"/>
      <c r="T41" s="807"/>
      <c r="U41" s="806"/>
      <c r="V41" s="807"/>
      <c r="W41" s="807"/>
      <c r="X41" s="807"/>
      <c r="Y41" s="806"/>
      <c r="Z41" s="806"/>
      <c r="AA41" s="806"/>
      <c r="AB41" s="796"/>
      <c r="AC41" s="1506" t="s">
        <v>1842</v>
      </c>
      <c r="AD41" s="974" t="s">
        <v>1849</v>
      </c>
      <c r="AE41" s="1552" t="s">
        <v>3571</v>
      </c>
    </row>
    <row r="42" spans="1:31" ht="56.25" customHeight="1" x14ac:dyDescent="0.25">
      <c r="A42" s="867" t="s">
        <v>2684</v>
      </c>
      <c r="B42" s="867" t="s">
        <v>2961</v>
      </c>
      <c r="C42" s="860" t="s">
        <v>2665</v>
      </c>
      <c r="D42" s="868">
        <v>1</v>
      </c>
      <c r="E42" s="1090">
        <v>1</v>
      </c>
      <c r="F42" s="869">
        <v>1</v>
      </c>
      <c r="G42" s="1413">
        <v>1</v>
      </c>
      <c r="H42" s="1413"/>
      <c r="I42" s="1411">
        <f t="shared" si="3"/>
        <v>1</v>
      </c>
      <c r="J42" s="815">
        <f t="shared" si="6"/>
        <v>1</v>
      </c>
      <c r="K42" s="804"/>
      <c r="L42" s="804"/>
      <c r="M42" s="824">
        <v>3</v>
      </c>
      <c r="N42" s="1503">
        <f t="shared" si="14"/>
        <v>3</v>
      </c>
      <c r="O42" s="1500">
        <f t="shared" si="15"/>
        <v>1</v>
      </c>
      <c r="P42" s="733">
        <v>0</v>
      </c>
      <c r="Q42" s="1485">
        <f t="shared" ref="Q42:Q55" si="16">Q$40*P42/P$40</f>
        <v>0</v>
      </c>
      <c r="R42" s="1486">
        <f t="shared" ref="R42:R49" si="17">R$40*P42/P$40</f>
        <v>0</v>
      </c>
      <c r="S42" s="806"/>
      <c r="T42" s="807"/>
      <c r="U42" s="806"/>
      <c r="V42" s="807"/>
      <c r="W42" s="807"/>
      <c r="X42" s="807"/>
      <c r="Y42" s="806"/>
      <c r="Z42" s="806"/>
      <c r="AA42" s="806"/>
      <c r="AB42" s="987" t="s">
        <v>2816</v>
      </c>
      <c r="AC42" s="1506" t="s">
        <v>1842</v>
      </c>
      <c r="AD42" s="974" t="s">
        <v>1849</v>
      </c>
      <c r="AE42" s="1553"/>
    </row>
    <row r="43" spans="1:31" ht="25.5" x14ac:dyDescent="0.25">
      <c r="A43" s="867" t="s">
        <v>2685</v>
      </c>
      <c r="B43" s="867" t="s">
        <v>2685</v>
      </c>
      <c r="C43" s="860" t="s">
        <v>2665</v>
      </c>
      <c r="D43" s="868">
        <v>1</v>
      </c>
      <c r="E43" s="1090">
        <v>1</v>
      </c>
      <c r="F43" s="869">
        <v>1</v>
      </c>
      <c r="G43" s="1413">
        <v>1</v>
      </c>
      <c r="H43" s="1413"/>
      <c r="I43" s="1411">
        <f t="shared" si="3"/>
        <v>1</v>
      </c>
      <c r="J43" s="815">
        <f t="shared" si="6"/>
        <v>1</v>
      </c>
      <c r="K43" s="1125"/>
      <c r="L43" s="1124"/>
      <c r="M43" s="824">
        <v>1</v>
      </c>
      <c r="N43" s="1503">
        <f t="shared" si="14"/>
        <v>3</v>
      </c>
      <c r="O43" s="1500">
        <f t="shared" si="15"/>
        <v>1</v>
      </c>
      <c r="P43" s="733">
        <v>0</v>
      </c>
      <c r="Q43" s="1485">
        <f t="shared" si="16"/>
        <v>0</v>
      </c>
      <c r="R43" s="1486">
        <f t="shared" si="17"/>
        <v>0</v>
      </c>
      <c r="S43" s="806"/>
      <c r="T43" s="807"/>
      <c r="U43" s="806"/>
      <c r="V43" s="807"/>
      <c r="W43" s="807"/>
      <c r="X43" s="807"/>
      <c r="Y43" s="806"/>
      <c r="Z43" s="806"/>
      <c r="AA43" s="806"/>
      <c r="AB43" s="987" t="s">
        <v>2816</v>
      </c>
      <c r="AC43" s="1506" t="s">
        <v>1842</v>
      </c>
      <c r="AD43" s="974" t="s">
        <v>1849</v>
      </c>
      <c r="AE43" s="1553"/>
    </row>
    <row r="44" spans="1:31" ht="101.25" x14ac:dyDescent="0.25">
      <c r="A44" s="867" t="s">
        <v>2686</v>
      </c>
      <c r="B44" s="1087" t="s">
        <v>2962</v>
      </c>
      <c r="C44" s="860" t="s">
        <v>2665</v>
      </c>
      <c r="D44" s="868">
        <v>1</v>
      </c>
      <c r="E44" s="1090">
        <v>0</v>
      </c>
      <c r="F44" s="869">
        <v>1</v>
      </c>
      <c r="G44" s="1413">
        <v>0</v>
      </c>
      <c r="H44" s="1413"/>
      <c r="I44" s="1411">
        <f t="shared" si="3"/>
        <v>1</v>
      </c>
      <c r="J44" s="824" t="e">
        <f t="shared" si="6"/>
        <v>#DIV/0!</v>
      </c>
      <c r="K44" s="1125"/>
      <c r="L44" s="1124"/>
      <c r="M44" s="824">
        <v>1</v>
      </c>
      <c r="N44" s="1503">
        <f t="shared" si="14"/>
        <v>1</v>
      </c>
      <c r="O44" s="1500">
        <f t="shared" si="15"/>
        <v>1</v>
      </c>
      <c r="P44" s="733">
        <v>0</v>
      </c>
      <c r="Q44" s="1485">
        <f t="shared" si="16"/>
        <v>0</v>
      </c>
      <c r="R44" s="1486">
        <f t="shared" si="17"/>
        <v>0</v>
      </c>
      <c r="S44" s="806"/>
      <c r="T44" s="807"/>
      <c r="U44" s="806"/>
      <c r="V44" s="807"/>
      <c r="W44" s="807"/>
      <c r="X44" s="807"/>
      <c r="Y44" s="806"/>
      <c r="Z44" s="806"/>
      <c r="AA44" s="806"/>
      <c r="AB44" s="724"/>
      <c r="AC44" s="1506" t="s">
        <v>1842</v>
      </c>
      <c r="AD44" s="974" t="s">
        <v>1849</v>
      </c>
      <c r="AE44" s="1554"/>
    </row>
    <row r="45" spans="1:31" ht="37.5" customHeight="1" x14ac:dyDescent="0.25">
      <c r="A45" s="870" t="s">
        <v>2687</v>
      </c>
      <c r="B45" s="1057" t="s">
        <v>2963</v>
      </c>
      <c r="C45" s="871" t="s">
        <v>2652</v>
      </c>
      <c r="D45" s="872">
        <v>0</v>
      </c>
      <c r="E45" s="1414">
        <v>8.3299999999999999E-2</v>
      </c>
      <c r="F45" s="873">
        <v>0</v>
      </c>
      <c r="G45" s="1389">
        <f ca="1">'1POMCAS'!H98</f>
        <v>0</v>
      </c>
      <c r="H45" s="1413"/>
      <c r="I45" s="1411" t="e">
        <f t="shared" si="3"/>
        <v>#DIV/0!</v>
      </c>
      <c r="J45" s="815">
        <f t="shared" ca="1" si="6"/>
        <v>0</v>
      </c>
      <c r="K45" s="1416" t="s">
        <v>3284</v>
      </c>
      <c r="L45" s="1124"/>
      <c r="M45" s="815">
        <v>0.1666</v>
      </c>
      <c r="N45" s="1498">
        <f t="shared" ca="1" si="14"/>
        <v>8.3299999999999999E-2</v>
      </c>
      <c r="O45" s="1500">
        <f t="shared" ca="1" si="15"/>
        <v>0.5</v>
      </c>
      <c r="P45" s="733">
        <f t="shared" ref="P45:P49" si="18">15%*$P$40</f>
        <v>1.35E-2</v>
      </c>
      <c r="Q45" s="1485">
        <f t="shared" si="16"/>
        <v>2200890702.789</v>
      </c>
      <c r="R45" s="1486">
        <f t="shared" si="17"/>
        <v>2076344617.194</v>
      </c>
      <c r="S45" s="806"/>
      <c r="T45" s="807"/>
      <c r="U45" s="806"/>
      <c r="V45" s="807"/>
      <c r="W45" s="807"/>
      <c r="X45" s="807"/>
      <c r="Y45" s="806"/>
      <c r="Z45" s="806"/>
      <c r="AA45" s="806"/>
      <c r="AB45" s="988" t="s">
        <v>2818</v>
      </c>
      <c r="AC45" s="1506" t="s">
        <v>1842</v>
      </c>
      <c r="AD45" s="974" t="s">
        <v>1152</v>
      </c>
      <c r="AE45" s="978" t="s">
        <v>2819</v>
      </c>
    </row>
    <row r="46" spans="1:31" ht="26.25" customHeight="1" x14ac:dyDescent="0.25">
      <c r="A46" s="870" t="s">
        <v>2688</v>
      </c>
      <c r="B46" s="1057" t="s">
        <v>2964</v>
      </c>
      <c r="C46" s="871" t="s">
        <v>2652</v>
      </c>
      <c r="D46" s="872">
        <v>0</v>
      </c>
      <c r="E46" s="1088">
        <v>0</v>
      </c>
      <c r="F46" s="873">
        <v>0</v>
      </c>
      <c r="G46" s="1389">
        <f>'6POMCASejec'!D8</f>
        <v>0.5</v>
      </c>
      <c r="H46" s="1413"/>
      <c r="I46" s="1411" t="e">
        <f t="shared" si="3"/>
        <v>#DIV/0!</v>
      </c>
      <c r="J46" s="824" t="e">
        <f t="shared" si="6"/>
        <v>#DIV/0!</v>
      </c>
      <c r="K46" s="1416" t="s">
        <v>3285</v>
      </c>
      <c r="L46" s="1124"/>
      <c r="M46" s="815">
        <v>1</v>
      </c>
      <c r="N46" s="1498">
        <f t="shared" si="14"/>
        <v>0.5</v>
      </c>
      <c r="O46" s="1500">
        <f t="shared" si="15"/>
        <v>0.5</v>
      </c>
      <c r="P46" s="733">
        <f>5%*$P$40</f>
        <v>4.4999999999999997E-3</v>
      </c>
      <c r="Q46" s="1485">
        <f t="shared" si="16"/>
        <v>733630234.26300001</v>
      </c>
      <c r="R46" s="1486">
        <f t="shared" si="17"/>
        <v>692114872.39799988</v>
      </c>
      <c r="S46" s="806"/>
      <c r="T46" s="807"/>
      <c r="U46" s="806"/>
      <c r="V46" s="807"/>
      <c r="W46" s="807"/>
      <c r="X46" s="807"/>
      <c r="Y46" s="806"/>
      <c r="Z46" s="806"/>
      <c r="AA46" s="806"/>
      <c r="AB46" s="989" t="s">
        <v>2820</v>
      </c>
      <c r="AC46" s="1506" t="s">
        <v>1842</v>
      </c>
      <c r="AD46" s="974" t="s">
        <v>220</v>
      </c>
      <c r="AE46" s="978" t="s">
        <v>2819</v>
      </c>
    </row>
    <row r="47" spans="1:31" ht="27.75" customHeight="1" x14ac:dyDescent="0.25">
      <c r="A47" s="867" t="s">
        <v>2688</v>
      </c>
      <c r="B47" s="1056" t="s">
        <v>2964</v>
      </c>
      <c r="C47" s="871" t="s">
        <v>2652</v>
      </c>
      <c r="D47" s="872">
        <v>0</v>
      </c>
      <c r="E47" s="1088">
        <v>0</v>
      </c>
      <c r="F47" s="873">
        <v>0</v>
      </c>
      <c r="G47" s="1419">
        <v>0</v>
      </c>
      <c r="H47" s="1413"/>
      <c r="I47" s="1411" t="e">
        <f t="shared" si="3"/>
        <v>#DIV/0!</v>
      </c>
      <c r="J47" s="824" t="e">
        <f t="shared" si="6"/>
        <v>#DIV/0!</v>
      </c>
      <c r="K47" s="1416"/>
      <c r="L47" s="1124"/>
      <c r="M47" s="815">
        <v>0.1</v>
      </c>
      <c r="N47" s="1498">
        <f t="shared" si="14"/>
        <v>0</v>
      </c>
      <c r="O47" s="1500">
        <f t="shared" si="15"/>
        <v>0</v>
      </c>
      <c r="P47" s="733">
        <v>0</v>
      </c>
      <c r="Q47" s="1485">
        <f t="shared" si="16"/>
        <v>0</v>
      </c>
      <c r="R47" s="1486">
        <f t="shared" si="17"/>
        <v>0</v>
      </c>
      <c r="S47" s="806"/>
      <c r="T47" s="807"/>
      <c r="U47" s="806"/>
      <c r="V47" s="807"/>
      <c r="W47" s="807"/>
      <c r="X47" s="807"/>
      <c r="Y47" s="806"/>
      <c r="Z47" s="806"/>
      <c r="AA47" s="806"/>
      <c r="AB47" s="989" t="s">
        <v>2821</v>
      </c>
      <c r="AC47" s="1506" t="s">
        <v>1842</v>
      </c>
      <c r="AD47" s="974" t="s">
        <v>220</v>
      </c>
      <c r="AE47" s="978" t="s">
        <v>2819</v>
      </c>
    </row>
    <row r="48" spans="1:31" ht="37.5" customHeight="1" x14ac:dyDescent="0.25">
      <c r="A48" s="870" t="s">
        <v>2689</v>
      </c>
      <c r="B48" s="1057" t="s">
        <v>2965</v>
      </c>
      <c r="C48" s="871" t="s">
        <v>2652</v>
      </c>
      <c r="D48" s="872">
        <v>0</v>
      </c>
      <c r="E48" s="1414">
        <v>0.1666</v>
      </c>
      <c r="F48" s="873">
        <f>'[2]2PORH'!E9</f>
        <v>0</v>
      </c>
      <c r="G48" s="1413">
        <f>'2PORH'!F23</f>
        <v>0</v>
      </c>
      <c r="H48" s="1413"/>
      <c r="I48" s="1411" t="e">
        <f t="shared" si="3"/>
        <v>#DIV/0!</v>
      </c>
      <c r="J48" s="824">
        <f t="shared" si="6"/>
        <v>0</v>
      </c>
      <c r="K48" s="1416" t="s">
        <v>3286</v>
      </c>
      <c r="L48" s="1124"/>
      <c r="M48" s="815">
        <v>0.3332</v>
      </c>
      <c r="N48" s="1498">
        <f t="shared" si="14"/>
        <v>0.1666</v>
      </c>
      <c r="O48" s="1500">
        <f t="shared" si="15"/>
        <v>0.5</v>
      </c>
      <c r="P48" s="733">
        <f>20%*$P$40</f>
        <v>1.7999999999999999E-2</v>
      </c>
      <c r="Q48" s="1485">
        <f t="shared" si="16"/>
        <v>2934520937.052</v>
      </c>
      <c r="R48" s="1486">
        <f t="shared" si="17"/>
        <v>2768459489.5919995</v>
      </c>
      <c r="S48" s="806"/>
      <c r="T48" s="807"/>
      <c r="U48" s="806"/>
      <c r="V48" s="807"/>
      <c r="W48" s="807"/>
      <c r="X48" s="807"/>
      <c r="Y48" s="806"/>
      <c r="Z48" s="806"/>
      <c r="AA48" s="806"/>
      <c r="AB48" s="990" t="s">
        <v>2822</v>
      </c>
      <c r="AC48" s="1506" t="s">
        <v>1842</v>
      </c>
      <c r="AD48" s="974" t="s">
        <v>131</v>
      </c>
      <c r="AE48" s="978" t="s">
        <v>2819</v>
      </c>
    </row>
    <row r="49" spans="1:31" ht="78" customHeight="1" x14ac:dyDescent="0.25">
      <c r="A49" s="1613" t="s">
        <v>2690</v>
      </c>
      <c r="B49" s="1057" t="s">
        <v>183</v>
      </c>
      <c r="C49" s="871" t="s">
        <v>2652</v>
      </c>
      <c r="D49" s="872">
        <v>0</v>
      </c>
      <c r="E49" s="1088">
        <v>0</v>
      </c>
      <c r="F49" s="1088">
        <v>0</v>
      </c>
      <c r="G49" s="1413" t="str">
        <f>'4UsoAguas'!D8</f>
        <v>N.A.</v>
      </c>
      <c r="H49" s="1413"/>
      <c r="I49" s="1411" t="e">
        <f t="shared" si="3"/>
        <v>#DIV/0!</v>
      </c>
      <c r="J49" s="815" t="e">
        <f t="shared" si="6"/>
        <v>#VALUE!</v>
      </c>
      <c r="K49" s="1416" t="s">
        <v>3287</v>
      </c>
      <c r="L49" s="1124"/>
      <c r="M49" s="815">
        <v>8.3299999999999999E-2</v>
      </c>
      <c r="N49" s="1498">
        <f t="shared" si="14"/>
        <v>0</v>
      </c>
      <c r="O49" s="1500">
        <f t="shared" si="15"/>
        <v>0</v>
      </c>
      <c r="P49" s="733">
        <f t="shared" si="18"/>
        <v>1.35E-2</v>
      </c>
      <c r="Q49" s="1485">
        <f t="shared" si="16"/>
        <v>2200890702.789</v>
      </c>
      <c r="R49" s="1486">
        <f t="shared" si="17"/>
        <v>2076344617.194</v>
      </c>
      <c r="S49" s="806"/>
      <c r="T49" s="807"/>
      <c r="U49" s="806"/>
      <c r="V49" s="807"/>
      <c r="W49" s="807"/>
      <c r="X49" s="807"/>
      <c r="Y49" s="806"/>
      <c r="Z49" s="806"/>
      <c r="AA49" s="806"/>
      <c r="AB49" s="990" t="s">
        <v>2823</v>
      </c>
      <c r="AC49" s="1506" t="s">
        <v>1842</v>
      </c>
      <c r="AD49" s="974" t="s">
        <v>183</v>
      </c>
      <c r="AE49" s="978" t="s">
        <v>2819</v>
      </c>
    </row>
    <row r="50" spans="1:31" ht="33.75" x14ac:dyDescent="0.25">
      <c r="A50" s="1614"/>
      <c r="B50" s="867" t="s">
        <v>2966</v>
      </c>
      <c r="C50" s="860" t="s">
        <v>2665</v>
      </c>
      <c r="D50" s="868">
        <v>0</v>
      </c>
      <c r="E50" s="1170">
        <v>1</v>
      </c>
      <c r="F50" s="1089">
        <f>'[2]4UsoAguas'!E9</f>
        <v>0</v>
      </c>
      <c r="G50" s="1421">
        <v>0</v>
      </c>
      <c r="H50" s="1413"/>
      <c r="I50" s="1411" t="e">
        <f t="shared" si="3"/>
        <v>#DIV/0!</v>
      </c>
      <c r="J50" s="824">
        <f>IF(G50/E50&gt;=100%,100%,G50/E50)</f>
        <v>0</v>
      </c>
      <c r="K50" s="804"/>
      <c r="L50" s="804"/>
      <c r="M50" s="824">
        <v>4</v>
      </c>
      <c r="N50" s="1498">
        <f t="shared" si="14"/>
        <v>1</v>
      </c>
      <c r="O50" s="1500">
        <f t="shared" si="15"/>
        <v>0.25</v>
      </c>
      <c r="P50" s="733">
        <v>0</v>
      </c>
      <c r="Q50" s="1485">
        <f t="shared" si="16"/>
        <v>0</v>
      </c>
      <c r="R50" s="1486">
        <f>R$40*P50/P$40</f>
        <v>0</v>
      </c>
      <c r="S50" s="806"/>
      <c r="T50" s="807"/>
      <c r="U50" s="806"/>
      <c r="V50" s="807"/>
      <c r="W50" s="807"/>
      <c r="X50" s="807"/>
      <c r="Y50" s="806"/>
      <c r="Z50" s="806"/>
      <c r="AA50" s="806"/>
      <c r="AB50" s="990" t="s">
        <v>2824</v>
      </c>
      <c r="AC50" s="1506" t="s">
        <v>1842</v>
      </c>
      <c r="AD50" s="974" t="s">
        <v>183</v>
      </c>
      <c r="AE50" s="978" t="s">
        <v>2819</v>
      </c>
    </row>
    <row r="51" spans="1:31" ht="33.75" x14ac:dyDescent="0.25">
      <c r="A51" s="867" t="s">
        <v>2691</v>
      </c>
      <c r="B51" s="1056" t="s">
        <v>2967</v>
      </c>
      <c r="C51" s="871" t="s">
        <v>2652</v>
      </c>
      <c r="D51" s="868">
        <v>0</v>
      </c>
      <c r="E51" s="1090">
        <v>0</v>
      </c>
      <c r="F51" s="1090">
        <v>0</v>
      </c>
      <c r="G51" s="1413">
        <v>0</v>
      </c>
      <c r="H51" s="1413"/>
      <c r="I51" s="1411" t="e">
        <f t="shared" si="3"/>
        <v>#DIV/0!</v>
      </c>
      <c r="J51" s="824" t="e">
        <f t="shared" si="6"/>
        <v>#DIV/0!</v>
      </c>
      <c r="K51" s="804"/>
      <c r="L51" s="804"/>
      <c r="M51" s="815">
        <v>0.1</v>
      </c>
      <c r="N51" s="1498">
        <f t="shared" si="14"/>
        <v>0</v>
      </c>
      <c r="O51" s="1500">
        <f t="shared" si="15"/>
        <v>0</v>
      </c>
      <c r="P51" s="733">
        <f>5%*$P$40</f>
        <v>4.4999999999999997E-3</v>
      </c>
      <c r="Q51" s="1485">
        <f t="shared" si="16"/>
        <v>733630234.26300001</v>
      </c>
      <c r="R51" s="1486">
        <f t="shared" ref="R51:R55" si="19">R$40*P51/P$40</f>
        <v>692114872.39799988</v>
      </c>
      <c r="S51" s="806"/>
      <c r="T51" s="807"/>
      <c r="U51" s="806"/>
      <c r="V51" s="807"/>
      <c r="W51" s="807"/>
      <c r="X51" s="807"/>
      <c r="Y51" s="806"/>
      <c r="Z51" s="806"/>
      <c r="AA51" s="806"/>
      <c r="AB51" s="991" t="s">
        <v>2825</v>
      </c>
      <c r="AC51" s="1506" t="s">
        <v>1842</v>
      </c>
      <c r="AD51" s="974" t="s">
        <v>1849</v>
      </c>
      <c r="AE51" s="978" t="s">
        <v>2819</v>
      </c>
    </row>
    <row r="52" spans="1:31" ht="102" x14ac:dyDescent="0.25">
      <c r="A52" s="874" t="s">
        <v>2692</v>
      </c>
      <c r="B52" s="1058" t="s">
        <v>2968</v>
      </c>
      <c r="C52" s="860" t="s">
        <v>2665</v>
      </c>
      <c r="D52" s="868">
        <v>5</v>
      </c>
      <c r="E52" s="1090">
        <v>2</v>
      </c>
      <c r="F52" s="1090">
        <v>0</v>
      </c>
      <c r="G52" s="1457">
        <v>1</v>
      </c>
      <c r="H52" s="1149"/>
      <c r="I52" s="1147">
        <f t="shared" si="3"/>
        <v>0</v>
      </c>
      <c r="J52" s="815">
        <f t="shared" si="6"/>
        <v>0.5</v>
      </c>
      <c r="K52" s="804" t="s">
        <v>3288</v>
      </c>
      <c r="L52" s="804"/>
      <c r="M52" s="824">
        <v>5</v>
      </c>
      <c r="N52" s="1498">
        <f t="shared" si="14"/>
        <v>3</v>
      </c>
      <c r="O52" s="1500">
        <f t="shared" si="15"/>
        <v>0.6</v>
      </c>
      <c r="P52" s="733">
        <v>0</v>
      </c>
      <c r="Q52" s="1485">
        <f t="shared" si="16"/>
        <v>0</v>
      </c>
      <c r="R52" s="1486">
        <f t="shared" si="19"/>
        <v>0</v>
      </c>
      <c r="S52" s="806"/>
      <c r="T52" s="807"/>
      <c r="U52" s="806"/>
      <c r="V52" s="807"/>
      <c r="W52" s="807"/>
      <c r="X52" s="807"/>
      <c r="Y52" s="806"/>
      <c r="Z52" s="806"/>
      <c r="AA52" s="806"/>
      <c r="AB52" s="992" t="s">
        <v>2826</v>
      </c>
      <c r="AC52" s="1506" t="s">
        <v>1842</v>
      </c>
      <c r="AD52" s="974" t="s">
        <v>1849</v>
      </c>
      <c r="AE52" s="978" t="s">
        <v>2819</v>
      </c>
    </row>
    <row r="53" spans="1:31" ht="123" customHeight="1" x14ac:dyDescent="0.25">
      <c r="A53" s="875" t="s">
        <v>2693</v>
      </c>
      <c r="B53" s="867" t="s">
        <v>2969</v>
      </c>
      <c r="C53" s="860" t="s">
        <v>2694</v>
      </c>
      <c r="D53" s="868">
        <v>3</v>
      </c>
      <c r="E53" s="824">
        <v>5</v>
      </c>
      <c r="F53" s="824">
        <v>3.24</v>
      </c>
      <c r="G53" s="1458">
        <v>1.7</v>
      </c>
      <c r="H53" s="1413"/>
      <c r="I53" s="1411">
        <f t="shared" si="3"/>
        <v>1</v>
      </c>
      <c r="J53" s="1412">
        <f t="shared" si="6"/>
        <v>0.33999999999999997</v>
      </c>
      <c r="K53" s="804" t="s">
        <v>3550</v>
      </c>
      <c r="L53" s="804"/>
      <c r="M53" s="824">
        <v>15</v>
      </c>
      <c r="N53" s="1498">
        <f t="shared" si="14"/>
        <v>9.94</v>
      </c>
      <c r="O53" s="1500">
        <f t="shared" si="15"/>
        <v>0.66266666666666663</v>
      </c>
      <c r="P53" s="733">
        <f>10%*$P$40</f>
        <v>8.9999999999999993E-3</v>
      </c>
      <c r="Q53" s="1485">
        <f t="shared" si="16"/>
        <v>1467260468.526</v>
      </c>
      <c r="R53" s="1486">
        <f t="shared" si="19"/>
        <v>1384229744.7959998</v>
      </c>
      <c r="S53" s="806"/>
      <c r="T53" s="807"/>
      <c r="U53" s="806"/>
      <c r="V53" s="807"/>
      <c r="W53" s="807"/>
      <c r="X53" s="807"/>
      <c r="Y53" s="806"/>
      <c r="Z53" s="806"/>
      <c r="AA53" s="806"/>
      <c r="AB53" s="990" t="s">
        <v>2827</v>
      </c>
      <c r="AC53" s="1506" t="s">
        <v>1842</v>
      </c>
      <c r="AD53" s="974" t="s">
        <v>1849</v>
      </c>
      <c r="AE53" s="978" t="s">
        <v>2819</v>
      </c>
    </row>
    <row r="54" spans="1:31" ht="93" customHeight="1" x14ac:dyDescent="0.25">
      <c r="A54" s="875" t="s">
        <v>2695</v>
      </c>
      <c r="B54" s="867" t="s">
        <v>2971</v>
      </c>
      <c r="C54" s="860" t="s">
        <v>2665</v>
      </c>
      <c r="D54" s="868">
        <v>0</v>
      </c>
      <c r="E54" s="824">
        <v>1</v>
      </c>
      <c r="F54" s="824">
        <v>0</v>
      </c>
      <c r="G54" s="1149">
        <v>0</v>
      </c>
      <c r="H54" s="1149"/>
      <c r="I54" s="1147" t="e">
        <f t="shared" si="3"/>
        <v>#DIV/0!</v>
      </c>
      <c r="J54" s="824">
        <f t="shared" si="6"/>
        <v>0</v>
      </c>
      <c r="K54" s="804" t="s">
        <v>3289</v>
      </c>
      <c r="L54" s="804"/>
      <c r="M54" s="824">
        <v>2</v>
      </c>
      <c r="N54" s="1498">
        <f t="shared" si="14"/>
        <v>1</v>
      </c>
      <c r="O54" s="1500">
        <f t="shared" si="15"/>
        <v>0.5</v>
      </c>
      <c r="P54" s="733">
        <v>0</v>
      </c>
      <c r="Q54" s="1485">
        <f t="shared" si="16"/>
        <v>0</v>
      </c>
      <c r="R54" s="1486">
        <f t="shared" si="19"/>
        <v>0</v>
      </c>
      <c r="S54" s="806"/>
      <c r="T54" s="807"/>
      <c r="U54" s="806"/>
      <c r="V54" s="807"/>
      <c r="W54" s="807"/>
      <c r="X54" s="807"/>
      <c r="Y54" s="806"/>
      <c r="Z54" s="806"/>
      <c r="AA54" s="806"/>
      <c r="AB54" s="724"/>
      <c r="AC54" s="1506" t="s">
        <v>1842</v>
      </c>
      <c r="AD54" s="974" t="s">
        <v>1849</v>
      </c>
      <c r="AE54" s="978" t="s">
        <v>2819</v>
      </c>
    </row>
    <row r="55" spans="1:31" ht="106.5" customHeight="1" thickBot="1" x14ac:dyDescent="0.3">
      <c r="A55" s="876" t="s">
        <v>2696</v>
      </c>
      <c r="B55" s="1059" t="s">
        <v>2970</v>
      </c>
      <c r="C55" s="860" t="s">
        <v>2665</v>
      </c>
      <c r="D55" s="1120">
        <v>0</v>
      </c>
      <c r="E55" s="890">
        <v>0</v>
      </c>
      <c r="F55" s="890">
        <v>0</v>
      </c>
      <c r="G55" s="1121">
        <v>0</v>
      </c>
      <c r="H55" s="1121"/>
      <c r="I55" s="1122" t="e">
        <f t="shared" si="3"/>
        <v>#DIV/0!</v>
      </c>
      <c r="J55" s="553" t="e">
        <f t="shared" si="6"/>
        <v>#DIV/0!</v>
      </c>
      <c r="K55" s="804" t="s">
        <v>3290</v>
      </c>
      <c r="L55" s="804"/>
      <c r="M55" s="824">
        <v>1</v>
      </c>
      <c r="N55" s="1498">
        <f t="shared" si="14"/>
        <v>0</v>
      </c>
      <c r="O55" s="1500">
        <f t="shared" si="15"/>
        <v>0</v>
      </c>
      <c r="P55" s="733">
        <f>15%*$P$40</f>
        <v>1.35E-2</v>
      </c>
      <c r="Q55" s="1485">
        <f t="shared" si="16"/>
        <v>2200890702.789</v>
      </c>
      <c r="R55" s="1486">
        <f t="shared" si="19"/>
        <v>2076344617.194</v>
      </c>
      <c r="S55" s="806"/>
      <c r="T55" s="807"/>
      <c r="U55" s="806"/>
      <c r="V55" s="807"/>
      <c r="W55" s="807"/>
      <c r="X55" s="807"/>
      <c r="Y55" s="806"/>
      <c r="Z55" s="806"/>
      <c r="AA55" s="806"/>
      <c r="AB55" s="724"/>
      <c r="AC55" s="1506" t="s">
        <v>1842</v>
      </c>
      <c r="AD55" s="974" t="s">
        <v>1849</v>
      </c>
      <c r="AE55" s="978" t="s">
        <v>2819</v>
      </c>
    </row>
    <row r="56" spans="1:31" ht="15.75" customHeight="1" thickBot="1" x14ac:dyDescent="0.3">
      <c r="A56" s="1561" t="s">
        <v>2838</v>
      </c>
      <c r="B56" s="1562"/>
      <c r="C56" s="1563"/>
      <c r="D56" s="829"/>
      <c r="E56" s="829"/>
      <c r="F56" s="1078">
        <v>0.97</v>
      </c>
      <c r="G56" s="1077"/>
      <c r="H56" s="1045"/>
      <c r="I56" s="1422">
        <v>0.97</v>
      </c>
      <c r="J56" s="1249">
        <f>+(J57+J58+J59+J60+J61+J64+J65)/7</f>
        <v>0.58230848861283646</v>
      </c>
      <c r="K56" s="804"/>
      <c r="L56" s="804"/>
      <c r="M56" s="549"/>
      <c r="N56" s="1498">
        <f t="shared" si="14"/>
        <v>0.97</v>
      </c>
      <c r="O56" s="1500" t="e">
        <f t="shared" si="15"/>
        <v>#DIV/0!</v>
      </c>
      <c r="P56" s="1245">
        <v>0.05</v>
      </c>
      <c r="Q56" s="1483">
        <f>'informe Gastos'!Y67</f>
        <v>1133074585</v>
      </c>
      <c r="R56" s="1483">
        <f>'informe Gastos'!Z67</f>
        <v>226877210</v>
      </c>
      <c r="S56" s="1490">
        <f>+R56/Q56</f>
        <v>0.20023148785037836</v>
      </c>
      <c r="T56" s="1483">
        <f>'informe Gastos'!AA67</f>
        <v>158313575</v>
      </c>
      <c r="U56" s="1490">
        <f>+T56/R56</f>
        <v>0.69779408429784551</v>
      </c>
      <c r="V56" s="746">
        <f t="shared" ref="V56" si="20">+R56-T56</f>
        <v>68563635</v>
      </c>
      <c r="W56" s="807"/>
      <c r="X56" s="807"/>
      <c r="Y56" s="806">
        <f>(560392535+481547356+617834000+652433000)+348710000+651527229</f>
        <v>3312444120</v>
      </c>
      <c r="Z56" s="806">
        <f>398118546.5+R56</f>
        <v>624995756.5</v>
      </c>
      <c r="AA56" s="789">
        <f>+Z56/Y56</f>
        <v>0.18868114717056722</v>
      </c>
      <c r="AB56" s="724"/>
      <c r="AC56" s="1506"/>
      <c r="AD56" s="974"/>
      <c r="AE56" s="978" t="s">
        <v>2819</v>
      </c>
    </row>
    <row r="57" spans="1:31" ht="63.75" customHeight="1" x14ac:dyDescent="0.25">
      <c r="A57" s="877" t="s">
        <v>2697</v>
      </c>
      <c r="B57" s="882" t="s">
        <v>2972</v>
      </c>
      <c r="C57" s="878" t="s">
        <v>2665</v>
      </c>
      <c r="D57" s="1123">
        <v>38</v>
      </c>
      <c r="E57" s="945">
        <v>50</v>
      </c>
      <c r="F57" s="945">
        <v>38</v>
      </c>
      <c r="G57" s="1283">
        <v>43</v>
      </c>
      <c r="H57" s="1137"/>
      <c r="I57" s="1423">
        <f t="shared" si="3"/>
        <v>1</v>
      </c>
      <c r="J57" s="832">
        <f t="shared" si="6"/>
        <v>0.86</v>
      </c>
      <c r="K57" s="804" t="s">
        <v>3291</v>
      </c>
      <c r="L57" s="804"/>
      <c r="M57" s="824">
        <v>51</v>
      </c>
      <c r="N57" s="1498">
        <f t="shared" si="14"/>
        <v>131</v>
      </c>
      <c r="O57" s="1500">
        <f t="shared" si="15"/>
        <v>1</v>
      </c>
      <c r="P57" s="733">
        <f>3%*$P$56</f>
        <v>1.5E-3</v>
      </c>
      <c r="Q57" s="1485">
        <f>Q$56*P57/P$56</f>
        <v>33992237.549999997</v>
      </c>
      <c r="R57" s="1486">
        <f>R$56*P57/P$56</f>
        <v>6806316.2999999998</v>
      </c>
      <c r="S57" s="806"/>
      <c r="T57" s="807"/>
      <c r="U57" s="806"/>
      <c r="V57" s="807"/>
      <c r="W57" s="807"/>
      <c r="X57" s="807"/>
      <c r="Y57" s="806"/>
      <c r="Z57" s="806"/>
      <c r="AA57" s="806"/>
      <c r="AB57" s="724"/>
      <c r="AC57" s="1506" t="s">
        <v>1842</v>
      </c>
      <c r="AD57" s="974" t="s">
        <v>1849</v>
      </c>
      <c r="AE57" s="978" t="s">
        <v>2819</v>
      </c>
    </row>
    <row r="58" spans="1:31" ht="74.25" customHeight="1" x14ac:dyDescent="0.25">
      <c r="A58" s="1564" t="s">
        <v>2698</v>
      </c>
      <c r="B58" s="1095" t="s">
        <v>2973</v>
      </c>
      <c r="C58" s="1094" t="s">
        <v>2665</v>
      </c>
      <c r="D58" s="880">
        <v>14</v>
      </c>
      <c r="E58" s="824">
        <v>30</v>
      </c>
      <c r="F58" s="824">
        <v>14</v>
      </c>
      <c r="G58" s="1149">
        <v>12</v>
      </c>
      <c r="H58" s="805"/>
      <c r="I58" s="1147">
        <f t="shared" si="3"/>
        <v>1</v>
      </c>
      <c r="J58" s="815">
        <f t="shared" si="6"/>
        <v>0.4</v>
      </c>
      <c r="K58" s="804" t="s">
        <v>3292</v>
      </c>
      <c r="L58" s="804"/>
      <c r="M58" s="824">
        <v>33</v>
      </c>
      <c r="N58" s="1498">
        <f t="shared" si="14"/>
        <v>56</v>
      </c>
      <c r="O58" s="1500">
        <f t="shared" si="15"/>
        <v>1</v>
      </c>
      <c r="P58" s="1639">
        <f>43%*$P$56</f>
        <v>2.1500000000000002E-2</v>
      </c>
      <c r="Q58" s="1579">
        <f t="shared" ref="Q58:Q65" si="21">Q$56*P58/P$56</f>
        <v>487222071.55000001</v>
      </c>
      <c r="R58" s="1579">
        <f t="shared" ref="R58:R65" si="22">R$56*P58/P$56</f>
        <v>97557200.300000012</v>
      </c>
      <c r="S58" s="806"/>
      <c r="T58" s="807"/>
      <c r="U58" s="806"/>
      <c r="V58" s="807"/>
      <c r="W58" s="807"/>
      <c r="X58" s="807"/>
      <c r="Y58" s="806"/>
      <c r="Z58" s="806"/>
      <c r="AA58" s="806"/>
      <c r="AB58" s="724"/>
      <c r="AC58" s="1506" t="s">
        <v>1842</v>
      </c>
      <c r="AD58" s="974" t="s">
        <v>1849</v>
      </c>
      <c r="AE58" s="978" t="s">
        <v>2819</v>
      </c>
    </row>
    <row r="59" spans="1:31" ht="48" x14ac:dyDescent="0.25">
      <c r="A59" s="1565"/>
      <c r="B59" s="1095" t="s">
        <v>2974</v>
      </c>
      <c r="C59" s="1094" t="s">
        <v>2665</v>
      </c>
      <c r="D59" s="880">
        <v>12</v>
      </c>
      <c r="E59" s="824">
        <v>23</v>
      </c>
      <c r="F59" s="824">
        <v>12</v>
      </c>
      <c r="G59" s="1413">
        <v>8</v>
      </c>
      <c r="H59" s="1091"/>
      <c r="I59" s="1411">
        <f t="shared" si="3"/>
        <v>1</v>
      </c>
      <c r="J59" s="815">
        <f t="shared" si="6"/>
        <v>0.34782608695652173</v>
      </c>
      <c r="K59" s="804" t="s">
        <v>3293</v>
      </c>
      <c r="L59" s="804"/>
      <c r="M59" s="824">
        <v>23</v>
      </c>
      <c r="N59" s="1498">
        <f t="shared" si="14"/>
        <v>43</v>
      </c>
      <c r="O59" s="1500">
        <f t="shared" si="15"/>
        <v>1</v>
      </c>
      <c r="P59" s="1640"/>
      <c r="Q59" s="1580"/>
      <c r="R59" s="1580"/>
      <c r="S59" s="806"/>
      <c r="T59" s="807"/>
      <c r="U59" s="806"/>
      <c r="V59" s="807"/>
      <c r="W59" s="807"/>
      <c r="X59" s="807"/>
      <c r="Y59" s="806"/>
      <c r="Z59" s="806"/>
      <c r="AA59" s="806"/>
      <c r="AB59" s="724"/>
      <c r="AC59" s="1506" t="s">
        <v>1842</v>
      </c>
      <c r="AD59" s="974" t="s">
        <v>1849</v>
      </c>
      <c r="AE59" s="978" t="s">
        <v>2819</v>
      </c>
    </row>
    <row r="60" spans="1:31" ht="60" x14ac:dyDescent="0.25">
      <c r="A60" s="1565"/>
      <c r="B60" s="1095" t="s">
        <v>2975</v>
      </c>
      <c r="C60" s="1094" t="s">
        <v>2665</v>
      </c>
      <c r="D60" s="880">
        <v>19</v>
      </c>
      <c r="E60" s="824">
        <v>19</v>
      </c>
      <c r="F60" s="824">
        <v>19</v>
      </c>
      <c r="G60" s="1413">
        <v>19</v>
      </c>
      <c r="H60" s="1091"/>
      <c r="I60" s="1411">
        <f t="shared" si="3"/>
        <v>1</v>
      </c>
      <c r="J60" s="815">
        <f t="shared" si="6"/>
        <v>1</v>
      </c>
      <c r="K60" s="1125" t="s">
        <v>3293</v>
      </c>
      <c r="L60" s="1124"/>
      <c r="M60" s="824">
        <v>19</v>
      </c>
      <c r="N60" s="1498">
        <f t="shared" si="14"/>
        <v>57</v>
      </c>
      <c r="O60" s="1500">
        <f t="shared" si="15"/>
        <v>1</v>
      </c>
      <c r="P60" s="1640"/>
      <c r="Q60" s="1580"/>
      <c r="R60" s="1580"/>
      <c r="S60" s="806"/>
      <c r="T60" s="807"/>
      <c r="U60" s="806"/>
      <c r="V60" s="807"/>
      <c r="W60" s="807"/>
      <c r="X60" s="807"/>
      <c r="Y60" s="806"/>
      <c r="Z60" s="806"/>
      <c r="AA60" s="806"/>
      <c r="AB60" s="724"/>
      <c r="AC60" s="1506" t="s">
        <v>1842</v>
      </c>
      <c r="AD60" s="974" t="s">
        <v>1849</v>
      </c>
      <c r="AE60" s="978" t="s">
        <v>2819</v>
      </c>
    </row>
    <row r="61" spans="1:31" ht="48" x14ac:dyDescent="0.25">
      <c r="A61" s="1565"/>
      <c r="B61" s="1095" t="s">
        <v>2976</v>
      </c>
      <c r="C61" s="1094" t="s">
        <v>2665</v>
      </c>
      <c r="D61" s="880">
        <v>10</v>
      </c>
      <c r="E61" s="824">
        <v>24</v>
      </c>
      <c r="F61" s="824">
        <v>10</v>
      </c>
      <c r="G61" s="1413">
        <v>5</v>
      </c>
      <c r="H61" s="1091"/>
      <c r="I61" s="1411">
        <f t="shared" si="3"/>
        <v>1</v>
      </c>
      <c r="J61" s="815">
        <f t="shared" si="6"/>
        <v>0.20833333333333334</v>
      </c>
      <c r="K61" s="1125" t="s">
        <v>3293</v>
      </c>
      <c r="L61" s="1124"/>
      <c r="M61" s="824">
        <v>28</v>
      </c>
      <c r="N61" s="1498">
        <f t="shared" si="14"/>
        <v>39</v>
      </c>
      <c r="O61" s="1500">
        <f t="shared" si="15"/>
        <v>1</v>
      </c>
      <c r="P61" s="1640"/>
      <c r="Q61" s="1580"/>
      <c r="R61" s="1580"/>
      <c r="S61" s="806"/>
      <c r="T61" s="807"/>
      <c r="U61" s="806"/>
      <c r="V61" s="807"/>
      <c r="W61" s="807"/>
      <c r="X61" s="807"/>
      <c r="Y61" s="806"/>
      <c r="Z61" s="806"/>
      <c r="AA61" s="806"/>
      <c r="AB61" s="724"/>
      <c r="AC61" s="1506" t="s">
        <v>1842</v>
      </c>
      <c r="AD61" s="974" t="s">
        <v>1849</v>
      </c>
      <c r="AE61" s="978" t="s">
        <v>2819</v>
      </c>
    </row>
    <row r="62" spans="1:31" ht="48" x14ac:dyDescent="0.25">
      <c r="A62" s="1566"/>
      <c r="B62" s="1095" t="s">
        <v>2977</v>
      </c>
      <c r="C62" s="1094" t="s">
        <v>2652</v>
      </c>
      <c r="D62" s="880"/>
      <c r="E62" s="824"/>
      <c r="F62" s="824"/>
      <c r="G62" s="1413"/>
      <c r="H62" s="1091"/>
      <c r="I62" s="1411" t="e">
        <f t="shared" si="3"/>
        <v>#DIV/0!</v>
      </c>
      <c r="J62" s="824" t="e">
        <f t="shared" si="6"/>
        <v>#DIV/0!</v>
      </c>
      <c r="K62" s="1125"/>
      <c r="L62" s="1124"/>
      <c r="M62" s="549"/>
      <c r="N62" s="1498">
        <f t="shared" si="14"/>
        <v>0</v>
      </c>
      <c r="O62" s="1500" t="e">
        <f t="shared" si="15"/>
        <v>#DIV/0!</v>
      </c>
      <c r="P62" s="1640"/>
      <c r="Q62" s="1581"/>
      <c r="R62" s="1581"/>
      <c r="S62" s="806"/>
      <c r="T62" s="807"/>
      <c r="U62" s="806"/>
      <c r="V62" s="807"/>
      <c r="W62" s="807"/>
      <c r="X62" s="807"/>
      <c r="Y62" s="806"/>
      <c r="Z62" s="806"/>
      <c r="AA62" s="806"/>
      <c r="AB62" s="993" t="s">
        <v>2828</v>
      </c>
      <c r="AC62" s="1506" t="s">
        <v>1842</v>
      </c>
      <c r="AD62" s="974" t="s">
        <v>1849</v>
      </c>
      <c r="AE62" s="978" t="s">
        <v>2819</v>
      </c>
    </row>
    <row r="63" spans="1:31" ht="96" x14ac:dyDescent="0.25">
      <c r="A63" s="1092" t="s">
        <v>2699</v>
      </c>
      <c r="B63" s="1095" t="s">
        <v>2978</v>
      </c>
      <c r="C63" s="1094" t="s">
        <v>2665</v>
      </c>
      <c r="D63" s="880">
        <v>1</v>
      </c>
      <c r="E63" s="824">
        <v>0</v>
      </c>
      <c r="F63" s="824">
        <v>1</v>
      </c>
      <c r="G63" s="1091">
        <v>0</v>
      </c>
      <c r="H63" s="1091"/>
      <c r="I63" s="1411">
        <f t="shared" si="3"/>
        <v>1</v>
      </c>
      <c r="J63" s="549" t="e">
        <f t="shared" si="6"/>
        <v>#DIV/0!</v>
      </c>
      <c r="K63" s="1125"/>
      <c r="L63" s="1124"/>
      <c r="M63" s="824">
        <v>1</v>
      </c>
      <c r="N63" s="1498">
        <f t="shared" si="14"/>
        <v>1</v>
      </c>
      <c r="O63" s="1500">
        <f t="shared" si="15"/>
        <v>1</v>
      </c>
      <c r="P63" s="733">
        <f>2%*$P$56</f>
        <v>1E-3</v>
      </c>
      <c r="Q63" s="1485">
        <f t="shared" si="21"/>
        <v>22661491.699999999</v>
      </c>
      <c r="R63" s="1486">
        <f t="shared" si="22"/>
        <v>4537544.1999999993</v>
      </c>
      <c r="S63" s="806"/>
      <c r="T63" s="807"/>
      <c r="U63" s="806"/>
      <c r="V63" s="807"/>
      <c r="W63" s="807"/>
      <c r="X63" s="807"/>
      <c r="Y63" s="806"/>
      <c r="Z63" s="806"/>
      <c r="AA63" s="806"/>
      <c r="AB63" s="988" t="s">
        <v>2829</v>
      </c>
      <c r="AC63" s="1506" t="s">
        <v>1842</v>
      </c>
      <c r="AD63" s="974" t="s">
        <v>1849</v>
      </c>
      <c r="AE63" s="978" t="s">
        <v>2819</v>
      </c>
    </row>
    <row r="64" spans="1:31" ht="48" x14ac:dyDescent="0.25">
      <c r="A64" s="1093" t="s">
        <v>2700</v>
      </c>
      <c r="B64" s="1095" t="s">
        <v>2979</v>
      </c>
      <c r="C64" s="1094" t="s">
        <v>2665</v>
      </c>
      <c r="D64" s="881">
        <v>25</v>
      </c>
      <c r="E64" s="824">
        <v>50</v>
      </c>
      <c r="F64" s="824">
        <v>19</v>
      </c>
      <c r="G64" s="1413">
        <v>13</v>
      </c>
      <c r="H64" s="1413"/>
      <c r="I64" s="1387">
        <f t="shared" si="3"/>
        <v>0.76</v>
      </c>
      <c r="J64" s="855">
        <f t="shared" si="6"/>
        <v>0.26</v>
      </c>
      <c r="K64" s="1125" t="s">
        <v>3294</v>
      </c>
      <c r="L64" s="1124"/>
      <c r="M64" s="824">
        <v>51</v>
      </c>
      <c r="N64" s="1498">
        <f t="shared" si="14"/>
        <v>82</v>
      </c>
      <c r="O64" s="1500">
        <f t="shared" si="15"/>
        <v>1</v>
      </c>
      <c r="P64" s="733">
        <f>33%*$P$56</f>
        <v>1.6500000000000001E-2</v>
      </c>
      <c r="Q64" s="1485">
        <f t="shared" si="21"/>
        <v>373914613.04999995</v>
      </c>
      <c r="R64" s="1486">
        <f t="shared" si="22"/>
        <v>74869479.299999997</v>
      </c>
      <c r="S64" s="806"/>
      <c r="T64" s="807"/>
      <c r="U64" s="806"/>
      <c r="V64" s="807"/>
      <c r="W64" s="807"/>
      <c r="X64" s="807"/>
      <c r="Y64" s="806"/>
      <c r="Z64" s="806"/>
      <c r="AA64" s="806"/>
      <c r="AB64" s="724"/>
      <c r="AC64" s="1506" t="s">
        <v>1842</v>
      </c>
      <c r="AD64" s="974" t="s">
        <v>1849</v>
      </c>
      <c r="AE64" s="978" t="s">
        <v>2819</v>
      </c>
    </row>
    <row r="65" spans="1:31" ht="52.5" customHeight="1" thickBot="1" x14ac:dyDescent="0.3">
      <c r="A65" s="882" t="s">
        <v>2701</v>
      </c>
      <c r="B65" s="882" t="s">
        <v>2980</v>
      </c>
      <c r="C65" s="879" t="s">
        <v>2665</v>
      </c>
      <c r="D65" s="883">
        <v>11</v>
      </c>
      <c r="E65" s="824">
        <v>11</v>
      </c>
      <c r="F65" s="824">
        <v>11</v>
      </c>
      <c r="G65" s="1149">
        <v>11</v>
      </c>
      <c r="H65" s="1149"/>
      <c r="I65" s="1047">
        <f t="shared" si="3"/>
        <v>1</v>
      </c>
      <c r="J65" s="815">
        <f t="shared" si="6"/>
        <v>1</v>
      </c>
      <c r="K65" s="1125"/>
      <c r="L65" s="1124"/>
      <c r="M65" s="824">
        <v>15</v>
      </c>
      <c r="N65" s="1498">
        <f t="shared" si="14"/>
        <v>33</v>
      </c>
      <c r="O65" s="1500">
        <f t="shared" si="15"/>
        <v>1</v>
      </c>
      <c r="P65" s="733">
        <f>19%*$P$56</f>
        <v>9.5000000000000015E-3</v>
      </c>
      <c r="Q65" s="1485">
        <f t="shared" si="21"/>
        <v>215284171.15000001</v>
      </c>
      <c r="R65" s="1486">
        <f t="shared" si="22"/>
        <v>43106669.899999999</v>
      </c>
      <c r="S65" s="806"/>
      <c r="T65" s="807"/>
      <c r="U65" s="806"/>
      <c r="V65" s="807"/>
      <c r="W65" s="807"/>
      <c r="X65" s="807"/>
      <c r="Y65" s="806"/>
      <c r="Z65" s="806"/>
      <c r="AA65" s="806"/>
      <c r="AB65" s="994" t="s">
        <v>2830</v>
      </c>
      <c r="AC65" s="1506" t="s">
        <v>1842</v>
      </c>
      <c r="AD65" s="974" t="s">
        <v>1849</v>
      </c>
      <c r="AE65" s="978" t="s">
        <v>2819</v>
      </c>
    </row>
    <row r="66" spans="1:31" ht="13.5" thickBot="1" x14ac:dyDescent="0.3">
      <c r="A66" s="1518" t="s">
        <v>2702</v>
      </c>
      <c r="B66" s="1519"/>
      <c r="C66" s="1545"/>
      <c r="D66" s="884"/>
      <c r="E66" s="549"/>
      <c r="F66" s="815">
        <v>0.97</v>
      </c>
      <c r="G66" s="1413"/>
      <c r="H66" s="1413"/>
      <c r="I66" s="1250">
        <f>SUM(I67+I75+I90+I105)/4</f>
        <v>0.97250000000000003</v>
      </c>
      <c r="J66" s="1250">
        <f>SUM(J67+J75+J90+J105)/4</f>
        <v>0.38306102037688294</v>
      </c>
      <c r="K66" s="804"/>
      <c r="L66" s="804"/>
      <c r="M66" s="549"/>
      <c r="N66" s="1504">
        <f t="shared" si="14"/>
        <v>0.97</v>
      </c>
      <c r="O66" s="1500" t="e">
        <f t="shared" si="15"/>
        <v>#DIV/0!</v>
      </c>
      <c r="P66" s="1245">
        <f>+P67+P75+P90+P105</f>
        <v>0.29000000000000004</v>
      </c>
      <c r="Q66" s="1484">
        <f>+Q67+Q75+Q90+Q105</f>
        <v>13120469423.720001</v>
      </c>
      <c r="R66" s="1484">
        <f>+R67+R75+R90+R105</f>
        <v>7756674885.6599998</v>
      </c>
      <c r="S66" s="1494">
        <f>+R66/Q66</f>
        <v>0.59118882375023873</v>
      </c>
      <c r="T66" s="1484">
        <f>+T67+T75+T90+T105</f>
        <v>3756491424.73</v>
      </c>
      <c r="U66" s="1490">
        <f>+T66/R66</f>
        <v>0.48429146252793703</v>
      </c>
      <c r="V66" s="746">
        <f t="shared" ref="V66:V67" si="23">+R66-T66</f>
        <v>4000183460.9299998</v>
      </c>
      <c r="W66" s="807"/>
      <c r="X66" s="807"/>
      <c r="Y66" s="1484">
        <f>+Y67+Y75+Y90+Y105</f>
        <v>34770706388.220001</v>
      </c>
      <c r="Z66" s="1484">
        <f>+Z67+Z75+Z90+Z105</f>
        <v>25475920958.66</v>
      </c>
      <c r="AA66" s="789">
        <f>+Z66/Y66</f>
        <v>0.73268344549051234</v>
      </c>
      <c r="AB66" s="724"/>
      <c r="AC66" s="1506"/>
      <c r="AD66" s="974" t="s">
        <v>1849</v>
      </c>
      <c r="AE66" s="978"/>
    </row>
    <row r="67" spans="1:31" ht="13.5" thickBot="1" x14ac:dyDescent="0.3">
      <c r="A67" s="1096" t="s">
        <v>2839</v>
      </c>
      <c r="B67" s="1099"/>
      <c r="C67" s="885"/>
      <c r="D67" s="804"/>
      <c r="E67" s="553"/>
      <c r="F67" s="828">
        <v>1</v>
      </c>
      <c r="G67" s="1413"/>
      <c r="H67" s="1413"/>
      <c r="I67" s="1424">
        <v>1</v>
      </c>
      <c r="J67" s="1397">
        <f>+(J68+J69+J70+J71+J73+J74)/6</f>
        <v>0.42286036021662793</v>
      </c>
      <c r="K67" s="1125"/>
      <c r="L67" s="1124"/>
      <c r="M67" s="553"/>
      <c r="N67" s="1504">
        <f t="shared" si="14"/>
        <v>1</v>
      </c>
      <c r="O67" s="1500" t="e">
        <f t="shared" si="15"/>
        <v>#DIV/0!</v>
      </c>
      <c r="P67" s="1245">
        <v>0.09</v>
      </c>
      <c r="Q67" s="1483">
        <f>'informe Gastos'!Y71</f>
        <v>3940962200.5</v>
      </c>
      <c r="R67" s="1483">
        <f>'informe Gastos'!Z71</f>
        <v>3065490000</v>
      </c>
      <c r="S67" s="1490">
        <f>+R67/Q67</f>
        <v>0.77785318509552648</v>
      </c>
      <c r="T67" s="1483">
        <f>'informe Gastos'!AA71</f>
        <v>1253142232</v>
      </c>
      <c r="U67" s="1490">
        <f>+T67/R67</f>
        <v>0.40879018753934931</v>
      </c>
      <c r="V67" s="746">
        <f t="shared" si="23"/>
        <v>1812347768</v>
      </c>
      <c r="W67" s="807"/>
      <c r="X67" s="807"/>
      <c r="Y67" s="806">
        <f>(513020043+527559284+520612346.04+549766409.78)+17158268648+25552946+100000000+350000000-12000000+280000000+105000000+60000000</f>
        <v>20177779676.82</v>
      </c>
      <c r="Z67" s="806">
        <f>17677048504+R67-2951321857</f>
        <v>17791216647</v>
      </c>
      <c r="AA67" s="789">
        <f>+Z67/Y67</f>
        <v>0.88172320899302636</v>
      </c>
      <c r="AB67" s="725"/>
      <c r="AC67" s="1506"/>
      <c r="AD67" s="974"/>
      <c r="AE67" s="978"/>
    </row>
    <row r="68" spans="1:31" ht="106.5" customHeight="1" thickBot="1" x14ac:dyDescent="0.3">
      <c r="A68" s="1097" t="s">
        <v>2703</v>
      </c>
      <c r="B68" s="1098" t="s">
        <v>2981</v>
      </c>
      <c r="C68" s="1094" t="s">
        <v>2652</v>
      </c>
      <c r="D68" s="886">
        <v>0.25</v>
      </c>
      <c r="E68" s="828">
        <v>0.5</v>
      </c>
      <c r="F68" s="828">
        <v>0.5</v>
      </c>
      <c r="G68" s="1389">
        <f>'6POMCASejec'!D8</f>
        <v>0.5</v>
      </c>
      <c r="H68" s="1413"/>
      <c r="I68" s="1411">
        <f t="shared" si="3"/>
        <v>1</v>
      </c>
      <c r="J68" s="815">
        <f t="shared" si="6"/>
        <v>1</v>
      </c>
      <c r="K68" s="804" t="s">
        <v>3295</v>
      </c>
      <c r="L68" s="804"/>
      <c r="M68" s="946">
        <v>1</v>
      </c>
      <c r="N68" s="1498">
        <f t="shared" si="14"/>
        <v>1.5</v>
      </c>
      <c r="O68" s="1500">
        <f t="shared" si="15"/>
        <v>1</v>
      </c>
      <c r="P68" s="733">
        <f>15%*$P$67</f>
        <v>1.35E-2</v>
      </c>
      <c r="Q68" s="1485">
        <f>Q$67*P68/P$67</f>
        <v>591144330.07500005</v>
      </c>
      <c r="R68" s="1486">
        <f>R$67*P68/P$67</f>
        <v>459823500</v>
      </c>
      <c r="S68" s="806"/>
      <c r="T68" s="807"/>
      <c r="U68" s="806"/>
      <c r="V68" s="807"/>
      <c r="W68" s="807"/>
      <c r="X68" s="807"/>
      <c r="Y68" s="806"/>
      <c r="Z68" s="806"/>
      <c r="AA68" s="806"/>
      <c r="AB68" s="725"/>
      <c r="AC68" s="1506" t="s">
        <v>1842</v>
      </c>
      <c r="AD68" s="974" t="s">
        <v>220</v>
      </c>
      <c r="AE68" s="1641" t="s">
        <v>3564</v>
      </c>
    </row>
    <row r="69" spans="1:31" ht="121.5" customHeight="1" thickBot="1" x14ac:dyDescent="0.3">
      <c r="A69" s="1097" t="s">
        <v>2704</v>
      </c>
      <c r="B69" s="1097" t="s">
        <v>348</v>
      </c>
      <c r="C69" s="1094" t="s">
        <v>2652</v>
      </c>
      <c r="D69" s="887">
        <v>0</v>
      </c>
      <c r="E69" s="828">
        <v>0.93</v>
      </c>
      <c r="F69" s="828">
        <v>0</v>
      </c>
      <c r="G69" s="1459">
        <f>+'9RUNAP'!D9</f>
        <v>0.49956081000878377</v>
      </c>
      <c r="H69" s="1413"/>
      <c r="I69" s="1411" t="e">
        <f t="shared" si="3"/>
        <v>#DIV/0!</v>
      </c>
      <c r="J69" s="815">
        <f t="shared" si="6"/>
        <v>0.53716216129976746</v>
      </c>
      <c r="K69" s="804" t="s">
        <v>3296</v>
      </c>
      <c r="L69" s="804"/>
      <c r="M69" s="947">
        <v>1</v>
      </c>
      <c r="N69" s="1498">
        <f t="shared" si="14"/>
        <v>1.4295608100087838</v>
      </c>
      <c r="O69" s="1500">
        <f t="shared" si="15"/>
        <v>1</v>
      </c>
      <c r="P69" s="733">
        <f>30%*$P$67</f>
        <v>2.7E-2</v>
      </c>
      <c r="Q69" s="1485">
        <f t="shared" ref="Q69:Q74" si="24">Q$67*P69/P$67</f>
        <v>1182288660.1500001</v>
      </c>
      <c r="R69" s="1486">
        <f t="shared" ref="R69:R74" si="25">R$67*P69/P$67</f>
        <v>919647000</v>
      </c>
      <c r="S69" s="806"/>
      <c r="T69" s="807"/>
      <c r="U69" s="806"/>
      <c r="V69" s="807"/>
      <c r="W69" s="807"/>
      <c r="X69" s="807"/>
      <c r="Y69" s="806"/>
      <c r="Z69" s="806"/>
      <c r="AA69" s="806"/>
      <c r="AB69" s="725"/>
      <c r="AC69" s="1506" t="s">
        <v>1841</v>
      </c>
      <c r="AD69" s="974" t="s">
        <v>348</v>
      </c>
      <c r="AE69" s="1642"/>
    </row>
    <row r="70" spans="1:31" ht="75.75" customHeight="1" x14ac:dyDescent="0.25">
      <c r="A70" s="1097" t="s">
        <v>2705</v>
      </c>
      <c r="B70" s="1097" t="s">
        <v>449</v>
      </c>
      <c r="C70" s="1094" t="s">
        <v>2652</v>
      </c>
      <c r="D70" s="887">
        <v>0.16600000000000001</v>
      </c>
      <c r="E70" s="828">
        <v>0.5</v>
      </c>
      <c r="F70" s="828">
        <v>0.5</v>
      </c>
      <c r="G70" s="1389">
        <f>'12PlanesAP'!D8</f>
        <v>0.66666666666666663</v>
      </c>
      <c r="H70" s="1413"/>
      <c r="I70" s="1411">
        <f t="shared" si="3"/>
        <v>1</v>
      </c>
      <c r="J70" s="815">
        <f t="shared" si="6"/>
        <v>1</v>
      </c>
      <c r="K70" s="804" t="s">
        <v>3297</v>
      </c>
      <c r="L70" s="804"/>
      <c r="M70" s="948">
        <v>1</v>
      </c>
      <c r="N70" s="1498">
        <f t="shared" si="14"/>
        <v>1.6666666666666665</v>
      </c>
      <c r="O70" s="1500">
        <f t="shared" si="15"/>
        <v>1</v>
      </c>
      <c r="P70" s="733">
        <f>40%*$P$67</f>
        <v>3.5999999999999997E-2</v>
      </c>
      <c r="Q70" s="1485">
        <f t="shared" si="24"/>
        <v>1576384880.2</v>
      </c>
      <c r="R70" s="1486">
        <f t="shared" si="25"/>
        <v>1226195999.9999998</v>
      </c>
      <c r="S70" s="806"/>
      <c r="T70" s="807"/>
      <c r="U70" s="806"/>
      <c r="V70" s="807"/>
      <c r="W70" s="807"/>
      <c r="X70" s="807"/>
      <c r="Y70" s="806"/>
      <c r="Z70" s="806"/>
      <c r="AA70" s="806"/>
      <c r="AB70" s="725"/>
      <c r="AC70" s="1506" t="s">
        <v>1841</v>
      </c>
      <c r="AD70" s="974" t="s">
        <v>449</v>
      </c>
      <c r="AE70" s="1642"/>
    </row>
    <row r="71" spans="1:31" ht="57" thickBot="1" x14ac:dyDescent="0.3">
      <c r="A71" s="1101" t="s">
        <v>2706</v>
      </c>
      <c r="B71" s="990" t="s">
        <v>2982</v>
      </c>
      <c r="C71" s="1094" t="s">
        <v>2652</v>
      </c>
      <c r="D71" s="887">
        <v>0</v>
      </c>
      <c r="E71" s="828">
        <v>0.93</v>
      </c>
      <c r="F71" s="828">
        <v>0</v>
      </c>
      <c r="G71" s="1413">
        <v>0</v>
      </c>
      <c r="H71" s="1413"/>
      <c r="I71" s="1411" t="e">
        <f t="shared" si="3"/>
        <v>#DIV/0!</v>
      </c>
      <c r="J71" s="815">
        <f t="shared" si="6"/>
        <v>0</v>
      </c>
      <c r="K71" s="804"/>
      <c r="L71" s="804"/>
      <c r="M71" s="949">
        <v>1</v>
      </c>
      <c r="N71" s="1498">
        <f t="shared" si="14"/>
        <v>0.93</v>
      </c>
      <c r="O71" s="1500">
        <f t="shared" si="15"/>
        <v>0.93</v>
      </c>
      <c r="P71" s="733">
        <v>0</v>
      </c>
      <c r="Q71" s="1485">
        <f t="shared" si="24"/>
        <v>0</v>
      </c>
      <c r="R71" s="1486">
        <f t="shared" si="25"/>
        <v>0</v>
      </c>
      <c r="S71" s="806"/>
      <c r="T71" s="807"/>
      <c r="U71" s="806"/>
      <c r="V71" s="807"/>
      <c r="W71" s="807"/>
      <c r="X71" s="807"/>
      <c r="Y71" s="806"/>
      <c r="Z71" s="806"/>
      <c r="AA71" s="806"/>
      <c r="AB71" s="725"/>
      <c r="AC71" s="1506" t="s">
        <v>1841</v>
      </c>
      <c r="AD71" s="974" t="s">
        <v>1117</v>
      </c>
      <c r="AE71" s="1642"/>
    </row>
    <row r="72" spans="1:31" ht="39" thickBot="1" x14ac:dyDescent="0.3">
      <c r="A72" s="990" t="s">
        <v>2707</v>
      </c>
      <c r="B72" s="1060" t="s">
        <v>2983</v>
      </c>
      <c r="C72" s="1094" t="s">
        <v>2652</v>
      </c>
      <c r="D72" s="888">
        <v>0</v>
      </c>
      <c r="E72" s="828">
        <v>0</v>
      </c>
      <c r="F72" s="828">
        <v>0</v>
      </c>
      <c r="G72" s="1413">
        <v>0</v>
      </c>
      <c r="H72" s="1413"/>
      <c r="I72" s="1411" t="e">
        <f t="shared" si="3"/>
        <v>#DIV/0!</v>
      </c>
      <c r="J72" s="815" t="e">
        <f t="shared" si="6"/>
        <v>#DIV/0!</v>
      </c>
      <c r="K72" s="804"/>
      <c r="L72" s="804"/>
      <c r="M72" s="949">
        <v>0.2</v>
      </c>
      <c r="N72" s="1498">
        <f t="shared" si="14"/>
        <v>0</v>
      </c>
      <c r="O72" s="1500">
        <f t="shared" si="15"/>
        <v>0</v>
      </c>
      <c r="P72" s="733">
        <v>0</v>
      </c>
      <c r="Q72" s="1485">
        <f t="shared" si="24"/>
        <v>0</v>
      </c>
      <c r="R72" s="1486">
        <f t="shared" si="25"/>
        <v>0</v>
      </c>
      <c r="S72" s="806"/>
      <c r="T72" s="807"/>
      <c r="U72" s="806"/>
      <c r="V72" s="807"/>
      <c r="W72" s="807"/>
      <c r="X72" s="807"/>
      <c r="Y72" s="806"/>
      <c r="Z72" s="806"/>
      <c r="AA72" s="806"/>
      <c r="AB72" s="725"/>
      <c r="AC72" s="1506" t="s">
        <v>1841</v>
      </c>
      <c r="AD72" s="974" t="s">
        <v>1849</v>
      </c>
      <c r="AE72" s="1642"/>
    </row>
    <row r="73" spans="1:31" ht="100.5" customHeight="1" thickBot="1" x14ac:dyDescent="0.3">
      <c r="A73" s="908" t="s">
        <v>2708</v>
      </c>
      <c r="B73" s="908" t="s">
        <v>2984</v>
      </c>
      <c r="C73" s="1094" t="s">
        <v>2665</v>
      </c>
      <c r="D73" s="889">
        <v>1</v>
      </c>
      <c r="E73" s="890">
        <v>1</v>
      </c>
      <c r="F73" s="890">
        <v>1</v>
      </c>
      <c r="G73" s="1413">
        <v>0</v>
      </c>
      <c r="H73" s="1413"/>
      <c r="I73" s="1411">
        <f t="shared" ref="I73:I135" si="26">IF((F73+H73)/D73&gt;=100%,100%,(F73+H73)/D73)</f>
        <v>1</v>
      </c>
      <c r="J73" s="815">
        <f t="shared" si="6"/>
        <v>0</v>
      </c>
      <c r="K73" s="804" t="s">
        <v>3551</v>
      </c>
      <c r="L73" s="804"/>
      <c r="M73" s="950">
        <v>4</v>
      </c>
      <c r="N73" s="1498">
        <f t="shared" si="14"/>
        <v>2</v>
      </c>
      <c r="O73" s="1500">
        <f t="shared" si="15"/>
        <v>0.5</v>
      </c>
      <c r="P73" s="733">
        <f>10%*$P$67</f>
        <v>8.9999999999999993E-3</v>
      </c>
      <c r="Q73" s="1485">
        <f t="shared" si="24"/>
        <v>394096220.05000001</v>
      </c>
      <c r="R73" s="1486">
        <f t="shared" si="25"/>
        <v>306548999.99999994</v>
      </c>
      <c r="S73" s="806"/>
      <c r="T73" s="807"/>
      <c r="U73" s="806"/>
      <c r="V73" s="807"/>
      <c r="W73" s="807"/>
      <c r="X73" s="807"/>
      <c r="Y73" s="806"/>
      <c r="Z73" s="806"/>
      <c r="AA73" s="806"/>
      <c r="AB73" s="725"/>
      <c r="AC73" s="1506" t="s">
        <v>1841</v>
      </c>
      <c r="AD73" s="974" t="s">
        <v>1849</v>
      </c>
      <c r="AE73" s="1642"/>
    </row>
    <row r="74" spans="1:31" ht="90" customHeight="1" thickBot="1" x14ac:dyDescent="0.3">
      <c r="A74" s="1100" t="s">
        <v>2709</v>
      </c>
      <c r="B74" s="1100" t="s">
        <v>2985</v>
      </c>
      <c r="C74" s="879" t="s">
        <v>2665</v>
      </c>
      <c r="D74" s="889">
        <v>1</v>
      </c>
      <c r="E74" s="890">
        <v>1</v>
      </c>
      <c r="F74" s="890">
        <v>1</v>
      </c>
      <c r="G74" s="1413">
        <v>0</v>
      </c>
      <c r="H74" s="1413"/>
      <c r="I74" s="1411">
        <f t="shared" si="26"/>
        <v>1</v>
      </c>
      <c r="J74" s="815">
        <f t="shared" ref="J74:J136" si="27">IF(G74/E74&gt;=100%,100%,G74/E74)</f>
        <v>0</v>
      </c>
      <c r="K74" s="804" t="s">
        <v>3298</v>
      </c>
      <c r="L74" s="804"/>
      <c r="M74" s="950">
        <v>3</v>
      </c>
      <c r="N74" s="1498">
        <f t="shared" si="14"/>
        <v>2</v>
      </c>
      <c r="O74" s="1500">
        <f t="shared" si="15"/>
        <v>0.66666666666666663</v>
      </c>
      <c r="P74" s="733">
        <f>5%*$P$67</f>
        <v>4.4999999999999997E-3</v>
      </c>
      <c r="Q74" s="1485">
        <f t="shared" si="24"/>
        <v>197048110.02500001</v>
      </c>
      <c r="R74" s="1486">
        <f t="shared" si="25"/>
        <v>153274499.99999997</v>
      </c>
      <c r="S74" s="806"/>
      <c r="T74" s="807"/>
      <c r="U74" s="806"/>
      <c r="V74" s="807"/>
      <c r="W74" s="807"/>
      <c r="X74" s="807"/>
      <c r="Y74" s="806"/>
      <c r="Z74" s="806"/>
      <c r="AA74" s="806"/>
      <c r="AB74" s="725"/>
      <c r="AC74" s="1506" t="s">
        <v>1841</v>
      </c>
      <c r="AD74" s="974" t="s">
        <v>1849</v>
      </c>
      <c r="AE74" s="1643"/>
    </row>
    <row r="75" spans="1:31" ht="15.75" customHeight="1" thickBot="1" x14ac:dyDescent="0.3">
      <c r="A75" s="1572" t="s">
        <v>2840</v>
      </c>
      <c r="B75" s="1573"/>
      <c r="C75" s="862"/>
      <c r="D75" s="890"/>
      <c r="E75" s="890"/>
      <c r="F75" s="890"/>
      <c r="G75" s="1413"/>
      <c r="H75" s="1413"/>
      <c r="I75" s="1424">
        <v>1</v>
      </c>
      <c r="J75" s="1397">
        <f>+(J76+J78+J79+J81+J82+J83+J84+J85+J86+J87+J88+J89)/12</f>
        <v>0.30104851464062882</v>
      </c>
      <c r="K75" s="804"/>
      <c r="L75" s="804"/>
      <c r="M75" s="804"/>
      <c r="N75" s="1498">
        <f t="shared" si="14"/>
        <v>0</v>
      </c>
      <c r="O75" s="1500" t="e">
        <f t="shared" si="15"/>
        <v>#DIV/0!</v>
      </c>
      <c r="P75" s="1245">
        <v>0.05</v>
      </c>
      <c r="Q75" s="1483">
        <f>'informe Gastos'!Y72</f>
        <v>1232876741</v>
      </c>
      <c r="R75" s="1483">
        <f>'informe Gastos'!Z72</f>
        <v>170435270</v>
      </c>
      <c r="S75" s="1490">
        <f>+R75/Q75</f>
        <v>0.13824193800732915</v>
      </c>
      <c r="T75" s="1483">
        <f>'informe Gastos'!AA72</f>
        <v>148155340</v>
      </c>
      <c r="U75" s="1490">
        <f>+T75/R75</f>
        <v>0.86927629474814694</v>
      </c>
      <c r="V75" s="746">
        <f t="shared" ref="V75" si="28">+R75-T75</f>
        <v>22279930</v>
      </c>
      <c r="W75" s="807"/>
      <c r="X75" s="807"/>
      <c r="Y75" s="806">
        <f>(356854479+512559284+438424653.96+462976590.22)-10000000+730317457</f>
        <v>2491132464.1800003</v>
      </c>
      <c r="Z75" s="806">
        <f>123414653+R75</f>
        <v>293849923</v>
      </c>
      <c r="AA75" s="789">
        <f>+Z75/Y75</f>
        <v>0.11795836922575124</v>
      </c>
      <c r="AB75" s="725"/>
      <c r="AC75" s="1506"/>
      <c r="AD75" s="974"/>
      <c r="AE75" s="978"/>
    </row>
    <row r="76" spans="1:31" ht="90" thickBot="1" x14ac:dyDescent="0.3">
      <c r="A76" s="1102" t="s">
        <v>2710</v>
      </c>
      <c r="B76" s="1098" t="s">
        <v>2986</v>
      </c>
      <c r="C76" s="1094" t="s">
        <v>2652</v>
      </c>
      <c r="D76" s="828">
        <v>0.2</v>
      </c>
      <c r="E76" s="828">
        <v>0.2</v>
      </c>
      <c r="F76" s="828">
        <v>0.2</v>
      </c>
      <c r="G76" s="1389">
        <f>+'16MIZC'!D8</f>
        <v>0.34250000000000003</v>
      </c>
      <c r="H76" s="1413"/>
      <c r="I76" s="1411">
        <f t="shared" si="26"/>
        <v>1</v>
      </c>
      <c r="J76" s="815">
        <f t="shared" si="27"/>
        <v>1</v>
      </c>
      <c r="K76" s="804" t="s">
        <v>3558</v>
      </c>
      <c r="L76" s="804"/>
      <c r="M76" s="951">
        <v>0.8</v>
      </c>
      <c r="N76" s="1498">
        <f t="shared" si="14"/>
        <v>0.74250000000000005</v>
      </c>
      <c r="O76" s="1500">
        <f t="shared" si="15"/>
        <v>0.92812499999999998</v>
      </c>
      <c r="P76" s="733">
        <f>20%*$P$75</f>
        <v>1.0000000000000002E-2</v>
      </c>
      <c r="Q76" s="1485">
        <f>Q$75*P76/P$75</f>
        <v>246575348.20000002</v>
      </c>
      <c r="R76" s="1486">
        <f>R$75*P76/P$75</f>
        <v>34087054.000000007</v>
      </c>
      <c r="S76" s="806"/>
      <c r="T76" s="807"/>
      <c r="U76" s="806"/>
      <c r="V76" s="807"/>
      <c r="W76" s="807"/>
      <c r="X76" s="807"/>
      <c r="Y76" s="806"/>
      <c r="Z76" s="806"/>
      <c r="AA76" s="806"/>
      <c r="AB76" s="725"/>
      <c r="AC76" s="1506" t="s">
        <v>1846</v>
      </c>
      <c r="AD76" s="974" t="s">
        <v>585</v>
      </c>
      <c r="AE76" s="1644" t="s">
        <v>3565</v>
      </c>
    </row>
    <row r="77" spans="1:31" ht="123" customHeight="1" thickBot="1" x14ac:dyDescent="0.3">
      <c r="A77" s="1061" t="s">
        <v>2711</v>
      </c>
      <c r="B77" s="1104" t="s">
        <v>2987</v>
      </c>
      <c r="C77" s="1094" t="s">
        <v>2652</v>
      </c>
      <c r="D77" s="828">
        <v>0</v>
      </c>
      <c r="E77" s="828">
        <v>0</v>
      </c>
      <c r="F77" s="828">
        <v>0</v>
      </c>
      <c r="G77" s="1389">
        <v>0</v>
      </c>
      <c r="H77" s="1413"/>
      <c r="I77" s="1411" t="e">
        <f t="shared" si="26"/>
        <v>#DIV/0!</v>
      </c>
      <c r="J77" s="815" t="e">
        <f t="shared" si="27"/>
        <v>#DIV/0!</v>
      </c>
      <c r="K77" s="804" t="s">
        <v>3352</v>
      </c>
      <c r="L77" s="804"/>
      <c r="M77" s="952">
        <v>1</v>
      </c>
      <c r="N77" s="1498">
        <f t="shared" si="14"/>
        <v>0</v>
      </c>
      <c r="O77" s="1500">
        <f t="shared" si="15"/>
        <v>0</v>
      </c>
      <c r="P77" s="733">
        <v>0</v>
      </c>
      <c r="Q77" s="1485">
        <f t="shared" ref="Q77:Q89" si="29">Q$75*P77/P$75</f>
        <v>0</v>
      </c>
      <c r="R77" s="1486">
        <f>R$75*P77/P$75</f>
        <v>0</v>
      </c>
      <c r="S77" s="806"/>
      <c r="T77" s="807"/>
      <c r="U77" s="806"/>
      <c r="V77" s="807"/>
      <c r="W77" s="807"/>
      <c r="X77" s="807"/>
      <c r="Y77" s="806"/>
      <c r="Z77" s="806"/>
      <c r="AA77" s="806"/>
      <c r="AB77" s="725"/>
      <c r="AC77" s="1506" t="s">
        <v>1846</v>
      </c>
      <c r="AD77" s="974" t="s">
        <v>1849</v>
      </c>
      <c r="AE77" s="1645"/>
    </row>
    <row r="78" spans="1:31" ht="77.25" thickBot="1" x14ac:dyDescent="0.3">
      <c r="A78" s="1103" t="s">
        <v>2712</v>
      </c>
      <c r="B78" s="1104" t="s">
        <v>2988</v>
      </c>
      <c r="C78" s="1094" t="s">
        <v>2652</v>
      </c>
      <c r="D78" s="828">
        <v>0</v>
      </c>
      <c r="E78" s="828">
        <v>0.74</v>
      </c>
      <c r="F78" s="828">
        <v>0</v>
      </c>
      <c r="G78" s="1389">
        <f>+'9RUNAP'!D9</f>
        <v>0.49956081000878377</v>
      </c>
      <c r="H78" s="1413"/>
      <c r="I78" s="1411" t="e">
        <f t="shared" si="26"/>
        <v>#DIV/0!</v>
      </c>
      <c r="J78" s="815">
        <f t="shared" si="27"/>
        <v>0.67508217568754569</v>
      </c>
      <c r="K78" s="804" t="s">
        <v>3559</v>
      </c>
      <c r="L78" s="804"/>
      <c r="M78" s="929">
        <v>1</v>
      </c>
      <c r="N78" s="1498">
        <f t="shared" si="14"/>
        <v>1.2395608100087838</v>
      </c>
      <c r="O78" s="1500">
        <f t="shared" si="15"/>
        <v>1</v>
      </c>
      <c r="P78" s="733">
        <f>5%*$P$75</f>
        <v>2.5000000000000005E-3</v>
      </c>
      <c r="Q78" s="1485">
        <f t="shared" si="29"/>
        <v>61643837.050000004</v>
      </c>
      <c r="R78" s="1486">
        <f t="shared" ref="R78:R89" si="30">R$75*P78/P$75</f>
        <v>8521763.5000000019</v>
      </c>
      <c r="S78" s="806"/>
      <c r="T78" s="807"/>
      <c r="U78" s="806"/>
      <c r="V78" s="807"/>
      <c r="W78" s="807"/>
      <c r="X78" s="807"/>
      <c r="Y78" s="806"/>
      <c r="Z78" s="806"/>
      <c r="AA78" s="806"/>
      <c r="AB78" s="725"/>
      <c r="AC78" s="1506" t="s">
        <v>1846</v>
      </c>
      <c r="AD78" s="974" t="s">
        <v>348</v>
      </c>
      <c r="AE78" s="1645"/>
    </row>
    <row r="79" spans="1:31" ht="90" thickBot="1" x14ac:dyDescent="0.3">
      <c r="A79" s="891" t="s">
        <v>2713</v>
      </c>
      <c r="B79" s="882" t="s">
        <v>2989</v>
      </c>
      <c r="C79" s="879" t="s">
        <v>2652</v>
      </c>
      <c r="D79" s="828">
        <v>0</v>
      </c>
      <c r="E79" s="828">
        <v>0.3</v>
      </c>
      <c r="F79" s="828">
        <v>0</v>
      </c>
      <c r="G79" s="1413">
        <v>0</v>
      </c>
      <c r="H79" s="1413"/>
      <c r="I79" s="1411" t="e">
        <f t="shared" si="26"/>
        <v>#DIV/0!</v>
      </c>
      <c r="J79" s="815">
        <f t="shared" si="27"/>
        <v>0</v>
      </c>
      <c r="K79" s="804" t="s">
        <v>3560</v>
      </c>
      <c r="L79" s="804"/>
      <c r="M79" s="929">
        <v>1</v>
      </c>
      <c r="N79" s="1498">
        <f t="shared" si="14"/>
        <v>0.3</v>
      </c>
      <c r="O79" s="1500">
        <f t="shared" si="15"/>
        <v>0.3</v>
      </c>
      <c r="P79" s="733">
        <f>3%*$P$75</f>
        <v>1.5E-3</v>
      </c>
      <c r="Q79" s="1485">
        <f t="shared" si="29"/>
        <v>36986302.229999997</v>
      </c>
      <c r="R79" s="1486">
        <f t="shared" si="30"/>
        <v>5113058.0999999996</v>
      </c>
      <c r="S79" s="806"/>
      <c r="T79" s="807"/>
      <c r="U79" s="806"/>
      <c r="V79" s="807"/>
      <c r="W79" s="807"/>
      <c r="X79" s="807"/>
      <c r="Y79" s="806"/>
      <c r="Z79" s="806"/>
      <c r="AA79" s="806"/>
      <c r="AB79" s="725"/>
      <c r="AC79" s="1506" t="s">
        <v>1846</v>
      </c>
      <c r="AD79" s="974" t="s">
        <v>1849</v>
      </c>
      <c r="AE79" s="1645"/>
    </row>
    <row r="80" spans="1:31" ht="39" thickBot="1" x14ac:dyDescent="0.3">
      <c r="A80" s="1062" t="s">
        <v>2714</v>
      </c>
      <c r="B80" s="1095" t="s">
        <v>2990</v>
      </c>
      <c r="C80" s="1094" t="s">
        <v>2652</v>
      </c>
      <c r="D80" s="828">
        <v>0</v>
      </c>
      <c r="E80" s="828">
        <v>0</v>
      </c>
      <c r="F80" s="828">
        <v>0</v>
      </c>
      <c r="G80" s="1413">
        <v>0</v>
      </c>
      <c r="H80" s="1413"/>
      <c r="I80" s="1411" t="e">
        <f t="shared" si="26"/>
        <v>#DIV/0!</v>
      </c>
      <c r="J80" s="815" t="e">
        <f t="shared" si="27"/>
        <v>#DIV/0!</v>
      </c>
      <c r="K80" s="804"/>
      <c r="L80" s="804"/>
      <c r="M80" s="929">
        <v>1</v>
      </c>
      <c r="N80" s="1498">
        <f t="shared" si="14"/>
        <v>0</v>
      </c>
      <c r="O80" s="1500">
        <f t="shared" si="15"/>
        <v>0</v>
      </c>
      <c r="P80" s="733">
        <v>0</v>
      </c>
      <c r="Q80" s="1485">
        <f t="shared" si="29"/>
        <v>0</v>
      </c>
      <c r="R80" s="1486">
        <f t="shared" si="30"/>
        <v>0</v>
      </c>
      <c r="S80" s="806"/>
      <c r="T80" s="807"/>
      <c r="U80" s="806"/>
      <c r="V80" s="807"/>
      <c r="W80" s="807"/>
      <c r="X80" s="807"/>
      <c r="Y80" s="806"/>
      <c r="Z80" s="806"/>
      <c r="AA80" s="806"/>
      <c r="AB80" s="725"/>
      <c r="AC80" s="1506" t="s">
        <v>1846</v>
      </c>
      <c r="AD80" s="974" t="s">
        <v>1849</v>
      </c>
      <c r="AE80" s="1645"/>
    </row>
    <row r="81" spans="1:31" ht="39" thickBot="1" x14ac:dyDescent="0.3">
      <c r="A81" s="1105" t="s">
        <v>2715</v>
      </c>
      <c r="B81" s="1095" t="s">
        <v>2991</v>
      </c>
      <c r="C81" s="1094" t="s">
        <v>2665</v>
      </c>
      <c r="D81" s="890">
        <v>0</v>
      </c>
      <c r="E81" s="892">
        <v>1</v>
      </c>
      <c r="F81" s="892">
        <v>0</v>
      </c>
      <c r="G81" s="1413">
        <v>0</v>
      </c>
      <c r="H81" s="1413"/>
      <c r="I81" s="1411" t="e">
        <f t="shared" si="26"/>
        <v>#DIV/0!</v>
      </c>
      <c r="J81" s="815">
        <f t="shared" si="27"/>
        <v>0</v>
      </c>
      <c r="K81" s="804"/>
      <c r="L81" s="804"/>
      <c r="M81" s="930">
        <v>2</v>
      </c>
      <c r="N81" s="1498">
        <f t="shared" si="14"/>
        <v>1</v>
      </c>
      <c r="O81" s="1500">
        <f t="shared" si="15"/>
        <v>0.5</v>
      </c>
      <c r="P81" s="733">
        <f>3%*$P$75</f>
        <v>1.5E-3</v>
      </c>
      <c r="Q81" s="1485">
        <f t="shared" si="29"/>
        <v>36986302.229999997</v>
      </c>
      <c r="R81" s="1486">
        <f t="shared" si="30"/>
        <v>5113058.0999999996</v>
      </c>
      <c r="S81" s="806"/>
      <c r="T81" s="807"/>
      <c r="U81" s="806"/>
      <c r="V81" s="807"/>
      <c r="W81" s="807"/>
      <c r="X81" s="807"/>
      <c r="Y81" s="806"/>
      <c r="Z81" s="806"/>
      <c r="AA81" s="806"/>
      <c r="AB81" s="725"/>
      <c r="AC81" s="1506" t="s">
        <v>1846</v>
      </c>
      <c r="AD81" s="974" t="s">
        <v>1849</v>
      </c>
      <c r="AE81" s="1645"/>
    </row>
    <row r="82" spans="1:31" ht="77.25" thickBot="1" x14ac:dyDescent="0.3">
      <c r="A82" s="1062" t="s">
        <v>2716</v>
      </c>
      <c r="B82" s="1095" t="s">
        <v>2992</v>
      </c>
      <c r="C82" s="1094" t="s">
        <v>2652</v>
      </c>
      <c r="D82" s="828">
        <v>0</v>
      </c>
      <c r="E82" s="828">
        <v>0.3</v>
      </c>
      <c r="F82" s="828">
        <v>0</v>
      </c>
      <c r="G82" s="1389">
        <v>0.15</v>
      </c>
      <c r="H82" s="1413"/>
      <c r="I82" s="1411" t="e">
        <f t="shared" si="26"/>
        <v>#DIV/0!</v>
      </c>
      <c r="J82" s="815">
        <f t="shared" si="27"/>
        <v>0.5</v>
      </c>
      <c r="K82" s="804" t="s">
        <v>3561</v>
      </c>
      <c r="L82" s="804"/>
      <c r="M82" s="929">
        <v>1</v>
      </c>
      <c r="N82" s="1498">
        <f t="shared" si="14"/>
        <v>0.44999999999999996</v>
      </c>
      <c r="O82" s="1500">
        <f t="shared" si="15"/>
        <v>0.44999999999999996</v>
      </c>
      <c r="P82" s="733">
        <f>12%*$P$75</f>
        <v>6.0000000000000001E-3</v>
      </c>
      <c r="Q82" s="1485">
        <f t="shared" si="29"/>
        <v>147945208.91999999</v>
      </c>
      <c r="R82" s="1486">
        <f t="shared" si="30"/>
        <v>20452232.399999999</v>
      </c>
      <c r="S82" s="806"/>
      <c r="T82" s="807"/>
      <c r="U82" s="806"/>
      <c r="V82" s="807"/>
      <c r="W82" s="807"/>
      <c r="X82" s="807"/>
      <c r="Y82" s="806"/>
      <c r="Z82" s="806"/>
      <c r="AA82" s="806"/>
      <c r="AB82" s="725"/>
      <c r="AC82" s="1506" t="s">
        <v>1846</v>
      </c>
      <c r="AD82" s="974" t="s">
        <v>1849</v>
      </c>
      <c r="AE82" s="1645"/>
    </row>
    <row r="83" spans="1:31" ht="48.75" thickBot="1" x14ac:dyDescent="0.3">
      <c r="A83" s="1105" t="s">
        <v>627</v>
      </c>
      <c r="B83" s="1095" t="s">
        <v>2993</v>
      </c>
      <c r="C83" s="1094" t="s">
        <v>2665</v>
      </c>
      <c r="D83" s="890">
        <v>0</v>
      </c>
      <c r="E83" s="890">
        <v>1</v>
      </c>
      <c r="F83" s="890">
        <v>0</v>
      </c>
      <c r="G83" s="1413">
        <v>0</v>
      </c>
      <c r="H83" s="1413"/>
      <c r="I83" s="1411" t="e">
        <f t="shared" si="26"/>
        <v>#DIV/0!</v>
      </c>
      <c r="J83" s="815">
        <f t="shared" si="27"/>
        <v>0</v>
      </c>
      <c r="K83" s="804"/>
      <c r="L83" s="804"/>
      <c r="M83" s="930">
        <v>3</v>
      </c>
      <c r="N83" s="1498">
        <f t="shared" si="14"/>
        <v>1</v>
      </c>
      <c r="O83" s="1500">
        <f t="shared" si="15"/>
        <v>0.33333333333333331</v>
      </c>
      <c r="P83" s="733">
        <f t="shared" ref="P83" si="31">20%*$P$75</f>
        <v>1.0000000000000002E-2</v>
      </c>
      <c r="Q83" s="1485">
        <f t="shared" si="29"/>
        <v>246575348.20000002</v>
      </c>
      <c r="R83" s="1486">
        <f t="shared" si="30"/>
        <v>34087054.000000007</v>
      </c>
      <c r="S83" s="806"/>
      <c r="T83" s="807"/>
      <c r="U83" s="806"/>
      <c r="V83" s="807"/>
      <c r="W83" s="807"/>
      <c r="X83" s="807"/>
      <c r="Y83" s="806"/>
      <c r="Z83" s="806"/>
      <c r="AA83" s="806"/>
      <c r="AB83" s="725"/>
      <c r="AC83" s="1506" t="s">
        <v>1846</v>
      </c>
      <c r="AD83" s="974" t="s">
        <v>1849</v>
      </c>
      <c r="AE83" s="1645"/>
    </row>
    <row r="84" spans="1:31" ht="72" x14ac:dyDescent="0.25">
      <c r="A84" s="1061" t="s">
        <v>628</v>
      </c>
      <c r="B84" s="1104" t="s">
        <v>2994</v>
      </c>
      <c r="C84" s="1094" t="s">
        <v>2665</v>
      </c>
      <c r="D84" s="890">
        <v>0</v>
      </c>
      <c r="E84" s="890">
        <v>2</v>
      </c>
      <c r="F84" s="890">
        <v>0</v>
      </c>
      <c r="G84" s="1413">
        <v>0</v>
      </c>
      <c r="H84" s="1413"/>
      <c r="I84" s="1411" t="e">
        <f t="shared" si="26"/>
        <v>#DIV/0!</v>
      </c>
      <c r="J84" s="815">
        <f t="shared" si="27"/>
        <v>0</v>
      </c>
      <c r="K84" s="804"/>
      <c r="L84" s="804"/>
      <c r="M84" s="930"/>
      <c r="N84" s="1498">
        <f t="shared" si="14"/>
        <v>2</v>
      </c>
      <c r="O84" s="1500" t="e">
        <f t="shared" si="15"/>
        <v>#DIV/0!</v>
      </c>
      <c r="P84" s="733">
        <f>5%*$P$75</f>
        <v>2.5000000000000005E-3</v>
      </c>
      <c r="Q84" s="1485">
        <f t="shared" si="29"/>
        <v>61643837.050000004</v>
      </c>
      <c r="R84" s="1486">
        <f t="shared" si="30"/>
        <v>8521763.5000000019</v>
      </c>
      <c r="S84" s="806"/>
      <c r="T84" s="807"/>
      <c r="U84" s="806"/>
      <c r="V84" s="807"/>
      <c r="W84" s="807"/>
      <c r="X84" s="807"/>
      <c r="Y84" s="806"/>
      <c r="Z84" s="806"/>
      <c r="AA84" s="806"/>
      <c r="AB84" s="725"/>
      <c r="AC84" s="1506" t="s">
        <v>1846</v>
      </c>
      <c r="AD84" s="974" t="s">
        <v>1849</v>
      </c>
      <c r="AE84" s="1645"/>
    </row>
    <row r="85" spans="1:31" ht="60.75" thickBot="1" x14ac:dyDescent="0.3">
      <c r="A85" s="1062" t="s">
        <v>2717</v>
      </c>
      <c r="B85" s="1095" t="s">
        <v>2995</v>
      </c>
      <c r="C85" s="1094" t="s">
        <v>2694</v>
      </c>
      <c r="D85" s="890">
        <v>0</v>
      </c>
      <c r="E85" s="890">
        <v>1</v>
      </c>
      <c r="F85" s="890">
        <v>0</v>
      </c>
      <c r="G85" s="1413">
        <v>0</v>
      </c>
      <c r="H85" s="1413"/>
      <c r="I85" s="1411" t="e">
        <f t="shared" si="26"/>
        <v>#DIV/0!</v>
      </c>
      <c r="J85" s="815">
        <f t="shared" si="27"/>
        <v>0</v>
      </c>
      <c r="K85" s="804"/>
      <c r="L85" s="804"/>
      <c r="M85" s="930">
        <v>2</v>
      </c>
      <c r="N85" s="1498">
        <f t="shared" si="14"/>
        <v>1</v>
      </c>
      <c r="O85" s="1500">
        <f t="shared" si="15"/>
        <v>0.5</v>
      </c>
      <c r="P85" s="733">
        <f>2%*$P$75</f>
        <v>1E-3</v>
      </c>
      <c r="Q85" s="1485">
        <f t="shared" si="29"/>
        <v>24657534.819999997</v>
      </c>
      <c r="R85" s="1486">
        <f t="shared" si="30"/>
        <v>3408705.3999999994</v>
      </c>
      <c r="S85" s="806"/>
      <c r="T85" s="807"/>
      <c r="U85" s="806"/>
      <c r="V85" s="807"/>
      <c r="W85" s="807"/>
      <c r="X85" s="807"/>
      <c r="Y85" s="806"/>
      <c r="Z85" s="806"/>
      <c r="AA85" s="806"/>
      <c r="AB85" s="725"/>
      <c r="AC85" s="1506" t="s">
        <v>1846</v>
      </c>
      <c r="AD85" s="974" t="s">
        <v>1849</v>
      </c>
      <c r="AE85" s="1645"/>
    </row>
    <row r="86" spans="1:31" ht="72.75" thickBot="1" x14ac:dyDescent="0.3">
      <c r="A86" s="1106" t="s">
        <v>2718</v>
      </c>
      <c r="B86" s="1104" t="s">
        <v>2996</v>
      </c>
      <c r="C86" s="1094" t="s">
        <v>2652</v>
      </c>
      <c r="D86" s="828">
        <v>0</v>
      </c>
      <c r="E86" s="828">
        <v>1</v>
      </c>
      <c r="F86" s="828">
        <v>0</v>
      </c>
      <c r="G86" s="1389">
        <f>+'13Amenaz'!D8</f>
        <v>0.4375</v>
      </c>
      <c r="H86" s="1413"/>
      <c r="I86" s="1411" t="e">
        <f t="shared" si="26"/>
        <v>#DIV/0!</v>
      </c>
      <c r="J86" s="815">
        <f t="shared" si="27"/>
        <v>0.4375</v>
      </c>
      <c r="K86" s="804" t="s">
        <v>3562</v>
      </c>
      <c r="L86" s="804"/>
      <c r="M86" s="929">
        <v>1</v>
      </c>
      <c r="N86" s="1498">
        <f t="shared" si="14"/>
        <v>1.4375</v>
      </c>
      <c r="O86" s="1500">
        <f t="shared" si="15"/>
        <v>1</v>
      </c>
      <c r="P86" s="733">
        <f>10%*$P$75</f>
        <v>5.000000000000001E-3</v>
      </c>
      <c r="Q86" s="1485">
        <f t="shared" si="29"/>
        <v>123287674.10000001</v>
      </c>
      <c r="R86" s="1486">
        <f t="shared" si="30"/>
        <v>17043527.000000004</v>
      </c>
      <c r="S86" s="806"/>
      <c r="T86" s="807"/>
      <c r="U86" s="806"/>
      <c r="V86" s="807"/>
      <c r="W86" s="807"/>
      <c r="X86" s="807"/>
      <c r="Y86" s="806"/>
      <c r="Z86" s="806"/>
      <c r="AA86" s="806"/>
      <c r="AB86" s="725"/>
      <c r="AC86" s="1506" t="s">
        <v>1846</v>
      </c>
      <c r="AD86" s="974" t="s">
        <v>480</v>
      </c>
      <c r="AE86" s="1645"/>
    </row>
    <row r="87" spans="1:31" ht="77.25" thickBot="1" x14ac:dyDescent="0.3">
      <c r="A87" s="1061" t="s">
        <v>2719</v>
      </c>
      <c r="B87" s="1107" t="s">
        <v>2997</v>
      </c>
      <c r="C87" s="1094" t="s">
        <v>2652</v>
      </c>
      <c r="D87" s="828">
        <v>0</v>
      </c>
      <c r="E87" s="828">
        <v>1</v>
      </c>
      <c r="F87" s="828">
        <v>0</v>
      </c>
      <c r="G87" s="1389">
        <f>+'14Invasor'!D8</f>
        <v>1</v>
      </c>
      <c r="H87" s="1413"/>
      <c r="I87" s="1411" t="e">
        <f t="shared" si="26"/>
        <v>#DIV/0!</v>
      </c>
      <c r="J87" s="815">
        <f t="shared" si="27"/>
        <v>1</v>
      </c>
      <c r="K87" s="804" t="s">
        <v>3563</v>
      </c>
      <c r="L87" s="804"/>
      <c r="M87" s="929">
        <v>1</v>
      </c>
      <c r="N87" s="1498">
        <f t="shared" si="14"/>
        <v>2</v>
      </c>
      <c r="O87" s="1500">
        <f t="shared" si="15"/>
        <v>1</v>
      </c>
      <c r="P87" s="733">
        <f>8%*$P$75</f>
        <v>4.0000000000000001E-3</v>
      </c>
      <c r="Q87" s="1485">
        <f t="shared" si="29"/>
        <v>98630139.279999986</v>
      </c>
      <c r="R87" s="1486">
        <f t="shared" si="30"/>
        <v>13634821.599999998</v>
      </c>
      <c r="S87" s="806"/>
      <c r="T87" s="807"/>
      <c r="U87" s="806"/>
      <c r="V87" s="807"/>
      <c r="W87" s="807"/>
      <c r="X87" s="807"/>
      <c r="Y87" s="806"/>
      <c r="Z87" s="806"/>
      <c r="AA87" s="806"/>
      <c r="AB87" s="725"/>
      <c r="AC87" s="1506" t="s">
        <v>1846</v>
      </c>
      <c r="AD87" s="974" t="s">
        <v>526</v>
      </c>
      <c r="AE87" s="1645"/>
    </row>
    <row r="88" spans="1:31" ht="48.75" thickBot="1" x14ac:dyDescent="0.3">
      <c r="A88" s="1105" t="s">
        <v>2720</v>
      </c>
      <c r="B88" s="1095" t="s">
        <v>2998</v>
      </c>
      <c r="C88" s="1094" t="s">
        <v>2665</v>
      </c>
      <c r="D88" s="890">
        <v>0</v>
      </c>
      <c r="E88" s="890">
        <v>1</v>
      </c>
      <c r="F88" s="890">
        <v>0</v>
      </c>
      <c r="G88" s="1413">
        <v>0</v>
      </c>
      <c r="H88" s="1413"/>
      <c r="I88" s="1411" t="e">
        <f t="shared" si="26"/>
        <v>#DIV/0!</v>
      </c>
      <c r="J88" s="815">
        <f t="shared" si="27"/>
        <v>0</v>
      </c>
      <c r="K88" s="804"/>
      <c r="L88" s="804"/>
      <c r="M88" s="930">
        <v>1</v>
      </c>
      <c r="N88" s="1498">
        <f t="shared" si="14"/>
        <v>1</v>
      </c>
      <c r="O88" s="1500">
        <f t="shared" si="15"/>
        <v>1</v>
      </c>
      <c r="P88" s="733">
        <f>12%*$P$75</f>
        <v>6.0000000000000001E-3</v>
      </c>
      <c r="Q88" s="1485">
        <f t="shared" si="29"/>
        <v>147945208.91999999</v>
      </c>
      <c r="R88" s="1486">
        <f t="shared" si="30"/>
        <v>20452232.399999999</v>
      </c>
      <c r="S88" s="806"/>
      <c r="T88" s="807"/>
      <c r="U88" s="806"/>
      <c r="V88" s="807"/>
      <c r="W88" s="807"/>
      <c r="X88" s="807"/>
      <c r="Y88" s="806"/>
      <c r="Z88" s="806"/>
      <c r="AA88" s="806"/>
      <c r="AB88" s="725"/>
      <c r="AC88" s="1506" t="s">
        <v>1846</v>
      </c>
      <c r="AD88" s="974" t="s">
        <v>1849</v>
      </c>
      <c r="AE88" s="1645"/>
    </row>
    <row r="89" spans="1:31" ht="72.75" thickBot="1" x14ac:dyDescent="0.3">
      <c r="A89" s="893" t="s">
        <v>2721</v>
      </c>
      <c r="B89" s="1062" t="s">
        <v>2999</v>
      </c>
      <c r="C89" s="879" t="s">
        <v>2665</v>
      </c>
      <c r="D89" s="890">
        <v>0</v>
      </c>
      <c r="E89" s="890">
        <v>1</v>
      </c>
      <c r="F89" s="890">
        <v>0</v>
      </c>
      <c r="G89" s="1413">
        <v>0</v>
      </c>
      <c r="H89" s="1413"/>
      <c r="I89" s="1411" t="e">
        <f t="shared" si="26"/>
        <v>#DIV/0!</v>
      </c>
      <c r="J89" s="815">
        <f t="shared" si="27"/>
        <v>0</v>
      </c>
      <c r="K89" s="804"/>
      <c r="L89" s="804"/>
      <c r="M89" s="953">
        <v>3</v>
      </c>
      <c r="N89" s="1498">
        <f t="shared" si="14"/>
        <v>1</v>
      </c>
      <c r="O89" s="1500">
        <f t="shared" si="15"/>
        <v>0.33333333333333331</v>
      </c>
      <c r="P89" s="733">
        <v>0</v>
      </c>
      <c r="Q89" s="1485">
        <f t="shared" si="29"/>
        <v>0</v>
      </c>
      <c r="R89" s="1486">
        <f t="shared" si="30"/>
        <v>0</v>
      </c>
      <c r="S89" s="806"/>
      <c r="T89" s="807"/>
      <c r="U89" s="806"/>
      <c r="V89" s="807"/>
      <c r="W89" s="807"/>
      <c r="X89" s="807"/>
      <c r="Y89" s="806"/>
      <c r="Z89" s="806"/>
      <c r="AA89" s="806"/>
      <c r="AB89" s="725"/>
      <c r="AC89" s="1506" t="s">
        <v>1846</v>
      </c>
      <c r="AD89" s="974" t="s">
        <v>1849</v>
      </c>
      <c r="AE89" s="1646"/>
    </row>
    <row r="90" spans="1:31" ht="13.5" customHeight="1" thickBot="1" x14ac:dyDescent="0.3">
      <c r="A90" s="1516" t="s">
        <v>2841</v>
      </c>
      <c r="B90" s="1520"/>
      <c r="C90" s="1460"/>
      <c r="D90" s="890"/>
      <c r="E90" s="890"/>
      <c r="F90" s="890"/>
      <c r="G90" s="1413"/>
      <c r="H90" s="1413"/>
      <c r="I90" s="1424">
        <v>0.89</v>
      </c>
      <c r="J90" s="815">
        <f>+(J91+J92+J94+J95+J96+J97+J98+J99+J100+J101+J102+J103+J104)/13</f>
        <v>0.43233520665027508</v>
      </c>
      <c r="K90" s="804"/>
      <c r="L90" s="804"/>
      <c r="M90" s="804"/>
      <c r="N90" s="1498">
        <f t="shared" si="14"/>
        <v>0</v>
      </c>
      <c r="O90" s="1500" t="e">
        <f t="shared" si="15"/>
        <v>#DIV/0!</v>
      </c>
      <c r="P90" s="1204">
        <v>0.08</v>
      </c>
      <c r="Q90" s="1483">
        <f>'informe Gastos'!Y75</f>
        <v>7724065500.2200003</v>
      </c>
      <c r="R90" s="1483">
        <f>'informe Gastos'!Z75</f>
        <v>4497341997.6599998</v>
      </c>
      <c r="S90" s="1490">
        <f>+R90/Q90</f>
        <v>0.58225062922264248</v>
      </c>
      <c r="T90" s="1483">
        <f>'informe Gastos'!AA75</f>
        <v>2336066234.73</v>
      </c>
      <c r="U90" s="1490">
        <f>+T90/R90</f>
        <v>0.51943264175716952</v>
      </c>
      <c r="V90" s="746">
        <f t="shared" ref="V90" si="32">+R90-T90</f>
        <v>2161275762.9299998</v>
      </c>
      <c r="W90" s="807"/>
      <c r="X90" s="807"/>
      <c r="Y90" s="806">
        <f>(717344018+707861412+790873000+835162000)+6486065420.22-22000000+552138668</f>
        <v>10067444518.220001</v>
      </c>
      <c r="Z90" s="806">
        <f>2178137354+R90</f>
        <v>6675479351.6599998</v>
      </c>
      <c r="AA90" s="789">
        <f>+Z90/Y90</f>
        <v>0.66307585202766772</v>
      </c>
      <c r="AB90" s="725"/>
      <c r="AC90" s="1506"/>
      <c r="AD90" s="974"/>
      <c r="AE90" s="978"/>
    </row>
    <row r="91" spans="1:31" ht="87" customHeight="1" x14ac:dyDescent="0.25">
      <c r="A91" s="1113" t="s">
        <v>2722</v>
      </c>
      <c r="B91" s="1109" t="s">
        <v>3000</v>
      </c>
      <c r="C91" s="894" t="s">
        <v>2652</v>
      </c>
      <c r="D91" s="828">
        <v>0.25</v>
      </c>
      <c r="E91" s="828">
        <v>0.5</v>
      </c>
      <c r="F91" s="828">
        <f>'[2]13Amenaz'!E9</f>
        <v>0</v>
      </c>
      <c r="G91" s="1389">
        <f>'13Amenaz'!D8</f>
        <v>0.4375</v>
      </c>
      <c r="H91" s="1413"/>
      <c r="I91" s="1411">
        <f t="shared" si="26"/>
        <v>0</v>
      </c>
      <c r="J91" s="815">
        <f t="shared" si="27"/>
        <v>0.875</v>
      </c>
      <c r="K91" s="1415" t="s">
        <v>3299</v>
      </c>
      <c r="L91" s="804"/>
      <c r="M91" s="954">
        <v>1</v>
      </c>
      <c r="N91" s="1498">
        <f t="shared" si="14"/>
        <v>0.9375</v>
      </c>
      <c r="O91" s="1500">
        <f t="shared" si="15"/>
        <v>0.9375</v>
      </c>
      <c r="P91" s="733">
        <f>10%*$P$90</f>
        <v>8.0000000000000002E-3</v>
      </c>
      <c r="Q91" s="1485">
        <f>Q$90*P91/P$90</f>
        <v>772406550.02200007</v>
      </c>
      <c r="R91" s="1486">
        <f>R$90*P91/P$90</f>
        <v>449734199.76599997</v>
      </c>
      <c r="S91" s="806"/>
      <c r="T91" s="807"/>
      <c r="U91" s="806"/>
      <c r="V91" s="807"/>
      <c r="W91" s="807"/>
      <c r="X91" s="807"/>
      <c r="Y91" s="806"/>
      <c r="Z91" s="806"/>
      <c r="AA91" s="806"/>
      <c r="AB91" s="725"/>
      <c r="AC91" s="1506" t="s">
        <v>1841</v>
      </c>
      <c r="AD91" s="974" t="s">
        <v>480</v>
      </c>
      <c r="AE91" s="1641" t="s">
        <v>3566</v>
      </c>
    </row>
    <row r="92" spans="1:31" ht="60.75" customHeight="1" x14ac:dyDescent="0.25">
      <c r="A92" s="1114" t="s">
        <v>2723</v>
      </c>
      <c r="B92" s="1110" t="s">
        <v>3001</v>
      </c>
      <c r="C92" s="879" t="s">
        <v>2652</v>
      </c>
      <c r="D92" s="828">
        <v>0.5</v>
      </c>
      <c r="E92" s="828">
        <v>0.75</v>
      </c>
      <c r="F92" s="828">
        <f>'[2]14Invasor'!E9</f>
        <v>0</v>
      </c>
      <c r="G92" s="1389">
        <f>'14Invasor'!D8</f>
        <v>1</v>
      </c>
      <c r="H92" s="1413"/>
      <c r="I92" s="1411">
        <f t="shared" si="26"/>
        <v>0</v>
      </c>
      <c r="J92" s="815">
        <f t="shared" si="27"/>
        <v>1</v>
      </c>
      <c r="K92" s="1415" t="s">
        <v>3300</v>
      </c>
      <c r="L92" s="804"/>
      <c r="M92" s="954">
        <v>1</v>
      </c>
      <c r="N92" s="1498">
        <f t="shared" si="14"/>
        <v>1.75</v>
      </c>
      <c r="O92" s="1500">
        <f t="shared" si="15"/>
        <v>1</v>
      </c>
      <c r="P92" s="733">
        <f t="shared" ref="P92:P102" si="33">10%*$P$90</f>
        <v>8.0000000000000002E-3</v>
      </c>
      <c r="Q92" s="1485">
        <f t="shared" ref="Q92:Q104" si="34">Q$90*P92/P$90</f>
        <v>772406550.02200007</v>
      </c>
      <c r="R92" s="1486">
        <f t="shared" ref="R92:R104" si="35">R$90*P92/P$90</f>
        <v>449734199.76599997</v>
      </c>
      <c r="S92" s="806"/>
      <c r="T92" s="807"/>
      <c r="U92" s="806"/>
      <c r="V92" s="807"/>
      <c r="W92" s="807"/>
      <c r="X92" s="807"/>
      <c r="Y92" s="806"/>
      <c r="Z92" s="806"/>
      <c r="AA92" s="806"/>
      <c r="AB92" s="725"/>
      <c r="AC92" s="1506" t="s">
        <v>1841</v>
      </c>
      <c r="AD92" s="974" t="s">
        <v>526</v>
      </c>
      <c r="AE92" s="1642"/>
    </row>
    <row r="93" spans="1:31" ht="38.25" x14ac:dyDescent="0.25">
      <c r="A93" s="918" t="s">
        <v>2724</v>
      </c>
      <c r="B93" s="1111" t="s">
        <v>3002</v>
      </c>
      <c r="C93" s="1094" t="s">
        <v>2652</v>
      </c>
      <c r="D93" s="828">
        <v>0</v>
      </c>
      <c r="E93" s="828">
        <v>0</v>
      </c>
      <c r="F93" s="828">
        <f>'[2]11Forest'!E9</f>
        <v>0</v>
      </c>
      <c r="G93" s="1413" t="str">
        <f>'11Forest'!D8</f>
        <v>NO APLICA</v>
      </c>
      <c r="H93" s="1413"/>
      <c r="I93" s="1411" t="e">
        <f t="shared" si="26"/>
        <v>#DIV/0!</v>
      </c>
      <c r="J93" s="815" t="e">
        <f t="shared" si="27"/>
        <v>#VALUE!</v>
      </c>
      <c r="K93" s="1415"/>
      <c r="L93" s="804"/>
      <c r="M93" s="954">
        <v>1</v>
      </c>
      <c r="N93" s="1498">
        <f t="shared" si="14"/>
        <v>0</v>
      </c>
      <c r="O93" s="1500">
        <f t="shared" si="15"/>
        <v>0</v>
      </c>
      <c r="P93" s="733">
        <v>0</v>
      </c>
      <c r="Q93" s="1485">
        <f t="shared" si="34"/>
        <v>0</v>
      </c>
      <c r="R93" s="1486">
        <f t="shared" si="35"/>
        <v>0</v>
      </c>
      <c r="S93" s="806"/>
      <c r="T93" s="807"/>
      <c r="U93" s="806"/>
      <c r="V93" s="807"/>
      <c r="W93" s="807"/>
      <c r="X93" s="807"/>
      <c r="Y93" s="806"/>
      <c r="Z93" s="806"/>
      <c r="AA93" s="806"/>
      <c r="AB93" s="725"/>
      <c r="AC93" s="1506" t="s">
        <v>1841</v>
      </c>
      <c r="AD93" s="974" t="s">
        <v>1849</v>
      </c>
      <c r="AE93" s="1642"/>
    </row>
    <row r="94" spans="1:31" ht="51.75" customHeight="1" x14ac:dyDescent="0.25">
      <c r="A94" s="935" t="s">
        <v>2725</v>
      </c>
      <c r="B94" s="1112" t="s">
        <v>3003</v>
      </c>
      <c r="C94" s="879" t="s">
        <v>2652</v>
      </c>
      <c r="D94" s="828">
        <v>0.25</v>
      </c>
      <c r="E94" s="828">
        <v>0.25</v>
      </c>
      <c r="F94" s="828">
        <v>0.25</v>
      </c>
      <c r="G94" s="1389">
        <v>0.15</v>
      </c>
      <c r="H94" s="1413"/>
      <c r="I94" s="1411">
        <f t="shared" si="26"/>
        <v>1</v>
      </c>
      <c r="J94" s="815">
        <f t="shared" si="27"/>
        <v>0.6</v>
      </c>
      <c r="K94" s="1415" t="s">
        <v>3301</v>
      </c>
      <c r="L94" s="804"/>
      <c r="M94" s="954">
        <v>1</v>
      </c>
      <c r="N94" s="1498">
        <f t="shared" si="14"/>
        <v>0.65</v>
      </c>
      <c r="O94" s="1500">
        <f t="shared" si="15"/>
        <v>0.65</v>
      </c>
      <c r="P94" s="733">
        <f t="shared" si="33"/>
        <v>8.0000000000000002E-3</v>
      </c>
      <c r="Q94" s="1485">
        <f t="shared" si="34"/>
        <v>772406550.02200007</v>
      </c>
      <c r="R94" s="1486">
        <f t="shared" si="35"/>
        <v>449734199.76599997</v>
      </c>
      <c r="S94" s="806"/>
      <c r="T94" s="807"/>
      <c r="U94" s="806"/>
      <c r="V94" s="807"/>
      <c r="W94" s="807"/>
      <c r="X94" s="807"/>
      <c r="Y94" s="806"/>
      <c r="Z94" s="806"/>
      <c r="AA94" s="806"/>
      <c r="AB94" s="725"/>
      <c r="AC94" s="1506" t="s">
        <v>1841</v>
      </c>
      <c r="AD94" s="974" t="s">
        <v>1849</v>
      </c>
      <c r="AE94" s="1642"/>
    </row>
    <row r="95" spans="1:31" ht="75" customHeight="1" x14ac:dyDescent="0.25">
      <c r="A95" s="1115" t="s">
        <v>2726</v>
      </c>
      <c r="B95" s="1112" t="s">
        <v>3004</v>
      </c>
      <c r="C95" s="879" t="s">
        <v>2652</v>
      </c>
      <c r="D95" s="828">
        <v>0</v>
      </c>
      <c r="E95" s="828">
        <v>0.05</v>
      </c>
      <c r="F95" s="828">
        <v>0</v>
      </c>
      <c r="G95" s="1389">
        <v>0.05</v>
      </c>
      <c r="H95" s="1413"/>
      <c r="I95" s="1411" t="e">
        <f t="shared" si="26"/>
        <v>#DIV/0!</v>
      </c>
      <c r="J95" s="815">
        <f t="shared" si="27"/>
        <v>1</v>
      </c>
      <c r="K95" s="1415" t="s">
        <v>3302</v>
      </c>
      <c r="L95" s="804"/>
      <c r="M95" s="954">
        <v>0.1</v>
      </c>
      <c r="N95" s="1498">
        <f t="shared" si="14"/>
        <v>0.1</v>
      </c>
      <c r="O95" s="1500">
        <f t="shared" si="15"/>
        <v>1</v>
      </c>
      <c r="P95" s="733">
        <f t="shared" si="33"/>
        <v>8.0000000000000002E-3</v>
      </c>
      <c r="Q95" s="1485">
        <f t="shared" si="34"/>
        <v>772406550.02200007</v>
      </c>
      <c r="R95" s="1486">
        <f t="shared" si="35"/>
        <v>449734199.76599997</v>
      </c>
      <c r="S95" s="806"/>
      <c r="T95" s="807"/>
      <c r="U95" s="806"/>
      <c r="V95" s="807"/>
      <c r="W95" s="807"/>
      <c r="X95" s="807"/>
      <c r="Y95" s="806"/>
      <c r="Z95" s="806"/>
      <c r="AA95" s="806"/>
      <c r="AB95" s="725"/>
      <c r="AC95" s="1506" t="s">
        <v>1841</v>
      </c>
      <c r="AD95" s="974" t="s">
        <v>1849</v>
      </c>
      <c r="AE95" s="1642"/>
    </row>
    <row r="96" spans="1:31" ht="82.5" customHeight="1" x14ac:dyDescent="0.25">
      <c r="A96" s="895" t="s">
        <v>2727</v>
      </c>
      <c r="B96" s="1116" t="s">
        <v>3005</v>
      </c>
      <c r="C96" s="1094" t="s">
        <v>2665</v>
      </c>
      <c r="D96" s="890">
        <v>1</v>
      </c>
      <c r="E96" s="890">
        <v>1</v>
      </c>
      <c r="F96" s="890">
        <v>1</v>
      </c>
      <c r="G96" s="1413">
        <v>1</v>
      </c>
      <c r="H96" s="1413"/>
      <c r="I96" s="1411">
        <f t="shared" si="26"/>
        <v>1</v>
      </c>
      <c r="J96" s="815">
        <f t="shared" si="27"/>
        <v>1</v>
      </c>
      <c r="K96" s="804" t="s">
        <v>3303</v>
      </c>
      <c r="L96" s="804"/>
      <c r="M96" s="955">
        <v>2</v>
      </c>
      <c r="N96" s="1498">
        <f t="shared" si="14"/>
        <v>3</v>
      </c>
      <c r="O96" s="1500">
        <f t="shared" si="15"/>
        <v>1</v>
      </c>
      <c r="P96" s="733">
        <f t="shared" si="33"/>
        <v>8.0000000000000002E-3</v>
      </c>
      <c r="Q96" s="1485">
        <f t="shared" si="34"/>
        <v>772406550.02200007</v>
      </c>
      <c r="R96" s="1486">
        <f t="shared" si="35"/>
        <v>449734199.76599997</v>
      </c>
      <c r="S96" s="806"/>
      <c r="T96" s="807"/>
      <c r="U96" s="806"/>
      <c r="V96" s="807"/>
      <c r="W96" s="807"/>
      <c r="X96" s="807"/>
      <c r="Y96" s="806"/>
      <c r="Z96" s="806"/>
      <c r="AA96" s="806"/>
      <c r="AB96" s="725"/>
      <c r="AC96" s="1506" t="s">
        <v>1841</v>
      </c>
      <c r="AD96" s="974" t="s">
        <v>1849</v>
      </c>
      <c r="AE96" s="1642"/>
    </row>
    <row r="97" spans="1:31" ht="62.25" customHeight="1" x14ac:dyDescent="0.25">
      <c r="A97" s="896" t="s">
        <v>2728</v>
      </c>
      <c r="B97" s="1116" t="s">
        <v>3006</v>
      </c>
      <c r="C97" s="1094" t="s">
        <v>2665</v>
      </c>
      <c r="D97" s="897">
        <v>36</v>
      </c>
      <c r="E97" s="890">
        <v>36</v>
      </c>
      <c r="F97" s="890">
        <v>5</v>
      </c>
      <c r="G97" s="1413">
        <v>4</v>
      </c>
      <c r="H97" s="1413"/>
      <c r="I97" s="1411">
        <f t="shared" si="26"/>
        <v>0.1388888888888889</v>
      </c>
      <c r="J97" s="815">
        <f t="shared" si="27"/>
        <v>0.1111111111111111</v>
      </c>
      <c r="K97" s="804" t="s">
        <v>3304</v>
      </c>
      <c r="L97" s="804"/>
      <c r="M97" s="900">
        <v>51</v>
      </c>
      <c r="N97" s="1498">
        <f t="shared" si="14"/>
        <v>45</v>
      </c>
      <c r="O97" s="1500">
        <f t="shared" si="15"/>
        <v>0.88235294117647056</v>
      </c>
      <c r="P97" s="733">
        <f t="shared" si="33"/>
        <v>8.0000000000000002E-3</v>
      </c>
      <c r="Q97" s="1485">
        <f t="shared" si="34"/>
        <v>772406550.02200007</v>
      </c>
      <c r="R97" s="1486">
        <f t="shared" si="35"/>
        <v>449734199.76599997</v>
      </c>
      <c r="S97" s="806"/>
      <c r="T97" s="807"/>
      <c r="U97" s="806"/>
      <c r="V97" s="807"/>
      <c r="W97" s="807"/>
      <c r="X97" s="807"/>
      <c r="Y97" s="806"/>
      <c r="Z97" s="806"/>
      <c r="AA97" s="806"/>
      <c r="AB97" s="725"/>
      <c r="AC97" s="1506" t="s">
        <v>1841</v>
      </c>
      <c r="AD97" s="974" t="s">
        <v>1849</v>
      </c>
      <c r="AE97" s="1642"/>
    </row>
    <row r="98" spans="1:31" ht="38.25" x14ac:dyDescent="0.25">
      <c r="A98" s="1567" t="s">
        <v>2729</v>
      </c>
      <c r="B98" s="1108" t="s">
        <v>557</v>
      </c>
      <c r="C98" s="1094" t="s">
        <v>2652</v>
      </c>
      <c r="D98" s="828">
        <v>0.45</v>
      </c>
      <c r="E98" s="828">
        <v>0.48</v>
      </c>
      <c r="F98" s="828">
        <v>0.63</v>
      </c>
      <c r="G98" s="1389">
        <f>'15Restaura'!D8</f>
        <v>0.73769338959212372</v>
      </c>
      <c r="H98" s="1413"/>
      <c r="I98" s="1411">
        <f t="shared" si="26"/>
        <v>1</v>
      </c>
      <c r="J98" s="815">
        <f t="shared" si="27"/>
        <v>1</v>
      </c>
      <c r="K98" s="1576" t="s">
        <v>3305</v>
      </c>
      <c r="L98" s="804"/>
      <c r="M98" s="954">
        <v>1</v>
      </c>
      <c r="N98" s="1498">
        <f t="shared" si="14"/>
        <v>1.8476933895921235</v>
      </c>
      <c r="O98" s="1500">
        <f t="shared" si="15"/>
        <v>1</v>
      </c>
      <c r="P98" s="1583">
        <f t="shared" si="33"/>
        <v>8.0000000000000002E-3</v>
      </c>
      <c r="Q98" s="1579">
        <f t="shared" si="34"/>
        <v>772406550.02200007</v>
      </c>
      <c r="R98" s="1579">
        <f t="shared" si="35"/>
        <v>449734199.76599997</v>
      </c>
      <c r="S98" s="806"/>
      <c r="T98" s="807"/>
      <c r="U98" s="806"/>
      <c r="V98" s="807"/>
      <c r="W98" s="807"/>
      <c r="X98" s="807"/>
      <c r="Y98" s="806"/>
      <c r="Z98" s="806"/>
      <c r="AA98" s="806"/>
      <c r="AB98" s="725"/>
      <c r="AC98" s="1506" t="s">
        <v>1841</v>
      </c>
      <c r="AD98" s="974" t="s">
        <v>557</v>
      </c>
      <c r="AE98" s="1642"/>
    </row>
    <row r="99" spans="1:31" ht="38.25" x14ac:dyDescent="0.25">
      <c r="A99" s="1568"/>
      <c r="B99" s="1108" t="s">
        <v>3007</v>
      </c>
      <c r="C99" s="1117" t="s">
        <v>2730</v>
      </c>
      <c r="D99" s="890">
        <v>150</v>
      </c>
      <c r="E99" s="890">
        <v>150</v>
      </c>
      <c r="F99" s="890">
        <v>150</v>
      </c>
      <c r="G99" s="1413">
        <v>0</v>
      </c>
      <c r="H99" s="1413"/>
      <c r="I99" s="1411">
        <f t="shared" si="26"/>
        <v>1</v>
      </c>
      <c r="J99" s="815">
        <f t="shared" si="27"/>
        <v>0</v>
      </c>
      <c r="K99" s="1576"/>
      <c r="L99" s="804"/>
      <c r="M99" s="900">
        <v>600</v>
      </c>
      <c r="N99" s="1498">
        <f t="shared" si="14"/>
        <v>300</v>
      </c>
      <c r="O99" s="1500">
        <f t="shared" si="15"/>
        <v>0.5</v>
      </c>
      <c r="P99" s="1584"/>
      <c r="Q99" s="1580"/>
      <c r="R99" s="1580"/>
      <c r="S99" s="806"/>
      <c r="T99" s="807"/>
      <c r="U99" s="806"/>
      <c r="V99" s="807"/>
      <c r="W99" s="807"/>
      <c r="X99" s="807"/>
      <c r="Y99" s="806"/>
      <c r="Z99" s="806"/>
      <c r="AA99" s="806"/>
      <c r="AB99" s="725"/>
      <c r="AC99" s="1506" t="s">
        <v>1841</v>
      </c>
      <c r="AD99" s="974" t="s">
        <v>1849</v>
      </c>
      <c r="AE99" s="1642"/>
    </row>
    <row r="100" spans="1:31" ht="45" x14ac:dyDescent="0.25">
      <c r="A100" s="1569"/>
      <c r="B100" s="1108" t="s">
        <v>3008</v>
      </c>
      <c r="C100" s="1094" t="s">
        <v>2665</v>
      </c>
      <c r="D100" s="890">
        <v>260</v>
      </c>
      <c r="E100" s="890">
        <v>292</v>
      </c>
      <c r="F100" s="890">
        <v>260</v>
      </c>
      <c r="G100" s="1413">
        <v>10</v>
      </c>
      <c r="H100" s="1413"/>
      <c r="I100" s="1411">
        <f t="shared" si="26"/>
        <v>1</v>
      </c>
      <c r="J100" s="815">
        <f t="shared" si="27"/>
        <v>3.4246575342465752E-2</v>
      </c>
      <c r="K100" s="1576"/>
      <c r="L100" s="804"/>
      <c r="M100" s="900">
        <v>592</v>
      </c>
      <c r="N100" s="1498">
        <f t="shared" si="14"/>
        <v>562</v>
      </c>
      <c r="O100" s="1500">
        <f t="shared" si="15"/>
        <v>0.94932432432432434</v>
      </c>
      <c r="P100" s="1585"/>
      <c r="Q100" s="1581"/>
      <c r="R100" s="1581"/>
      <c r="S100" s="806"/>
      <c r="T100" s="807"/>
      <c r="U100" s="806"/>
      <c r="V100" s="807"/>
      <c r="W100" s="807"/>
      <c r="X100" s="807"/>
      <c r="Y100" s="806"/>
      <c r="Z100" s="806"/>
      <c r="AA100" s="806"/>
      <c r="AB100" s="725"/>
      <c r="AC100" s="1506" t="s">
        <v>1841</v>
      </c>
      <c r="AD100" s="974" t="s">
        <v>1849</v>
      </c>
      <c r="AE100" s="1642"/>
    </row>
    <row r="101" spans="1:31" ht="113.25" customHeight="1" x14ac:dyDescent="0.25">
      <c r="A101" s="1116" t="s">
        <v>2731</v>
      </c>
      <c r="B101" s="1110" t="s">
        <v>329</v>
      </c>
      <c r="C101" s="879" t="s">
        <v>2652</v>
      </c>
      <c r="D101" s="828">
        <v>0</v>
      </c>
      <c r="E101" s="828">
        <v>0.33</v>
      </c>
      <c r="F101" s="890">
        <v>0</v>
      </c>
      <c r="G101" s="1413">
        <v>0</v>
      </c>
      <c r="H101" s="1413"/>
      <c r="I101" s="1411" t="e">
        <f t="shared" si="26"/>
        <v>#DIV/0!</v>
      </c>
      <c r="J101" s="815">
        <f t="shared" si="27"/>
        <v>0</v>
      </c>
      <c r="K101" s="804" t="s">
        <v>3306</v>
      </c>
      <c r="L101" s="804"/>
      <c r="M101" s="954">
        <v>1</v>
      </c>
      <c r="N101" s="1498">
        <f t="shared" si="14"/>
        <v>0.33</v>
      </c>
      <c r="O101" s="1500">
        <f t="shared" si="15"/>
        <v>0.33</v>
      </c>
      <c r="P101" s="733">
        <f t="shared" si="33"/>
        <v>8.0000000000000002E-3</v>
      </c>
      <c r="Q101" s="1485">
        <f t="shared" si="34"/>
        <v>772406550.02200007</v>
      </c>
      <c r="R101" s="1486">
        <f t="shared" si="35"/>
        <v>449734199.76599997</v>
      </c>
      <c r="S101" s="806"/>
      <c r="T101" s="807"/>
      <c r="U101" s="806"/>
      <c r="V101" s="807"/>
      <c r="W101" s="807"/>
      <c r="X101" s="807"/>
      <c r="Y101" s="806"/>
      <c r="Z101" s="806"/>
      <c r="AA101" s="806"/>
      <c r="AB101" s="725"/>
      <c r="AC101" s="1506" t="s">
        <v>1841</v>
      </c>
      <c r="AD101" s="974" t="s">
        <v>314</v>
      </c>
      <c r="AE101" s="1642"/>
    </row>
    <row r="102" spans="1:31" ht="46.5" customHeight="1" x14ac:dyDescent="0.25">
      <c r="A102" s="1527" t="s">
        <v>2732</v>
      </c>
      <c r="B102" s="1112" t="s">
        <v>3009</v>
      </c>
      <c r="C102" s="898" t="s">
        <v>2730</v>
      </c>
      <c r="D102" s="890">
        <v>0</v>
      </c>
      <c r="E102" s="890">
        <v>33</v>
      </c>
      <c r="F102" s="890">
        <v>0</v>
      </c>
      <c r="G102" s="1413">
        <v>0</v>
      </c>
      <c r="H102" s="1413"/>
      <c r="I102" s="1411" t="e">
        <f t="shared" si="26"/>
        <v>#DIV/0!</v>
      </c>
      <c r="J102" s="815">
        <f t="shared" si="27"/>
        <v>0</v>
      </c>
      <c r="K102" s="804" t="s">
        <v>3307</v>
      </c>
      <c r="L102" s="804"/>
      <c r="M102" s="900">
        <v>100</v>
      </c>
      <c r="N102" s="1498">
        <f t="shared" si="14"/>
        <v>33</v>
      </c>
      <c r="O102" s="1500">
        <f t="shared" si="15"/>
        <v>0.33</v>
      </c>
      <c r="P102" s="1583">
        <f t="shared" si="33"/>
        <v>8.0000000000000002E-3</v>
      </c>
      <c r="Q102" s="1579">
        <f t="shared" si="34"/>
        <v>772406550.02200007</v>
      </c>
      <c r="R102" s="1579">
        <f t="shared" si="35"/>
        <v>449734199.76599997</v>
      </c>
      <c r="S102" s="806"/>
      <c r="T102" s="807"/>
      <c r="U102" s="806"/>
      <c r="V102" s="807"/>
      <c r="W102" s="807"/>
      <c r="X102" s="807"/>
      <c r="Y102" s="806"/>
      <c r="Z102" s="806"/>
      <c r="AA102" s="806"/>
      <c r="AB102" s="725"/>
      <c r="AC102" s="1506" t="s">
        <v>1841</v>
      </c>
      <c r="AD102" s="974" t="s">
        <v>1849</v>
      </c>
      <c r="AE102" s="1642"/>
    </row>
    <row r="103" spans="1:31" ht="34.5" customHeight="1" x14ac:dyDescent="0.25">
      <c r="A103" s="1527"/>
      <c r="B103" s="1118" t="s">
        <v>3010</v>
      </c>
      <c r="C103" s="1094" t="s">
        <v>2665</v>
      </c>
      <c r="D103" s="890">
        <v>0</v>
      </c>
      <c r="E103" s="890">
        <v>1</v>
      </c>
      <c r="F103" s="890">
        <v>0</v>
      </c>
      <c r="G103" s="1413">
        <v>0</v>
      </c>
      <c r="H103" s="1413"/>
      <c r="I103" s="1411" t="e">
        <f t="shared" si="26"/>
        <v>#DIV/0!</v>
      </c>
      <c r="J103" s="815">
        <f t="shared" si="27"/>
        <v>0</v>
      </c>
      <c r="K103" s="804"/>
      <c r="L103" s="804"/>
      <c r="M103" s="900">
        <v>3</v>
      </c>
      <c r="N103" s="1498">
        <f t="shared" si="14"/>
        <v>1</v>
      </c>
      <c r="O103" s="1500">
        <f t="shared" si="15"/>
        <v>0.33333333333333331</v>
      </c>
      <c r="P103" s="1585"/>
      <c r="Q103" s="1581"/>
      <c r="R103" s="1581"/>
      <c r="S103" s="806"/>
      <c r="T103" s="807"/>
      <c r="U103" s="806"/>
      <c r="V103" s="807"/>
      <c r="W103" s="807"/>
      <c r="X103" s="807"/>
      <c r="Y103" s="806"/>
      <c r="Z103" s="806"/>
      <c r="AA103" s="806"/>
      <c r="AB103" s="725"/>
      <c r="AC103" s="1506" t="s">
        <v>1841</v>
      </c>
      <c r="AD103" s="974" t="s">
        <v>1849</v>
      </c>
      <c r="AE103" s="1642"/>
    </row>
    <row r="104" spans="1:31" ht="79.5" thickBot="1" x14ac:dyDescent="0.3">
      <c r="A104" s="1119" t="s">
        <v>2733</v>
      </c>
      <c r="B104" s="1112" t="s">
        <v>3011</v>
      </c>
      <c r="C104" s="879" t="s">
        <v>2665</v>
      </c>
      <c r="D104" s="890">
        <v>0</v>
      </c>
      <c r="E104" s="890">
        <v>1</v>
      </c>
      <c r="F104" s="890">
        <v>0</v>
      </c>
      <c r="G104" s="1461">
        <v>0</v>
      </c>
      <c r="H104" s="1462"/>
      <c r="I104" s="1463" t="e">
        <f t="shared" si="26"/>
        <v>#DIV/0!</v>
      </c>
      <c r="J104" s="828">
        <f t="shared" si="27"/>
        <v>0</v>
      </c>
      <c r="K104" s="804" t="s">
        <v>3308</v>
      </c>
      <c r="L104" s="804"/>
      <c r="M104" s="956">
        <v>1</v>
      </c>
      <c r="N104" s="1498">
        <f t="shared" si="14"/>
        <v>1</v>
      </c>
      <c r="O104" s="1500">
        <f t="shared" si="15"/>
        <v>1</v>
      </c>
      <c r="P104" s="733">
        <f>10%*$P$90</f>
        <v>8.0000000000000002E-3</v>
      </c>
      <c r="Q104" s="1485">
        <f t="shared" si="34"/>
        <v>772406550.02200007</v>
      </c>
      <c r="R104" s="1486">
        <f t="shared" si="35"/>
        <v>449734199.76599997</v>
      </c>
      <c r="S104" s="806"/>
      <c r="T104" s="807"/>
      <c r="U104" s="806"/>
      <c r="V104" s="807"/>
      <c r="W104" s="807"/>
      <c r="X104" s="807"/>
      <c r="Y104" s="806"/>
      <c r="Z104" s="806"/>
      <c r="AA104" s="806"/>
      <c r="AB104" s="725"/>
      <c r="AC104" s="1506" t="s">
        <v>1841</v>
      </c>
      <c r="AD104" s="974" t="s">
        <v>1849</v>
      </c>
      <c r="AE104" s="1647"/>
    </row>
    <row r="105" spans="1:31" ht="15.75" customHeight="1" thickBot="1" x14ac:dyDescent="0.3">
      <c r="A105" s="1516" t="s">
        <v>2842</v>
      </c>
      <c r="B105" s="1517"/>
      <c r="C105" s="938"/>
      <c r="D105" s="938"/>
      <c r="E105" s="938"/>
      <c r="F105" s="938"/>
      <c r="G105" s="1464"/>
      <c r="H105" s="1453"/>
      <c r="I105" s="1402">
        <v>1</v>
      </c>
      <c r="J105" s="1425">
        <f>+(J106+J109+J110+J111+J112)/5</f>
        <v>0.376</v>
      </c>
      <c r="K105" s="804"/>
      <c r="L105" s="804"/>
      <c r="M105" s="957"/>
      <c r="N105" s="1498">
        <f t="shared" ref="N105:N168" si="36">SUM(E105:G105)</f>
        <v>0</v>
      </c>
      <c r="O105" s="1500" t="e">
        <f t="shared" ref="O105:O168" si="37">IF(N105/M105&gt;=100%,100%,N105/M105)</f>
        <v>#DIV/0!</v>
      </c>
      <c r="P105" s="1245">
        <v>7.0000000000000007E-2</v>
      </c>
      <c r="Q105" s="1483">
        <f>'informe Gastos'!Y78</f>
        <v>222564982</v>
      </c>
      <c r="R105" s="1483">
        <f>'informe Gastos'!Z78</f>
        <v>23407618</v>
      </c>
      <c r="S105" s="1490">
        <f>+R105/Q105</f>
        <v>0.10517206161389756</v>
      </c>
      <c r="T105" s="1483">
        <f>'informe Gastos'!AA78</f>
        <v>19127618</v>
      </c>
      <c r="U105" s="1490">
        <f>+T105/R105</f>
        <v>0.81715354377365523</v>
      </c>
      <c r="V105" s="746">
        <f t="shared" ref="V105" si="38">+R105-T105</f>
        <v>4280000</v>
      </c>
      <c r="W105" s="807"/>
      <c r="X105" s="807"/>
      <c r="Y105" s="806">
        <f>(218062198+152865650+240415000+253878000)+1099429549-10000000+79699332</f>
        <v>2034349729</v>
      </c>
      <c r="Z105" s="806">
        <f>691967419+R105</f>
        <v>715375037</v>
      </c>
      <c r="AA105" s="789">
        <f>+Z105/Y105</f>
        <v>0.35164801154993541</v>
      </c>
      <c r="AB105" s="980"/>
      <c r="AC105" s="1506"/>
      <c r="AD105" s="974"/>
      <c r="AE105" s="981"/>
    </row>
    <row r="106" spans="1:31" ht="53.25" customHeight="1" x14ac:dyDescent="0.25">
      <c r="A106" s="895" t="s">
        <v>2734</v>
      </c>
      <c r="B106" s="1521" t="s">
        <v>3012</v>
      </c>
      <c r="C106" s="1574" t="s">
        <v>2652</v>
      </c>
      <c r="D106" s="1570">
        <v>0.2</v>
      </c>
      <c r="E106" s="1570">
        <v>0.25</v>
      </c>
      <c r="F106" s="1570">
        <v>0.25</v>
      </c>
      <c r="G106" s="1570">
        <v>0.22</v>
      </c>
      <c r="H106" s="1514"/>
      <c r="I106" s="1555">
        <f t="shared" si="26"/>
        <v>1</v>
      </c>
      <c r="J106" s="1570">
        <f t="shared" si="27"/>
        <v>0.88</v>
      </c>
      <c r="K106" s="1124" t="s">
        <v>3552</v>
      </c>
      <c r="L106" s="804"/>
      <c r="M106" s="1557">
        <v>1</v>
      </c>
      <c r="N106" s="1498">
        <f t="shared" si="36"/>
        <v>0.72</v>
      </c>
      <c r="O106" s="1500">
        <f t="shared" si="37"/>
        <v>0.72</v>
      </c>
      <c r="P106" s="733">
        <f>20%*$P$105</f>
        <v>1.4000000000000002E-2</v>
      </c>
      <c r="Q106" s="1485">
        <f>Q$105*P106/P$105</f>
        <v>44512996.400000006</v>
      </c>
      <c r="R106" s="1486">
        <f>R$105*P106/P$105</f>
        <v>4681523.6000000006</v>
      </c>
      <c r="S106" s="806"/>
      <c r="T106" s="807"/>
      <c r="U106" s="806"/>
      <c r="V106" s="807"/>
      <c r="W106" s="807"/>
      <c r="X106" s="807"/>
      <c r="Y106" s="806"/>
      <c r="Z106" s="806"/>
      <c r="AA106" s="806"/>
      <c r="AB106" s="995"/>
      <c r="AC106" s="1506" t="s">
        <v>1840</v>
      </c>
      <c r="AD106" s="974" t="s">
        <v>1849</v>
      </c>
      <c r="AE106" s="1648" t="s">
        <v>3567</v>
      </c>
    </row>
    <row r="107" spans="1:31" ht="78" customHeight="1" x14ac:dyDescent="0.25">
      <c r="A107" s="899" t="s">
        <v>2735</v>
      </c>
      <c r="B107" s="1522"/>
      <c r="C107" s="1575"/>
      <c r="D107" s="1571"/>
      <c r="E107" s="1571"/>
      <c r="F107" s="1571"/>
      <c r="G107" s="1571"/>
      <c r="H107" s="1514"/>
      <c r="I107" s="1556"/>
      <c r="J107" s="1571"/>
      <c r="K107" s="1124" t="s">
        <v>3309</v>
      </c>
      <c r="L107" s="804"/>
      <c r="M107" s="1557"/>
      <c r="N107" s="1498">
        <f t="shared" si="36"/>
        <v>0</v>
      </c>
      <c r="O107" s="1500" t="e">
        <f t="shared" si="37"/>
        <v>#DIV/0!</v>
      </c>
      <c r="P107" s="733">
        <f>15%*$P$105</f>
        <v>1.0500000000000001E-2</v>
      </c>
      <c r="Q107" s="1485">
        <f t="shared" ref="Q107:Q111" si="39">Q$105*P107/P$105</f>
        <v>33384747.300000001</v>
      </c>
      <c r="R107" s="1486">
        <f t="shared" ref="R107:R111" si="40">R$105*P107/P$105</f>
        <v>3511142.6999999997</v>
      </c>
      <c r="S107" s="806"/>
      <c r="T107" s="807"/>
      <c r="U107" s="806"/>
      <c r="V107" s="807"/>
      <c r="W107" s="807"/>
      <c r="X107" s="807"/>
      <c r="Y107" s="806"/>
      <c r="Z107" s="806"/>
      <c r="AA107" s="806"/>
      <c r="AB107" s="725"/>
      <c r="AC107" s="1506" t="s">
        <v>1840</v>
      </c>
      <c r="AD107" s="974" t="s">
        <v>1849</v>
      </c>
      <c r="AE107" s="1642"/>
    </row>
    <row r="108" spans="1:31" ht="59.25" customHeight="1" x14ac:dyDescent="0.25">
      <c r="A108" s="899" t="s">
        <v>2736</v>
      </c>
      <c r="B108" s="1523"/>
      <c r="C108" s="1575"/>
      <c r="D108" s="1571"/>
      <c r="E108" s="1571"/>
      <c r="F108" s="1571"/>
      <c r="G108" s="1571"/>
      <c r="H108" s="1515"/>
      <c r="I108" s="1556"/>
      <c r="J108" s="1571"/>
      <c r="K108" s="1124" t="s">
        <v>3310</v>
      </c>
      <c r="L108" s="804"/>
      <c r="M108" s="1558"/>
      <c r="N108" s="1498">
        <f t="shared" si="36"/>
        <v>0</v>
      </c>
      <c r="O108" s="1500" t="e">
        <f t="shared" si="37"/>
        <v>#DIV/0!</v>
      </c>
      <c r="P108" s="733">
        <f>30%*$P$105</f>
        <v>2.1000000000000001E-2</v>
      </c>
      <c r="Q108" s="1485">
        <f t="shared" si="39"/>
        <v>66769494.600000001</v>
      </c>
      <c r="R108" s="1486">
        <f t="shared" si="40"/>
        <v>7022285.3999999994</v>
      </c>
      <c r="S108" s="806"/>
      <c r="T108" s="807"/>
      <c r="U108" s="806"/>
      <c r="V108" s="807"/>
      <c r="W108" s="807"/>
      <c r="X108" s="807"/>
      <c r="Y108" s="806"/>
      <c r="Z108" s="806"/>
      <c r="AA108" s="806"/>
      <c r="AB108" s="725"/>
      <c r="AC108" s="1506" t="s">
        <v>1840</v>
      </c>
      <c r="AD108" s="974" t="s">
        <v>1849</v>
      </c>
      <c r="AE108" s="1642"/>
    </row>
    <row r="109" spans="1:31" ht="80.25" customHeight="1" x14ac:dyDescent="0.25">
      <c r="A109" s="1537" t="s">
        <v>2737</v>
      </c>
      <c r="B109" s="1048" t="s">
        <v>3013</v>
      </c>
      <c r="C109" s="901" t="s">
        <v>2738</v>
      </c>
      <c r="D109" s="1076">
        <v>130</v>
      </c>
      <c r="E109" s="1076">
        <v>70</v>
      </c>
      <c r="F109" s="1076">
        <v>130</v>
      </c>
      <c r="G109" s="1413">
        <v>0</v>
      </c>
      <c r="H109" s="1413"/>
      <c r="I109" s="1387">
        <f t="shared" si="26"/>
        <v>1</v>
      </c>
      <c r="J109" s="1389">
        <f t="shared" si="27"/>
        <v>0</v>
      </c>
      <c r="K109" s="1124" t="s">
        <v>3311</v>
      </c>
      <c r="L109" s="804"/>
      <c r="M109" s="900">
        <v>340</v>
      </c>
      <c r="N109" s="1498">
        <f t="shared" si="36"/>
        <v>200</v>
      </c>
      <c r="O109" s="1500">
        <f t="shared" si="37"/>
        <v>0.58823529411764708</v>
      </c>
      <c r="P109" s="1583">
        <f>15%*$P$105</f>
        <v>1.0500000000000001E-2</v>
      </c>
      <c r="Q109" s="1579">
        <f t="shared" si="39"/>
        <v>33384747.300000001</v>
      </c>
      <c r="R109" s="1579">
        <f t="shared" si="40"/>
        <v>3511142.6999999997</v>
      </c>
      <c r="S109" s="806"/>
      <c r="T109" s="807"/>
      <c r="U109" s="806"/>
      <c r="V109" s="807"/>
      <c r="W109" s="807"/>
      <c r="X109" s="807"/>
      <c r="Y109" s="806"/>
      <c r="Z109" s="806"/>
      <c r="AA109" s="806"/>
      <c r="AB109" s="725"/>
      <c r="AC109" s="1506" t="s">
        <v>1840</v>
      </c>
      <c r="AD109" s="974" t="s">
        <v>1849</v>
      </c>
      <c r="AE109" s="1642"/>
    </row>
    <row r="110" spans="1:31" ht="47.25" customHeight="1" x14ac:dyDescent="0.25">
      <c r="A110" s="1542"/>
      <c r="B110" s="1048" t="s">
        <v>3014</v>
      </c>
      <c r="C110" s="901" t="s">
        <v>2665</v>
      </c>
      <c r="D110" s="1076">
        <v>0</v>
      </c>
      <c r="E110" s="1076">
        <v>1</v>
      </c>
      <c r="F110" s="1076">
        <v>0</v>
      </c>
      <c r="G110" s="1413">
        <v>0</v>
      </c>
      <c r="H110" s="1413"/>
      <c r="I110" s="1387" t="e">
        <f t="shared" si="26"/>
        <v>#DIV/0!</v>
      </c>
      <c r="J110" s="1389">
        <f t="shared" si="27"/>
        <v>0</v>
      </c>
      <c r="K110" s="1124"/>
      <c r="L110" s="804"/>
      <c r="M110" s="900">
        <v>3</v>
      </c>
      <c r="N110" s="1498">
        <f t="shared" si="36"/>
        <v>1</v>
      </c>
      <c r="O110" s="1500">
        <f t="shared" si="37"/>
        <v>0.33333333333333331</v>
      </c>
      <c r="P110" s="1585"/>
      <c r="Q110" s="1581"/>
      <c r="R110" s="1581"/>
      <c r="S110" s="806"/>
      <c r="T110" s="807"/>
      <c r="U110" s="806"/>
      <c r="V110" s="807"/>
      <c r="W110" s="807"/>
      <c r="X110" s="807"/>
      <c r="Y110" s="806"/>
      <c r="Z110" s="806"/>
      <c r="AA110" s="806"/>
      <c r="AB110" s="725"/>
      <c r="AC110" s="1506" t="s">
        <v>1840</v>
      </c>
      <c r="AD110" s="974" t="s">
        <v>1849</v>
      </c>
      <c r="AE110" s="1642"/>
    </row>
    <row r="111" spans="1:31" ht="128.25" customHeight="1" x14ac:dyDescent="0.25">
      <c r="A111" s="1536" t="s">
        <v>2739</v>
      </c>
      <c r="B111" s="1042" t="s">
        <v>3015</v>
      </c>
      <c r="C111" s="901" t="s">
        <v>2665</v>
      </c>
      <c r="D111" s="1076">
        <v>9</v>
      </c>
      <c r="E111" s="1076">
        <v>22</v>
      </c>
      <c r="F111" s="1076">
        <v>9</v>
      </c>
      <c r="G111" s="1413">
        <v>11</v>
      </c>
      <c r="H111" s="1413"/>
      <c r="I111" s="1387">
        <f t="shared" si="26"/>
        <v>1</v>
      </c>
      <c r="J111" s="1389">
        <f t="shared" si="27"/>
        <v>0.5</v>
      </c>
      <c r="K111" s="1582" t="s">
        <v>3312</v>
      </c>
      <c r="L111" s="804"/>
      <c r="M111" s="900">
        <v>50</v>
      </c>
      <c r="N111" s="1498">
        <f t="shared" si="36"/>
        <v>42</v>
      </c>
      <c r="O111" s="1500">
        <f t="shared" si="37"/>
        <v>0.84</v>
      </c>
      <c r="P111" s="1583">
        <f>20%*$P$105</f>
        <v>1.4000000000000002E-2</v>
      </c>
      <c r="Q111" s="1579">
        <f t="shared" si="39"/>
        <v>44512996.400000006</v>
      </c>
      <c r="R111" s="1579">
        <f t="shared" si="40"/>
        <v>4681523.6000000006</v>
      </c>
      <c r="S111" s="806"/>
      <c r="T111" s="807"/>
      <c r="U111" s="806"/>
      <c r="V111" s="807"/>
      <c r="W111" s="807"/>
      <c r="X111" s="807"/>
      <c r="Y111" s="806"/>
      <c r="Z111" s="806"/>
      <c r="AA111" s="806"/>
      <c r="AB111" s="725"/>
      <c r="AC111" s="1506" t="s">
        <v>1840</v>
      </c>
      <c r="AD111" s="974" t="s">
        <v>1849</v>
      </c>
      <c r="AE111" s="1642"/>
    </row>
    <row r="112" spans="1:31" ht="139.5" customHeight="1" thickBot="1" x14ac:dyDescent="0.3">
      <c r="A112" s="1537"/>
      <c r="B112" s="1043" t="s">
        <v>3016</v>
      </c>
      <c r="C112" s="901" t="s">
        <v>2652</v>
      </c>
      <c r="D112" s="1076">
        <v>18</v>
      </c>
      <c r="E112" s="1076">
        <v>44</v>
      </c>
      <c r="F112" s="1076">
        <v>18</v>
      </c>
      <c r="G112" s="1413">
        <v>22</v>
      </c>
      <c r="H112" s="1413"/>
      <c r="I112" s="1387">
        <f t="shared" si="26"/>
        <v>1</v>
      </c>
      <c r="J112" s="1389">
        <f t="shared" si="27"/>
        <v>0.5</v>
      </c>
      <c r="K112" s="1582"/>
      <c r="L112" s="804"/>
      <c r="M112" s="958">
        <v>1</v>
      </c>
      <c r="N112" s="1498">
        <f t="shared" si="36"/>
        <v>84</v>
      </c>
      <c r="O112" s="1500">
        <f t="shared" si="37"/>
        <v>1</v>
      </c>
      <c r="P112" s="1585"/>
      <c r="Q112" s="1581"/>
      <c r="R112" s="1581"/>
      <c r="S112" s="806"/>
      <c r="T112" s="807"/>
      <c r="U112" s="806"/>
      <c r="V112" s="807"/>
      <c r="W112" s="807"/>
      <c r="X112" s="807"/>
      <c r="Y112" s="806"/>
      <c r="Z112" s="806"/>
      <c r="AA112" s="806"/>
      <c r="AB112" s="725"/>
      <c r="AC112" s="1506" t="s">
        <v>1840</v>
      </c>
      <c r="AD112" s="974" t="s">
        <v>1849</v>
      </c>
      <c r="AE112" s="1647"/>
    </row>
    <row r="113" spans="1:31" ht="15.75" customHeight="1" thickBot="1" x14ac:dyDescent="0.3">
      <c r="A113" s="1518" t="s">
        <v>2740</v>
      </c>
      <c r="B113" s="1519"/>
      <c r="C113" s="1076"/>
      <c r="D113" s="1076"/>
      <c r="E113" s="1076"/>
      <c r="F113" s="1076"/>
      <c r="G113" s="1413"/>
      <c r="H113" s="1413"/>
      <c r="I113" s="1249">
        <f>SUM(I114+I131)/2</f>
        <v>1</v>
      </c>
      <c r="J113" s="1249">
        <f>SUM(J114+J131)/2</f>
        <v>0.51388888888888884</v>
      </c>
      <c r="K113" s="1124"/>
      <c r="L113" s="804"/>
      <c r="M113" s="957"/>
      <c r="N113" s="1498">
        <f t="shared" si="36"/>
        <v>0</v>
      </c>
      <c r="O113" s="1500" t="e">
        <f t="shared" si="37"/>
        <v>#DIV/0!</v>
      </c>
      <c r="P113" s="1245">
        <f>+P114+P131</f>
        <v>0.12000000000000001</v>
      </c>
      <c r="Q113" s="1484">
        <f>+Q114+Q131</f>
        <v>1507894488.5</v>
      </c>
      <c r="R113" s="1484">
        <f>+R114+R131</f>
        <v>186305172.5</v>
      </c>
      <c r="S113" s="1495">
        <f>+R113/Q113</f>
        <v>0.12355318884766917</v>
      </c>
      <c r="T113" s="1484">
        <f>+T114+T131</f>
        <v>119701899</v>
      </c>
      <c r="U113" s="1490">
        <f>+T113/R113</f>
        <v>0.64250443180797889</v>
      </c>
      <c r="V113" s="746">
        <f t="shared" ref="V113:V114" si="41">+R113-T113</f>
        <v>66603273.5</v>
      </c>
      <c r="W113" s="807"/>
      <c r="X113" s="807"/>
      <c r="Y113" s="1484">
        <f>+Y114+Y131</f>
        <v>4458057890.5</v>
      </c>
      <c r="Z113" s="1484">
        <f>+Z114+Z131</f>
        <v>1060635687</v>
      </c>
      <c r="AA113" s="789">
        <f>+Z113/Y113</f>
        <v>0.23791429206430581</v>
      </c>
      <c r="AB113" s="980"/>
      <c r="AC113" s="1506"/>
      <c r="AD113" s="974"/>
      <c r="AE113" s="981"/>
    </row>
    <row r="114" spans="1:31" ht="15.75" customHeight="1" thickBot="1" x14ac:dyDescent="0.3">
      <c r="A114" s="1516" t="s">
        <v>2843</v>
      </c>
      <c r="B114" s="1520"/>
      <c r="C114" s="1076"/>
      <c r="D114" s="1076"/>
      <c r="E114" s="1076"/>
      <c r="F114" s="1076"/>
      <c r="G114" s="1413"/>
      <c r="H114" s="1413"/>
      <c r="I114" s="1465">
        <v>1</v>
      </c>
      <c r="J114" s="1389">
        <f>+(J115+J116+J117+J118+J119+J120+J121+J122+J123+J124+J125+J126+J127+J128+J130)/15</f>
        <v>0.6777777777777777</v>
      </c>
      <c r="K114" s="1124"/>
      <c r="L114" s="804"/>
      <c r="M114" s="959"/>
      <c r="N114" s="1498">
        <f t="shared" si="36"/>
        <v>0</v>
      </c>
      <c r="O114" s="1500" t="e">
        <f t="shared" si="37"/>
        <v>#DIV/0!</v>
      </c>
      <c r="P114" s="1245">
        <v>7.0000000000000007E-2</v>
      </c>
      <c r="Q114" s="1483">
        <f>'informe Gastos'!Y82</f>
        <v>641806063</v>
      </c>
      <c r="R114" s="1483">
        <f>'informe Gastos'!Z82</f>
        <v>144097557</v>
      </c>
      <c r="S114" s="1490">
        <f>+R114/Q114</f>
        <v>0.2245188465912015</v>
      </c>
      <c r="T114" s="1483">
        <f>'informe Gastos'!AA82</f>
        <v>88263132</v>
      </c>
      <c r="U114" s="1490">
        <f>+T114/R114</f>
        <v>0.612523444793724</v>
      </c>
      <c r="V114" s="746">
        <f t="shared" si="41"/>
        <v>55834425</v>
      </c>
      <c r="W114" s="807"/>
      <c r="X114" s="807"/>
      <c r="Y114" s="806">
        <f>(489297299+649504484+539452000+569661200)+43642421-51000000</f>
        <v>2240557404</v>
      </c>
      <c r="Z114" s="806">
        <f>318879090+R114</f>
        <v>462976647</v>
      </c>
      <c r="AA114" s="789">
        <f>+Z114/Y114</f>
        <v>0.20663458395373477</v>
      </c>
      <c r="AB114" s="985"/>
      <c r="AC114" s="1506"/>
      <c r="AD114" s="974"/>
      <c r="AE114" s="986"/>
    </row>
    <row r="115" spans="1:31" ht="99.75" customHeight="1" x14ac:dyDescent="0.25">
      <c r="A115" s="905" t="s">
        <v>2741</v>
      </c>
      <c r="B115" s="905" t="s">
        <v>3017</v>
      </c>
      <c r="C115" s="906" t="s">
        <v>2665</v>
      </c>
      <c r="D115" s="909">
        <v>1</v>
      </c>
      <c r="E115" s="1076">
        <v>4</v>
      </c>
      <c r="F115" s="1076">
        <v>1</v>
      </c>
      <c r="G115" s="1413">
        <v>5</v>
      </c>
      <c r="H115" s="1413"/>
      <c r="I115" s="1387">
        <f t="shared" si="26"/>
        <v>1</v>
      </c>
      <c r="J115" s="1389">
        <f t="shared" si="27"/>
        <v>1</v>
      </c>
      <c r="K115" s="1124" t="s">
        <v>3353</v>
      </c>
      <c r="L115" s="804"/>
      <c r="M115" s="960">
        <v>15</v>
      </c>
      <c r="N115" s="1498">
        <f t="shared" si="36"/>
        <v>10</v>
      </c>
      <c r="O115" s="1500">
        <f t="shared" si="37"/>
        <v>0.66666666666666663</v>
      </c>
      <c r="P115" s="733">
        <f>10%*$P$114</f>
        <v>7.000000000000001E-3</v>
      </c>
      <c r="Q115" s="1485">
        <f>Q$114*P115/P$114</f>
        <v>64180606.300000004</v>
      </c>
      <c r="R115" s="1486">
        <f>R$114*P115/P$114</f>
        <v>14409755.699999999</v>
      </c>
      <c r="S115" s="806"/>
      <c r="T115" s="807"/>
      <c r="U115" s="806"/>
      <c r="V115" s="807"/>
      <c r="W115" s="807"/>
      <c r="X115" s="807"/>
      <c r="Y115" s="806"/>
      <c r="Z115" s="806"/>
      <c r="AA115" s="806"/>
      <c r="AB115" s="995"/>
      <c r="AC115" s="1506" t="s">
        <v>1840</v>
      </c>
      <c r="AD115" s="974" t="s">
        <v>703</v>
      </c>
      <c r="AE115" s="1649" t="s">
        <v>3568</v>
      </c>
    </row>
    <row r="116" spans="1:31" ht="66" customHeight="1" x14ac:dyDescent="0.25">
      <c r="A116" s="908" t="s">
        <v>2742</v>
      </c>
      <c r="B116" s="908" t="s">
        <v>3018</v>
      </c>
      <c r="C116" s="901" t="s">
        <v>2665</v>
      </c>
      <c r="D116" s="909">
        <v>0</v>
      </c>
      <c r="E116" s="1076">
        <v>2</v>
      </c>
      <c r="F116" s="1076">
        <v>0</v>
      </c>
      <c r="G116" s="1413">
        <v>0</v>
      </c>
      <c r="H116" s="1413"/>
      <c r="I116" s="1387" t="e">
        <f t="shared" si="26"/>
        <v>#DIV/0!</v>
      </c>
      <c r="J116" s="1389">
        <f t="shared" si="27"/>
        <v>0</v>
      </c>
      <c r="K116" s="1124" t="s">
        <v>3354</v>
      </c>
      <c r="L116" s="804"/>
      <c r="M116" s="912">
        <v>3</v>
      </c>
      <c r="N116" s="1498">
        <f t="shared" si="36"/>
        <v>2</v>
      </c>
      <c r="O116" s="1500">
        <f t="shared" si="37"/>
        <v>0.66666666666666663</v>
      </c>
      <c r="P116" s="733">
        <f>3%*$P$114</f>
        <v>2.1000000000000003E-3</v>
      </c>
      <c r="Q116" s="1485">
        <f t="shared" ref="Q116:Q130" si="42">Q$114*P116/P$114</f>
        <v>19254181.890000001</v>
      </c>
      <c r="R116" s="1486">
        <f t="shared" ref="R116:R142" si="43">R$114*P116/P$114</f>
        <v>4322926.71</v>
      </c>
      <c r="S116" s="806"/>
      <c r="T116" s="807"/>
      <c r="U116" s="806"/>
      <c r="V116" s="807"/>
      <c r="W116" s="807"/>
      <c r="X116" s="807"/>
      <c r="Y116" s="806"/>
      <c r="Z116" s="806"/>
      <c r="AA116" s="806"/>
      <c r="AB116" s="725"/>
      <c r="AC116" s="1506" t="s">
        <v>1840</v>
      </c>
      <c r="AD116" s="974" t="s">
        <v>703</v>
      </c>
      <c r="AE116" s="1650"/>
    </row>
    <row r="117" spans="1:31" ht="96.75" customHeight="1" x14ac:dyDescent="0.25">
      <c r="A117" s="908" t="s">
        <v>2743</v>
      </c>
      <c r="B117" s="908" t="s">
        <v>3019</v>
      </c>
      <c r="C117" s="901" t="s">
        <v>2665</v>
      </c>
      <c r="D117" s="909">
        <v>0</v>
      </c>
      <c r="E117" s="1076">
        <v>3</v>
      </c>
      <c r="F117" s="1076">
        <v>0</v>
      </c>
      <c r="G117" s="1413">
        <v>2</v>
      </c>
      <c r="H117" s="1413"/>
      <c r="I117" s="1387" t="e">
        <f t="shared" si="26"/>
        <v>#DIV/0!</v>
      </c>
      <c r="J117" s="1389">
        <f t="shared" si="27"/>
        <v>0.66666666666666663</v>
      </c>
      <c r="K117" s="1124" t="s">
        <v>3355</v>
      </c>
      <c r="L117" s="804"/>
      <c r="M117" s="912">
        <v>6</v>
      </c>
      <c r="N117" s="1498">
        <f t="shared" si="36"/>
        <v>5</v>
      </c>
      <c r="O117" s="1500">
        <f t="shared" si="37"/>
        <v>0.83333333333333337</v>
      </c>
      <c r="P117" s="733">
        <f>5%*$P$114</f>
        <v>3.5000000000000005E-3</v>
      </c>
      <c r="Q117" s="1485">
        <f t="shared" si="42"/>
        <v>32090303.150000002</v>
      </c>
      <c r="R117" s="1486">
        <f t="shared" si="43"/>
        <v>7204877.8499999996</v>
      </c>
      <c r="S117" s="806"/>
      <c r="T117" s="807"/>
      <c r="U117" s="806"/>
      <c r="V117" s="807"/>
      <c r="W117" s="807"/>
      <c r="X117" s="807"/>
      <c r="Y117" s="806"/>
      <c r="Z117" s="806"/>
      <c r="AA117" s="806"/>
      <c r="AB117" s="725"/>
      <c r="AC117" s="1506" t="s">
        <v>1840</v>
      </c>
      <c r="AD117" s="974" t="s">
        <v>703</v>
      </c>
      <c r="AE117" s="1650"/>
    </row>
    <row r="118" spans="1:31" ht="70.5" customHeight="1" x14ac:dyDescent="0.25">
      <c r="A118" s="910" t="s">
        <v>2744</v>
      </c>
      <c r="B118" s="910" t="s">
        <v>3020</v>
      </c>
      <c r="C118" s="901" t="s">
        <v>2665</v>
      </c>
      <c r="D118" s="911">
        <v>3</v>
      </c>
      <c r="E118" s="1076">
        <v>5</v>
      </c>
      <c r="F118" s="1076">
        <v>3</v>
      </c>
      <c r="G118" s="1413">
        <v>5</v>
      </c>
      <c r="H118" s="1413"/>
      <c r="I118" s="1387">
        <f t="shared" si="26"/>
        <v>1</v>
      </c>
      <c r="J118" s="1389">
        <f t="shared" si="27"/>
        <v>1</v>
      </c>
      <c r="K118" s="1124" t="s">
        <v>3356</v>
      </c>
      <c r="L118" s="804"/>
      <c r="M118" s="912">
        <v>15</v>
      </c>
      <c r="N118" s="1498">
        <f t="shared" si="36"/>
        <v>13</v>
      </c>
      <c r="O118" s="1500">
        <f t="shared" si="37"/>
        <v>0.8666666666666667</v>
      </c>
      <c r="P118" s="733">
        <f>8%*$P$114</f>
        <v>5.6000000000000008E-3</v>
      </c>
      <c r="Q118" s="1485">
        <f t="shared" si="42"/>
        <v>51344485.040000007</v>
      </c>
      <c r="R118" s="1486">
        <f t="shared" si="43"/>
        <v>11527804.560000001</v>
      </c>
      <c r="S118" s="806"/>
      <c r="T118" s="807"/>
      <c r="U118" s="806"/>
      <c r="V118" s="807"/>
      <c r="W118" s="807"/>
      <c r="X118" s="807"/>
      <c r="Y118" s="806"/>
      <c r="Z118" s="806"/>
      <c r="AA118" s="806"/>
      <c r="AB118" s="725"/>
      <c r="AC118" s="1506" t="s">
        <v>1840</v>
      </c>
      <c r="AD118" s="974" t="s">
        <v>703</v>
      </c>
      <c r="AE118" s="1650"/>
    </row>
    <row r="119" spans="1:31" ht="76.5" customHeight="1" x14ac:dyDescent="0.25">
      <c r="A119" s="910" t="s">
        <v>2745</v>
      </c>
      <c r="B119" s="910" t="s">
        <v>3021</v>
      </c>
      <c r="C119" s="901" t="s">
        <v>2665</v>
      </c>
      <c r="D119" s="909">
        <v>3</v>
      </c>
      <c r="E119" s="1076">
        <v>5</v>
      </c>
      <c r="F119" s="1076">
        <v>3</v>
      </c>
      <c r="G119" s="1413">
        <v>9</v>
      </c>
      <c r="H119" s="1413"/>
      <c r="I119" s="1387">
        <f t="shared" si="26"/>
        <v>1</v>
      </c>
      <c r="J119" s="1389">
        <f t="shared" si="27"/>
        <v>1</v>
      </c>
      <c r="K119" s="1124" t="s">
        <v>3357</v>
      </c>
      <c r="L119" s="804"/>
      <c r="M119" s="911">
        <v>13</v>
      </c>
      <c r="N119" s="1498">
        <f t="shared" si="36"/>
        <v>17</v>
      </c>
      <c r="O119" s="1500">
        <f t="shared" si="37"/>
        <v>1</v>
      </c>
      <c r="P119" s="733">
        <f>8%*$P$114</f>
        <v>5.6000000000000008E-3</v>
      </c>
      <c r="Q119" s="1485">
        <f t="shared" si="42"/>
        <v>51344485.040000007</v>
      </c>
      <c r="R119" s="1486">
        <f t="shared" si="43"/>
        <v>11527804.560000001</v>
      </c>
      <c r="S119" s="806"/>
      <c r="T119" s="807"/>
      <c r="U119" s="806"/>
      <c r="V119" s="807"/>
      <c r="W119" s="807"/>
      <c r="X119" s="807"/>
      <c r="Y119" s="806"/>
      <c r="Z119" s="806"/>
      <c r="AA119" s="806"/>
      <c r="AB119" s="725"/>
      <c r="AC119" s="1506" t="s">
        <v>1840</v>
      </c>
      <c r="AD119" s="974" t="s">
        <v>703</v>
      </c>
      <c r="AE119" s="1650"/>
    </row>
    <row r="120" spans="1:31" ht="81" customHeight="1" x14ac:dyDescent="0.25">
      <c r="A120" s="908" t="s">
        <v>2746</v>
      </c>
      <c r="B120" s="908" t="s">
        <v>3022</v>
      </c>
      <c r="C120" s="901" t="s">
        <v>2665</v>
      </c>
      <c r="D120" s="912">
        <v>2</v>
      </c>
      <c r="E120" s="1076">
        <v>2</v>
      </c>
      <c r="F120" s="1076">
        <v>2</v>
      </c>
      <c r="G120" s="1413">
        <v>1</v>
      </c>
      <c r="H120" s="1413"/>
      <c r="I120" s="1387">
        <f t="shared" si="26"/>
        <v>1</v>
      </c>
      <c r="J120" s="1389">
        <f t="shared" si="27"/>
        <v>0.5</v>
      </c>
      <c r="K120" s="1124" t="s">
        <v>3362</v>
      </c>
      <c r="L120" s="804"/>
      <c r="M120" s="911">
        <v>8</v>
      </c>
      <c r="N120" s="1498">
        <f t="shared" si="36"/>
        <v>5</v>
      </c>
      <c r="O120" s="1500">
        <f t="shared" si="37"/>
        <v>0.625</v>
      </c>
      <c r="P120" s="733">
        <f>8%*$P$114</f>
        <v>5.6000000000000008E-3</v>
      </c>
      <c r="Q120" s="1485">
        <f t="shared" si="42"/>
        <v>51344485.040000007</v>
      </c>
      <c r="R120" s="1486">
        <f t="shared" si="43"/>
        <v>11527804.560000001</v>
      </c>
      <c r="S120" s="806"/>
      <c r="T120" s="807"/>
      <c r="U120" s="806"/>
      <c r="V120" s="807"/>
      <c r="W120" s="807"/>
      <c r="X120" s="807"/>
      <c r="Y120" s="806"/>
      <c r="Z120" s="806"/>
      <c r="AA120" s="806"/>
      <c r="AB120" s="725"/>
      <c r="AC120" s="1506" t="s">
        <v>1840</v>
      </c>
      <c r="AD120" s="974" t="s">
        <v>703</v>
      </c>
      <c r="AE120" s="1650"/>
    </row>
    <row r="121" spans="1:31" ht="67.5" x14ac:dyDescent="0.25">
      <c r="A121" s="910" t="s">
        <v>2747</v>
      </c>
      <c r="B121" s="910" t="s">
        <v>3023</v>
      </c>
      <c r="C121" s="901" t="s">
        <v>2665</v>
      </c>
      <c r="D121" s="909">
        <v>0</v>
      </c>
      <c r="E121" s="1076">
        <v>1</v>
      </c>
      <c r="F121" s="1076">
        <v>0</v>
      </c>
      <c r="G121" s="1413">
        <v>0</v>
      </c>
      <c r="H121" s="1413"/>
      <c r="I121" s="1387" t="e">
        <f t="shared" si="26"/>
        <v>#DIV/0!</v>
      </c>
      <c r="J121" s="1389">
        <f t="shared" si="27"/>
        <v>0</v>
      </c>
      <c r="K121" s="1124" t="s">
        <v>3359</v>
      </c>
      <c r="L121" s="804"/>
      <c r="M121" s="911">
        <v>1</v>
      </c>
      <c r="N121" s="1498">
        <f t="shared" si="36"/>
        <v>1</v>
      </c>
      <c r="O121" s="1500">
        <f t="shared" si="37"/>
        <v>1</v>
      </c>
      <c r="P121" s="733">
        <f>5%*$P$114</f>
        <v>3.5000000000000005E-3</v>
      </c>
      <c r="Q121" s="1485">
        <f t="shared" si="42"/>
        <v>32090303.150000002</v>
      </c>
      <c r="R121" s="1486">
        <f t="shared" si="43"/>
        <v>7204877.8499999996</v>
      </c>
      <c r="S121" s="806"/>
      <c r="T121" s="807"/>
      <c r="U121" s="806"/>
      <c r="V121" s="807"/>
      <c r="W121" s="807"/>
      <c r="X121" s="807"/>
      <c r="Y121" s="806"/>
      <c r="Z121" s="806"/>
      <c r="AA121" s="806"/>
      <c r="AB121" s="725"/>
      <c r="AC121" s="1506" t="s">
        <v>1840</v>
      </c>
      <c r="AD121" s="974" t="s">
        <v>703</v>
      </c>
      <c r="AE121" s="1650"/>
    </row>
    <row r="122" spans="1:31" ht="102" customHeight="1" x14ac:dyDescent="0.25">
      <c r="A122" s="910" t="s">
        <v>2748</v>
      </c>
      <c r="B122" s="910" t="s">
        <v>3024</v>
      </c>
      <c r="C122" s="901" t="s">
        <v>2665</v>
      </c>
      <c r="D122" s="911">
        <v>0</v>
      </c>
      <c r="E122" s="1076">
        <v>1</v>
      </c>
      <c r="F122" s="1076">
        <v>0</v>
      </c>
      <c r="G122" s="1413">
        <v>1</v>
      </c>
      <c r="H122" s="1413"/>
      <c r="I122" s="1387" t="e">
        <f t="shared" si="26"/>
        <v>#DIV/0!</v>
      </c>
      <c r="J122" s="1389">
        <f t="shared" si="27"/>
        <v>1</v>
      </c>
      <c r="K122" s="1124" t="s">
        <v>3360</v>
      </c>
      <c r="L122" s="804"/>
      <c r="M122" s="911">
        <v>1</v>
      </c>
      <c r="N122" s="1498">
        <f t="shared" si="36"/>
        <v>2</v>
      </c>
      <c r="O122" s="1500">
        <f t="shared" si="37"/>
        <v>1</v>
      </c>
      <c r="P122" s="733">
        <f>8%*$P$114</f>
        <v>5.6000000000000008E-3</v>
      </c>
      <c r="Q122" s="1485">
        <f t="shared" si="42"/>
        <v>51344485.040000007</v>
      </c>
      <c r="R122" s="1486">
        <f t="shared" si="43"/>
        <v>11527804.560000001</v>
      </c>
      <c r="S122" s="806"/>
      <c r="T122" s="807"/>
      <c r="U122" s="806"/>
      <c r="V122" s="807"/>
      <c r="W122" s="807"/>
      <c r="X122" s="807"/>
      <c r="Y122" s="806"/>
      <c r="Z122" s="806"/>
      <c r="AA122" s="806"/>
      <c r="AB122" s="725"/>
      <c r="AC122" s="1506" t="s">
        <v>1840</v>
      </c>
      <c r="AD122" s="974" t="s">
        <v>703</v>
      </c>
      <c r="AE122" s="1650"/>
    </row>
    <row r="123" spans="1:31" ht="114.75" customHeight="1" x14ac:dyDescent="0.25">
      <c r="A123" s="910" t="s">
        <v>2749</v>
      </c>
      <c r="B123" s="910" t="s">
        <v>3025</v>
      </c>
      <c r="C123" s="901" t="s">
        <v>2665</v>
      </c>
      <c r="D123" s="909">
        <v>3</v>
      </c>
      <c r="E123" s="1076">
        <v>5</v>
      </c>
      <c r="F123" s="1076">
        <v>3</v>
      </c>
      <c r="G123" s="1413">
        <v>5</v>
      </c>
      <c r="H123" s="1413"/>
      <c r="I123" s="1387">
        <f t="shared" si="26"/>
        <v>1</v>
      </c>
      <c r="J123" s="1389">
        <f t="shared" si="27"/>
        <v>1</v>
      </c>
      <c r="K123" s="1124" t="s">
        <v>3361</v>
      </c>
      <c r="L123" s="804"/>
      <c r="M123" s="911">
        <v>16</v>
      </c>
      <c r="N123" s="1498">
        <f t="shared" si="36"/>
        <v>13</v>
      </c>
      <c r="O123" s="1500">
        <f t="shared" si="37"/>
        <v>0.8125</v>
      </c>
      <c r="P123" s="733">
        <f>8%*$P$114</f>
        <v>5.6000000000000008E-3</v>
      </c>
      <c r="Q123" s="1485">
        <f t="shared" si="42"/>
        <v>51344485.040000007</v>
      </c>
      <c r="R123" s="1486">
        <f t="shared" si="43"/>
        <v>11527804.560000001</v>
      </c>
      <c r="S123" s="806"/>
      <c r="T123" s="807"/>
      <c r="U123" s="806"/>
      <c r="V123" s="807"/>
      <c r="W123" s="807"/>
      <c r="X123" s="807"/>
      <c r="Y123" s="806"/>
      <c r="Z123" s="806"/>
      <c r="AA123" s="806"/>
      <c r="AB123" s="725"/>
      <c r="AC123" s="1506" t="s">
        <v>1840</v>
      </c>
      <c r="AD123" s="974" t="s">
        <v>703</v>
      </c>
      <c r="AE123" s="1650"/>
    </row>
    <row r="124" spans="1:31" ht="114" customHeight="1" x14ac:dyDescent="0.25">
      <c r="A124" s="910" t="s">
        <v>2750</v>
      </c>
      <c r="B124" s="910" t="s">
        <v>3026</v>
      </c>
      <c r="C124" s="901" t="s">
        <v>2665</v>
      </c>
      <c r="D124" s="909">
        <v>3</v>
      </c>
      <c r="E124" s="1076">
        <v>5</v>
      </c>
      <c r="F124" s="1076">
        <v>3</v>
      </c>
      <c r="G124" s="1413">
        <v>5</v>
      </c>
      <c r="H124" s="1413"/>
      <c r="I124" s="1387">
        <f t="shared" si="26"/>
        <v>1</v>
      </c>
      <c r="J124" s="1389">
        <f t="shared" si="27"/>
        <v>1</v>
      </c>
      <c r="K124" s="1124" t="s">
        <v>3363</v>
      </c>
      <c r="L124" s="804"/>
      <c r="M124" s="911">
        <v>15</v>
      </c>
      <c r="N124" s="1498">
        <f t="shared" si="36"/>
        <v>13</v>
      </c>
      <c r="O124" s="1500">
        <f t="shared" si="37"/>
        <v>0.8666666666666667</v>
      </c>
      <c r="P124" s="733">
        <f>8%*$P$114</f>
        <v>5.6000000000000008E-3</v>
      </c>
      <c r="Q124" s="1485">
        <f t="shared" si="42"/>
        <v>51344485.040000007</v>
      </c>
      <c r="R124" s="1486">
        <f t="shared" si="43"/>
        <v>11527804.560000001</v>
      </c>
      <c r="S124" s="806"/>
      <c r="T124" s="807"/>
      <c r="U124" s="806"/>
      <c r="V124" s="807"/>
      <c r="W124" s="807"/>
      <c r="X124" s="807"/>
      <c r="Y124" s="806"/>
      <c r="Z124" s="806"/>
      <c r="AA124" s="806"/>
      <c r="AB124" s="725"/>
      <c r="AC124" s="1506" t="s">
        <v>1840</v>
      </c>
      <c r="AD124" s="974" t="s">
        <v>703</v>
      </c>
      <c r="AE124" s="1650"/>
    </row>
    <row r="125" spans="1:31" ht="89.25" customHeight="1" x14ac:dyDescent="0.25">
      <c r="A125" s="910" t="s">
        <v>2751</v>
      </c>
      <c r="B125" s="910" t="s">
        <v>3027</v>
      </c>
      <c r="C125" s="901" t="s">
        <v>2665</v>
      </c>
      <c r="D125" s="913">
        <v>1</v>
      </c>
      <c r="E125" s="1076">
        <v>2</v>
      </c>
      <c r="F125" s="1076">
        <v>1</v>
      </c>
      <c r="G125" s="1413">
        <v>8</v>
      </c>
      <c r="H125" s="1413"/>
      <c r="I125" s="1387">
        <f t="shared" si="26"/>
        <v>1</v>
      </c>
      <c r="J125" s="1389">
        <f t="shared" si="27"/>
        <v>1</v>
      </c>
      <c r="K125" s="1124" t="s">
        <v>3358</v>
      </c>
      <c r="L125" s="804"/>
      <c r="M125" s="911">
        <v>6</v>
      </c>
      <c r="N125" s="1498">
        <f t="shared" si="36"/>
        <v>11</v>
      </c>
      <c r="O125" s="1500">
        <f t="shared" si="37"/>
        <v>1</v>
      </c>
      <c r="P125" s="733">
        <f>5%*$P$114</f>
        <v>3.5000000000000005E-3</v>
      </c>
      <c r="Q125" s="1485">
        <f t="shared" si="42"/>
        <v>32090303.150000002</v>
      </c>
      <c r="R125" s="1486">
        <f t="shared" si="43"/>
        <v>7204877.8499999996</v>
      </c>
      <c r="S125" s="806"/>
      <c r="T125" s="807"/>
      <c r="U125" s="806"/>
      <c r="V125" s="807"/>
      <c r="W125" s="807"/>
      <c r="X125" s="807"/>
      <c r="Y125" s="806"/>
      <c r="Z125" s="806"/>
      <c r="AA125" s="806"/>
      <c r="AB125" s="725"/>
      <c r="AC125" s="1506" t="s">
        <v>1840</v>
      </c>
      <c r="AD125" s="974" t="s">
        <v>703</v>
      </c>
      <c r="AE125" s="1650"/>
    </row>
    <row r="126" spans="1:31" ht="81.75" customHeight="1" x14ac:dyDescent="0.25">
      <c r="A126" s="910" t="s">
        <v>2752</v>
      </c>
      <c r="B126" s="910" t="s">
        <v>3028</v>
      </c>
      <c r="C126" s="901" t="s">
        <v>2665</v>
      </c>
      <c r="D126" s="913">
        <v>2</v>
      </c>
      <c r="E126" s="1076">
        <v>3</v>
      </c>
      <c r="F126" s="1076">
        <v>2</v>
      </c>
      <c r="G126" s="1413">
        <v>0</v>
      </c>
      <c r="H126" s="1413"/>
      <c r="I126" s="1387">
        <f t="shared" si="26"/>
        <v>1</v>
      </c>
      <c r="J126" s="1389">
        <f t="shared" si="27"/>
        <v>0</v>
      </c>
      <c r="K126" s="1124" t="s">
        <v>3364</v>
      </c>
      <c r="L126" s="804"/>
      <c r="M126" s="911">
        <v>10</v>
      </c>
      <c r="N126" s="1498">
        <f t="shared" si="36"/>
        <v>5</v>
      </c>
      <c r="O126" s="1500">
        <f t="shared" si="37"/>
        <v>0.5</v>
      </c>
      <c r="P126" s="733">
        <f>4%*$P$114</f>
        <v>2.8000000000000004E-3</v>
      </c>
      <c r="Q126" s="1485">
        <f t="shared" si="42"/>
        <v>25672242.520000003</v>
      </c>
      <c r="R126" s="1486">
        <f t="shared" si="43"/>
        <v>5763902.2800000003</v>
      </c>
      <c r="S126" s="806"/>
      <c r="T126" s="807"/>
      <c r="U126" s="806"/>
      <c r="V126" s="807"/>
      <c r="W126" s="807"/>
      <c r="X126" s="807"/>
      <c r="Y126" s="806"/>
      <c r="Z126" s="806"/>
      <c r="AA126" s="806"/>
      <c r="AB126" s="725"/>
      <c r="AC126" s="1506" t="s">
        <v>1840</v>
      </c>
      <c r="AD126" s="974" t="s">
        <v>703</v>
      </c>
      <c r="AE126" s="1650"/>
    </row>
    <row r="127" spans="1:31" ht="36.75" customHeight="1" x14ac:dyDescent="0.25">
      <c r="A127" s="910" t="s">
        <v>2753</v>
      </c>
      <c r="B127" s="910" t="s">
        <v>3029</v>
      </c>
      <c r="C127" s="901" t="s">
        <v>2665</v>
      </c>
      <c r="D127" s="1126">
        <v>0</v>
      </c>
      <c r="E127" s="907">
        <v>1</v>
      </c>
      <c r="F127" s="907">
        <v>0</v>
      </c>
      <c r="G127" s="1413">
        <v>0</v>
      </c>
      <c r="H127" s="1413"/>
      <c r="I127" s="1423" t="e">
        <f t="shared" si="26"/>
        <v>#DIV/0!</v>
      </c>
      <c r="J127" s="832">
        <f t="shared" si="27"/>
        <v>0</v>
      </c>
      <c r="K127" s="804" t="s">
        <v>3365</v>
      </c>
      <c r="L127" s="804"/>
      <c r="M127" s="911">
        <v>3</v>
      </c>
      <c r="N127" s="1498">
        <f t="shared" si="36"/>
        <v>1</v>
      </c>
      <c r="O127" s="1500">
        <f t="shared" si="37"/>
        <v>0.33333333333333331</v>
      </c>
      <c r="P127" s="733">
        <f t="shared" ref="P127" si="44">10%*$P$114</f>
        <v>7.000000000000001E-3</v>
      </c>
      <c r="Q127" s="1485">
        <f t="shared" si="42"/>
        <v>64180606.300000004</v>
      </c>
      <c r="R127" s="1486">
        <f t="shared" si="43"/>
        <v>14409755.699999999</v>
      </c>
      <c r="S127" s="806"/>
      <c r="T127" s="807"/>
      <c r="U127" s="806"/>
      <c r="V127" s="807"/>
      <c r="W127" s="807"/>
      <c r="X127" s="807"/>
      <c r="Y127" s="806"/>
      <c r="Z127" s="806"/>
      <c r="AA127" s="806"/>
      <c r="AB127" s="725"/>
      <c r="AC127" s="1506" t="s">
        <v>1840</v>
      </c>
      <c r="AD127" s="974" t="s">
        <v>703</v>
      </c>
      <c r="AE127" s="1650"/>
    </row>
    <row r="128" spans="1:31" ht="88.5" customHeight="1" x14ac:dyDescent="0.25">
      <c r="A128" s="910" t="s">
        <v>2754</v>
      </c>
      <c r="B128" s="910" t="s">
        <v>3030</v>
      </c>
      <c r="C128" s="901" t="s">
        <v>2665</v>
      </c>
      <c r="D128" s="913">
        <v>0</v>
      </c>
      <c r="E128" s="890">
        <v>1</v>
      </c>
      <c r="F128" s="890">
        <v>0</v>
      </c>
      <c r="G128" s="1413">
        <v>1</v>
      </c>
      <c r="H128" s="1413"/>
      <c r="I128" s="1411" t="e">
        <f t="shared" si="26"/>
        <v>#DIV/0!</v>
      </c>
      <c r="J128" s="815">
        <f t="shared" si="27"/>
        <v>1</v>
      </c>
      <c r="K128" s="804" t="s">
        <v>3366</v>
      </c>
      <c r="L128" s="804"/>
      <c r="M128" s="911">
        <v>1</v>
      </c>
      <c r="N128" s="1498">
        <f t="shared" si="36"/>
        <v>2</v>
      </c>
      <c r="O128" s="1500">
        <f t="shared" si="37"/>
        <v>1</v>
      </c>
      <c r="P128" s="733">
        <f>5%*$P$114</f>
        <v>3.5000000000000005E-3</v>
      </c>
      <c r="Q128" s="1485">
        <f t="shared" si="42"/>
        <v>32090303.150000002</v>
      </c>
      <c r="R128" s="1486">
        <f t="shared" si="43"/>
        <v>7204877.8499999996</v>
      </c>
      <c r="S128" s="806"/>
      <c r="T128" s="807"/>
      <c r="U128" s="806"/>
      <c r="V128" s="807"/>
      <c r="W128" s="807"/>
      <c r="X128" s="807"/>
      <c r="Y128" s="806"/>
      <c r="Z128" s="806"/>
      <c r="AA128" s="806"/>
      <c r="AB128" s="725"/>
      <c r="AC128" s="1506" t="s">
        <v>1840</v>
      </c>
      <c r="AD128" s="974" t="s">
        <v>703</v>
      </c>
      <c r="AE128" s="1650"/>
    </row>
    <row r="129" spans="1:31" ht="67.5" x14ac:dyDescent="0.25">
      <c r="A129" s="910" t="s">
        <v>2755</v>
      </c>
      <c r="B129" s="910" t="s">
        <v>3031</v>
      </c>
      <c r="C129" s="901" t="s">
        <v>2665</v>
      </c>
      <c r="D129" s="913">
        <v>0</v>
      </c>
      <c r="E129" s="890">
        <v>0</v>
      </c>
      <c r="F129" s="890">
        <v>0</v>
      </c>
      <c r="G129" s="1413">
        <v>0</v>
      </c>
      <c r="H129" s="1413"/>
      <c r="I129" s="1411" t="e">
        <f t="shared" si="26"/>
        <v>#DIV/0!</v>
      </c>
      <c r="J129" s="815" t="e">
        <f t="shared" si="27"/>
        <v>#DIV/0!</v>
      </c>
      <c r="K129" s="804"/>
      <c r="L129" s="804"/>
      <c r="M129" s="911">
        <v>1</v>
      </c>
      <c r="N129" s="1498">
        <f t="shared" si="36"/>
        <v>0</v>
      </c>
      <c r="O129" s="1500">
        <f t="shared" si="37"/>
        <v>0</v>
      </c>
      <c r="P129" s="733">
        <f>0%*$P$114</f>
        <v>0</v>
      </c>
      <c r="Q129" s="1485">
        <f t="shared" si="42"/>
        <v>0</v>
      </c>
      <c r="R129" s="1486">
        <f t="shared" si="43"/>
        <v>0</v>
      </c>
      <c r="S129" s="806"/>
      <c r="T129" s="807"/>
      <c r="U129" s="806"/>
      <c r="V129" s="807"/>
      <c r="W129" s="807"/>
      <c r="X129" s="807"/>
      <c r="Y129" s="806"/>
      <c r="Z129" s="806"/>
      <c r="AA129" s="806"/>
      <c r="AB129" s="725"/>
      <c r="AC129" s="1506" t="s">
        <v>1840</v>
      </c>
      <c r="AD129" s="974" t="s">
        <v>703</v>
      </c>
      <c r="AE129" s="1650"/>
    </row>
    <row r="130" spans="1:31" ht="57" thickBot="1" x14ac:dyDescent="0.3">
      <c r="A130" s="914" t="s">
        <v>2756</v>
      </c>
      <c r="B130" s="1065" t="s">
        <v>703</v>
      </c>
      <c r="C130" s="902" t="s">
        <v>2652</v>
      </c>
      <c r="D130" s="915">
        <v>0.2</v>
      </c>
      <c r="E130" s="828">
        <v>0.5</v>
      </c>
      <c r="F130" s="828">
        <f>'[2]19GAU'!E9</f>
        <v>0</v>
      </c>
      <c r="G130" s="927">
        <f>'19GAU'!D8</f>
        <v>0.58350000000000002</v>
      </c>
      <c r="H130" s="1149"/>
      <c r="I130" s="1147">
        <f t="shared" si="26"/>
        <v>0</v>
      </c>
      <c r="J130" s="815">
        <f t="shared" si="27"/>
        <v>1</v>
      </c>
      <c r="K130" s="804"/>
      <c r="L130" s="804"/>
      <c r="M130" s="961">
        <v>1</v>
      </c>
      <c r="N130" s="1498">
        <f t="shared" si="36"/>
        <v>1.0834999999999999</v>
      </c>
      <c r="O130" s="1500">
        <f t="shared" si="37"/>
        <v>1</v>
      </c>
      <c r="P130" s="733">
        <f>5%*$P$114</f>
        <v>3.5000000000000005E-3</v>
      </c>
      <c r="Q130" s="1485">
        <f t="shared" si="42"/>
        <v>32090303.150000002</v>
      </c>
      <c r="R130" s="1486">
        <f t="shared" si="43"/>
        <v>7204877.8499999996</v>
      </c>
      <c r="S130" s="806"/>
      <c r="T130" s="807"/>
      <c r="U130" s="806"/>
      <c r="V130" s="807"/>
      <c r="W130" s="807"/>
      <c r="X130" s="807"/>
      <c r="Y130" s="806"/>
      <c r="Z130" s="806"/>
      <c r="AA130" s="806"/>
      <c r="AB130" s="725"/>
      <c r="AC130" s="1506" t="s">
        <v>1840</v>
      </c>
      <c r="AD130" s="974" t="s">
        <v>703</v>
      </c>
      <c r="AE130" s="1650"/>
    </row>
    <row r="131" spans="1:31" ht="13.5" customHeight="1" thickBot="1" x14ac:dyDescent="0.3">
      <c r="A131" s="1516" t="s">
        <v>2844</v>
      </c>
      <c r="B131" s="1517"/>
      <c r="C131" s="938"/>
      <c r="D131" s="938"/>
      <c r="E131" s="938"/>
      <c r="F131" s="938"/>
      <c r="G131" s="1453"/>
      <c r="H131" s="1464"/>
      <c r="I131" s="1396">
        <v>1</v>
      </c>
      <c r="J131" s="815">
        <f>+(J132+J133+J134+J135+J136+J138+J139+J140+J141+J142)/10</f>
        <v>0.35</v>
      </c>
      <c r="K131" s="804"/>
      <c r="L131" s="804"/>
      <c r="M131" s="903"/>
      <c r="N131" s="1498">
        <f t="shared" si="36"/>
        <v>0</v>
      </c>
      <c r="O131" s="1500" t="e">
        <f t="shared" si="37"/>
        <v>#DIV/0!</v>
      </c>
      <c r="P131" s="1245">
        <v>0.05</v>
      </c>
      <c r="Q131" s="1483">
        <f>'informe Gastos'!Y85</f>
        <v>866088425.5</v>
      </c>
      <c r="R131" s="1483">
        <f>'informe Gastos'!Z85</f>
        <v>42207615.5</v>
      </c>
      <c r="S131" s="1490">
        <f>+R131/Q131</f>
        <v>4.8733609937845777E-2</v>
      </c>
      <c r="T131" s="1483">
        <f>'informe Gastos'!AA85</f>
        <v>31438767</v>
      </c>
      <c r="U131" s="1490">
        <f>+T131/R131</f>
        <v>0.74486005967335445</v>
      </c>
      <c r="V131" s="746">
        <f t="shared" ref="V131" si="45">+R131-T131</f>
        <v>10768848.5</v>
      </c>
      <c r="W131" s="807"/>
      <c r="X131" s="807"/>
      <c r="Y131" s="806">
        <f>(232775601+170163515+256636000+271007600)+497917770.5+100000000-11000000+700000000</f>
        <v>2217500486.5</v>
      </c>
      <c r="Z131" s="806">
        <f>555451424.5+R131</f>
        <v>597659040</v>
      </c>
      <c r="AA131" s="789">
        <f>+Z131/Y131</f>
        <v>0.26951923737492267</v>
      </c>
      <c r="AB131" s="980"/>
      <c r="AC131" s="1506"/>
      <c r="AD131" s="974"/>
      <c r="AE131" s="1650"/>
    </row>
    <row r="132" spans="1:31" ht="89.25" customHeight="1" x14ac:dyDescent="0.25">
      <c r="A132" s="916" t="s">
        <v>2757</v>
      </c>
      <c r="B132" s="916" t="s">
        <v>3032</v>
      </c>
      <c r="C132" s="906" t="s">
        <v>2665</v>
      </c>
      <c r="D132" s="907">
        <v>2</v>
      </c>
      <c r="E132" s="907">
        <v>2</v>
      </c>
      <c r="F132" s="907">
        <v>2</v>
      </c>
      <c r="G132" s="1149">
        <v>1</v>
      </c>
      <c r="H132" s="1149"/>
      <c r="I132" s="1147">
        <f t="shared" si="26"/>
        <v>1</v>
      </c>
      <c r="J132" s="815">
        <f t="shared" si="27"/>
        <v>0.5</v>
      </c>
      <c r="K132" s="804" t="s">
        <v>3372</v>
      </c>
      <c r="L132" s="804"/>
      <c r="M132" s="962">
        <v>2</v>
      </c>
      <c r="N132" s="1498">
        <f t="shared" si="36"/>
        <v>5</v>
      </c>
      <c r="O132" s="1500">
        <f t="shared" si="37"/>
        <v>1</v>
      </c>
      <c r="P132" s="733">
        <f>12%*$P$131</f>
        <v>6.0000000000000001E-3</v>
      </c>
      <c r="Q132" s="1485">
        <f>Q$131*P132/P$131</f>
        <v>103930611.06</v>
      </c>
      <c r="R132" s="1486">
        <f t="shared" si="43"/>
        <v>12351219.171428571</v>
      </c>
      <c r="S132" s="806"/>
      <c r="T132" s="807"/>
      <c r="U132" s="806"/>
      <c r="V132" s="807"/>
      <c r="W132" s="807"/>
      <c r="X132" s="807"/>
      <c r="Y132" s="806"/>
      <c r="Z132" s="806"/>
      <c r="AA132" s="806"/>
      <c r="AB132" s="995"/>
      <c r="AC132" s="1506" t="s">
        <v>1840</v>
      </c>
      <c r="AD132" s="974" t="s">
        <v>655</v>
      </c>
      <c r="AE132" s="1650"/>
    </row>
    <row r="133" spans="1:31" ht="76.5" x14ac:dyDescent="0.25">
      <c r="A133" s="910" t="s">
        <v>2758</v>
      </c>
      <c r="B133" s="910" t="s">
        <v>3033</v>
      </c>
      <c r="C133" s="901" t="s">
        <v>2665</v>
      </c>
      <c r="D133" s="890">
        <v>1</v>
      </c>
      <c r="E133" s="890">
        <v>1</v>
      </c>
      <c r="F133" s="890">
        <v>1</v>
      </c>
      <c r="G133" s="1413">
        <v>0</v>
      </c>
      <c r="H133" s="1413"/>
      <c r="I133" s="1411">
        <f t="shared" si="26"/>
        <v>1</v>
      </c>
      <c r="J133" s="815">
        <f t="shared" si="27"/>
        <v>0</v>
      </c>
      <c r="K133" s="804" t="s">
        <v>3368</v>
      </c>
      <c r="L133" s="804"/>
      <c r="M133" s="930">
        <v>1</v>
      </c>
      <c r="N133" s="1498">
        <f t="shared" si="36"/>
        <v>2</v>
      </c>
      <c r="O133" s="1500">
        <f t="shared" si="37"/>
        <v>1</v>
      </c>
      <c r="P133" s="733">
        <f>10%*$P$131</f>
        <v>5.000000000000001E-3</v>
      </c>
      <c r="Q133" s="1485">
        <f t="shared" ref="Q133:Q142" si="46">Q$131*P133/P$131</f>
        <v>86608842.549999997</v>
      </c>
      <c r="R133" s="1486">
        <f t="shared" si="43"/>
        <v>10292682.642857144</v>
      </c>
      <c r="S133" s="806"/>
      <c r="T133" s="807"/>
      <c r="U133" s="806"/>
      <c r="V133" s="807"/>
      <c r="W133" s="807"/>
      <c r="X133" s="807"/>
      <c r="Y133" s="806"/>
      <c r="Z133" s="806"/>
      <c r="AA133" s="806"/>
      <c r="AB133" s="725"/>
      <c r="AC133" s="1506" t="s">
        <v>1840</v>
      </c>
      <c r="AD133" s="974" t="s">
        <v>655</v>
      </c>
      <c r="AE133" s="1650"/>
    </row>
    <row r="134" spans="1:31" ht="76.5" x14ac:dyDescent="0.25">
      <c r="A134" s="908" t="s">
        <v>2759</v>
      </c>
      <c r="B134" s="908" t="s">
        <v>3034</v>
      </c>
      <c r="C134" s="901" t="s">
        <v>2665</v>
      </c>
      <c r="D134" s="890">
        <v>1</v>
      </c>
      <c r="E134" s="890">
        <v>1</v>
      </c>
      <c r="F134" s="890">
        <v>1</v>
      </c>
      <c r="G134" s="1413">
        <v>0</v>
      </c>
      <c r="H134" s="1413"/>
      <c r="I134" s="1411">
        <f t="shared" si="26"/>
        <v>1</v>
      </c>
      <c r="J134" s="815">
        <f t="shared" si="27"/>
        <v>0</v>
      </c>
      <c r="K134" s="804" t="s">
        <v>3367</v>
      </c>
      <c r="L134" s="804"/>
      <c r="M134" s="963">
        <v>1</v>
      </c>
      <c r="N134" s="1498">
        <f t="shared" si="36"/>
        <v>2</v>
      </c>
      <c r="O134" s="1500">
        <f t="shared" si="37"/>
        <v>1</v>
      </c>
      <c r="P134" s="733">
        <f>15%*$P$131</f>
        <v>7.4999999999999997E-3</v>
      </c>
      <c r="Q134" s="1485">
        <f t="shared" si="46"/>
        <v>129913263.825</v>
      </c>
      <c r="R134" s="1486">
        <f t="shared" si="43"/>
        <v>15439023.964285713</v>
      </c>
      <c r="S134" s="806"/>
      <c r="T134" s="807"/>
      <c r="U134" s="806"/>
      <c r="V134" s="807"/>
      <c r="W134" s="807"/>
      <c r="X134" s="807"/>
      <c r="Y134" s="806"/>
      <c r="Z134" s="806"/>
      <c r="AA134" s="806"/>
      <c r="AB134" s="725"/>
      <c r="AC134" s="1506" t="s">
        <v>1840</v>
      </c>
      <c r="AD134" s="974" t="s">
        <v>655</v>
      </c>
      <c r="AE134" s="1650"/>
    </row>
    <row r="135" spans="1:31" ht="84" customHeight="1" x14ac:dyDescent="0.25">
      <c r="A135" s="910" t="s">
        <v>2760</v>
      </c>
      <c r="B135" s="910" t="s">
        <v>3035</v>
      </c>
      <c r="C135" s="901" t="s">
        <v>2665</v>
      </c>
      <c r="D135" s="890">
        <v>1</v>
      </c>
      <c r="E135" s="890">
        <v>1</v>
      </c>
      <c r="F135" s="890">
        <v>1</v>
      </c>
      <c r="G135" s="1413">
        <v>1</v>
      </c>
      <c r="H135" s="1413"/>
      <c r="I135" s="1411">
        <f t="shared" si="26"/>
        <v>1</v>
      </c>
      <c r="J135" s="815">
        <f t="shared" si="27"/>
        <v>1</v>
      </c>
      <c r="K135" s="804" t="s">
        <v>3369</v>
      </c>
      <c r="L135" s="804"/>
      <c r="M135" s="964">
        <v>1</v>
      </c>
      <c r="N135" s="1498">
        <f t="shared" si="36"/>
        <v>3</v>
      </c>
      <c r="O135" s="1500">
        <f t="shared" si="37"/>
        <v>1</v>
      </c>
      <c r="P135" s="733">
        <f>6%*$P$131</f>
        <v>3.0000000000000001E-3</v>
      </c>
      <c r="Q135" s="1485">
        <f t="shared" si="46"/>
        <v>51965305.530000001</v>
      </c>
      <c r="R135" s="1486">
        <f t="shared" si="43"/>
        <v>6175609.5857142853</v>
      </c>
      <c r="S135" s="806"/>
      <c r="T135" s="807"/>
      <c r="U135" s="806"/>
      <c r="V135" s="807"/>
      <c r="W135" s="807"/>
      <c r="X135" s="807"/>
      <c r="Y135" s="806"/>
      <c r="Z135" s="806"/>
      <c r="AA135" s="806"/>
      <c r="AB135" s="725"/>
      <c r="AC135" s="1506" t="s">
        <v>1840</v>
      </c>
      <c r="AD135" s="974" t="s">
        <v>655</v>
      </c>
      <c r="AE135" s="1650"/>
    </row>
    <row r="136" spans="1:31" ht="58.5" customHeight="1" x14ac:dyDescent="0.25">
      <c r="A136" s="910" t="s">
        <v>2761</v>
      </c>
      <c r="B136" s="910" t="s">
        <v>3036</v>
      </c>
      <c r="C136" s="901" t="s">
        <v>2665</v>
      </c>
      <c r="D136" s="890">
        <v>0</v>
      </c>
      <c r="E136" s="890">
        <v>3</v>
      </c>
      <c r="F136" s="890">
        <v>0</v>
      </c>
      <c r="G136" s="1413">
        <v>0</v>
      </c>
      <c r="H136" s="1413"/>
      <c r="I136" s="1411" t="e">
        <f t="shared" ref="I136:I203" si="47">IF((F136+H136)/D136&gt;=100%,100%,(F136+H136)/D136)</f>
        <v>#DIV/0!</v>
      </c>
      <c r="J136" s="815">
        <f t="shared" si="27"/>
        <v>0</v>
      </c>
      <c r="K136" s="804" t="s">
        <v>3370</v>
      </c>
      <c r="L136" s="804"/>
      <c r="M136" s="965">
        <v>3</v>
      </c>
      <c r="N136" s="1498">
        <f t="shared" si="36"/>
        <v>3</v>
      </c>
      <c r="O136" s="1500">
        <f t="shared" si="37"/>
        <v>1</v>
      </c>
      <c r="P136" s="733">
        <f>12%*$P$131</f>
        <v>6.0000000000000001E-3</v>
      </c>
      <c r="Q136" s="1485">
        <f t="shared" si="46"/>
        <v>103930611.06</v>
      </c>
      <c r="R136" s="1486">
        <f t="shared" si="43"/>
        <v>12351219.171428571</v>
      </c>
      <c r="S136" s="806"/>
      <c r="T136" s="807"/>
      <c r="U136" s="806"/>
      <c r="V136" s="807"/>
      <c r="W136" s="807"/>
      <c r="X136" s="807"/>
      <c r="Y136" s="806"/>
      <c r="Z136" s="806"/>
      <c r="AA136" s="806"/>
      <c r="AB136" s="725"/>
      <c r="AC136" s="1506" t="s">
        <v>1840</v>
      </c>
      <c r="AD136" s="974" t="s">
        <v>655</v>
      </c>
      <c r="AE136" s="1650"/>
    </row>
    <row r="137" spans="1:31" ht="45" x14ac:dyDescent="0.25">
      <c r="A137" s="908" t="s">
        <v>2762</v>
      </c>
      <c r="B137" s="908" t="s">
        <v>3037</v>
      </c>
      <c r="C137" s="901" t="s">
        <v>2665</v>
      </c>
      <c r="D137" s="890">
        <v>0</v>
      </c>
      <c r="E137" s="890">
        <v>0</v>
      </c>
      <c r="F137" s="890">
        <v>0</v>
      </c>
      <c r="G137" s="1413">
        <v>0</v>
      </c>
      <c r="H137" s="1413"/>
      <c r="I137" s="1411" t="e">
        <f t="shared" si="47"/>
        <v>#DIV/0!</v>
      </c>
      <c r="J137" s="815" t="e">
        <f t="shared" ref="J137:J203" si="48">IF(G137/E137&gt;=100%,100%,G137/E137)</f>
        <v>#DIV/0!</v>
      </c>
      <c r="K137" s="804"/>
      <c r="L137" s="804"/>
      <c r="M137" s="900">
        <v>1</v>
      </c>
      <c r="N137" s="1498">
        <f t="shared" si="36"/>
        <v>0</v>
      </c>
      <c r="O137" s="1500">
        <f t="shared" si="37"/>
        <v>0</v>
      </c>
      <c r="P137" s="733">
        <f>0%*$P$131</f>
        <v>0</v>
      </c>
      <c r="Q137" s="1485">
        <f t="shared" si="46"/>
        <v>0</v>
      </c>
      <c r="R137" s="1486">
        <f t="shared" si="43"/>
        <v>0</v>
      </c>
      <c r="S137" s="806"/>
      <c r="T137" s="807"/>
      <c r="U137" s="806"/>
      <c r="V137" s="807"/>
      <c r="W137" s="807"/>
      <c r="X137" s="807"/>
      <c r="Y137" s="806"/>
      <c r="Z137" s="806"/>
      <c r="AA137" s="806"/>
      <c r="AB137" s="725"/>
      <c r="AC137" s="1506" t="s">
        <v>1840</v>
      </c>
      <c r="AD137" s="974" t="s">
        <v>655</v>
      </c>
      <c r="AE137" s="1650"/>
    </row>
    <row r="138" spans="1:31" ht="67.5" x14ac:dyDescent="0.25">
      <c r="A138" s="910" t="s">
        <v>2763</v>
      </c>
      <c r="B138" s="910" t="s">
        <v>3038</v>
      </c>
      <c r="C138" s="901" t="s">
        <v>2665</v>
      </c>
      <c r="D138" s="890">
        <v>1</v>
      </c>
      <c r="E138" s="890">
        <v>1</v>
      </c>
      <c r="F138" s="890">
        <v>1</v>
      </c>
      <c r="G138" s="1413">
        <v>0</v>
      </c>
      <c r="H138" s="1413"/>
      <c r="I138" s="1411">
        <f t="shared" si="47"/>
        <v>1</v>
      </c>
      <c r="J138" s="815">
        <f t="shared" si="48"/>
        <v>0</v>
      </c>
      <c r="K138" s="804" t="s">
        <v>3371</v>
      </c>
      <c r="L138" s="804"/>
      <c r="M138" s="900">
        <v>1</v>
      </c>
      <c r="N138" s="1498">
        <f t="shared" si="36"/>
        <v>2</v>
      </c>
      <c r="O138" s="1500">
        <f t="shared" si="37"/>
        <v>1</v>
      </c>
      <c r="P138" s="733">
        <f>12%*$P$131</f>
        <v>6.0000000000000001E-3</v>
      </c>
      <c r="Q138" s="1485">
        <f t="shared" si="46"/>
        <v>103930611.06</v>
      </c>
      <c r="R138" s="1486">
        <f t="shared" si="43"/>
        <v>12351219.171428571</v>
      </c>
      <c r="S138" s="806"/>
      <c r="T138" s="807"/>
      <c r="U138" s="806"/>
      <c r="V138" s="807"/>
      <c r="W138" s="807"/>
      <c r="X138" s="807"/>
      <c r="Y138" s="806"/>
      <c r="Z138" s="806"/>
      <c r="AA138" s="806"/>
      <c r="AB138" s="725"/>
      <c r="AC138" s="1506" t="s">
        <v>1840</v>
      </c>
      <c r="AD138" s="974" t="s">
        <v>655</v>
      </c>
      <c r="AE138" s="1650"/>
    </row>
    <row r="139" spans="1:31" ht="101.25" customHeight="1" x14ac:dyDescent="0.25">
      <c r="A139" s="917" t="s">
        <v>2764</v>
      </c>
      <c r="B139" s="917" t="s">
        <v>3039</v>
      </c>
      <c r="C139" s="901" t="s">
        <v>2665</v>
      </c>
      <c r="D139" s="890">
        <v>0</v>
      </c>
      <c r="E139" s="890">
        <v>2</v>
      </c>
      <c r="F139" s="890">
        <v>0</v>
      </c>
      <c r="G139" s="1413">
        <v>2</v>
      </c>
      <c r="H139" s="1413"/>
      <c r="I139" s="1411" t="e">
        <f t="shared" si="47"/>
        <v>#DIV/0!</v>
      </c>
      <c r="J139" s="815">
        <f t="shared" si="48"/>
        <v>1</v>
      </c>
      <c r="K139" s="804" t="s">
        <v>3373</v>
      </c>
      <c r="L139" s="804"/>
      <c r="M139" s="900">
        <v>2</v>
      </c>
      <c r="N139" s="1498">
        <f t="shared" si="36"/>
        <v>4</v>
      </c>
      <c r="O139" s="1500">
        <f t="shared" si="37"/>
        <v>1</v>
      </c>
      <c r="P139" s="733">
        <f>8%*$P$131</f>
        <v>4.0000000000000001E-3</v>
      </c>
      <c r="Q139" s="1485">
        <f t="shared" si="46"/>
        <v>69287074.039999992</v>
      </c>
      <c r="R139" s="1486">
        <f t="shared" si="43"/>
        <v>8234146.114285714</v>
      </c>
      <c r="S139" s="806"/>
      <c r="T139" s="807"/>
      <c r="U139" s="806"/>
      <c r="V139" s="807"/>
      <c r="W139" s="807"/>
      <c r="X139" s="807"/>
      <c r="Y139" s="806"/>
      <c r="Z139" s="806"/>
      <c r="AA139" s="806"/>
      <c r="AB139" s="725"/>
      <c r="AC139" s="1506" t="s">
        <v>1840</v>
      </c>
      <c r="AD139" s="974" t="s">
        <v>655</v>
      </c>
      <c r="AE139" s="1650"/>
    </row>
    <row r="140" spans="1:31" ht="76.5" customHeight="1" x14ac:dyDescent="0.25">
      <c r="A140" s="908" t="s">
        <v>2765</v>
      </c>
      <c r="B140" s="908" t="s">
        <v>3040</v>
      </c>
      <c r="C140" s="901" t="s">
        <v>2665</v>
      </c>
      <c r="D140" s="890">
        <v>0</v>
      </c>
      <c r="E140" s="890">
        <v>1</v>
      </c>
      <c r="F140" s="890">
        <v>0</v>
      </c>
      <c r="G140" s="1413">
        <v>0</v>
      </c>
      <c r="H140" s="1413"/>
      <c r="I140" s="1411" t="e">
        <f t="shared" si="47"/>
        <v>#DIV/0!</v>
      </c>
      <c r="J140" s="815">
        <f t="shared" si="48"/>
        <v>0</v>
      </c>
      <c r="K140" s="804" t="s">
        <v>3374</v>
      </c>
      <c r="L140" s="804"/>
      <c r="M140" s="963">
        <v>1</v>
      </c>
      <c r="N140" s="1498">
        <f t="shared" si="36"/>
        <v>1</v>
      </c>
      <c r="O140" s="1500">
        <f t="shared" si="37"/>
        <v>1</v>
      </c>
      <c r="P140" s="733">
        <f>10%*$P$131</f>
        <v>5.000000000000001E-3</v>
      </c>
      <c r="Q140" s="1485">
        <f t="shared" si="46"/>
        <v>86608842.549999997</v>
      </c>
      <c r="R140" s="1486">
        <f t="shared" si="43"/>
        <v>10292682.642857144</v>
      </c>
      <c r="S140" s="806"/>
      <c r="T140" s="807"/>
      <c r="U140" s="806"/>
      <c r="V140" s="807"/>
      <c r="W140" s="807"/>
      <c r="X140" s="807"/>
      <c r="Y140" s="806"/>
      <c r="Z140" s="806"/>
      <c r="AA140" s="806"/>
      <c r="AB140" s="725"/>
      <c r="AC140" s="1506" t="s">
        <v>1840</v>
      </c>
      <c r="AD140" s="974" t="s">
        <v>655</v>
      </c>
      <c r="AE140" s="1650"/>
    </row>
    <row r="141" spans="1:31" ht="89.25" x14ac:dyDescent="0.25">
      <c r="A141" s="910" t="s">
        <v>2766</v>
      </c>
      <c r="B141" s="910" t="s">
        <v>3041</v>
      </c>
      <c r="C141" s="901" t="s">
        <v>2665</v>
      </c>
      <c r="D141" s="890">
        <v>0</v>
      </c>
      <c r="E141" s="890">
        <v>1</v>
      </c>
      <c r="F141" s="890">
        <v>0</v>
      </c>
      <c r="G141" s="1413">
        <v>0</v>
      </c>
      <c r="H141" s="1413"/>
      <c r="I141" s="1411" t="e">
        <f t="shared" si="47"/>
        <v>#DIV/0!</v>
      </c>
      <c r="J141" s="815">
        <f t="shared" si="48"/>
        <v>0</v>
      </c>
      <c r="K141" s="804" t="s">
        <v>3375</v>
      </c>
      <c r="L141" s="804"/>
      <c r="M141" s="933">
        <v>1</v>
      </c>
      <c r="N141" s="1498">
        <f t="shared" si="36"/>
        <v>1</v>
      </c>
      <c r="O141" s="1500">
        <f t="shared" si="37"/>
        <v>1</v>
      </c>
      <c r="P141" s="733">
        <f>8%*$P$131</f>
        <v>4.0000000000000001E-3</v>
      </c>
      <c r="Q141" s="1485">
        <f t="shared" si="46"/>
        <v>69287074.039999992</v>
      </c>
      <c r="R141" s="1486">
        <f t="shared" si="43"/>
        <v>8234146.114285714</v>
      </c>
      <c r="S141" s="806"/>
      <c r="T141" s="807"/>
      <c r="U141" s="806"/>
      <c r="V141" s="807"/>
      <c r="W141" s="807"/>
      <c r="X141" s="807"/>
      <c r="Y141" s="806"/>
      <c r="Z141" s="806"/>
      <c r="AA141" s="806"/>
      <c r="AB141" s="725"/>
      <c r="AC141" s="1506" t="s">
        <v>1840</v>
      </c>
      <c r="AD141" s="974" t="s">
        <v>655</v>
      </c>
      <c r="AE141" s="1650"/>
    </row>
    <row r="142" spans="1:31" ht="45.75" thickBot="1" x14ac:dyDescent="0.3">
      <c r="A142" s="918" t="s">
        <v>2767</v>
      </c>
      <c r="B142" s="1127" t="s">
        <v>655</v>
      </c>
      <c r="C142" s="1128" t="s">
        <v>2652</v>
      </c>
      <c r="D142" s="828">
        <v>0.25</v>
      </c>
      <c r="E142" s="828">
        <v>0.5</v>
      </c>
      <c r="F142" s="828">
        <v>0.25</v>
      </c>
      <c r="G142" s="1389">
        <f>'18Sector'!D8</f>
        <v>1</v>
      </c>
      <c r="H142" s="1413"/>
      <c r="I142" s="1411">
        <f t="shared" si="47"/>
        <v>1</v>
      </c>
      <c r="J142" s="815">
        <f t="shared" si="48"/>
        <v>1</v>
      </c>
      <c r="K142" s="804"/>
      <c r="L142" s="804"/>
      <c r="M142" s="934">
        <v>1</v>
      </c>
      <c r="N142" s="1498">
        <f t="shared" si="36"/>
        <v>1.75</v>
      </c>
      <c r="O142" s="1500">
        <f t="shared" si="37"/>
        <v>1</v>
      </c>
      <c r="P142" s="733">
        <f>7%*$P$131</f>
        <v>3.5000000000000005E-3</v>
      </c>
      <c r="Q142" s="1485">
        <f t="shared" si="46"/>
        <v>60626189.785000011</v>
      </c>
      <c r="R142" s="1486">
        <f t="shared" si="43"/>
        <v>7204877.8499999996</v>
      </c>
      <c r="S142" s="806"/>
      <c r="T142" s="807"/>
      <c r="U142" s="806"/>
      <c r="V142" s="807"/>
      <c r="W142" s="807"/>
      <c r="X142" s="807"/>
      <c r="Y142" s="806"/>
      <c r="Z142" s="806"/>
      <c r="AA142" s="806"/>
      <c r="AB142" s="725"/>
      <c r="AC142" s="1506" t="s">
        <v>1840</v>
      </c>
      <c r="AD142" s="974" t="s">
        <v>655</v>
      </c>
      <c r="AE142" s="1651"/>
    </row>
    <row r="143" spans="1:31" ht="15" customHeight="1" thickBot="1" x14ac:dyDescent="0.3">
      <c r="A143" s="1543" t="s">
        <v>2768</v>
      </c>
      <c r="B143" s="1544"/>
      <c r="C143" s="1466"/>
      <c r="D143" s="890"/>
      <c r="E143" s="890"/>
      <c r="F143" s="890"/>
      <c r="G143" s="1413"/>
      <c r="H143" s="1413"/>
      <c r="I143" s="1467">
        <f>SUM(I144+I159)/2</f>
        <v>1</v>
      </c>
      <c r="J143" s="1467">
        <f>SUM(J144+J159)/2</f>
        <v>0.45053714583036614</v>
      </c>
      <c r="K143" s="804"/>
      <c r="L143" s="804"/>
      <c r="M143" s="550"/>
      <c r="N143" s="1498">
        <f t="shared" si="36"/>
        <v>0</v>
      </c>
      <c r="O143" s="1500" t="e">
        <f t="shared" si="37"/>
        <v>#DIV/0!</v>
      </c>
      <c r="P143" s="1245">
        <f>+P144+P159</f>
        <v>0.12</v>
      </c>
      <c r="Q143" s="1484">
        <f>+Q144+Q159</f>
        <v>1020059653</v>
      </c>
      <c r="R143" s="1484">
        <f>+R144+R159</f>
        <v>232426489</v>
      </c>
      <c r="S143" s="1495">
        <f>+R143/Q143</f>
        <v>0.22785578109714727</v>
      </c>
      <c r="T143" s="1484">
        <f>+T144+T159</f>
        <v>184829453</v>
      </c>
      <c r="U143" s="1490">
        <f>+T143/R143</f>
        <v>0.79521681799358079</v>
      </c>
      <c r="V143" s="746">
        <f t="shared" ref="V143:V144" si="49">+R143-T143</f>
        <v>47597036</v>
      </c>
      <c r="W143" s="807"/>
      <c r="X143" s="807"/>
      <c r="Y143" s="1484">
        <f>+Y144+Y159</f>
        <v>4152974362</v>
      </c>
      <c r="Z143" s="1484">
        <f>+Z144+Z159</f>
        <v>1193576092</v>
      </c>
      <c r="AA143" s="789">
        <f>+Z143/Y143</f>
        <v>0.28740271139675289</v>
      </c>
      <c r="AB143" s="725"/>
      <c r="AC143" s="1506"/>
      <c r="AD143" s="974"/>
      <c r="AE143" s="978"/>
    </row>
    <row r="144" spans="1:31" ht="15" customHeight="1" thickBot="1" x14ac:dyDescent="0.3">
      <c r="A144" s="1530" t="s">
        <v>2845</v>
      </c>
      <c r="B144" s="1531"/>
      <c r="C144" s="1468"/>
      <c r="D144" s="890"/>
      <c r="E144" s="890"/>
      <c r="F144" s="890"/>
      <c r="G144" s="1413"/>
      <c r="H144" s="1413"/>
      <c r="I144" s="1424">
        <v>1</v>
      </c>
      <c r="J144" s="1397">
        <f>+(J145+J146+J147+J148+J149+J150+J151+J152+J153+J154+J155+J156+J157+J158)/14</f>
        <v>0.44291486291486282</v>
      </c>
      <c r="K144" s="804"/>
      <c r="L144" s="804"/>
      <c r="M144" s="966"/>
      <c r="N144" s="1498">
        <f t="shared" si="36"/>
        <v>0</v>
      </c>
      <c r="O144" s="1500" t="e">
        <f t="shared" si="37"/>
        <v>#DIV/0!</v>
      </c>
      <c r="P144" s="1245">
        <v>0.06</v>
      </c>
      <c r="Q144" s="1483">
        <f>'informe Gastos'!Y89</f>
        <v>647642990</v>
      </c>
      <c r="R144" s="1483">
        <f>'informe Gastos'!Z89</f>
        <v>103475664</v>
      </c>
      <c r="S144" s="1490">
        <f>+R144/Q144</f>
        <v>0.1597726920506003</v>
      </c>
      <c r="T144" s="1483">
        <f>'informe Gastos'!AA89</f>
        <v>86737056</v>
      </c>
      <c r="U144" s="1490">
        <f>+T144/R144</f>
        <v>0.8382362832675323</v>
      </c>
      <c r="V144" s="746">
        <f t="shared" si="49"/>
        <v>16738608</v>
      </c>
      <c r="W144" s="807"/>
      <c r="X144" s="807"/>
      <c r="Y144" s="806">
        <f>(434227387+354642990+478736000+505546000)+335760771+42000000-7000000+300000000</f>
        <v>2443913148</v>
      </c>
      <c r="Z144" s="806">
        <f>626037269+R144</f>
        <v>729512933</v>
      </c>
      <c r="AA144" s="789">
        <f>+Z144/Y144</f>
        <v>0.29850198792743676</v>
      </c>
      <c r="AB144" s="725"/>
      <c r="AC144" s="1506"/>
      <c r="AD144" s="974"/>
      <c r="AE144" s="978"/>
    </row>
    <row r="145" spans="1:31" ht="34.5" customHeight="1" x14ac:dyDescent="0.25">
      <c r="A145" s="1526" t="s">
        <v>2769</v>
      </c>
      <c r="B145" s="1131" t="s">
        <v>3042</v>
      </c>
      <c r="C145" s="1129" t="s">
        <v>2665</v>
      </c>
      <c r="D145" s="890">
        <v>5</v>
      </c>
      <c r="E145" s="890">
        <v>20</v>
      </c>
      <c r="F145" s="890">
        <v>5</v>
      </c>
      <c r="G145" s="1413">
        <v>11</v>
      </c>
      <c r="H145" s="1413"/>
      <c r="I145" s="1411">
        <f t="shared" si="47"/>
        <v>1</v>
      </c>
      <c r="J145" s="815">
        <f t="shared" si="48"/>
        <v>0.55000000000000004</v>
      </c>
      <c r="K145" s="804" t="s">
        <v>3376</v>
      </c>
      <c r="L145" s="804"/>
      <c r="M145" s="963">
        <v>60</v>
      </c>
      <c r="N145" s="1498">
        <f t="shared" si="36"/>
        <v>36</v>
      </c>
      <c r="O145" s="1500">
        <f t="shared" si="37"/>
        <v>0.6</v>
      </c>
      <c r="P145" s="733">
        <f>13%*$P$144</f>
        <v>7.7999999999999996E-3</v>
      </c>
      <c r="Q145" s="1485">
        <f>Q$144*P145/P$144</f>
        <v>84193588.700000003</v>
      </c>
      <c r="R145" s="1486">
        <f>R$144*P145/P$144</f>
        <v>13451836.32</v>
      </c>
      <c r="S145" s="806"/>
      <c r="T145" s="807"/>
      <c r="U145" s="806"/>
      <c r="V145" s="807"/>
      <c r="W145" s="807"/>
      <c r="X145" s="807"/>
      <c r="Y145" s="806"/>
      <c r="Z145" s="806"/>
      <c r="AA145" s="806"/>
      <c r="AB145" s="725"/>
      <c r="AC145" s="1506" t="s">
        <v>1847</v>
      </c>
      <c r="AD145" s="974" t="s">
        <v>1117</v>
      </c>
      <c r="AE145" s="1641" t="s">
        <v>3569</v>
      </c>
    </row>
    <row r="146" spans="1:31" ht="77.25" customHeight="1" x14ac:dyDescent="0.25">
      <c r="A146" s="1527"/>
      <c r="B146" s="1116" t="s">
        <v>3043</v>
      </c>
      <c r="C146" s="1129" t="s">
        <v>2665</v>
      </c>
      <c r="D146" s="890">
        <v>1</v>
      </c>
      <c r="E146" s="890">
        <v>1</v>
      </c>
      <c r="F146" s="890">
        <v>2</v>
      </c>
      <c r="G146" s="1413">
        <v>1</v>
      </c>
      <c r="H146" s="1413"/>
      <c r="I146" s="1411">
        <f t="shared" si="47"/>
        <v>1</v>
      </c>
      <c r="J146" s="815">
        <f t="shared" si="48"/>
        <v>1</v>
      </c>
      <c r="K146" s="804" t="s">
        <v>3536</v>
      </c>
      <c r="L146" s="804"/>
      <c r="M146" s="933">
        <v>4</v>
      </c>
      <c r="N146" s="1498">
        <f t="shared" si="36"/>
        <v>4</v>
      </c>
      <c r="O146" s="1500">
        <f t="shared" si="37"/>
        <v>1</v>
      </c>
      <c r="P146" s="733">
        <f>5%*$P$144</f>
        <v>3.0000000000000001E-3</v>
      </c>
      <c r="Q146" s="1485">
        <f t="shared" ref="Q146:Q158" si="50">Q$144*P146/P$144</f>
        <v>32382149.5</v>
      </c>
      <c r="R146" s="1486">
        <f t="shared" ref="R146:R158" si="51">R$144*P146/P$144</f>
        <v>5173783.2</v>
      </c>
      <c r="S146" s="806"/>
      <c r="T146" s="807"/>
      <c r="U146" s="806"/>
      <c r="V146" s="807"/>
      <c r="W146" s="807"/>
      <c r="X146" s="807"/>
      <c r="Y146" s="806"/>
      <c r="Z146" s="806"/>
      <c r="AA146" s="806"/>
      <c r="AB146" s="725"/>
      <c r="AC146" s="1506" t="s">
        <v>1847</v>
      </c>
      <c r="AD146" s="974" t="s">
        <v>1117</v>
      </c>
      <c r="AE146" s="1642"/>
    </row>
    <row r="147" spans="1:31" ht="89.25" x14ac:dyDescent="0.25">
      <c r="A147" s="908" t="s">
        <v>2770</v>
      </c>
      <c r="B147" s="908" t="s">
        <v>3044</v>
      </c>
      <c r="C147" s="1129" t="s">
        <v>2665</v>
      </c>
      <c r="D147" s="890">
        <v>30</v>
      </c>
      <c r="E147" s="890">
        <v>45</v>
      </c>
      <c r="F147" s="890">
        <v>58</v>
      </c>
      <c r="G147" s="1413">
        <v>32</v>
      </c>
      <c r="H147" s="1413"/>
      <c r="I147" s="1411">
        <f t="shared" si="47"/>
        <v>1</v>
      </c>
      <c r="J147" s="815">
        <f t="shared" si="48"/>
        <v>0.71111111111111114</v>
      </c>
      <c r="K147" s="804" t="s">
        <v>3377</v>
      </c>
      <c r="L147" s="804"/>
      <c r="M147" s="930">
        <v>170</v>
      </c>
      <c r="N147" s="1498">
        <f t="shared" si="36"/>
        <v>135</v>
      </c>
      <c r="O147" s="1500">
        <f t="shared" si="37"/>
        <v>0.79411764705882348</v>
      </c>
      <c r="P147" s="733">
        <f>4%*$P$144</f>
        <v>2.3999999999999998E-3</v>
      </c>
      <c r="Q147" s="1485">
        <f t="shared" si="50"/>
        <v>25905719.600000001</v>
      </c>
      <c r="R147" s="1486">
        <f t="shared" si="51"/>
        <v>4139026.5599999996</v>
      </c>
      <c r="S147" s="806"/>
      <c r="T147" s="807"/>
      <c r="U147" s="806"/>
      <c r="V147" s="807"/>
      <c r="W147" s="807"/>
      <c r="X147" s="807"/>
      <c r="Y147" s="806"/>
      <c r="Z147" s="806"/>
      <c r="AA147" s="806"/>
      <c r="AB147" s="725"/>
      <c r="AC147" s="1506" t="s">
        <v>1847</v>
      </c>
      <c r="AD147" s="974" t="s">
        <v>1117</v>
      </c>
      <c r="AE147" s="1642"/>
    </row>
    <row r="148" spans="1:31" ht="89.25" customHeight="1" x14ac:dyDescent="0.25">
      <c r="A148" s="908" t="s">
        <v>2771</v>
      </c>
      <c r="B148" s="908" t="s">
        <v>3045</v>
      </c>
      <c r="C148" s="1129" t="s">
        <v>2665</v>
      </c>
      <c r="D148" s="890">
        <v>3</v>
      </c>
      <c r="E148" s="890">
        <v>1</v>
      </c>
      <c r="F148" s="890">
        <v>3</v>
      </c>
      <c r="G148" s="1413">
        <v>1</v>
      </c>
      <c r="H148" s="1413"/>
      <c r="I148" s="1411">
        <f t="shared" si="47"/>
        <v>1</v>
      </c>
      <c r="J148" s="815">
        <f t="shared" si="48"/>
        <v>1</v>
      </c>
      <c r="K148" s="804" t="s">
        <v>3378</v>
      </c>
      <c r="L148" s="804"/>
      <c r="M148" s="930">
        <v>4</v>
      </c>
      <c r="N148" s="1498">
        <f t="shared" si="36"/>
        <v>5</v>
      </c>
      <c r="O148" s="1500">
        <f t="shared" si="37"/>
        <v>1</v>
      </c>
      <c r="P148" s="733">
        <f>5%*$P$144</f>
        <v>3.0000000000000001E-3</v>
      </c>
      <c r="Q148" s="1485">
        <f t="shared" si="50"/>
        <v>32382149.5</v>
      </c>
      <c r="R148" s="1486">
        <f t="shared" si="51"/>
        <v>5173783.2</v>
      </c>
      <c r="S148" s="806"/>
      <c r="T148" s="807"/>
      <c r="U148" s="806"/>
      <c r="V148" s="807"/>
      <c r="W148" s="807"/>
      <c r="X148" s="807"/>
      <c r="Y148" s="806"/>
      <c r="Z148" s="806"/>
      <c r="AA148" s="806"/>
      <c r="AB148" s="725"/>
      <c r="AC148" s="1506" t="s">
        <v>1847</v>
      </c>
      <c r="AD148" s="974" t="s">
        <v>1117</v>
      </c>
      <c r="AE148" s="1642"/>
    </row>
    <row r="149" spans="1:31" ht="93" customHeight="1" x14ac:dyDescent="0.25">
      <c r="A149" s="917" t="s">
        <v>2772</v>
      </c>
      <c r="B149" s="917" t="s">
        <v>3046</v>
      </c>
      <c r="C149" s="1129" t="s">
        <v>2665</v>
      </c>
      <c r="D149" s="890">
        <v>30</v>
      </c>
      <c r="E149" s="890">
        <v>550</v>
      </c>
      <c r="F149" s="890">
        <v>176</v>
      </c>
      <c r="G149" s="1413">
        <v>271</v>
      </c>
      <c r="H149" s="1413"/>
      <c r="I149" s="1411">
        <f t="shared" si="47"/>
        <v>1</v>
      </c>
      <c r="J149" s="815">
        <f t="shared" si="48"/>
        <v>0.49272727272727274</v>
      </c>
      <c r="K149" s="804" t="s">
        <v>3537</v>
      </c>
      <c r="L149" s="804"/>
      <c r="M149" s="930">
        <v>1130</v>
      </c>
      <c r="N149" s="1498">
        <f t="shared" si="36"/>
        <v>997</v>
      </c>
      <c r="O149" s="1500">
        <f t="shared" si="37"/>
        <v>0.88230088495575221</v>
      </c>
      <c r="P149" s="733">
        <f>10%*$P$144</f>
        <v>6.0000000000000001E-3</v>
      </c>
      <c r="Q149" s="1485">
        <f t="shared" si="50"/>
        <v>64764299</v>
      </c>
      <c r="R149" s="1486">
        <f t="shared" si="51"/>
        <v>10347566.4</v>
      </c>
      <c r="S149" s="806"/>
      <c r="T149" s="807"/>
      <c r="U149" s="806"/>
      <c r="V149" s="807"/>
      <c r="W149" s="807"/>
      <c r="X149" s="807"/>
      <c r="Y149" s="806"/>
      <c r="Z149" s="806"/>
      <c r="AA149" s="806"/>
      <c r="AB149" s="725"/>
      <c r="AC149" s="1506" t="s">
        <v>1847</v>
      </c>
      <c r="AD149" s="974" t="s">
        <v>1117</v>
      </c>
      <c r="AE149" s="1642"/>
    </row>
    <row r="150" spans="1:31" ht="72" customHeight="1" x14ac:dyDescent="0.25">
      <c r="A150" s="917" t="s">
        <v>2773</v>
      </c>
      <c r="B150" s="917" t="s">
        <v>3047</v>
      </c>
      <c r="C150" s="1129" t="s">
        <v>2652</v>
      </c>
      <c r="D150" s="828">
        <v>0.3</v>
      </c>
      <c r="E150" s="828">
        <v>0.2</v>
      </c>
      <c r="F150" s="828">
        <v>0.3</v>
      </c>
      <c r="G150" s="1389">
        <v>1</v>
      </c>
      <c r="H150" s="1413"/>
      <c r="I150" s="1411">
        <f t="shared" si="47"/>
        <v>1</v>
      </c>
      <c r="J150" s="815">
        <f t="shared" si="48"/>
        <v>1</v>
      </c>
      <c r="K150" s="804" t="s">
        <v>3553</v>
      </c>
      <c r="L150" s="804"/>
      <c r="M150" s="929">
        <v>1</v>
      </c>
      <c r="N150" s="1498">
        <f t="shared" si="36"/>
        <v>1.5</v>
      </c>
      <c r="O150" s="1500">
        <f t="shared" si="37"/>
        <v>1</v>
      </c>
      <c r="P150" s="733">
        <f>10%*$P$144</f>
        <v>6.0000000000000001E-3</v>
      </c>
      <c r="Q150" s="1485">
        <f t="shared" si="50"/>
        <v>64764299</v>
      </c>
      <c r="R150" s="1486">
        <f t="shared" si="51"/>
        <v>10347566.4</v>
      </c>
      <c r="S150" s="806"/>
      <c r="T150" s="807"/>
      <c r="U150" s="806"/>
      <c r="V150" s="807"/>
      <c r="W150" s="807"/>
      <c r="X150" s="807"/>
      <c r="Y150" s="806"/>
      <c r="Z150" s="806"/>
      <c r="AA150" s="806"/>
      <c r="AB150" s="725"/>
      <c r="AC150" s="1506" t="s">
        <v>1847</v>
      </c>
      <c r="AD150" s="974" t="s">
        <v>1117</v>
      </c>
      <c r="AE150" s="1642"/>
    </row>
    <row r="151" spans="1:31" ht="99.75" customHeight="1" x14ac:dyDescent="0.25">
      <c r="A151" s="908" t="s">
        <v>2774</v>
      </c>
      <c r="B151" s="908" t="s">
        <v>3047</v>
      </c>
      <c r="C151" s="1129" t="s">
        <v>2652</v>
      </c>
      <c r="D151" s="890">
        <v>30</v>
      </c>
      <c r="E151" s="890">
        <v>20</v>
      </c>
      <c r="F151" s="890">
        <v>30</v>
      </c>
      <c r="G151" s="1413">
        <v>10</v>
      </c>
      <c r="H151" s="1413"/>
      <c r="I151" s="1411">
        <f t="shared" si="47"/>
        <v>1</v>
      </c>
      <c r="J151" s="815">
        <f t="shared" si="48"/>
        <v>0.5</v>
      </c>
      <c r="K151" s="804" t="s">
        <v>3379</v>
      </c>
      <c r="L151" s="804"/>
      <c r="M151" s="929">
        <v>1</v>
      </c>
      <c r="N151" s="1498">
        <f t="shared" si="36"/>
        <v>60</v>
      </c>
      <c r="O151" s="1500">
        <f t="shared" si="37"/>
        <v>1</v>
      </c>
      <c r="P151" s="733">
        <f>10%*$P$144</f>
        <v>6.0000000000000001E-3</v>
      </c>
      <c r="Q151" s="1485">
        <f t="shared" si="50"/>
        <v>64764299</v>
      </c>
      <c r="R151" s="1486">
        <f t="shared" si="51"/>
        <v>10347566.4</v>
      </c>
      <c r="S151" s="806"/>
      <c r="T151" s="807"/>
      <c r="U151" s="806"/>
      <c r="V151" s="807"/>
      <c r="W151" s="807"/>
      <c r="X151" s="807"/>
      <c r="Y151" s="806"/>
      <c r="Z151" s="806"/>
      <c r="AA151" s="806"/>
      <c r="AB151" s="725"/>
      <c r="AC151" s="1506" t="s">
        <v>1847</v>
      </c>
      <c r="AD151" s="974" t="s">
        <v>1117</v>
      </c>
      <c r="AE151" s="1642"/>
    </row>
    <row r="152" spans="1:31" ht="101.25" customHeight="1" x14ac:dyDescent="0.25">
      <c r="A152" s="908" t="s">
        <v>2775</v>
      </c>
      <c r="B152" s="908" t="s">
        <v>3048</v>
      </c>
      <c r="C152" s="1129" t="s">
        <v>2665</v>
      </c>
      <c r="D152" s="890">
        <v>2</v>
      </c>
      <c r="E152" s="890">
        <v>3</v>
      </c>
      <c r="F152" s="890">
        <v>2</v>
      </c>
      <c r="G152" s="1413">
        <v>1</v>
      </c>
      <c r="H152" s="1413"/>
      <c r="I152" s="1411">
        <f t="shared" si="47"/>
        <v>1</v>
      </c>
      <c r="J152" s="815">
        <f t="shared" si="48"/>
        <v>0.33333333333333331</v>
      </c>
      <c r="K152" s="804" t="s">
        <v>3380</v>
      </c>
      <c r="L152" s="804"/>
      <c r="M152" s="930">
        <v>14</v>
      </c>
      <c r="N152" s="1498">
        <f t="shared" si="36"/>
        <v>6</v>
      </c>
      <c r="O152" s="1500">
        <f t="shared" si="37"/>
        <v>0.42857142857142855</v>
      </c>
      <c r="P152" s="733">
        <f>5%*$P$144</f>
        <v>3.0000000000000001E-3</v>
      </c>
      <c r="Q152" s="1485">
        <f t="shared" si="50"/>
        <v>32382149.5</v>
      </c>
      <c r="R152" s="1486">
        <f t="shared" si="51"/>
        <v>5173783.2</v>
      </c>
      <c r="S152" s="806"/>
      <c r="T152" s="807"/>
      <c r="U152" s="806"/>
      <c r="V152" s="807"/>
      <c r="W152" s="807"/>
      <c r="X152" s="807"/>
      <c r="Y152" s="806"/>
      <c r="Z152" s="806"/>
      <c r="AA152" s="806"/>
      <c r="AB152" s="725"/>
      <c r="AC152" s="1506" t="s">
        <v>1847</v>
      </c>
      <c r="AD152" s="974" t="s">
        <v>1117</v>
      </c>
      <c r="AE152" s="1642"/>
    </row>
    <row r="153" spans="1:31" ht="135" customHeight="1" x14ac:dyDescent="0.25">
      <c r="A153" s="917" t="s">
        <v>2776</v>
      </c>
      <c r="B153" s="917" t="s">
        <v>3049</v>
      </c>
      <c r="C153" s="1129" t="s">
        <v>2665</v>
      </c>
      <c r="D153" s="890">
        <v>0</v>
      </c>
      <c r="E153" s="890">
        <v>1</v>
      </c>
      <c r="F153" s="890">
        <v>0</v>
      </c>
      <c r="G153" s="1413">
        <v>0</v>
      </c>
      <c r="H153" s="1413"/>
      <c r="I153" s="1411" t="e">
        <f t="shared" si="47"/>
        <v>#DIV/0!</v>
      </c>
      <c r="J153" s="815">
        <f t="shared" si="48"/>
        <v>0</v>
      </c>
      <c r="K153" s="804" t="s">
        <v>3381</v>
      </c>
      <c r="L153" s="804"/>
      <c r="M153" s="930">
        <v>2</v>
      </c>
      <c r="N153" s="1498">
        <f t="shared" si="36"/>
        <v>1</v>
      </c>
      <c r="O153" s="1500">
        <f t="shared" si="37"/>
        <v>0.5</v>
      </c>
      <c r="P153" s="733">
        <f>5%*$P$144</f>
        <v>3.0000000000000001E-3</v>
      </c>
      <c r="Q153" s="1485">
        <f t="shared" si="50"/>
        <v>32382149.5</v>
      </c>
      <c r="R153" s="1486">
        <f t="shared" si="51"/>
        <v>5173783.2</v>
      </c>
      <c r="S153" s="806"/>
      <c r="T153" s="807"/>
      <c r="U153" s="806"/>
      <c r="V153" s="807"/>
      <c r="W153" s="807"/>
      <c r="X153" s="807"/>
      <c r="Y153" s="806"/>
      <c r="Z153" s="806"/>
      <c r="AA153" s="806"/>
      <c r="AB153" s="725"/>
      <c r="AC153" s="1506" t="s">
        <v>1847</v>
      </c>
      <c r="AD153" s="974" t="s">
        <v>1117</v>
      </c>
      <c r="AE153" s="1642"/>
    </row>
    <row r="154" spans="1:31" ht="138.75" customHeight="1" x14ac:dyDescent="0.25">
      <c r="A154" s="908" t="s">
        <v>2777</v>
      </c>
      <c r="B154" s="908" t="s">
        <v>3050</v>
      </c>
      <c r="C154" s="1129" t="s">
        <v>2652</v>
      </c>
      <c r="D154" s="890">
        <v>30</v>
      </c>
      <c r="E154" s="890">
        <v>20</v>
      </c>
      <c r="F154" s="890">
        <v>30</v>
      </c>
      <c r="G154" s="1413">
        <v>5</v>
      </c>
      <c r="H154" s="1413"/>
      <c r="I154" s="1411">
        <f t="shared" si="47"/>
        <v>1</v>
      </c>
      <c r="J154" s="815">
        <f t="shared" si="48"/>
        <v>0.25</v>
      </c>
      <c r="K154" s="804" t="s">
        <v>3538</v>
      </c>
      <c r="L154" s="804"/>
      <c r="M154" s="930">
        <v>100</v>
      </c>
      <c r="N154" s="1498">
        <f t="shared" si="36"/>
        <v>55</v>
      </c>
      <c r="O154" s="1500">
        <f t="shared" si="37"/>
        <v>0.55000000000000004</v>
      </c>
      <c r="P154" s="733">
        <f>12%*$P$144</f>
        <v>7.1999999999999998E-3</v>
      </c>
      <c r="Q154" s="1485">
        <f t="shared" si="50"/>
        <v>77717158.799999997</v>
      </c>
      <c r="R154" s="1486">
        <f t="shared" si="51"/>
        <v>12417079.68</v>
      </c>
      <c r="S154" s="806"/>
      <c r="T154" s="807"/>
      <c r="U154" s="806"/>
      <c r="V154" s="807"/>
      <c r="W154" s="807"/>
      <c r="X154" s="807"/>
      <c r="Y154" s="806"/>
      <c r="Z154" s="806"/>
      <c r="AA154" s="806"/>
      <c r="AB154" s="725"/>
      <c r="AC154" s="1506" t="s">
        <v>1847</v>
      </c>
      <c r="AD154" s="974" t="s">
        <v>1117</v>
      </c>
      <c r="AE154" s="1642"/>
    </row>
    <row r="155" spans="1:31" ht="102" x14ac:dyDescent="0.25">
      <c r="A155" s="908" t="s">
        <v>2778</v>
      </c>
      <c r="B155" s="908" t="s">
        <v>3051</v>
      </c>
      <c r="C155" s="1129" t="s">
        <v>2665</v>
      </c>
      <c r="D155" s="890">
        <v>10</v>
      </c>
      <c r="E155" s="890">
        <v>55</v>
      </c>
      <c r="F155" s="890">
        <v>113</v>
      </c>
      <c r="G155" s="1413">
        <v>20</v>
      </c>
      <c r="H155" s="1413"/>
      <c r="I155" s="1411">
        <f t="shared" si="47"/>
        <v>1</v>
      </c>
      <c r="J155" s="815">
        <f t="shared" si="48"/>
        <v>0.36363636363636365</v>
      </c>
      <c r="K155" s="804" t="s">
        <v>3382</v>
      </c>
      <c r="L155" s="804"/>
      <c r="M155" s="930">
        <v>95</v>
      </c>
      <c r="N155" s="1498">
        <f t="shared" si="36"/>
        <v>188</v>
      </c>
      <c r="O155" s="1500">
        <f t="shared" si="37"/>
        <v>1</v>
      </c>
      <c r="P155" s="733">
        <f>7%*$P$144</f>
        <v>4.2000000000000006E-3</v>
      </c>
      <c r="Q155" s="1485">
        <f t="shared" si="50"/>
        <v>45335009.300000004</v>
      </c>
      <c r="R155" s="1486">
        <f t="shared" si="51"/>
        <v>7243296.4800000004</v>
      </c>
      <c r="S155" s="806"/>
      <c r="T155" s="807"/>
      <c r="U155" s="806"/>
      <c r="V155" s="807"/>
      <c r="W155" s="807"/>
      <c r="X155" s="807"/>
      <c r="Y155" s="806"/>
      <c r="Z155" s="806"/>
      <c r="AA155" s="806"/>
      <c r="AB155" s="725"/>
      <c r="AC155" s="1506" t="s">
        <v>1847</v>
      </c>
      <c r="AD155" s="974" t="s">
        <v>1117</v>
      </c>
      <c r="AE155" s="1642"/>
    </row>
    <row r="156" spans="1:31" ht="97.5" customHeight="1" x14ac:dyDescent="0.25">
      <c r="A156" s="917" t="s">
        <v>2779</v>
      </c>
      <c r="B156" s="917" t="s">
        <v>3052</v>
      </c>
      <c r="C156" s="1129" t="s">
        <v>2665</v>
      </c>
      <c r="D156" s="890">
        <v>8</v>
      </c>
      <c r="E156" s="890">
        <v>7</v>
      </c>
      <c r="F156" s="890">
        <v>8</v>
      </c>
      <c r="G156" s="1413">
        <v>0</v>
      </c>
      <c r="H156" s="1413"/>
      <c r="I156" s="1411">
        <f t="shared" si="47"/>
        <v>1</v>
      </c>
      <c r="J156" s="815">
        <f t="shared" si="48"/>
        <v>0</v>
      </c>
      <c r="K156" s="804" t="s">
        <v>3539</v>
      </c>
      <c r="L156" s="804"/>
      <c r="M156" s="930">
        <v>15</v>
      </c>
      <c r="N156" s="1498">
        <f t="shared" si="36"/>
        <v>15</v>
      </c>
      <c r="O156" s="1500">
        <f t="shared" si="37"/>
        <v>1</v>
      </c>
      <c r="P156" s="733">
        <f>10%*$P$144</f>
        <v>6.0000000000000001E-3</v>
      </c>
      <c r="Q156" s="1485">
        <f t="shared" si="50"/>
        <v>64764299</v>
      </c>
      <c r="R156" s="1486">
        <f t="shared" si="51"/>
        <v>10347566.4</v>
      </c>
      <c r="S156" s="806"/>
      <c r="T156" s="807"/>
      <c r="U156" s="806"/>
      <c r="V156" s="807"/>
      <c r="W156" s="807"/>
      <c r="X156" s="807"/>
      <c r="Y156" s="806"/>
      <c r="Z156" s="806"/>
      <c r="AA156" s="806"/>
      <c r="AB156" s="725"/>
      <c r="AC156" s="1506" t="s">
        <v>1847</v>
      </c>
      <c r="AD156" s="974" t="s">
        <v>1117</v>
      </c>
      <c r="AE156" s="1642"/>
    </row>
    <row r="157" spans="1:31" ht="63.75" x14ac:dyDescent="0.25">
      <c r="A157" s="1130" t="s">
        <v>2780</v>
      </c>
      <c r="B157" s="1130" t="s">
        <v>3053</v>
      </c>
      <c r="C157" s="1129" t="s">
        <v>2665</v>
      </c>
      <c r="D157" s="890">
        <v>0</v>
      </c>
      <c r="E157" s="890">
        <v>1</v>
      </c>
      <c r="F157" s="890">
        <v>0</v>
      </c>
      <c r="G157" s="1413">
        <v>0</v>
      </c>
      <c r="H157" s="1413"/>
      <c r="I157" s="1411" t="e">
        <f t="shared" si="47"/>
        <v>#DIV/0!</v>
      </c>
      <c r="J157" s="815">
        <f t="shared" si="48"/>
        <v>0</v>
      </c>
      <c r="K157" s="804" t="s">
        <v>3383</v>
      </c>
      <c r="L157" s="804"/>
      <c r="M157" s="930">
        <v>2</v>
      </c>
      <c r="N157" s="1498">
        <f t="shared" si="36"/>
        <v>1</v>
      </c>
      <c r="O157" s="1500">
        <f t="shared" si="37"/>
        <v>0.5</v>
      </c>
      <c r="P157" s="733">
        <f>2%*$P$144</f>
        <v>1.1999999999999999E-3</v>
      </c>
      <c r="Q157" s="1485">
        <f t="shared" si="50"/>
        <v>12952859.800000001</v>
      </c>
      <c r="R157" s="1486">
        <f t="shared" si="51"/>
        <v>2069513.2799999998</v>
      </c>
      <c r="S157" s="806"/>
      <c r="T157" s="807"/>
      <c r="U157" s="806"/>
      <c r="V157" s="807"/>
      <c r="W157" s="807"/>
      <c r="X157" s="807"/>
      <c r="Y157" s="806"/>
      <c r="Z157" s="806"/>
      <c r="AA157" s="806"/>
      <c r="AB157" s="725"/>
      <c r="AC157" s="1506" t="s">
        <v>1847</v>
      </c>
      <c r="AD157" s="974" t="s">
        <v>1117</v>
      </c>
      <c r="AE157" s="1642"/>
    </row>
    <row r="158" spans="1:31" ht="90.75" thickBot="1" x14ac:dyDescent="0.3">
      <c r="A158" s="1132" t="s">
        <v>2781</v>
      </c>
      <c r="B158" s="1133" t="s">
        <v>3054</v>
      </c>
      <c r="C158" s="1129" t="s">
        <v>2665</v>
      </c>
      <c r="D158" s="890">
        <v>0</v>
      </c>
      <c r="E158" s="890">
        <v>1</v>
      </c>
      <c r="F158" s="890">
        <v>0</v>
      </c>
      <c r="G158" s="1469">
        <v>0</v>
      </c>
      <c r="H158" s="1469"/>
      <c r="I158" s="1463" t="e">
        <f t="shared" si="47"/>
        <v>#DIV/0!</v>
      </c>
      <c r="J158" s="828">
        <f t="shared" si="48"/>
        <v>0</v>
      </c>
      <c r="K158" s="804" t="s">
        <v>3384</v>
      </c>
      <c r="L158" s="804"/>
      <c r="M158" s="933">
        <v>2</v>
      </c>
      <c r="N158" s="1498">
        <f t="shared" si="36"/>
        <v>1</v>
      </c>
      <c r="O158" s="1500">
        <f t="shared" si="37"/>
        <v>0.5</v>
      </c>
      <c r="P158" s="733">
        <f>2%*$P$144</f>
        <v>1.1999999999999999E-3</v>
      </c>
      <c r="Q158" s="1485">
        <f t="shared" si="50"/>
        <v>12952859.800000001</v>
      </c>
      <c r="R158" s="1486">
        <f t="shared" si="51"/>
        <v>2069513.2799999998</v>
      </c>
      <c r="S158" s="806"/>
      <c r="T158" s="807"/>
      <c r="U158" s="806"/>
      <c r="V158" s="807"/>
      <c r="W158" s="807"/>
      <c r="X158" s="807"/>
      <c r="Y158" s="806"/>
      <c r="Z158" s="806"/>
      <c r="AA158" s="806"/>
      <c r="AB158" s="725"/>
      <c r="AC158" s="1506" t="s">
        <v>1847</v>
      </c>
      <c r="AD158" s="974" t="s">
        <v>1117</v>
      </c>
      <c r="AE158" s="1642"/>
    </row>
    <row r="159" spans="1:31" ht="15.75" customHeight="1" thickBot="1" x14ac:dyDescent="0.3">
      <c r="A159" s="1532" t="s">
        <v>2846</v>
      </c>
      <c r="B159" s="1532"/>
      <c r="C159" s="1470"/>
      <c r="D159" s="938"/>
      <c r="E159" s="938"/>
      <c r="F159" s="938"/>
      <c r="G159" s="1453"/>
      <c r="H159" s="1464"/>
      <c r="I159" s="1422">
        <v>1</v>
      </c>
      <c r="J159" s="1249">
        <f>+(J160+J161+J162+J163+J164+J165+J167+J168+J169+J170+J171+J172+J173+J174+J175+J176+J177+J178)/18</f>
        <v>0.45815942874586946</v>
      </c>
      <c r="K159" s="804"/>
      <c r="L159" s="804"/>
      <c r="M159" s="967"/>
      <c r="N159" s="1498">
        <f t="shared" si="36"/>
        <v>0</v>
      </c>
      <c r="O159" s="1500" t="e">
        <f t="shared" si="37"/>
        <v>#DIV/0!</v>
      </c>
      <c r="P159" s="1245">
        <v>0.06</v>
      </c>
      <c r="Q159" s="1483">
        <f>'informe Gastos'!Y92</f>
        <v>372416663</v>
      </c>
      <c r="R159" s="1483">
        <f>'informe Gastos'!Z92</f>
        <v>128950825</v>
      </c>
      <c r="S159" s="1490">
        <f>+R159/Q159</f>
        <v>0.34625417660218927</v>
      </c>
      <c r="T159" s="1483">
        <f>'informe Gastos'!AA92</f>
        <v>98092397</v>
      </c>
      <c r="U159" s="1490">
        <f>+T159/R159</f>
        <v>0.76069615684893832</v>
      </c>
      <c r="V159" s="746">
        <f t="shared" ref="V159" si="52">+R159-T159</f>
        <v>30858428</v>
      </c>
      <c r="W159" s="807"/>
      <c r="X159" s="807"/>
      <c r="Y159" s="806">
        <f>(391412551+379416663+431533000+455699000)+58000000-7000000</f>
        <v>1709061214</v>
      </c>
      <c r="Z159" s="806">
        <f>335112334+R159</f>
        <v>464063159</v>
      </c>
      <c r="AA159" s="789">
        <f>+Z159/Y159</f>
        <v>0.27153103423011737</v>
      </c>
      <c r="AB159" s="980"/>
      <c r="AC159" s="1506"/>
      <c r="AD159" s="974"/>
      <c r="AE159" s="1642"/>
    </row>
    <row r="160" spans="1:31" ht="90" customHeight="1" x14ac:dyDescent="0.25">
      <c r="A160" s="1135" t="s">
        <v>2782</v>
      </c>
      <c r="B160" s="1135" t="s">
        <v>3055</v>
      </c>
      <c r="C160" s="1134" t="s">
        <v>2665</v>
      </c>
      <c r="D160" s="919">
        <v>4</v>
      </c>
      <c r="E160" s="907">
        <v>6</v>
      </c>
      <c r="F160" s="907">
        <v>4</v>
      </c>
      <c r="G160" s="1386">
        <v>5</v>
      </c>
      <c r="H160" s="1386"/>
      <c r="I160" s="1423">
        <f t="shared" si="47"/>
        <v>1</v>
      </c>
      <c r="J160" s="832">
        <f t="shared" si="48"/>
        <v>0.83333333333333337</v>
      </c>
      <c r="K160" s="804" t="s">
        <v>3540</v>
      </c>
      <c r="L160" s="804"/>
      <c r="M160" s="968">
        <v>22</v>
      </c>
      <c r="N160" s="1498">
        <f t="shared" si="36"/>
        <v>15</v>
      </c>
      <c r="O160" s="1500">
        <f t="shared" si="37"/>
        <v>0.68181818181818177</v>
      </c>
      <c r="P160" s="733">
        <f>16%*$P$159</f>
        <v>9.5999999999999992E-3</v>
      </c>
      <c r="Q160" s="1485">
        <f>Q$159*P160/P$159</f>
        <v>59586666.079999998</v>
      </c>
      <c r="R160" s="1486">
        <f>R$159*P160/P$159</f>
        <v>20632132</v>
      </c>
      <c r="S160" s="806"/>
      <c r="T160" s="807"/>
      <c r="U160" s="806"/>
      <c r="V160" s="807"/>
      <c r="W160" s="807"/>
      <c r="X160" s="807"/>
      <c r="Y160" s="806"/>
      <c r="Z160" s="806"/>
      <c r="AA160" s="806"/>
      <c r="AB160" s="995"/>
      <c r="AC160" s="1506" t="s">
        <v>1847</v>
      </c>
      <c r="AD160" s="974" t="s">
        <v>1117</v>
      </c>
      <c r="AE160" s="1642"/>
    </row>
    <row r="161" spans="1:31" ht="110.25" customHeight="1" x14ac:dyDescent="0.25">
      <c r="A161" s="1135" t="s">
        <v>2783</v>
      </c>
      <c r="B161" s="1135" t="s">
        <v>3056</v>
      </c>
      <c r="C161" s="922" t="s">
        <v>2665</v>
      </c>
      <c r="D161" s="862">
        <v>20</v>
      </c>
      <c r="E161" s="890">
        <v>40</v>
      </c>
      <c r="F161" s="890">
        <v>52</v>
      </c>
      <c r="G161" s="1413">
        <v>40</v>
      </c>
      <c r="H161" s="1413"/>
      <c r="I161" s="1411">
        <f t="shared" si="47"/>
        <v>1</v>
      </c>
      <c r="J161" s="815">
        <f t="shared" si="48"/>
        <v>1</v>
      </c>
      <c r="K161" s="804" t="s">
        <v>3385</v>
      </c>
      <c r="L161" s="804"/>
      <c r="M161" s="824">
        <v>210</v>
      </c>
      <c r="N161" s="1498">
        <f t="shared" si="36"/>
        <v>132</v>
      </c>
      <c r="O161" s="1500">
        <f t="shared" si="37"/>
        <v>0.62857142857142856</v>
      </c>
      <c r="P161" s="733">
        <f>6%*$P$159</f>
        <v>3.5999999999999999E-3</v>
      </c>
      <c r="Q161" s="1485">
        <f t="shared" ref="Q161:Q178" si="53">Q$159*P161/P$159</f>
        <v>22344999.780000001</v>
      </c>
      <c r="R161" s="1486">
        <f t="shared" ref="R161:R178" si="54">R$159*P161/P$159</f>
        <v>7737049.5</v>
      </c>
      <c r="S161" s="806"/>
      <c r="T161" s="807"/>
      <c r="U161" s="806"/>
      <c r="V161" s="807"/>
      <c r="W161" s="807"/>
      <c r="X161" s="807"/>
      <c r="Y161" s="806"/>
      <c r="Z161" s="806"/>
      <c r="AA161" s="806"/>
      <c r="AB161" s="725"/>
      <c r="AC161" s="1506" t="s">
        <v>1847</v>
      </c>
      <c r="AD161" s="974" t="s">
        <v>1117</v>
      </c>
      <c r="AE161" s="1642"/>
    </row>
    <row r="162" spans="1:31" ht="70.5" customHeight="1" x14ac:dyDescent="0.25">
      <c r="A162" s="1135" t="s">
        <v>2784</v>
      </c>
      <c r="B162" s="1135" t="s">
        <v>3057</v>
      </c>
      <c r="C162" s="922" t="s">
        <v>2665</v>
      </c>
      <c r="D162" s="862">
        <v>3</v>
      </c>
      <c r="E162" s="890">
        <v>5</v>
      </c>
      <c r="F162" s="890">
        <v>3</v>
      </c>
      <c r="G162" s="1413">
        <v>3</v>
      </c>
      <c r="H162" s="1413"/>
      <c r="I162" s="1411">
        <f t="shared" si="47"/>
        <v>1</v>
      </c>
      <c r="J162" s="815">
        <f t="shared" si="48"/>
        <v>0.6</v>
      </c>
      <c r="K162" s="804" t="s">
        <v>3541</v>
      </c>
      <c r="L162" s="804"/>
      <c r="M162" s="824">
        <v>19</v>
      </c>
      <c r="N162" s="1498">
        <f t="shared" si="36"/>
        <v>11</v>
      </c>
      <c r="O162" s="1500">
        <f t="shared" si="37"/>
        <v>0.57894736842105265</v>
      </c>
      <c r="P162" s="733">
        <f>6%*$P$159</f>
        <v>3.5999999999999999E-3</v>
      </c>
      <c r="Q162" s="1485">
        <f t="shared" si="53"/>
        <v>22344999.780000001</v>
      </c>
      <c r="R162" s="1486">
        <f t="shared" si="54"/>
        <v>7737049.5</v>
      </c>
      <c r="S162" s="806"/>
      <c r="T162" s="807"/>
      <c r="U162" s="806"/>
      <c r="V162" s="807"/>
      <c r="W162" s="807"/>
      <c r="X162" s="807"/>
      <c r="Y162" s="806"/>
      <c r="Z162" s="806"/>
      <c r="AA162" s="806"/>
      <c r="AB162" s="725"/>
      <c r="AC162" s="1506" t="s">
        <v>1847</v>
      </c>
      <c r="AD162" s="974" t="s">
        <v>1117</v>
      </c>
      <c r="AE162" s="1642"/>
    </row>
    <row r="163" spans="1:31" ht="108" customHeight="1" x14ac:dyDescent="0.25">
      <c r="A163" s="1135" t="s">
        <v>2785</v>
      </c>
      <c r="B163" s="1135" t="s">
        <v>3058</v>
      </c>
      <c r="C163" s="922" t="s">
        <v>2665</v>
      </c>
      <c r="D163" s="862">
        <v>3</v>
      </c>
      <c r="E163" s="890">
        <v>3</v>
      </c>
      <c r="F163" s="890">
        <v>3</v>
      </c>
      <c r="G163" s="1149">
        <v>1</v>
      </c>
      <c r="H163" s="1149"/>
      <c r="I163" s="1147">
        <f t="shared" si="47"/>
        <v>1</v>
      </c>
      <c r="J163" s="815">
        <f t="shared" si="48"/>
        <v>0.33333333333333331</v>
      </c>
      <c r="K163" s="804" t="s">
        <v>3542</v>
      </c>
      <c r="L163" s="804"/>
      <c r="M163" s="824">
        <v>12</v>
      </c>
      <c r="N163" s="1498">
        <f t="shared" si="36"/>
        <v>7</v>
      </c>
      <c r="O163" s="1500">
        <f t="shared" si="37"/>
        <v>0.58333333333333337</v>
      </c>
      <c r="P163" s="733">
        <f>10%*$P$159</f>
        <v>6.0000000000000001E-3</v>
      </c>
      <c r="Q163" s="1485">
        <f t="shared" si="53"/>
        <v>37241666.300000004</v>
      </c>
      <c r="R163" s="1486">
        <f t="shared" si="54"/>
        <v>12895082.500000002</v>
      </c>
      <c r="S163" s="806"/>
      <c r="T163" s="807"/>
      <c r="U163" s="806"/>
      <c r="V163" s="807"/>
      <c r="W163" s="807"/>
      <c r="X163" s="807"/>
      <c r="Y163" s="806"/>
      <c r="Z163" s="806"/>
      <c r="AA163" s="806"/>
      <c r="AB163" s="725"/>
      <c r="AC163" s="1506" t="s">
        <v>1847</v>
      </c>
      <c r="AD163" s="974" t="s">
        <v>1117</v>
      </c>
      <c r="AE163" s="1642"/>
    </row>
    <row r="164" spans="1:31" ht="12.75" customHeight="1" x14ac:dyDescent="0.25">
      <c r="A164" s="1135" t="s">
        <v>3190</v>
      </c>
      <c r="B164" s="1135" t="s">
        <v>3191</v>
      </c>
      <c r="C164" s="922" t="s">
        <v>2665</v>
      </c>
      <c r="D164" s="862">
        <v>0</v>
      </c>
      <c r="E164" s="890">
        <v>2</v>
      </c>
      <c r="F164" s="890">
        <v>0</v>
      </c>
      <c r="G164" s="1413">
        <v>0</v>
      </c>
      <c r="H164" s="1413"/>
      <c r="I164" s="1411" t="e">
        <f t="shared" si="47"/>
        <v>#DIV/0!</v>
      </c>
      <c r="J164" s="815">
        <f t="shared" si="48"/>
        <v>0</v>
      </c>
      <c r="K164" s="804"/>
      <c r="L164" s="804"/>
      <c r="M164" s="824">
        <v>4</v>
      </c>
      <c r="N164" s="1498">
        <f t="shared" si="36"/>
        <v>2</v>
      </c>
      <c r="O164" s="1500">
        <f t="shared" si="37"/>
        <v>0.5</v>
      </c>
      <c r="P164" s="733">
        <f>5%*$P$159</f>
        <v>3.0000000000000001E-3</v>
      </c>
      <c r="Q164" s="1485">
        <f t="shared" si="53"/>
        <v>18620833.150000002</v>
      </c>
      <c r="R164" s="1486">
        <f t="shared" si="54"/>
        <v>6447541.2500000009</v>
      </c>
      <c r="S164" s="806"/>
      <c r="T164" s="807"/>
      <c r="U164" s="806"/>
      <c r="V164" s="807"/>
      <c r="W164" s="807"/>
      <c r="X164" s="807"/>
      <c r="Y164" s="806"/>
      <c r="Z164" s="806"/>
      <c r="AA164" s="806"/>
      <c r="AB164" s="725"/>
      <c r="AC164" s="1506" t="s">
        <v>1847</v>
      </c>
      <c r="AD164" s="974" t="s">
        <v>1117</v>
      </c>
      <c r="AE164" s="1642"/>
    </row>
    <row r="165" spans="1:31" ht="99.75" customHeight="1" x14ac:dyDescent="0.25">
      <c r="A165" s="1135" t="s">
        <v>3192</v>
      </c>
      <c r="B165" s="1135" t="s">
        <v>3193</v>
      </c>
      <c r="C165" s="922" t="s">
        <v>2665</v>
      </c>
      <c r="D165" s="862">
        <v>0</v>
      </c>
      <c r="E165" s="890">
        <v>2</v>
      </c>
      <c r="F165" s="890">
        <v>0</v>
      </c>
      <c r="G165" s="1413">
        <v>0</v>
      </c>
      <c r="H165" s="1413"/>
      <c r="I165" s="1411" t="e">
        <f t="shared" si="47"/>
        <v>#DIV/0!</v>
      </c>
      <c r="J165" s="815">
        <f t="shared" si="48"/>
        <v>0</v>
      </c>
      <c r="K165" s="804" t="s">
        <v>3386</v>
      </c>
      <c r="L165" s="804"/>
      <c r="M165" s="824">
        <v>6</v>
      </c>
      <c r="N165" s="1498">
        <f t="shared" si="36"/>
        <v>2</v>
      </c>
      <c r="O165" s="1500">
        <f t="shared" si="37"/>
        <v>0.33333333333333331</v>
      </c>
      <c r="P165" s="733">
        <f>5%*$P$159</f>
        <v>3.0000000000000001E-3</v>
      </c>
      <c r="Q165" s="1485">
        <f t="shared" si="53"/>
        <v>18620833.150000002</v>
      </c>
      <c r="R165" s="1486">
        <f t="shared" si="54"/>
        <v>6447541.2500000009</v>
      </c>
      <c r="S165" s="806"/>
      <c r="T165" s="807"/>
      <c r="U165" s="806"/>
      <c r="V165" s="807"/>
      <c r="W165" s="807"/>
      <c r="X165" s="807"/>
      <c r="Y165" s="806"/>
      <c r="Z165" s="806"/>
      <c r="AA165" s="806"/>
      <c r="AB165" s="725"/>
      <c r="AC165" s="1506" t="s">
        <v>1847</v>
      </c>
      <c r="AD165" s="974" t="s">
        <v>1117</v>
      </c>
      <c r="AE165" s="1642"/>
    </row>
    <row r="166" spans="1:31" ht="45" x14ac:dyDescent="0.25">
      <c r="A166" s="1135" t="s">
        <v>2786</v>
      </c>
      <c r="B166" s="1135" t="s">
        <v>3067</v>
      </c>
      <c r="C166" s="922" t="s">
        <v>2665</v>
      </c>
      <c r="D166" s="862">
        <v>1</v>
      </c>
      <c r="E166" s="890">
        <v>0</v>
      </c>
      <c r="F166" s="890">
        <v>1</v>
      </c>
      <c r="G166" s="1413">
        <v>0</v>
      </c>
      <c r="H166" s="1413"/>
      <c r="I166" s="1411">
        <f t="shared" si="47"/>
        <v>1</v>
      </c>
      <c r="J166" s="815" t="e">
        <f t="shared" si="48"/>
        <v>#DIV/0!</v>
      </c>
      <c r="K166" s="804"/>
      <c r="L166" s="804"/>
      <c r="M166" s="824">
        <v>1</v>
      </c>
      <c r="N166" s="1498">
        <f t="shared" si="36"/>
        <v>1</v>
      </c>
      <c r="O166" s="1500">
        <f t="shared" si="37"/>
        <v>1</v>
      </c>
      <c r="P166" s="733">
        <v>0</v>
      </c>
      <c r="Q166" s="1485">
        <f t="shared" si="53"/>
        <v>0</v>
      </c>
      <c r="R166" s="1486">
        <f t="shared" si="54"/>
        <v>0</v>
      </c>
      <c r="S166" s="806"/>
      <c r="T166" s="807"/>
      <c r="U166" s="806"/>
      <c r="V166" s="807"/>
      <c r="W166" s="807"/>
      <c r="X166" s="807"/>
      <c r="Y166" s="806"/>
      <c r="Z166" s="806"/>
      <c r="AA166" s="806"/>
      <c r="AB166" s="725"/>
      <c r="AC166" s="1506" t="s">
        <v>1847</v>
      </c>
      <c r="AD166" s="974" t="s">
        <v>1117</v>
      </c>
      <c r="AE166" s="1642"/>
    </row>
    <row r="167" spans="1:31" ht="61.5" customHeight="1" x14ac:dyDescent="0.25">
      <c r="A167" s="1135" t="s">
        <v>2787</v>
      </c>
      <c r="B167" s="1135" t="s">
        <v>3059</v>
      </c>
      <c r="C167" s="922" t="s">
        <v>2652</v>
      </c>
      <c r="D167" s="921">
        <v>0.3</v>
      </c>
      <c r="E167" s="828">
        <v>0.25</v>
      </c>
      <c r="F167" s="828">
        <v>0.3</v>
      </c>
      <c r="G167" s="1459">
        <v>0.125</v>
      </c>
      <c r="H167" s="1413"/>
      <c r="I167" s="1411">
        <f t="shared" si="47"/>
        <v>1</v>
      </c>
      <c r="J167" s="815">
        <f t="shared" si="48"/>
        <v>0.5</v>
      </c>
      <c r="K167" s="804" t="s">
        <v>3543</v>
      </c>
      <c r="L167" s="804"/>
      <c r="M167" s="815">
        <v>1</v>
      </c>
      <c r="N167" s="1498">
        <f t="shared" si="36"/>
        <v>0.67500000000000004</v>
      </c>
      <c r="O167" s="1500">
        <f t="shared" si="37"/>
        <v>0.67500000000000004</v>
      </c>
      <c r="P167" s="733">
        <f>10%*$P$159</f>
        <v>6.0000000000000001E-3</v>
      </c>
      <c r="Q167" s="1485">
        <f t="shared" si="53"/>
        <v>37241666.300000004</v>
      </c>
      <c r="R167" s="1486">
        <f t="shared" si="54"/>
        <v>12895082.500000002</v>
      </c>
      <c r="S167" s="806"/>
      <c r="T167" s="807"/>
      <c r="U167" s="806"/>
      <c r="V167" s="807"/>
      <c r="W167" s="807"/>
      <c r="X167" s="807"/>
      <c r="Y167" s="806"/>
      <c r="Z167" s="806"/>
      <c r="AA167" s="806"/>
      <c r="AB167" s="725"/>
      <c r="AC167" s="1506" t="s">
        <v>1847</v>
      </c>
      <c r="AD167" s="974" t="s">
        <v>1117</v>
      </c>
      <c r="AE167" s="1642"/>
    </row>
    <row r="168" spans="1:31" ht="90" x14ac:dyDescent="0.25">
      <c r="A168" s="1135" t="s">
        <v>3194</v>
      </c>
      <c r="B168" s="1135" t="s">
        <v>3195</v>
      </c>
      <c r="C168" s="922" t="s">
        <v>2665</v>
      </c>
      <c r="D168" s="1195">
        <v>0</v>
      </c>
      <c r="E168" s="892">
        <v>1</v>
      </c>
      <c r="F168" s="1196">
        <v>0</v>
      </c>
      <c r="G168" s="1196">
        <v>1</v>
      </c>
      <c r="H168" s="1457"/>
      <c r="I168" s="1411" t="e">
        <f t="shared" si="47"/>
        <v>#DIV/0!</v>
      </c>
      <c r="J168" s="815">
        <f t="shared" si="48"/>
        <v>1</v>
      </c>
      <c r="K168" s="804" t="s">
        <v>3544</v>
      </c>
      <c r="L168" s="804"/>
      <c r="M168" s="1505">
        <v>2</v>
      </c>
      <c r="N168" s="1498">
        <f t="shared" si="36"/>
        <v>2</v>
      </c>
      <c r="O168" s="1500">
        <f t="shared" si="37"/>
        <v>1</v>
      </c>
      <c r="P168" s="733">
        <f>2%*$P$159</f>
        <v>1.1999999999999999E-3</v>
      </c>
      <c r="Q168" s="1485">
        <f t="shared" si="53"/>
        <v>7448333.2599999998</v>
      </c>
      <c r="R168" s="1486">
        <f t="shared" si="54"/>
        <v>2579016.5</v>
      </c>
      <c r="S168" s="806"/>
      <c r="T168" s="807"/>
      <c r="U168" s="806"/>
      <c r="V168" s="807"/>
      <c r="W168" s="807"/>
      <c r="X168" s="807"/>
      <c r="Y168" s="806"/>
      <c r="Z168" s="806"/>
      <c r="AA168" s="806"/>
      <c r="AB168" s="725"/>
      <c r="AC168" s="1506" t="s">
        <v>1847</v>
      </c>
      <c r="AD168" s="974" t="s">
        <v>1117</v>
      </c>
      <c r="AE168" s="1642"/>
    </row>
    <row r="169" spans="1:31" ht="85.5" customHeight="1" x14ac:dyDescent="0.25">
      <c r="A169" s="1135" t="s">
        <v>3196</v>
      </c>
      <c r="B169" s="1135" t="s">
        <v>3197</v>
      </c>
      <c r="C169" s="922"/>
      <c r="D169" s="1195">
        <v>0</v>
      </c>
      <c r="E169" s="890">
        <v>1</v>
      </c>
      <c r="F169" s="1196">
        <v>0</v>
      </c>
      <c r="G169" s="1196">
        <v>0</v>
      </c>
      <c r="H169" s="1457"/>
      <c r="I169" s="1411" t="e">
        <f t="shared" si="47"/>
        <v>#DIV/0!</v>
      </c>
      <c r="J169" s="815">
        <f t="shared" si="48"/>
        <v>0</v>
      </c>
      <c r="K169" s="804" t="s">
        <v>3387</v>
      </c>
      <c r="L169" s="804"/>
      <c r="M169" s="1505">
        <v>3</v>
      </c>
      <c r="N169" s="1498">
        <f t="shared" ref="N169:N203" si="55">SUM(E169:G169)</f>
        <v>1</v>
      </c>
      <c r="O169" s="1500">
        <f t="shared" ref="O169:O203" si="56">IF(N169/M169&gt;=100%,100%,N169/M169)</f>
        <v>0.33333333333333331</v>
      </c>
      <c r="P169" s="733">
        <f>3%*$P$159</f>
        <v>1.8E-3</v>
      </c>
      <c r="Q169" s="1485">
        <f t="shared" si="53"/>
        <v>11172499.890000001</v>
      </c>
      <c r="R169" s="1486">
        <f t="shared" si="54"/>
        <v>3868524.75</v>
      </c>
      <c r="S169" s="806"/>
      <c r="T169" s="807"/>
      <c r="U169" s="806"/>
      <c r="V169" s="807"/>
      <c r="W169" s="807"/>
      <c r="X169" s="807"/>
      <c r="Y169" s="806"/>
      <c r="Z169" s="806"/>
      <c r="AA169" s="806"/>
      <c r="AB169" s="725"/>
      <c r="AC169" s="1506" t="s">
        <v>1847</v>
      </c>
      <c r="AD169" s="974" t="s">
        <v>1117</v>
      </c>
      <c r="AE169" s="1642"/>
    </row>
    <row r="170" spans="1:31" ht="90" x14ac:dyDescent="0.25">
      <c r="A170" s="1135" t="s">
        <v>2788</v>
      </c>
      <c r="B170" s="1135" t="s">
        <v>3068</v>
      </c>
      <c r="C170" s="922" t="s">
        <v>2665</v>
      </c>
      <c r="D170" s="862">
        <v>1</v>
      </c>
      <c r="E170" s="890">
        <v>1</v>
      </c>
      <c r="F170" s="907">
        <v>1</v>
      </c>
      <c r="G170" s="1149">
        <v>1</v>
      </c>
      <c r="H170" s="1149"/>
      <c r="I170" s="1147">
        <f t="shared" si="47"/>
        <v>1</v>
      </c>
      <c r="J170" s="815">
        <f t="shared" si="48"/>
        <v>1</v>
      </c>
      <c r="K170" s="804" t="s">
        <v>3545</v>
      </c>
      <c r="L170" s="804"/>
      <c r="M170" s="824">
        <v>4</v>
      </c>
      <c r="N170" s="1498">
        <f t="shared" si="55"/>
        <v>3</v>
      </c>
      <c r="O170" s="1500">
        <f t="shared" si="56"/>
        <v>0.75</v>
      </c>
      <c r="P170" s="733">
        <f>4%*$P$159</f>
        <v>2.3999999999999998E-3</v>
      </c>
      <c r="Q170" s="1485">
        <f t="shared" si="53"/>
        <v>14896666.52</v>
      </c>
      <c r="R170" s="1486">
        <f t="shared" si="54"/>
        <v>5158033</v>
      </c>
      <c r="S170" s="806"/>
      <c r="T170" s="807"/>
      <c r="U170" s="806"/>
      <c r="V170" s="807"/>
      <c r="W170" s="807"/>
      <c r="X170" s="807"/>
      <c r="Y170" s="806"/>
      <c r="Z170" s="806"/>
      <c r="AA170" s="806"/>
      <c r="AB170" s="725"/>
      <c r="AC170" s="1506" t="s">
        <v>1847</v>
      </c>
      <c r="AD170" s="974" t="s">
        <v>1117</v>
      </c>
      <c r="AE170" s="1642"/>
    </row>
    <row r="171" spans="1:31" ht="124.5" customHeight="1" x14ac:dyDescent="0.25">
      <c r="A171" s="1135" t="s">
        <v>2789</v>
      </c>
      <c r="B171" s="1135" t="s">
        <v>3060</v>
      </c>
      <c r="C171" s="922" t="s">
        <v>2665</v>
      </c>
      <c r="D171" s="862">
        <v>1</v>
      </c>
      <c r="E171" s="890">
        <v>1</v>
      </c>
      <c r="F171" s="890">
        <v>1</v>
      </c>
      <c r="G171" s="1149">
        <v>1</v>
      </c>
      <c r="H171" s="1149"/>
      <c r="I171" s="1147">
        <f t="shared" si="47"/>
        <v>1</v>
      </c>
      <c r="J171" s="815">
        <f t="shared" si="48"/>
        <v>1</v>
      </c>
      <c r="K171" s="804" t="s">
        <v>3546</v>
      </c>
      <c r="L171" s="804"/>
      <c r="M171" s="824">
        <v>4</v>
      </c>
      <c r="N171" s="1498">
        <f t="shared" si="55"/>
        <v>3</v>
      </c>
      <c r="O171" s="1500">
        <f t="shared" si="56"/>
        <v>0.75</v>
      </c>
      <c r="P171" s="733">
        <f>4%*$P$159</f>
        <v>2.3999999999999998E-3</v>
      </c>
      <c r="Q171" s="1485">
        <f t="shared" si="53"/>
        <v>14896666.52</v>
      </c>
      <c r="R171" s="1486">
        <f t="shared" si="54"/>
        <v>5158033</v>
      </c>
      <c r="S171" s="806"/>
      <c r="T171" s="807"/>
      <c r="U171" s="806"/>
      <c r="V171" s="807"/>
      <c r="W171" s="807"/>
      <c r="X171" s="807"/>
      <c r="Y171" s="806"/>
      <c r="Z171" s="806"/>
      <c r="AA171" s="806"/>
      <c r="AB171" s="725"/>
      <c r="AC171" s="1506" t="s">
        <v>1847</v>
      </c>
      <c r="AD171" s="974" t="s">
        <v>1117</v>
      </c>
      <c r="AE171" s="1642"/>
    </row>
    <row r="172" spans="1:31" ht="116.25" customHeight="1" x14ac:dyDescent="0.25">
      <c r="A172" s="1135" t="s">
        <v>2790</v>
      </c>
      <c r="B172" s="1135" t="s">
        <v>3061</v>
      </c>
      <c r="C172" s="922" t="s">
        <v>2652</v>
      </c>
      <c r="D172" s="921">
        <v>0.25</v>
      </c>
      <c r="E172" s="828">
        <v>0.25</v>
      </c>
      <c r="F172" s="828">
        <v>0.25</v>
      </c>
      <c r="G172" s="1471">
        <v>0.125</v>
      </c>
      <c r="H172" s="1149"/>
      <c r="I172" s="1147">
        <f t="shared" si="47"/>
        <v>1</v>
      </c>
      <c r="J172" s="815">
        <f t="shared" si="48"/>
        <v>0.5</v>
      </c>
      <c r="K172" s="804" t="s">
        <v>3388</v>
      </c>
      <c r="L172" s="804"/>
      <c r="M172" s="815">
        <v>1</v>
      </c>
      <c r="N172" s="1498">
        <f t="shared" si="55"/>
        <v>0.625</v>
      </c>
      <c r="O172" s="1500">
        <f t="shared" si="56"/>
        <v>0.625</v>
      </c>
      <c r="P172" s="733">
        <f>5%*$P$159</f>
        <v>3.0000000000000001E-3</v>
      </c>
      <c r="Q172" s="1485">
        <f t="shared" si="53"/>
        <v>18620833.150000002</v>
      </c>
      <c r="R172" s="1486">
        <f t="shared" si="54"/>
        <v>6447541.2500000009</v>
      </c>
      <c r="S172" s="806"/>
      <c r="T172" s="807"/>
      <c r="U172" s="806"/>
      <c r="V172" s="807"/>
      <c r="W172" s="807"/>
      <c r="X172" s="807"/>
      <c r="Y172" s="806"/>
      <c r="Z172" s="806"/>
      <c r="AA172" s="806"/>
      <c r="AB172" s="725"/>
      <c r="AC172" s="1506" t="s">
        <v>1847</v>
      </c>
      <c r="AD172" s="974" t="s">
        <v>1117</v>
      </c>
      <c r="AE172" s="1642"/>
    </row>
    <row r="173" spans="1:31" ht="118.5" customHeight="1" x14ac:dyDescent="0.25">
      <c r="A173" s="1135" t="s">
        <v>2791</v>
      </c>
      <c r="B173" s="1135" t="s">
        <v>3061</v>
      </c>
      <c r="C173" s="922" t="s">
        <v>2652</v>
      </c>
      <c r="D173" s="921">
        <v>0.25</v>
      </c>
      <c r="E173" s="828">
        <v>0.25</v>
      </c>
      <c r="F173" s="828">
        <v>0.25</v>
      </c>
      <c r="G173" s="1471">
        <v>0.125</v>
      </c>
      <c r="H173" s="1149"/>
      <c r="I173" s="1147">
        <f t="shared" si="47"/>
        <v>1</v>
      </c>
      <c r="J173" s="815">
        <f t="shared" si="48"/>
        <v>0.5</v>
      </c>
      <c r="K173" s="804" t="s">
        <v>3389</v>
      </c>
      <c r="L173" s="804"/>
      <c r="M173" s="815">
        <v>1</v>
      </c>
      <c r="N173" s="1498">
        <f t="shared" si="55"/>
        <v>0.625</v>
      </c>
      <c r="O173" s="1500">
        <f t="shared" si="56"/>
        <v>0.625</v>
      </c>
      <c r="P173" s="733">
        <f>5%*$P$159</f>
        <v>3.0000000000000001E-3</v>
      </c>
      <c r="Q173" s="1485">
        <f t="shared" si="53"/>
        <v>18620833.150000002</v>
      </c>
      <c r="R173" s="1486">
        <f t="shared" si="54"/>
        <v>6447541.2500000009</v>
      </c>
      <c r="S173" s="806"/>
      <c r="T173" s="807"/>
      <c r="U173" s="806"/>
      <c r="V173" s="807"/>
      <c r="W173" s="807"/>
      <c r="X173" s="807"/>
      <c r="Y173" s="806"/>
      <c r="Z173" s="806"/>
      <c r="AA173" s="806"/>
      <c r="AB173" s="725"/>
      <c r="AC173" s="1506" t="s">
        <v>1847</v>
      </c>
      <c r="AD173" s="974" t="s">
        <v>1117</v>
      </c>
      <c r="AE173" s="1642"/>
    </row>
    <row r="174" spans="1:31" ht="56.25" x14ac:dyDescent="0.25">
      <c r="A174" s="917" t="s">
        <v>2792</v>
      </c>
      <c r="B174" s="917" t="s">
        <v>3062</v>
      </c>
      <c r="C174" s="922" t="s">
        <v>2665</v>
      </c>
      <c r="D174" s="862">
        <v>0</v>
      </c>
      <c r="E174" s="890">
        <v>3</v>
      </c>
      <c r="F174" s="890">
        <v>0</v>
      </c>
      <c r="G174" s="1149">
        <v>0</v>
      </c>
      <c r="H174" s="1149"/>
      <c r="I174" s="1147" t="e">
        <f t="shared" si="47"/>
        <v>#DIV/0!</v>
      </c>
      <c r="J174" s="815">
        <f t="shared" si="48"/>
        <v>0</v>
      </c>
      <c r="K174" s="804"/>
      <c r="L174" s="804"/>
      <c r="M174" s="824">
        <v>5</v>
      </c>
      <c r="N174" s="1498">
        <f t="shared" si="55"/>
        <v>3</v>
      </c>
      <c r="O174" s="1500">
        <f t="shared" si="56"/>
        <v>0.6</v>
      </c>
      <c r="P174" s="733">
        <f t="shared" ref="P174" si="57">16%*$P$159</f>
        <v>9.5999999999999992E-3</v>
      </c>
      <c r="Q174" s="1485">
        <f t="shared" si="53"/>
        <v>59586666.079999998</v>
      </c>
      <c r="R174" s="1486">
        <f t="shared" si="54"/>
        <v>20632132</v>
      </c>
      <c r="S174" s="806"/>
      <c r="T174" s="807"/>
      <c r="U174" s="806"/>
      <c r="V174" s="807"/>
      <c r="W174" s="807"/>
      <c r="X174" s="807"/>
      <c r="Y174" s="806"/>
      <c r="Z174" s="806"/>
      <c r="AA174" s="806"/>
      <c r="AB174" s="725"/>
      <c r="AC174" s="1506" t="s">
        <v>1847</v>
      </c>
      <c r="AD174" s="974" t="s">
        <v>1117</v>
      </c>
      <c r="AE174" s="1642"/>
    </row>
    <row r="175" spans="1:31" ht="67.5" x14ac:dyDescent="0.25">
      <c r="A175" s="917" t="s">
        <v>2793</v>
      </c>
      <c r="B175" s="917" t="s">
        <v>3063</v>
      </c>
      <c r="C175" s="922" t="s">
        <v>2665</v>
      </c>
      <c r="D175" s="862">
        <v>0</v>
      </c>
      <c r="E175" s="890">
        <v>3</v>
      </c>
      <c r="F175" s="890">
        <v>0</v>
      </c>
      <c r="G175" s="1149">
        <v>0</v>
      </c>
      <c r="H175" s="1149"/>
      <c r="I175" s="1147" t="e">
        <f t="shared" si="47"/>
        <v>#DIV/0!</v>
      </c>
      <c r="J175" s="815">
        <f t="shared" si="48"/>
        <v>0</v>
      </c>
      <c r="K175" s="804"/>
      <c r="L175" s="804"/>
      <c r="M175" s="824">
        <v>6</v>
      </c>
      <c r="N175" s="1498">
        <f t="shared" si="55"/>
        <v>3</v>
      </c>
      <c r="O175" s="1500">
        <f t="shared" si="56"/>
        <v>0.5</v>
      </c>
      <c r="P175" s="733">
        <f>2%*$P$159</f>
        <v>1.1999999999999999E-3</v>
      </c>
      <c r="Q175" s="1485">
        <f t="shared" si="53"/>
        <v>7448333.2599999998</v>
      </c>
      <c r="R175" s="1486">
        <f t="shared" si="54"/>
        <v>2579016.5</v>
      </c>
      <c r="S175" s="806"/>
      <c r="T175" s="807"/>
      <c r="U175" s="806"/>
      <c r="V175" s="807"/>
      <c r="W175" s="807"/>
      <c r="X175" s="807"/>
      <c r="Y175" s="806"/>
      <c r="Z175" s="806"/>
      <c r="AA175" s="806"/>
      <c r="AB175" s="725"/>
      <c r="AC175" s="1506" t="s">
        <v>1847</v>
      </c>
      <c r="AD175" s="974" t="s">
        <v>1117</v>
      </c>
      <c r="AE175" s="1642"/>
    </row>
    <row r="176" spans="1:31" ht="45" x14ac:dyDescent="0.25">
      <c r="A176" s="917" t="s">
        <v>2794</v>
      </c>
      <c r="B176" s="917" t="s">
        <v>3064</v>
      </c>
      <c r="C176" s="922" t="s">
        <v>2665</v>
      </c>
      <c r="D176" s="862">
        <v>0</v>
      </c>
      <c r="E176" s="890">
        <v>2</v>
      </c>
      <c r="F176" s="890">
        <v>0</v>
      </c>
      <c r="G176" s="1149">
        <v>0</v>
      </c>
      <c r="H176" s="1149"/>
      <c r="I176" s="1147" t="e">
        <f t="shared" si="47"/>
        <v>#DIV/0!</v>
      </c>
      <c r="J176" s="815">
        <f t="shared" si="48"/>
        <v>0</v>
      </c>
      <c r="K176" s="804"/>
      <c r="L176" s="804"/>
      <c r="M176" s="824">
        <v>3</v>
      </c>
      <c r="N176" s="1498">
        <f t="shared" si="55"/>
        <v>2</v>
      </c>
      <c r="O176" s="1500">
        <f t="shared" si="56"/>
        <v>0.66666666666666663</v>
      </c>
      <c r="P176" s="733">
        <f>2%*$P$159</f>
        <v>1.1999999999999999E-3</v>
      </c>
      <c r="Q176" s="1485">
        <f t="shared" si="53"/>
        <v>7448333.2599999998</v>
      </c>
      <c r="R176" s="1486">
        <f t="shared" si="54"/>
        <v>2579016.5</v>
      </c>
      <c r="S176" s="806"/>
      <c r="T176" s="807"/>
      <c r="U176" s="806"/>
      <c r="V176" s="807"/>
      <c r="W176" s="807"/>
      <c r="X176" s="807"/>
      <c r="Y176" s="806"/>
      <c r="Z176" s="806"/>
      <c r="AA176" s="806"/>
      <c r="AB176" s="725"/>
      <c r="AC176" s="1506" t="s">
        <v>1847</v>
      </c>
      <c r="AD176" s="974" t="s">
        <v>1117</v>
      </c>
      <c r="AE176" s="1642"/>
    </row>
    <row r="177" spans="1:31" ht="62.25" customHeight="1" x14ac:dyDescent="0.25">
      <c r="A177" s="917" t="s">
        <v>2795</v>
      </c>
      <c r="B177" s="917" t="s">
        <v>3065</v>
      </c>
      <c r="C177" s="922" t="s">
        <v>2665</v>
      </c>
      <c r="D177" s="862">
        <v>0</v>
      </c>
      <c r="E177" s="890">
        <v>1</v>
      </c>
      <c r="F177" s="890">
        <v>0</v>
      </c>
      <c r="G177" s="1149">
        <v>0</v>
      </c>
      <c r="H177" s="1149"/>
      <c r="I177" s="1147" t="e">
        <f t="shared" si="47"/>
        <v>#DIV/0!</v>
      </c>
      <c r="J177" s="815">
        <f t="shared" si="48"/>
        <v>0</v>
      </c>
      <c r="K177" s="804"/>
      <c r="L177" s="804"/>
      <c r="M177" s="824">
        <v>1</v>
      </c>
      <c r="N177" s="1498">
        <f t="shared" si="55"/>
        <v>1</v>
      </c>
      <c r="O177" s="1500">
        <f t="shared" si="56"/>
        <v>1</v>
      </c>
      <c r="P177" s="733">
        <f>2%*$P$159</f>
        <v>1.1999999999999999E-3</v>
      </c>
      <c r="Q177" s="1485">
        <f t="shared" si="53"/>
        <v>7448333.2599999998</v>
      </c>
      <c r="R177" s="1486">
        <f t="shared" si="54"/>
        <v>2579016.5</v>
      </c>
      <c r="S177" s="806"/>
      <c r="T177" s="807"/>
      <c r="U177" s="806"/>
      <c r="V177" s="807"/>
      <c r="W177" s="807"/>
      <c r="X177" s="807"/>
      <c r="Y177" s="806"/>
      <c r="Z177" s="806"/>
      <c r="AA177" s="806"/>
      <c r="AB177" s="725"/>
      <c r="AC177" s="1506" t="s">
        <v>1847</v>
      </c>
      <c r="AD177" s="974" t="s">
        <v>1117</v>
      </c>
      <c r="AE177" s="1642"/>
    </row>
    <row r="178" spans="1:31" ht="23.25" thickBot="1" x14ac:dyDescent="0.3">
      <c r="A178" s="1136" t="s">
        <v>2796</v>
      </c>
      <c r="B178" s="1066" t="s">
        <v>3066</v>
      </c>
      <c r="C178" s="923" t="s">
        <v>2652</v>
      </c>
      <c r="D178" s="921">
        <v>0.25</v>
      </c>
      <c r="E178" s="828">
        <v>0.25</v>
      </c>
      <c r="F178" s="828">
        <f>'27Educa'!E9</f>
        <v>0</v>
      </c>
      <c r="G178" s="1472">
        <f>'27Educa'!D8</f>
        <v>0.24505076268974579</v>
      </c>
      <c r="H178" s="1149"/>
      <c r="I178" s="1147">
        <f t="shared" si="47"/>
        <v>0</v>
      </c>
      <c r="J178" s="815">
        <f t="shared" si="48"/>
        <v>0.98020305075898317</v>
      </c>
      <c r="K178" s="804"/>
      <c r="L178" s="804"/>
      <c r="M178" s="828">
        <v>1</v>
      </c>
      <c r="N178" s="1498">
        <f t="shared" si="55"/>
        <v>0.49505076268974579</v>
      </c>
      <c r="O178" s="1500">
        <f t="shared" si="56"/>
        <v>0.49505076268974579</v>
      </c>
      <c r="P178" s="733">
        <v>0</v>
      </c>
      <c r="Q178" s="1485">
        <f t="shared" si="53"/>
        <v>0</v>
      </c>
      <c r="R178" s="1486">
        <f t="shared" si="54"/>
        <v>0</v>
      </c>
      <c r="S178" s="806"/>
      <c r="T178" s="807"/>
      <c r="U178" s="806"/>
      <c r="V178" s="807"/>
      <c r="W178" s="807"/>
      <c r="X178" s="807"/>
      <c r="Y178" s="806"/>
      <c r="Z178" s="806"/>
      <c r="AA178" s="806"/>
      <c r="AB178" s="725"/>
      <c r="AC178" s="1506" t="s">
        <v>1847</v>
      </c>
      <c r="AD178" s="974" t="s">
        <v>1117</v>
      </c>
      <c r="AE178" s="1647"/>
    </row>
    <row r="179" spans="1:31" ht="15.75" customHeight="1" thickBot="1" x14ac:dyDescent="0.3">
      <c r="A179" s="1518" t="s">
        <v>2797</v>
      </c>
      <c r="B179" s="1545"/>
      <c r="C179" s="924"/>
      <c r="D179" s="938"/>
      <c r="E179" s="938"/>
      <c r="F179" s="1469"/>
      <c r="G179" s="1469"/>
      <c r="H179" s="1469"/>
      <c r="I179" s="1249">
        <f>SUM(I180+I196)/2</f>
        <v>0.58499999999999996</v>
      </c>
      <c r="J179" s="1249">
        <f>SUM(J180+J196)/2</f>
        <v>0.35977281923821147</v>
      </c>
      <c r="K179" s="804"/>
      <c r="L179" s="804"/>
      <c r="M179" s="829"/>
      <c r="N179" s="1498">
        <f t="shared" si="55"/>
        <v>0</v>
      </c>
      <c r="O179" s="1500" t="e">
        <f t="shared" si="56"/>
        <v>#DIV/0!</v>
      </c>
      <c r="P179" s="1204">
        <f>+P180+P196</f>
        <v>0.15000000000000002</v>
      </c>
      <c r="Q179" s="1484">
        <f>+Q180+Q196</f>
        <v>3361049927.21</v>
      </c>
      <c r="R179" s="1484">
        <f>+R180+R196</f>
        <v>1223633055</v>
      </c>
      <c r="S179" s="1495">
        <f>+R179/Q179</f>
        <v>0.36406274274412076</v>
      </c>
      <c r="T179" s="1484">
        <f>+T180+T196</f>
        <v>701961418.75</v>
      </c>
      <c r="U179" s="1490">
        <f>+T179/R179</f>
        <v>0.57366987258283897</v>
      </c>
      <c r="V179" s="746">
        <f t="shared" ref="V179:V180" si="58">+R179-T179</f>
        <v>521671636.25</v>
      </c>
      <c r="W179" s="807"/>
      <c r="X179" s="807"/>
      <c r="Y179" s="1484">
        <f>+Y180+Y196</f>
        <v>14336420192</v>
      </c>
      <c r="Z179" s="1484">
        <f>+Z180+Z196</f>
        <v>4916430204</v>
      </c>
      <c r="AA179" s="789">
        <f>+Z179/Y179</f>
        <v>0.34293290362286277</v>
      </c>
      <c r="AB179" s="996"/>
      <c r="AC179" s="1506"/>
      <c r="AD179" s="974"/>
      <c r="AE179" s="981"/>
    </row>
    <row r="180" spans="1:31" ht="25.5" customHeight="1" thickBot="1" x14ac:dyDescent="0.3">
      <c r="A180" s="1546" t="s">
        <v>2847</v>
      </c>
      <c r="B180" s="1547"/>
      <c r="C180" s="1473"/>
      <c r="D180" s="1474"/>
      <c r="E180" s="1475"/>
      <c r="F180" s="1453"/>
      <c r="G180" s="1464"/>
      <c r="H180" s="1476"/>
      <c r="I180" s="1402">
        <v>0.89</v>
      </c>
      <c r="J180" s="1249">
        <f>+(J181+J182+J183+J185+J186+J187+J188+J189+J190+J191+J192+J193+J194+J195)/14</f>
        <v>0.70764087657166108</v>
      </c>
      <c r="K180" s="804"/>
      <c r="L180" s="804"/>
      <c r="M180" s="904"/>
      <c r="N180" s="1498">
        <f t="shared" si="55"/>
        <v>0</v>
      </c>
      <c r="O180" s="1500" t="e">
        <f t="shared" si="56"/>
        <v>#DIV/0!</v>
      </c>
      <c r="P180" s="1204">
        <v>0.08</v>
      </c>
      <c r="Q180" s="1483">
        <f>'informe Gastos'!Y96</f>
        <v>2693571767</v>
      </c>
      <c r="R180" s="1483">
        <f>'informe Gastos'!Z96</f>
        <v>763252000</v>
      </c>
      <c r="S180" s="1490">
        <f>+R180/Q180</f>
        <v>0.2833605584046055</v>
      </c>
      <c r="T180" s="1483">
        <f>'informe Gastos'!AA96</f>
        <v>594999300</v>
      </c>
      <c r="U180" s="1490">
        <f>+T180/R180</f>
        <v>0.77955812759088738</v>
      </c>
      <c r="V180" s="746">
        <f t="shared" si="58"/>
        <v>168252700</v>
      </c>
      <c r="W180" s="807"/>
      <c r="X180" s="807"/>
      <c r="Y180" s="806">
        <f>(2373331506+2810110996+2616599800+2763130000)+665412000-116539229</f>
        <v>11112045073</v>
      </c>
      <c r="Z180" s="806">
        <f>1756837682+R180</f>
        <v>2520089682</v>
      </c>
      <c r="AA180" s="789">
        <f>+Z180/Y180</f>
        <v>0.22678900827385079</v>
      </c>
      <c r="AB180" s="985"/>
      <c r="AC180" s="1506"/>
      <c r="AD180" s="974"/>
      <c r="AE180" s="986"/>
    </row>
    <row r="181" spans="1:31" ht="38.25" x14ac:dyDescent="0.25">
      <c r="A181" s="1538" t="s">
        <v>2798</v>
      </c>
      <c r="B181" s="1139" t="s">
        <v>3069</v>
      </c>
      <c r="C181" s="925" t="s">
        <v>2652</v>
      </c>
      <c r="D181" s="926">
        <v>0.65</v>
      </c>
      <c r="E181" s="927">
        <v>0.75</v>
      </c>
      <c r="F181" s="1388">
        <v>0.79300000000000004</v>
      </c>
      <c r="G181" s="1477">
        <v>0.78300000000000003</v>
      </c>
      <c r="H181" s="1386"/>
      <c r="I181" s="1423">
        <f t="shared" si="47"/>
        <v>1</v>
      </c>
      <c r="J181" s="1478">
        <f t="shared" si="48"/>
        <v>1</v>
      </c>
      <c r="K181" s="804" t="s">
        <v>3251</v>
      </c>
      <c r="L181" s="804"/>
      <c r="M181" s="832">
        <v>0.8</v>
      </c>
      <c r="N181" s="1498">
        <f t="shared" si="55"/>
        <v>2.3260000000000001</v>
      </c>
      <c r="O181" s="1500">
        <f t="shared" si="56"/>
        <v>1</v>
      </c>
      <c r="P181" s="733">
        <f>12%*$P$180</f>
        <v>9.5999999999999992E-3</v>
      </c>
      <c r="Q181" s="1485">
        <f>Q$180*P181/P$180</f>
        <v>323228612.03999996</v>
      </c>
      <c r="R181" s="1486">
        <f>R$180*P181/P$180</f>
        <v>91590239.999999985</v>
      </c>
      <c r="S181" s="806"/>
      <c r="T181" s="807"/>
      <c r="U181" s="806"/>
      <c r="V181" s="807"/>
      <c r="W181" s="807"/>
      <c r="X181" s="807"/>
      <c r="Y181" s="806"/>
      <c r="Z181" s="806"/>
      <c r="AA181" s="806"/>
      <c r="AB181" s="726"/>
      <c r="AC181" s="1506" t="s">
        <v>1840</v>
      </c>
      <c r="AD181" s="974" t="s">
        <v>1849</v>
      </c>
      <c r="AE181" s="1648" t="s">
        <v>3570</v>
      </c>
    </row>
    <row r="182" spans="1:31" ht="38.25" x14ac:dyDescent="0.25">
      <c r="A182" s="1539"/>
      <c r="B182" s="1118" t="s">
        <v>3070</v>
      </c>
      <c r="C182" s="1138" t="s">
        <v>2652</v>
      </c>
      <c r="D182" s="855">
        <v>0.65</v>
      </c>
      <c r="E182" s="815">
        <v>0.75</v>
      </c>
      <c r="F182" s="1389">
        <v>0.79490000000000005</v>
      </c>
      <c r="G182" s="1477">
        <v>0.73499999999999999</v>
      </c>
      <c r="H182" s="1413"/>
      <c r="I182" s="1411">
        <f t="shared" si="47"/>
        <v>1</v>
      </c>
      <c r="J182" s="815">
        <f t="shared" si="48"/>
        <v>0.98</v>
      </c>
      <c r="K182" s="804" t="s">
        <v>3252</v>
      </c>
      <c r="L182" s="804"/>
      <c r="M182" s="815">
        <v>0.8</v>
      </c>
      <c r="N182" s="1498">
        <f t="shared" si="55"/>
        <v>2.2799</v>
      </c>
      <c r="O182" s="1500">
        <f t="shared" si="56"/>
        <v>1</v>
      </c>
      <c r="P182" s="733">
        <f>4%*$P$180</f>
        <v>3.2000000000000002E-3</v>
      </c>
      <c r="Q182" s="1485">
        <f t="shared" ref="Q182:Q195" si="59">Q$180*P182/P$180</f>
        <v>107742870.68000001</v>
      </c>
      <c r="R182" s="1486">
        <f t="shared" ref="R182:R195" si="60">R$180*P182/P$180</f>
        <v>30530080</v>
      </c>
      <c r="S182" s="806"/>
      <c r="T182" s="807"/>
      <c r="U182" s="806"/>
      <c r="V182" s="807"/>
      <c r="W182" s="807"/>
      <c r="X182" s="807"/>
      <c r="Y182" s="806"/>
      <c r="Z182" s="806"/>
      <c r="AA182" s="806"/>
      <c r="AB182" s="552"/>
      <c r="AC182" s="1506" t="s">
        <v>1840</v>
      </c>
      <c r="AD182" s="974" t="s">
        <v>1849</v>
      </c>
      <c r="AE182" s="1642"/>
    </row>
    <row r="183" spans="1:31" ht="34.5" customHeight="1" x14ac:dyDescent="0.25">
      <c r="A183" s="1540"/>
      <c r="B183" s="1140" t="s">
        <v>3071</v>
      </c>
      <c r="C183" s="920" t="s">
        <v>2665</v>
      </c>
      <c r="D183" s="857">
        <v>100</v>
      </c>
      <c r="E183" s="824">
        <v>200</v>
      </c>
      <c r="F183" s="1076">
        <v>208</v>
      </c>
      <c r="G183" s="1413">
        <v>94</v>
      </c>
      <c r="H183" s="1413"/>
      <c r="I183" s="1411">
        <f t="shared" si="47"/>
        <v>1</v>
      </c>
      <c r="J183" s="815">
        <f t="shared" si="48"/>
        <v>0.47</v>
      </c>
      <c r="K183" s="804" t="s">
        <v>3535</v>
      </c>
      <c r="L183" s="804"/>
      <c r="M183" s="824">
        <v>700</v>
      </c>
      <c r="N183" s="1498">
        <f t="shared" si="55"/>
        <v>502</v>
      </c>
      <c r="O183" s="1500">
        <f t="shared" si="56"/>
        <v>0.71714285714285719</v>
      </c>
      <c r="P183" s="733">
        <f>3%*$P$180</f>
        <v>2.3999999999999998E-3</v>
      </c>
      <c r="Q183" s="1485">
        <f t="shared" si="59"/>
        <v>80807153.00999999</v>
      </c>
      <c r="R183" s="1486">
        <f t="shared" si="60"/>
        <v>22897559.999999996</v>
      </c>
      <c r="S183" s="806"/>
      <c r="T183" s="807"/>
      <c r="U183" s="806"/>
      <c r="V183" s="807"/>
      <c r="W183" s="807"/>
      <c r="X183" s="807"/>
      <c r="Y183" s="806"/>
      <c r="Z183" s="806"/>
      <c r="AA183" s="806"/>
      <c r="AB183" s="552"/>
      <c r="AC183" s="1506" t="s">
        <v>1840</v>
      </c>
      <c r="AD183" s="974" t="s">
        <v>1849</v>
      </c>
      <c r="AE183" s="1642"/>
    </row>
    <row r="184" spans="1:31" ht="48.75" customHeight="1" x14ac:dyDescent="0.25">
      <c r="A184" s="1541" t="s">
        <v>2799</v>
      </c>
      <c r="B184" s="1063" t="s">
        <v>3072</v>
      </c>
      <c r="C184" s="920" t="s">
        <v>2665</v>
      </c>
      <c r="D184" s="857">
        <v>0</v>
      </c>
      <c r="E184" s="824">
        <v>0</v>
      </c>
      <c r="F184" s="1076">
        <v>0</v>
      </c>
      <c r="G184" s="1413">
        <v>0</v>
      </c>
      <c r="H184" s="1413"/>
      <c r="I184" s="1411" t="e">
        <f t="shared" si="47"/>
        <v>#DIV/0!</v>
      </c>
      <c r="J184" s="815" t="e">
        <f t="shared" si="48"/>
        <v>#DIV/0!</v>
      </c>
      <c r="K184" s="804" t="s">
        <v>3253</v>
      </c>
      <c r="L184" s="804"/>
      <c r="M184" s="824">
        <v>1</v>
      </c>
      <c r="N184" s="1498">
        <f t="shared" si="55"/>
        <v>0</v>
      </c>
      <c r="O184" s="1500">
        <f t="shared" si="56"/>
        <v>0</v>
      </c>
      <c r="P184" s="733">
        <v>0</v>
      </c>
      <c r="Q184" s="1485">
        <f t="shared" si="59"/>
        <v>0</v>
      </c>
      <c r="R184" s="1486">
        <f t="shared" si="60"/>
        <v>0</v>
      </c>
      <c r="S184" s="806"/>
      <c r="T184" s="807"/>
      <c r="U184" s="806"/>
      <c r="V184" s="807"/>
      <c r="W184" s="807"/>
      <c r="X184" s="807"/>
      <c r="Y184" s="806"/>
      <c r="Z184" s="806"/>
      <c r="AA184" s="806"/>
      <c r="AB184" s="552"/>
      <c r="AC184" s="1506" t="s">
        <v>1840</v>
      </c>
      <c r="AD184" s="974" t="s">
        <v>1849</v>
      </c>
      <c r="AE184" s="1642"/>
    </row>
    <row r="185" spans="1:31" ht="84" customHeight="1" x14ac:dyDescent="0.25">
      <c r="A185" s="1541"/>
      <c r="B185" s="1118" t="s">
        <v>3073</v>
      </c>
      <c r="C185" s="1138" t="s">
        <v>2652</v>
      </c>
      <c r="D185" s="855">
        <v>1</v>
      </c>
      <c r="E185" s="815">
        <v>1</v>
      </c>
      <c r="F185" s="1389">
        <v>0.95</v>
      </c>
      <c r="G185" s="1389">
        <v>0.93</v>
      </c>
      <c r="H185" s="1413"/>
      <c r="I185" s="1411">
        <f t="shared" si="47"/>
        <v>0.95</v>
      </c>
      <c r="J185" s="815">
        <f t="shared" si="48"/>
        <v>0.93</v>
      </c>
      <c r="K185" s="804" t="s">
        <v>3547</v>
      </c>
      <c r="L185" s="804"/>
      <c r="M185" s="815">
        <v>1</v>
      </c>
      <c r="N185" s="1498">
        <f t="shared" si="55"/>
        <v>2.88</v>
      </c>
      <c r="O185" s="1500">
        <f t="shared" si="56"/>
        <v>1</v>
      </c>
      <c r="P185" s="733">
        <f>1%*$P$180</f>
        <v>8.0000000000000004E-4</v>
      </c>
      <c r="Q185" s="1485">
        <f t="shared" si="59"/>
        <v>26935717.670000002</v>
      </c>
      <c r="R185" s="1486">
        <f t="shared" si="60"/>
        <v>7632520</v>
      </c>
      <c r="S185" s="806"/>
      <c r="T185" s="807"/>
      <c r="U185" s="806"/>
      <c r="V185" s="807"/>
      <c r="W185" s="807"/>
      <c r="X185" s="807"/>
      <c r="Y185" s="806"/>
      <c r="Z185" s="806"/>
      <c r="AA185" s="806"/>
      <c r="AB185" s="552"/>
      <c r="AC185" s="1506" t="s">
        <v>1840</v>
      </c>
      <c r="AD185" s="974" t="s">
        <v>1849</v>
      </c>
      <c r="AE185" s="1642"/>
    </row>
    <row r="186" spans="1:31" ht="86.25" customHeight="1" x14ac:dyDescent="0.25">
      <c r="A186" s="1541"/>
      <c r="B186" s="1118" t="s">
        <v>3074</v>
      </c>
      <c r="C186" s="922" t="s">
        <v>2665</v>
      </c>
      <c r="D186" s="857">
        <v>3</v>
      </c>
      <c r="E186" s="824">
        <v>6</v>
      </c>
      <c r="F186" s="1076">
        <v>16</v>
      </c>
      <c r="G186" s="1413">
        <v>11</v>
      </c>
      <c r="H186" s="1413"/>
      <c r="I186" s="1411">
        <f t="shared" si="47"/>
        <v>1</v>
      </c>
      <c r="J186" s="815">
        <f t="shared" si="48"/>
        <v>1</v>
      </c>
      <c r="K186" s="804" t="s">
        <v>3254</v>
      </c>
      <c r="L186" s="804"/>
      <c r="M186" s="824">
        <v>21</v>
      </c>
      <c r="N186" s="1498">
        <f t="shared" si="55"/>
        <v>33</v>
      </c>
      <c r="O186" s="1500">
        <f t="shared" si="56"/>
        <v>1</v>
      </c>
      <c r="P186" s="733">
        <f>2%*$P$180</f>
        <v>1.6000000000000001E-3</v>
      </c>
      <c r="Q186" s="1485">
        <f t="shared" si="59"/>
        <v>53871435.340000004</v>
      </c>
      <c r="R186" s="1486">
        <f t="shared" si="60"/>
        <v>15265040</v>
      </c>
      <c r="S186" s="806"/>
      <c r="T186" s="807"/>
      <c r="U186" s="806"/>
      <c r="V186" s="807"/>
      <c r="W186" s="807"/>
      <c r="X186" s="807"/>
      <c r="Y186" s="806"/>
      <c r="Z186" s="806"/>
      <c r="AA186" s="806"/>
      <c r="AB186" s="552"/>
      <c r="AC186" s="1506" t="s">
        <v>1840</v>
      </c>
      <c r="AD186" s="974" t="s">
        <v>1849</v>
      </c>
      <c r="AE186" s="1642"/>
    </row>
    <row r="187" spans="1:31" ht="45" x14ac:dyDescent="0.25">
      <c r="A187" s="1541"/>
      <c r="B187" s="1064" t="s">
        <v>3075</v>
      </c>
      <c r="C187" s="920" t="s">
        <v>2665</v>
      </c>
      <c r="D187" s="931">
        <v>15</v>
      </c>
      <c r="E187" s="824">
        <v>25</v>
      </c>
      <c r="F187" s="1076">
        <v>14</v>
      </c>
      <c r="G187" s="1413">
        <v>18</v>
      </c>
      <c r="H187" s="1413"/>
      <c r="I187" s="1411">
        <f t="shared" si="47"/>
        <v>0.93333333333333335</v>
      </c>
      <c r="J187" s="815">
        <f t="shared" si="48"/>
        <v>0.72</v>
      </c>
      <c r="K187" s="804"/>
      <c r="L187" s="804"/>
      <c r="M187" s="824">
        <v>90</v>
      </c>
      <c r="N187" s="1498">
        <f t="shared" si="55"/>
        <v>57</v>
      </c>
      <c r="O187" s="1500">
        <f t="shared" si="56"/>
        <v>0.6333333333333333</v>
      </c>
      <c r="P187" s="733">
        <f>1%*$P$180</f>
        <v>8.0000000000000004E-4</v>
      </c>
      <c r="Q187" s="1485">
        <f t="shared" si="59"/>
        <v>26935717.670000002</v>
      </c>
      <c r="R187" s="1486">
        <f t="shared" si="60"/>
        <v>7632520</v>
      </c>
      <c r="S187" s="806"/>
      <c r="T187" s="807"/>
      <c r="U187" s="806"/>
      <c r="V187" s="807"/>
      <c r="W187" s="807"/>
      <c r="X187" s="807"/>
      <c r="Y187" s="806"/>
      <c r="Z187" s="806"/>
      <c r="AA187" s="806"/>
      <c r="AB187" s="552"/>
      <c r="AC187" s="1506" t="s">
        <v>1840</v>
      </c>
      <c r="AD187" s="974" t="s">
        <v>1849</v>
      </c>
      <c r="AE187" s="1642"/>
    </row>
    <row r="188" spans="1:31" ht="38.25" x14ac:dyDescent="0.25">
      <c r="A188" s="1533" t="s">
        <v>2800</v>
      </c>
      <c r="B188" s="1108" t="s">
        <v>200</v>
      </c>
      <c r="C188" s="1138" t="s">
        <v>2652</v>
      </c>
      <c r="D188" s="855">
        <v>1</v>
      </c>
      <c r="E188" s="815">
        <v>1</v>
      </c>
      <c r="F188" s="1389">
        <v>0.91</v>
      </c>
      <c r="G188" s="1389">
        <f>'5PUEAA'!D8</f>
        <v>0.9</v>
      </c>
      <c r="H188" s="1413"/>
      <c r="I188" s="1411">
        <f t="shared" si="47"/>
        <v>0.91</v>
      </c>
      <c r="J188" s="815">
        <f t="shared" si="48"/>
        <v>0.9</v>
      </c>
      <c r="K188" s="560" t="s">
        <v>3554</v>
      </c>
      <c r="L188" s="560"/>
      <c r="M188" s="815">
        <v>1</v>
      </c>
      <c r="N188" s="1498">
        <f t="shared" si="55"/>
        <v>2.81</v>
      </c>
      <c r="O188" s="1500">
        <f t="shared" si="56"/>
        <v>1</v>
      </c>
      <c r="P188" s="733">
        <f>5%*$P$180</f>
        <v>4.0000000000000001E-3</v>
      </c>
      <c r="Q188" s="1485">
        <f t="shared" si="59"/>
        <v>134678588.34999999</v>
      </c>
      <c r="R188" s="1486">
        <f t="shared" si="60"/>
        <v>38162600</v>
      </c>
      <c r="S188" s="789"/>
      <c r="T188" s="745"/>
      <c r="U188" s="559"/>
      <c r="V188" s="745"/>
      <c r="W188" s="745"/>
      <c r="X188" s="745"/>
      <c r="Y188" s="559"/>
      <c r="Z188" s="559"/>
      <c r="AA188" s="559"/>
      <c r="AB188" s="552"/>
      <c r="AC188" s="1506" t="s">
        <v>1840</v>
      </c>
      <c r="AD188" s="974" t="s">
        <v>200</v>
      </c>
      <c r="AE188" s="1642"/>
    </row>
    <row r="189" spans="1:31" ht="45" x14ac:dyDescent="0.25">
      <c r="A189" s="1534"/>
      <c r="B189" s="1108" t="s">
        <v>162</v>
      </c>
      <c r="C189" s="1138" t="s">
        <v>2652</v>
      </c>
      <c r="D189" s="855">
        <v>1</v>
      </c>
      <c r="E189" s="929">
        <v>1</v>
      </c>
      <c r="F189" s="929">
        <v>0.92</v>
      </c>
      <c r="G189" s="828">
        <f>'3PSMV'!D8</f>
        <v>0.94444444444444442</v>
      </c>
      <c r="H189" s="1148"/>
      <c r="I189" s="1147">
        <f t="shared" si="47"/>
        <v>0.92</v>
      </c>
      <c r="J189" s="815">
        <f t="shared" si="48"/>
        <v>0.94444444444444442</v>
      </c>
      <c r="K189" s="561" t="s">
        <v>3555</v>
      </c>
      <c r="L189" s="561"/>
      <c r="M189" s="815">
        <v>1</v>
      </c>
      <c r="N189" s="1498">
        <f t="shared" si="55"/>
        <v>2.8644444444444446</v>
      </c>
      <c r="O189" s="1500">
        <f t="shared" si="56"/>
        <v>1</v>
      </c>
      <c r="P189" s="733">
        <f>5%*$P$180</f>
        <v>4.0000000000000001E-3</v>
      </c>
      <c r="Q189" s="1485">
        <f t="shared" si="59"/>
        <v>134678588.34999999</v>
      </c>
      <c r="R189" s="1486">
        <f t="shared" si="60"/>
        <v>38162600</v>
      </c>
      <c r="S189" s="1246"/>
      <c r="T189" s="751"/>
      <c r="U189" s="554"/>
      <c r="V189" s="751"/>
      <c r="W189" s="751"/>
      <c r="X189" s="751"/>
      <c r="Y189" s="554"/>
      <c r="Z189" s="554"/>
      <c r="AA189" s="554"/>
      <c r="AB189" s="552"/>
      <c r="AC189" s="1506" t="s">
        <v>1840</v>
      </c>
      <c r="AD189" s="974" t="s">
        <v>162</v>
      </c>
      <c r="AE189" s="1642"/>
    </row>
    <row r="190" spans="1:31" ht="44.25" customHeight="1" x14ac:dyDescent="0.25">
      <c r="A190" s="1534"/>
      <c r="B190" s="1108" t="s">
        <v>634</v>
      </c>
      <c r="C190" s="1138" t="s">
        <v>2652</v>
      </c>
      <c r="D190" s="855">
        <v>1</v>
      </c>
      <c r="E190" s="929">
        <v>1</v>
      </c>
      <c r="F190" s="929">
        <v>1</v>
      </c>
      <c r="G190" s="828">
        <f>'17PGIRS'!D8</f>
        <v>0.73333333333333328</v>
      </c>
      <c r="H190" s="1148"/>
      <c r="I190" s="1147">
        <f t="shared" si="47"/>
        <v>1</v>
      </c>
      <c r="J190" s="815">
        <f t="shared" si="48"/>
        <v>0.73333333333333328</v>
      </c>
      <c r="K190" s="561" t="s">
        <v>3556</v>
      </c>
      <c r="L190" s="561"/>
      <c r="M190" s="815">
        <v>1</v>
      </c>
      <c r="N190" s="1498">
        <f t="shared" si="55"/>
        <v>2.7333333333333334</v>
      </c>
      <c r="O190" s="1500">
        <f t="shared" si="56"/>
        <v>1</v>
      </c>
      <c r="P190" s="733">
        <f>5%*$P$180</f>
        <v>4.0000000000000001E-3</v>
      </c>
      <c r="Q190" s="1485">
        <f t="shared" si="59"/>
        <v>134678588.34999999</v>
      </c>
      <c r="R190" s="1486">
        <f t="shared" si="60"/>
        <v>38162600</v>
      </c>
      <c r="S190" s="1246"/>
      <c r="T190" s="751"/>
      <c r="U190" s="554"/>
      <c r="V190" s="751"/>
      <c r="W190" s="751"/>
      <c r="X190" s="751"/>
      <c r="Y190" s="554"/>
      <c r="Z190" s="554"/>
      <c r="AA190" s="554"/>
      <c r="AB190" s="552"/>
      <c r="AC190" s="1506" t="s">
        <v>1840</v>
      </c>
      <c r="AD190" s="974" t="s">
        <v>634</v>
      </c>
      <c r="AE190" s="1642"/>
    </row>
    <row r="191" spans="1:31" ht="63.75" x14ac:dyDescent="0.25">
      <c r="A191" s="1534"/>
      <c r="B191" s="1108" t="s">
        <v>883</v>
      </c>
      <c r="C191" s="1138" t="s">
        <v>2652</v>
      </c>
      <c r="D191" s="855">
        <v>1</v>
      </c>
      <c r="E191" s="929">
        <v>1</v>
      </c>
      <c r="F191" s="929">
        <v>0.81</v>
      </c>
      <c r="G191" s="828">
        <f>'22Autor'!D8</f>
        <v>0.69494791888301011</v>
      </c>
      <c r="H191" s="1148"/>
      <c r="I191" s="1147">
        <f t="shared" si="47"/>
        <v>0.81</v>
      </c>
      <c r="J191" s="815">
        <f t="shared" si="48"/>
        <v>0.69494791888301011</v>
      </c>
      <c r="K191" s="561" t="s">
        <v>3557</v>
      </c>
      <c r="L191" s="561"/>
      <c r="M191" s="815">
        <v>1</v>
      </c>
      <c r="N191" s="1498">
        <f t="shared" si="55"/>
        <v>2.5049479188830102</v>
      </c>
      <c r="O191" s="1500">
        <f t="shared" si="56"/>
        <v>1</v>
      </c>
      <c r="P191" s="733">
        <f>15%*$P$180</f>
        <v>1.2E-2</v>
      </c>
      <c r="Q191" s="1485">
        <f t="shared" si="59"/>
        <v>404035765.05000001</v>
      </c>
      <c r="R191" s="1486">
        <f t="shared" si="60"/>
        <v>114487800</v>
      </c>
      <c r="S191" s="1246"/>
      <c r="T191" s="751"/>
      <c r="U191" s="554"/>
      <c r="V191" s="751"/>
      <c r="W191" s="751"/>
      <c r="X191" s="751"/>
      <c r="Y191" s="554"/>
      <c r="Z191" s="554"/>
      <c r="AA191" s="554"/>
      <c r="AB191" s="552"/>
      <c r="AC191" s="1506" t="s">
        <v>1840</v>
      </c>
      <c r="AD191" s="974" t="s">
        <v>883</v>
      </c>
      <c r="AE191" s="1642"/>
    </row>
    <row r="192" spans="1:31" ht="38.25" x14ac:dyDescent="0.25">
      <c r="A192" s="1535"/>
      <c r="B192" s="1044" t="s">
        <v>3076</v>
      </c>
      <c r="C192" s="932" t="s">
        <v>2665</v>
      </c>
      <c r="D192" s="857">
        <v>1</v>
      </c>
      <c r="E192" s="930">
        <v>2</v>
      </c>
      <c r="F192" s="930">
        <v>1</v>
      </c>
      <c r="G192" s="1148">
        <v>1</v>
      </c>
      <c r="H192" s="1148"/>
      <c r="I192" s="1147">
        <f t="shared" si="47"/>
        <v>1</v>
      </c>
      <c r="J192" s="815">
        <f t="shared" si="48"/>
        <v>0.5</v>
      </c>
      <c r="K192" s="561"/>
      <c r="L192" s="561"/>
      <c r="M192" s="824">
        <v>7</v>
      </c>
      <c r="N192" s="1498">
        <f t="shared" si="55"/>
        <v>4</v>
      </c>
      <c r="O192" s="1500">
        <f t="shared" si="56"/>
        <v>0.5714285714285714</v>
      </c>
      <c r="P192" s="733">
        <f>3%*$P$180</f>
        <v>2.3999999999999998E-3</v>
      </c>
      <c r="Q192" s="1485">
        <f t="shared" si="59"/>
        <v>80807153.00999999</v>
      </c>
      <c r="R192" s="1486">
        <f t="shared" si="60"/>
        <v>22897559.999999996</v>
      </c>
      <c r="S192" s="1246"/>
      <c r="T192" s="751"/>
      <c r="U192" s="554"/>
      <c r="V192" s="751"/>
      <c r="W192" s="751"/>
      <c r="X192" s="751"/>
      <c r="Y192" s="554"/>
      <c r="Z192" s="554"/>
      <c r="AA192" s="554"/>
      <c r="AB192" s="552"/>
      <c r="AC192" s="1506" t="s">
        <v>1840</v>
      </c>
      <c r="AD192" s="974" t="s">
        <v>1849</v>
      </c>
      <c r="AE192" s="1642"/>
    </row>
    <row r="193" spans="1:31" ht="45" x14ac:dyDescent="0.25">
      <c r="A193" s="1524" t="s">
        <v>2801</v>
      </c>
      <c r="B193" s="1108" t="s">
        <v>3077</v>
      </c>
      <c r="C193" s="1141" t="s">
        <v>2802</v>
      </c>
      <c r="D193" s="890">
        <v>90</v>
      </c>
      <c r="E193" s="933">
        <v>90</v>
      </c>
      <c r="F193" s="933">
        <v>89</v>
      </c>
      <c r="G193" s="1479">
        <f>+'21TiempoT'!E57</f>
        <v>58.333333333333336</v>
      </c>
      <c r="H193" s="1148"/>
      <c r="I193" s="1147">
        <f t="shared" si="47"/>
        <v>0.98888888888888893</v>
      </c>
      <c r="J193" s="815">
        <f>+'21TiempoT'!G57</f>
        <v>1</v>
      </c>
      <c r="K193" s="561"/>
      <c r="L193" s="561"/>
      <c r="M193" s="890">
        <v>90</v>
      </c>
      <c r="N193" s="1498">
        <f t="shared" si="55"/>
        <v>237.33333333333334</v>
      </c>
      <c r="O193" s="1500">
        <f t="shared" si="56"/>
        <v>1</v>
      </c>
      <c r="P193" s="733">
        <f>15%*$P$180</f>
        <v>1.2E-2</v>
      </c>
      <c r="Q193" s="1485">
        <f t="shared" si="59"/>
        <v>404035765.05000001</v>
      </c>
      <c r="R193" s="1486">
        <f t="shared" si="60"/>
        <v>114487800</v>
      </c>
      <c r="S193" s="1246"/>
      <c r="T193" s="751"/>
      <c r="U193" s="554"/>
      <c r="V193" s="751"/>
      <c r="W193" s="751"/>
      <c r="X193" s="751"/>
      <c r="Y193" s="554"/>
      <c r="Z193" s="554"/>
      <c r="AA193" s="554"/>
      <c r="AB193" s="555"/>
      <c r="AC193" s="1506" t="s">
        <v>1840</v>
      </c>
      <c r="AD193" s="974" t="s">
        <v>835</v>
      </c>
      <c r="AE193" s="1642"/>
    </row>
    <row r="194" spans="1:31" ht="60" customHeight="1" x14ac:dyDescent="0.25">
      <c r="A194" s="1525"/>
      <c r="B194" s="1041" t="s">
        <v>3078</v>
      </c>
      <c r="C194" s="928" t="s">
        <v>2652</v>
      </c>
      <c r="D194" s="828">
        <v>0.6</v>
      </c>
      <c r="E194" s="934">
        <v>0.65</v>
      </c>
      <c r="F194" s="934">
        <v>0.6</v>
      </c>
      <c r="G194" s="1148">
        <v>0</v>
      </c>
      <c r="H194" s="1148"/>
      <c r="I194" s="1147">
        <f t="shared" si="47"/>
        <v>1</v>
      </c>
      <c r="J194" s="815">
        <f t="shared" si="48"/>
        <v>0</v>
      </c>
      <c r="K194" s="561"/>
      <c r="L194" s="561"/>
      <c r="M194" s="828">
        <v>0.7</v>
      </c>
      <c r="N194" s="1498">
        <f t="shared" si="55"/>
        <v>1.25</v>
      </c>
      <c r="O194" s="1500">
        <f t="shared" si="56"/>
        <v>1</v>
      </c>
      <c r="P194" s="733">
        <f>5%*$P$180</f>
        <v>4.0000000000000001E-3</v>
      </c>
      <c r="Q194" s="1485">
        <f t="shared" si="59"/>
        <v>134678588.34999999</v>
      </c>
      <c r="R194" s="1486">
        <f t="shared" si="60"/>
        <v>38162600</v>
      </c>
      <c r="S194" s="1246"/>
      <c r="T194" s="751"/>
      <c r="U194" s="554"/>
      <c r="V194" s="751"/>
      <c r="W194" s="751"/>
      <c r="X194" s="751"/>
      <c r="Y194" s="554"/>
      <c r="Z194" s="554"/>
      <c r="AA194" s="554"/>
      <c r="AB194" s="555"/>
      <c r="AC194" s="1506" t="s">
        <v>1840</v>
      </c>
      <c r="AD194" s="974" t="s">
        <v>835</v>
      </c>
      <c r="AE194" s="1642"/>
    </row>
    <row r="195" spans="1:31" ht="39" thickBot="1" x14ac:dyDescent="0.3">
      <c r="A195" s="935" t="s">
        <v>2803</v>
      </c>
      <c r="B195" s="1142" t="s">
        <v>947</v>
      </c>
      <c r="C195" s="923" t="s">
        <v>2652</v>
      </c>
      <c r="D195" s="828">
        <v>0.5</v>
      </c>
      <c r="E195" s="936">
        <v>0.65</v>
      </c>
      <c r="F195" s="936">
        <f>'[2]23Sanc'!E9</f>
        <v>0</v>
      </c>
      <c r="G195" s="828">
        <f>'23Sanc'!D8</f>
        <v>2.2260273972602738E-2</v>
      </c>
      <c r="H195" s="1148"/>
      <c r="I195" s="1147">
        <f t="shared" si="47"/>
        <v>0</v>
      </c>
      <c r="J195" s="815">
        <f t="shared" si="48"/>
        <v>3.4246575342465752E-2</v>
      </c>
      <c r="K195" s="561"/>
      <c r="L195" s="561"/>
      <c r="M195" s="828">
        <v>0.7</v>
      </c>
      <c r="N195" s="1498">
        <f t="shared" si="55"/>
        <v>0.6722602739726028</v>
      </c>
      <c r="O195" s="1500">
        <f t="shared" si="56"/>
        <v>0.96037181996086118</v>
      </c>
      <c r="P195" s="733">
        <f>5%*$P$180</f>
        <v>4.0000000000000001E-3</v>
      </c>
      <c r="Q195" s="1485">
        <f t="shared" si="59"/>
        <v>134678588.34999999</v>
      </c>
      <c r="R195" s="1486">
        <f t="shared" si="60"/>
        <v>38162600</v>
      </c>
      <c r="S195" s="1246"/>
      <c r="T195" s="751"/>
      <c r="U195" s="554"/>
      <c r="V195" s="751"/>
      <c r="W195" s="751"/>
      <c r="X195" s="751"/>
      <c r="Y195" s="554"/>
      <c r="Z195" s="554"/>
      <c r="AA195" s="554"/>
      <c r="AB195" s="555"/>
      <c r="AC195" s="1506" t="s">
        <v>1840</v>
      </c>
      <c r="AD195" s="974" t="s">
        <v>947</v>
      </c>
      <c r="AE195" s="1642"/>
    </row>
    <row r="196" spans="1:31" ht="15.75" customHeight="1" thickBot="1" x14ac:dyDescent="0.3">
      <c r="A196" s="937" t="s">
        <v>2848</v>
      </c>
      <c r="B196" s="937"/>
      <c r="C196" s="938"/>
      <c r="D196" s="938"/>
      <c r="E196" s="938"/>
      <c r="F196" s="938"/>
      <c r="G196" s="1148"/>
      <c r="H196" s="1148"/>
      <c r="I196" s="1396">
        <v>0.28000000000000003</v>
      </c>
      <c r="J196" s="1397">
        <f>+(J197+J198+J199+J200+J201+J202+J203)/7</f>
        <v>1.1904761904761904E-2</v>
      </c>
      <c r="K196" s="561"/>
      <c r="L196" s="561"/>
      <c r="M196" s="938"/>
      <c r="N196" s="1498">
        <f t="shared" si="55"/>
        <v>0</v>
      </c>
      <c r="O196" s="1500" t="e">
        <f t="shared" si="56"/>
        <v>#DIV/0!</v>
      </c>
      <c r="P196" s="1244">
        <v>7.0000000000000007E-2</v>
      </c>
      <c r="Q196" s="1483">
        <f>'informe Gastos'!Y99</f>
        <v>667478160.21000004</v>
      </c>
      <c r="R196" s="1483">
        <f>'informe Gastos'!Z99</f>
        <v>460381055</v>
      </c>
      <c r="S196" s="1246">
        <f t="shared" ref="S196" si="61">+R196/Q196</f>
        <v>0.68973201288736741</v>
      </c>
      <c r="T196" s="1483">
        <f>'informe Gastos'!AA99</f>
        <v>106962118.75</v>
      </c>
      <c r="U196" s="1490">
        <f>+T196/R196</f>
        <v>0.23233388426463378</v>
      </c>
      <c r="V196" s="746">
        <f t="shared" ref="V196" si="62">+R196-T196</f>
        <v>353418936.25</v>
      </c>
      <c r="W196" s="751"/>
      <c r="X196" s="751"/>
      <c r="Y196" s="554">
        <f>(383663291+374225525+422990000+446678000)+1618818303-22000000</f>
        <v>3224375119</v>
      </c>
      <c r="Z196" s="554">
        <f>1935959467+R196</f>
        <v>2396340522</v>
      </c>
      <c r="AA196" s="789">
        <f>+Z196/Y196</f>
        <v>0.74319532733002702</v>
      </c>
      <c r="AB196" s="969"/>
      <c r="AC196" s="1506"/>
      <c r="AD196" s="974"/>
      <c r="AE196" s="1642"/>
    </row>
    <row r="197" spans="1:31" ht="38.25" x14ac:dyDescent="0.25">
      <c r="A197" s="1526" t="s">
        <v>2804</v>
      </c>
      <c r="B197" s="1131" t="s">
        <v>3079</v>
      </c>
      <c r="C197" s="1143" t="s">
        <v>2665</v>
      </c>
      <c r="D197" s="939">
        <v>30</v>
      </c>
      <c r="E197" s="939">
        <v>40</v>
      </c>
      <c r="F197" s="939">
        <v>0</v>
      </c>
      <c r="G197" s="1148">
        <v>0</v>
      </c>
      <c r="H197" s="1148"/>
      <c r="I197" s="1147">
        <f t="shared" si="47"/>
        <v>0</v>
      </c>
      <c r="J197" s="815">
        <f t="shared" si="48"/>
        <v>0</v>
      </c>
      <c r="K197" s="561"/>
      <c r="L197" s="561"/>
      <c r="M197" s="939">
        <v>165</v>
      </c>
      <c r="N197" s="1498">
        <f t="shared" si="55"/>
        <v>40</v>
      </c>
      <c r="O197" s="1500">
        <f t="shared" si="56"/>
        <v>0.24242424242424243</v>
      </c>
      <c r="P197" s="562"/>
      <c r="Q197" s="1485">
        <f>Q$196*P197/P$196</f>
        <v>0</v>
      </c>
      <c r="R197" s="1486">
        <f>R$196*P197/P$196</f>
        <v>0</v>
      </c>
      <c r="S197" s="554"/>
      <c r="T197" s="751"/>
      <c r="U197" s="554"/>
      <c r="V197" s="751">
        <f t="shared" ref="V197:V204" si="63">+R197-T197</f>
        <v>0</v>
      </c>
      <c r="W197" s="751"/>
      <c r="X197" s="751"/>
      <c r="Y197" s="554"/>
      <c r="Z197" s="554"/>
      <c r="AA197" s="554"/>
      <c r="AB197" s="726"/>
      <c r="AC197" s="1506" t="s">
        <v>1840</v>
      </c>
      <c r="AD197" s="974" t="s">
        <v>1849</v>
      </c>
      <c r="AE197" s="1642"/>
    </row>
    <row r="198" spans="1:31" ht="38.25" x14ac:dyDescent="0.25">
      <c r="A198" s="1527"/>
      <c r="B198" s="1116" t="s">
        <v>3080</v>
      </c>
      <c r="C198" s="1141" t="s">
        <v>2665</v>
      </c>
      <c r="D198" s="940">
        <v>20</v>
      </c>
      <c r="E198" s="940">
        <v>20</v>
      </c>
      <c r="F198" s="940">
        <v>0</v>
      </c>
      <c r="G198" s="1148">
        <v>0</v>
      </c>
      <c r="H198" s="1148"/>
      <c r="I198" s="1147">
        <f t="shared" si="47"/>
        <v>0</v>
      </c>
      <c r="J198" s="815">
        <f t="shared" si="48"/>
        <v>0</v>
      </c>
      <c r="K198" s="561"/>
      <c r="L198" s="561"/>
      <c r="M198" s="940">
        <v>80</v>
      </c>
      <c r="N198" s="1498">
        <f t="shared" si="55"/>
        <v>20</v>
      </c>
      <c r="O198" s="1500">
        <f t="shared" si="56"/>
        <v>0.25</v>
      </c>
      <c r="P198" s="562"/>
      <c r="Q198" s="1485">
        <f t="shared" ref="Q198:Q203" si="64">Q$196*P198/P$196</f>
        <v>0</v>
      </c>
      <c r="R198" s="1486">
        <f t="shared" ref="R198:R203" si="65">R$196*P198/P$196</f>
        <v>0</v>
      </c>
      <c r="S198" s="554"/>
      <c r="T198" s="751"/>
      <c r="U198" s="554"/>
      <c r="V198" s="751">
        <f t="shared" si="63"/>
        <v>0</v>
      </c>
      <c r="W198" s="751"/>
      <c r="X198" s="751"/>
      <c r="Y198" s="554"/>
      <c r="Z198" s="554"/>
      <c r="AA198" s="554"/>
      <c r="AB198" s="555"/>
      <c r="AC198" s="1506" t="s">
        <v>1840</v>
      </c>
      <c r="AD198" s="974" t="s">
        <v>1849</v>
      </c>
      <c r="AE198" s="1642"/>
    </row>
    <row r="199" spans="1:31" ht="35.25" customHeight="1" x14ac:dyDescent="0.25">
      <c r="A199" s="1528" t="s">
        <v>2805</v>
      </c>
      <c r="B199" s="1116" t="s">
        <v>3081</v>
      </c>
      <c r="C199" s="1138" t="s">
        <v>2652</v>
      </c>
      <c r="D199" s="828">
        <v>0</v>
      </c>
      <c r="E199" s="828">
        <v>1</v>
      </c>
      <c r="F199" s="828">
        <v>0</v>
      </c>
      <c r="G199" s="1148">
        <v>0</v>
      </c>
      <c r="H199" s="1148"/>
      <c r="I199" s="1147" t="e">
        <f t="shared" si="47"/>
        <v>#DIV/0!</v>
      </c>
      <c r="J199" s="815">
        <f t="shared" si="48"/>
        <v>0</v>
      </c>
      <c r="K199" s="561"/>
      <c r="L199" s="561"/>
      <c r="M199" s="940">
        <v>100</v>
      </c>
      <c r="N199" s="1498">
        <f t="shared" si="55"/>
        <v>1</v>
      </c>
      <c r="O199" s="1500">
        <f t="shared" si="56"/>
        <v>0.01</v>
      </c>
      <c r="P199" s="562"/>
      <c r="Q199" s="1485">
        <f t="shared" si="64"/>
        <v>0</v>
      </c>
      <c r="R199" s="1486">
        <f t="shared" si="65"/>
        <v>0</v>
      </c>
      <c r="S199" s="554"/>
      <c r="T199" s="751"/>
      <c r="U199" s="554"/>
      <c r="V199" s="751">
        <f t="shared" si="63"/>
        <v>0</v>
      </c>
      <c r="W199" s="751"/>
      <c r="X199" s="751"/>
      <c r="Y199" s="554"/>
      <c r="Z199" s="554"/>
      <c r="AA199" s="554"/>
      <c r="AB199" s="555"/>
      <c r="AC199" s="1506" t="s">
        <v>1840</v>
      </c>
      <c r="AD199" s="974" t="s">
        <v>997</v>
      </c>
      <c r="AE199" s="1642"/>
    </row>
    <row r="200" spans="1:31" ht="38.25" x14ac:dyDescent="0.25">
      <c r="A200" s="1528"/>
      <c r="B200" s="1116" t="s">
        <v>3082</v>
      </c>
      <c r="C200" s="1144" t="s">
        <v>2652</v>
      </c>
      <c r="D200" s="828">
        <v>0</v>
      </c>
      <c r="E200" s="828">
        <v>0.4</v>
      </c>
      <c r="F200" s="828">
        <v>0</v>
      </c>
      <c r="G200" s="1148">
        <v>0</v>
      </c>
      <c r="H200" s="1148"/>
      <c r="I200" s="1147" t="e">
        <f t="shared" si="47"/>
        <v>#DIV/0!</v>
      </c>
      <c r="J200" s="815">
        <f t="shared" si="48"/>
        <v>0</v>
      </c>
      <c r="K200" s="561"/>
      <c r="L200" s="561"/>
      <c r="M200" s="940">
        <v>50</v>
      </c>
      <c r="N200" s="1498">
        <f t="shared" si="55"/>
        <v>0.4</v>
      </c>
      <c r="O200" s="1500">
        <f t="shared" si="56"/>
        <v>8.0000000000000002E-3</v>
      </c>
      <c r="P200" s="562"/>
      <c r="Q200" s="1485">
        <f t="shared" si="64"/>
        <v>0</v>
      </c>
      <c r="R200" s="1486">
        <f t="shared" si="65"/>
        <v>0</v>
      </c>
      <c r="S200" s="554"/>
      <c r="T200" s="751"/>
      <c r="U200" s="554"/>
      <c r="V200" s="751">
        <f t="shared" si="63"/>
        <v>0</v>
      </c>
      <c r="W200" s="751"/>
      <c r="X200" s="751"/>
      <c r="Y200" s="554"/>
      <c r="Z200" s="554"/>
      <c r="AA200" s="554"/>
      <c r="AB200" s="555"/>
      <c r="AC200" s="1506" t="s">
        <v>1840</v>
      </c>
      <c r="AD200" s="974" t="s">
        <v>997</v>
      </c>
      <c r="AE200" s="1642"/>
    </row>
    <row r="201" spans="1:31" ht="38.25" x14ac:dyDescent="0.25">
      <c r="A201" s="1528"/>
      <c r="B201" s="1116" t="s">
        <v>3083</v>
      </c>
      <c r="C201" s="1138" t="s">
        <v>2652</v>
      </c>
      <c r="D201" s="828">
        <v>0</v>
      </c>
      <c r="E201" s="828">
        <v>1</v>
      </c>
      <c r="F201" s="828">
        <v>0</v>
      </c>
      <c r="G201" s="1148">
        <v>0</v>
      </c>
      <c r="H201" s="1148"/>
      <c r="I201" s="1147" t="e">
        <f t="shared" si="47"/>
        <v>#DIV/0!</v>
      </c>
      <c r="J201" s="815">
        <f t="shared" si="48"/>
        <v>0</v>
      </c>
      <c r="K201" s="561"/>
      <c r="L201" s="561"/>
      <c r="M201" s="828">
        <v>1</v>
      </c>
      <c r="N201" s="1498">
        <f t="shared" si="55"/>
        <v>1</v>
      </c>
      <c r="O201" s="1500">
        <f t="shared" si="56"/>
        <v>1</v>
      </c>
      <c r="P201" s="562"/>
      <c r="Q201" s="1485">
        <f t="shared" si="64"/>
        <v>0</v>
      </c>
      <c r="R201" s="1486">
        <f t="shared" si="65"/>
        <v>0</v>
      </c>
      <c r="S201" s="554"/>
      <c r="T201" s="751"/>
      <c r="U201" s="554"/>
      <c r="V201" s="751">
        <f t="shared" si="63"/>
        <v>0</v>
      </c>
      <c r="W201" s="751"/>
      <c r="X201" s="751"/>
      <c r="Y201" s="554"/>
      <c r="Z201" s="554"/>
      <c r="AA201" s="554"/>
      <c r="AB201" s="555"/>
      <c r="AC201" s="1506" t="s">
        <v>1840</v>
      </c>
      <c r="AD201" s="974" t="s">
        <v>997</v>
      </c>
      <c r="AE201" s="1642"/>
    </row>
    <row r="202" spans="1:31" ht="38.25" x14ac:dyDescent="0.25">
      <c r="A202" s="1528"/>
      <c r="B202" s="1116" t="s">
        <v>3084</v>
      </c>
      <c r="C202" s="1138" t="s">
        <v>2652</v>
      </c>
      <c r="D202" s="828">
        <v>0</v>
      </c>
      <c r="E202" s="940">
        <v>100</v>
      </c>
      <c r="F202" s="940">
        <v>0</v>
      </c>
      <c r="G202" s="1148">
        <v>0</v>
      </c>
      <c r="H202" s="1148"/>
      <c r="I202" s="1147" t="e">
        <f t="shared" si="47"/>
        <v>#DIV/0!</v>
      </c>
      <c r="J202" s="815">
        <f t="shared" si="48"/>
        <v>0</v>
      </c>
      <c r="K202" s="561"/>
      <c r="L202" s="561"/>
      <c r="M202" s="828">
        <v>1</v>
      </c>
      <c r="N202" s="1498">
        <f t="shared" si="55"/>
        <v>100</v>
      </c>
      <c r="O202" s="1500">
        <f t="shared" si="56"/>
        <v>1</v>
      </c>
      <c r="P202" s="562"/>
      <c r="Q202" s="1485">
        <f t="shared" si="64"/>
        <v>0</v>
      </c>
      <c r="R202" s="1486">
        <f t="shared" si="65"/>
        <v>0</v>
      </c>
      <c r="S202" s="554"/>
      <c r="T202" s="751"/>
      <c r="U202" s="554"/>
      <c r="V202" s="751">
        <f t="shared" si="63"/>
        <v>0</v>
      </c>
      <c r="W202" s="751"/>
      <c r="X202" s="751"/>
      <c r="Y202" s="554"/>
      <c r="Z202" s="554"/>
      <c r="AA202" s="554"/>
      <c r="AB202" s="555"/>
      <c r="AC202" s="1506" t="s">
        <v>1840</v>
      </c>
      <c r="AD202" s="974" t="s">
        <v>997</v>
      </c>
      <c r="AE202" s="1642"/>
    </row>
    <row r="203" spans="1:31" ht="39" thickBot="1" x14ac:dyDescent="0.3">
      <c r="A203" s="1529"/>
      <c r="B203" s="1116" t="s">
        <v>3085</v>
      </c>
      <c r="C203" s="1141" t="s">
        <v>2665</v>
      </c>
      <c r="D203" s="940">
        <v>12</v>
      </c>
      <c r="E203" s="940">
        <v>12</v>
      </c>
      <c r="F203" s="940">
        <v>10</v>
      </c>
      <c r="G203" s="1148">
        <v>1</v>
      </c>
      <c r="H203" s="1148"/>
      <c r="I203" s="1147">
        <f t="shared" si="47"/>
        <v>0.83333333333333337</v>
      </c>
      <c r="J203" s="815">
        <f t="shared" si="48"/>
        <v>8.3333333333333329E-2</v>
      </c>
      <c r="K203" s="561"/>
      <c r="L203" s="561"/>
      <c r="M203" s="940">
        <v>12</v>
      </c>
      <c r="N203" s="1498">
        <f t="shared" si="55"/>
        <v>23</v>
      </c>
      <c r="O203" s="1500">
        <f t="shared" si="56"/>
        <v>1</v>
      </c>
      <c r="P203" s="563"/>
      <c r="Q203" s="1485">
        <f t="shared" si="64"/>
        <v>0</v>
      </c>
      <c r="R203" s="1486">
        <f t="shared" si="65"/>
        <v>0</v>
      </c>
      <c r="S203" s="554"/>
      <c r="T203" s="751"/>
      <c r="U203" s="554"/>
      <c r="V203" s="751">
        <f t="shared" si="63"/>
        <v>0</v>
      </c>
      <c r="W203" s="751"/>
      <c r="X203" s="751"/>
      <c r="Y203" s="554"/>
      <c r="Z203" s="554"/>
      <c r="AA203" s="554"/>
      <c r="AB203" s="555"/>
      <c r="AC203" s="1506" t="s">
        <v>1840</v>
      </c>
      <c r="AD203" s="974" t="s">
        <v>947</v>
      </c>
      <c r="AE203" s="1647"/>
    </row>
    <row r="204" spans="1:31" ht="26.25" customHeight="1" thickBot="1" x14ac:dyDescent="0.3">
      <c r="A204" s="1512" t="s">
        <v>1265</v>
      </c>
      <c r="B204" s="1513"/>
      <c r="C204" s="1145"/>
      <c r="D204" s="564"/>
      <c r="E204" s="783"/>
      <c r="F204" s="783"/>
      <c r="G204" s="783"/>
      <c r="H204" s="783"/>
      <c r="I204" s="1248">
        <f>SUM(I8+I39+I66+I113+I143+I179)/6</f>
        <v>0.90125</v>
      </c>
      <c r="J204" s="1248">
        <f ca="1">SUM(J8+J39+J66+J113+J143+J179)/6</f>
        <v>0.44298099758871529</v>
      </c>
      <c r="K204" s="564"/>
      <c r="L204" s="736">
        <f>+(L8*$P$8)</f>
        <v>0</v>
      </c>
      <c r="M204" s="564"/>
      <c r="N204" s="564"/>
      <c r="O204" s="736" t="e">
        <f ca="1">+(O8*$P$8)</f>
        <v>#DIV/0!</v>
      </c>
      <c r="P204" s="1247">
        <f>SUM(P8+P39+P66+P113+P143+P179)</f>
        <v>1</v>
      </c>
      <c r="Q204" s="744">
        <f>SUM(Q8+Q39+Q66+Q113+Q143+Q179)</f>
        <v>38356313162.170006</v>
      </c>
      <c r="R204" s="744">
        <f>SUM(R8+R39+R66+R113+R143+R179)</f>
        <v>25856206970.290001</v>
      </c>
      <c r="S204" s="1491">
        <f>R204/Q204</f>
        <v>0.67410563838527138</v>
      </c>
      <c r="T204" s="744">
        <f>SUM(T8+T39+T66+T113+T143+T179)</f>
        <v>8411793539.4799995</v>
      </c>
      <c r="U204" s="737">
        <f t="shared" ref="U204" si="66">+T204/R204</f>
        <v>0.3253297573439734</v>
      </c>
      <c r="V204" s="744">
        <f t="shared" si="63"/>
        <v>17444413430.810001</v>
      </c>
      <c r="W204" s="744"/>
      <c r="X204" s="744"/>
      <c r="Y204" s="744">
        <f>SUM(Y8+Y39+Y66+Y113+Y143+Y179)</f>
        <v>99996667450.419998</v>
      </c>
      <c r="Z204" s="744">
        <f>SUM(Z8+Z39+Z66+Z113+Z143+Z179)</f>
        <v>62395975210.209999</v>
      </c>
      <c r="AA204" s="737">
        <f>+Z204/Y204</f>
        <v>0.6239805465631838</v>
      </c>
      <c r="AB204" s="565"/>
    </row>
    <row r="205" spans="1:31" ht="19.5" customHeight="1" x14ac:dyDescent="0.25">
      <c r="A205" s="1592" t="s">
        <v>1266</v>
      </c>
      <c r="B205" s="1592"/>
      <c r="C205" s="1592"/>
      <c r="D205" s="1592"/>
      <c r="E205" s="1592"/>
      <c r="F205" s="1592"/>
      <c r="G205" s="1592"/>
      <c r="H205" s="1592"/>
      <c r="I205" s="1592"/>
      <c r="J205" s="1592"/>
      <c r="K205" s="1592"/>
      <c r="L205" s="1592"/>
      <c r="M205" s="1592"/>
      <c r="N205" s="1592"/>
      <c r="O205" s="1592"/>
      <c r="P205" s="1592"/>
      <c r="Q205" s="1592"/>
      <c r="R205" s="1592"/>
      <c r="S205" s="1592"/>
      <c r="T205" s="1592"/>
      <c r="U205" s="1592"/>
      <c r="V205" s="1592"/>
      <c r="W205" s="1592"/>
      <c r="X205" s="1592"/>
      <c r="Y205" s="1592"/>
      <c r="Z205" s="1592"/>
      <c r="AA205" s="1592"/>
      <c r="AB205" s="1592"/>
    </row>
    <row r="206" spans="1:31" x14ac:dyDescent="0.25">
      <c r="AB206" s="566"/>
    </row>
    <row r="207" spans="1:31" ht="23.25" customHeight="1" x14ac:dyDescent="0.25">
      <c r="A207" s="1589"/>
      <c r="B207" s="1589"/>
      <c r="C207" s="1589"/>
      <c r="D207" s="1589"/>
      <c r="E207" s="1589"/>
      <c r="F207" s="1589"/>
      <c r="G207" s="1589"/>
      <c r="H207" s="1589"/>
      <c r="I207" s="1589"/>
      <c r="J207" s="1589"/>
      <c r="K207" s="1589"/>
      <c r="L207" s="1589"/>
      <c r="M207" s="1589"/>
      <c r="N207" s="1589"/>
      <c r="O207" s="1589"/>
      <c r="P207" s="1589"/>
      <c r="Q207" s="1589"/>
      <c r="R207" s="1589"/>
      <c r="S207" s="1589"/>
      <c r="T207" s="1589"/>
      <c r="U207" s="1589"/>
      <c r="V207" s="1589"/>
      <c r="W207" s="1589"/>
      <c r="X207" s="1589"/>
      <c r="Y207" s="1589"/>
      <c r="Z207" s="1589"/>
      <c r="AA207" s="1589"/>
    </row>
    <row r="208" spans="1:31" ht="19.5" customHeight="1" x14ac:dyDescent="0.25">
      <c r="A208" s="1589"/>
      <c r="B208" s="1589"/>
      <c r="C208" s="1589"/>
      <c r="D208" s="567"/>
      <c r="E208" s="782"/>
      <c r="F208" s="782"/>
      <c r="G208" s="782"/>
      <c r="H208" s="782"/>
      <c r="I208" s="782"/>
      <c r="J208" s="782"/>
      <c r="K208" s="567"/>
      <c r="L208" s="567"/>
      <c r="M208" s="567"/>
      <c r="N208" s="567"/>
      <c r="O208" s="567"/>
      <c r="P208" s="567"/>
      <c r="Q208" s="1589"/>
      <c r="R208" s="1589"/>
      <c r="S208" s="1589"/>
      <c r="T208" s="1589"/>
      <c r="U208" s="1589"/>
      <c r="V208" s="1589"/>
      <c r="W208" s="1589"/>
      <c r="X208" s="1589"/>
      <c r="Y208" s="1589"/>
      <c r="Z208" s="1589"/>
      <c r="AA208" s="1589"/>
    </row>
    <row r="209" spans="1:27" ht="59.25" customHeight="1" x14ac:dyDescent="0.25">
      <c r="A209" s="1586"/>
      <c r="B209" s="1586"/>
      <c r="C209" s="1586"/>
      <c r="D209" s="568"/>
      <c r="E209" s="781"/>
      <c r="F209" s="781"/>
      <c r="G209" s="781"/>
      <c r="H209" s="781"/>
      <c r="I209" s="781"/>
      <c r="J209" s="781"/>
      <c r="K209" s="568"/>
      <c r="L209" s="568"/>
      <c r="M209" s="568"/>
      <c r="N209" s="568"/>
      <c r="O209" s="568"/>
      <c r="P209" s="568"/>
      <c r="Q209" s="1587"/>
      <c r="R209" s="1587"/>
      <c r="S209" s="1587"/>
      <c r="T209" s="1587"/>
      <c r="U209" s="1587"/>
      <c r="V209" s="1587"/>
      <c r="W209" s="1587"/>
      <c r="X209" s="1587"/>
      <c r="Y209" s="1587"/>
      <c r="Z209" s="1587"/>
      <c r="AA209" s="1587"/>
    </row>
    <row r="210" spans="1:27" ht="42.75" customHeight="1" x14ac:dyDescent="0.25">
      <c r="A210" s="1586"/>
      <c r="B210" s="1586"/>
      <c r="C210" s="1586"/>
      <c r="D210" s="568"/>
      <c r="E210" s="781"/>
      <c r="F210" s="781"/>
      <c r="G210" s="781"/>
      <c r="H210" s="781"/>
      <c r="I210" s="781"/>
      <c r="J210" s="781"/>
      <c r="K210" s="568"/>
      <c r="L210" s="568"/>
      <c r="M210" s="568"/>
      <c r="N210" s="568"/>
      <c r="O210" s="568"/>
      <c r="P210" s="568"/>
      <c r="Q210" s="1587"/>
      <c r="R210" s="1587"/>
      <c r="S210" s="1587"/>
      <c r="T210" s="1587"/>
      <c r="U210" s="1587"/>
      <c r="V210" s="1587"/>
      <c r="W210" s="1587"/>
      <c r="X210" s="1587"/>
      <c r="Y210" s="1587"/>
      <c r="Z210" s="1587"/>
      <c r="AA210" s="1587"/>
    </row>
    <row r="211" spans="1:27" ht="27" customHeight="1" x14ac:dyDescent="0.25">
      <c r="A211" s="1586"/>
      <c r="B211" s="1586"/>
      <c r="C211" s="1586"/>
      <c r="D211" s="568"/>
      <c r="E211" s="781"/>
      <c r="F211" s="781"/>
      <c r="G211" s="781"/>
      <c r="H211" s="781"/>
      <c r="I211" s="781"/>
      <c r="J211" s="781"/>
      <c r="K211" s="568"/>
      <c r="L211" s="568"/>
      <c r="M211" s="568"/>
      <c r="N211" s="568"/>
      <c r="O211" s="568"/>
      <c r="P211" s="568"/>
      <c r="Q211" s="1587"/>
      <c r="R211" s="1587"/>
      <c r="S211" s="1587"/>
      <c r="T211" s="1587"/>
      <c r="U211" s="1587"/>
      <c r="V211" s="1587"/>
      <c r="W211" s="1587"/>
      <c r="X211" s="1587"/>
      <c r="Y211" s="1587"/>
      <c r="Z211" s="1587"/>
      <c r="AA211" s="1587"/>
    </row>
    <row r="212" spans="1:27" ht="40.5" customHeight="1" x14ac:dyDescent="0.25">
      <c r="A212" s="1586"/>
      <c r="B212" s="1586"/>
      <c r="C212" s="1586"/>
      <c r="D212" s="568"/>
      <c r="E212" s="781"/>
      <c r="F212" s="781"/>
      <c r="G212" s="781"/>
      <c r="H212" s="781"/>
      <c r="I212" s="781"/>
      <c r="J212" s="781"/>
      <c r="K212" s="568"/>
      <c r="L212" s="568"/>
      <c r="M212" s="568"/>
      <c r="N212" s="568"/>
      <c r="O212" s="568"/>
      <c r="P212" s="568"/>
      <c r="Q212" s="1587"/>
      <c r="R212" s="1587"/>
      <c r="S212" s="1587"/>
      <c r="T212" s="1587"/>
      <c r="U212" s="1587"/>
      <c r="V212" s="1587"/>
      <c r="W212" s="1587"/>
      <c r="X212" s="1587"/>
      <c r="Y212" s="1587"/>
      <c r="Z212" s="1587"/>
      <c r="AA212" s="1587"/>
    </row>
    <row r="213" spans="1:27" ht="35.25" customHeight="1" x14ac:dyDescent="0.25">
      <c r="A213" s="1586"/>
      <c r="B213" s="1586"/>
      <c r="C213" s="1586"/>
      <c r="D213" s="568"/>
      <c r="E213" s="781"/>
      <c r="F213" s="781"/>
      <c r="G213" s="781"/>
      <c r="H213" s="781"/>
      <c r="I213" s="781"/>
      <c r="J213" s="781"/>
      <c r="K213" s="568"/>
      <c r="L213" s="568"/>
      <c r="M213" s="568"/>
      <c r="N213" s="568"/>
      <c r="O213" s="568"/>
      <c r="P213" s="568"/>
      <c r="Q213" s="1587"/>
      <c r="R213" s="1587"/>
      <c r="S213" s="1587"/>
      <c r="T213" s="1587"/>
      <c r="U213" s="1587"/>
      <c r="V213" s="1587"/>
      <c r="W213" s="1587"/>
      <c r="X213" s="1587"/>
      <c r="Y213" s="1587"/>
      <c r="Z213" s="1587"/>
      <c r="AA213" s="1587"/>
    </row>
    <row r="214" spans="1:27" ht="41.25" customHeight="1" x14ac:dyDescent="0.25">
      <c r="A214" s="1586"/>
      <c r="B214" s="1586"/>
      <c r="C214" s="1586"/>
      <c r="D214" s="568"/>
      <c r="E214" s="781"/>
      <c r="F214" s="781"/>
      <c r="G214" s="781"/>
      <c r="H214" s="781"/>
      <c r="I214" s="781"/>
      <c r="J214" s="781"/>
      <c r="K214" s="568"/>
      <c r="L214" s="568"/>
      <c r="M214" s="568"/>
      <c r="N214" s="568"/>
      <c r="O214" s="568"/>
      <c r="P214" s="568"/>
      <c r="Q214" s="1587"/>
      <c r="R214" s="1587"/>
      <c r="S214" s="1587"/>
      <c r="T214" s="1587"/>
      <c r="U214" s="1587"/>
      <c r="V214" s="1587"/>
      <c r="W214" s="1587"/>
      <c r="X214" s="1587"/>
      <c r="Y214" s="1587"/>
      <c r="Z214" s="1587"/>
      <c r="AA214" s="1587"/>
    </row>
    <row r="215" spans="1:27" ht="39" customHeight="1" x14ac:dyDescent="0.25">
      <c r="A215" s="1586"/>
      <c r="B215" s="1586"/>
      <c r="C215" s="1586"/>
      <c r="D215" s="568"/>
      <c r="E215" s="781"/>
      <c r="F215" s="781"/>
      <c r="G215" s="781"/>
      <c r="H215" s="781"/>
      <c r="I215" s="781"/>
      <c r="J215" s="781"/>
      <c r="K215" s="568"/>
      <c r="L215" s="568"/>
      <c r="M215" s="568"/>
      <c r="N215" s="568"/>
      <c r="O215" s="568"/>
      <c r="P215" s="568"/>
      <c r="Q215" s="1587"/>
      <c r="R215" s="1587"/>
      <c r="S215" s="1587"/>
      <c r="T215" s="1587"/>
      <c r="U215" s="1587"/>
      <c r="V215" s="1587"/>
      <c r="W215" s="1587"/>
      <c r="X215" s="1587"/>
      <c r="Y215" s="1587"/>
      <c r="Z215" s="1587"/>
      <c r="AA215" s="1587"/>
    </row>
    <row r="216" spans="1:27" ht="81" customHeight="1" x14ac:dyDescent="0.25">
      <c r="A216" s="1586"/>
      <c r="B216" s="1586"/>
      <c r="C216" s="1586"/>
      <c r="D216" s="568"/>
      <c r="E216" s="781"/>
      <c r="F216" s="781"/>
      <c r="G216" s="781"/>
      <c r="H216" s="781"/>
      <c r="I216" s="781"/>
      <c r="J216" s="781"/>
      <c r="K216" s="568"/>
      <c r="L216" s="568"/>
      <c r="M216" s="568"/>
      <c r="N216" s="568"/>
      <c r="O216" s="568"/>
      <c r="P216" s="568"/>
      <c r="Q216" s="1587"/>
      <c r="R216" s="1587"/>
      <c r="S216" s="1587"/>
      <c r="T216" s="1587"/>
      <c r="U216" s="1587"/>
      <c r="V216" s="1587"/>
      <c r="W216" s="1587"/>
      <c r="X216" s="1587"/>
      <c r="Y216" s="1587"/>
      <c r="Z216" s="1587"/>
      <c r="AA216" s="1587"/>
    </row>
    <row r="217" spans="1:27" ht="33.75" customHeight="1" x14ac:dyDescent="0.25">
      <c r="A217" s="1586"/>
      <c r="B217" s="1586"/>
      <c r="C217" s="1586"/>
      <c r="D217" s="568"/>
      <c r="E217" s="781"/>
      <c r="F217" s="781"/>
      <c r="G217" s="781"/>
      <c r="H217" s="781"/>
      <c r="I217" s="781"/>
      <c r="J217" s="781"/>
      <c r="K217" s="568"/>
      <c r="L217" s="568"/>
      <c r="M217" s="568"/>
      <c r="N217" s="568"/>
      <c r="O217" s="568"/>
      <c r="P217" s="568"/>
      <c r="Q217" s="1587"/>
      <c r="R217" s="1587"/>
      <c r="S217" s="1587"/>
      <c r="T217" s="1587"/>
      <c r="U217" s="1587"/>
      <c r="V217" s="1587"/>
      <c r="W217" s="1587"/>
      <c r="X217" s="1587"/>
      <c r="Y217" s="1587"/>
      <c r="Z217" s="1587"/>
      <c r="AA217" s="1587"/>
    </row>
    <row r="218" spans="1:27" ht="147.75" customHeight="1" x14ac:dyDescent="0.25">
      <c r="A218" s="1586"/>
      <c r="B218" s="1586"/>
      <c r="C218" s="1586"/>
      <c r="D218" s="568"/>
      <c r="E218" s="781"/>
      <c r="F218" s="781"/>
      <c r="G218" s="781"/>
      <c r="H218" s="781"/>
      <c r="I218" s="781"/>
      <c r="J218" s="781"/>
      <c r="K218" s="568"/>
      <c r="L218" s="568"/>
      <c r="M218" s="568"/>
      <c r="N218" s="568"/>
      <c r="O218" s="568"/>
      <c r="P218" s="568"/>
      <c r="Q218" s="1587"/>
      <c r="R218" s="1587"/>
      <c r="S218" s="1587"/>
      <c r="T218" s="1587"/>
      <c r="U218" s="1587"/>
      <c r="V218" s="1587"/>
      <c r="W218" s="1587"/>
      <c r="X218" s="1587"/>
      <c r="Y218" s="1587"/>
      <c r="Z218" s="1587"/>
      <c r="AA218" s="1587"/>
    </row>
    <row r="219" spans="1:27" ht="36" customHeight="1" x14ac:dyDescent="0.25">
      <c r="A219" s="1586"/>
      <c r="B219" s="1586"/>
      <c r="C219" s="1586"/>
      <c r="D219" s="568"/>
      <c r="E219" s="781"/>
      <c r="F219" s="781"/>
      <c r="G219" s="781"/>
      <c r="H219" s="781"/>
      <c r="I219" s="781"/>
      <c r="J219" s="781"/>
      <c r="K219" s="568"/>
      <c r="L219" s="568"/>
      <c r="M219" s="568"/>
      <c r="N219" s="568"/>
      <c r="O219" s="568"/>
      <c r="P219" s="568"/>
      <c r="Q219" s="1587"/>
      <c r="R219" s="1587"/>
      <c r="S219" s="1587"/>
      <c r="T219" s="1587"/>
      <c r="U219" s="1587"/>
      <c r="V219" s="1587"/>
      <c r="W219" s="1587"/>
      <c r="X219" s="1587"/>
      <c r="Y219" s="1587"/>
      <c r="Z219" s="1587"/>
      <c r="AA219" s="1587"/>
    </row>
    <row r="220" spans="1:27" ht="82.5" customHeight="1" x14ac:dyDescent="0.25">
      <c r="A220" s="1586"/>
      <c r="B220" s="1586"/>
      <c r="C220" s="1586"/>
      <c r="D220" s="568"/>
      <c r="E220" s="781"/>
      <c r="F220" s="781"/>
      <c r="G220" s="781"/>
      <c r="H220" s="781"/>
      <c r="I220" s="781"/>
      <c r="J220" s="781"/>
      <c r="K220" s="568"/>
      <c r="L220" s="568"/>
      <c r="M220" s="568"/>
      <c r="N220" s="568"/>
      <c r="O220" s="568"/>
      <c r="P220" s="568"/>
      <c r="Q220" s="1587"/>
      <c r="R220" s="1587"/>
      <c r="S220" s="1587"/>
      <c r="T220" s="1587"/>
      <c r="U220" s="1587"/>
      <c r="V220" s="1587"/>
      <c r="W220" s="1587"/>
      <c r="X220" s="1587"/>
      <c r="Y220" s="1587"/>
      <c r="Z220" s="1587"/>
      <c r="AA220" s="1587"/>
    </row>
    <row r="221" spans="1:27" ht="22.5" customHeight="1" x14ac:dyDescent="0.25">
      <c r="A221" s="1586"/>
      <c r="B221" s="1586"/>
      <c r="C221" s="1588"/>
      <c r="D221" s="1588"/>
      <c r="E221" s="1588"/>
      <c r="F221" s="1588"/>
      <c r="G221" s="1588"/>
      <c r="H221" s="1588"/>
      <c r="I221" s="1588"/>
      <c r="J221" s="1588"/>
      <c r="K221" s="1588"/>
      <c r="L221" s="1588"/>
      <c r="M221" s="1588"/>
      <c r="N221" s="1588"/>
      <c r="O221" s="1588"/>
      <c r="P221" s="1588"/>
      <c r="Q221" s="1588"/>
      <c r="R221" s="1588"/>
      <c r="S221" s="1588"/>
      <c r="T221" s="1588"/>
      <c r="U221" s="1588"/>
      <c r="V221" s="1588"/>
      <c r="W221" s="1588"/>
      <c r="X221" s="1588"/>
      <c r="Y221" s="1588"/>
      <c r="Z221" s="1588"/>
      <c r="AA221" s="1588"/>
    </row>
  </sheetData>
  <mergeCells count="127">
    <mergeCell ref="P58:P62"/>
    <mergeCell ref="AE68:AE74"/>
    <mergeCell ref="AE76:AE89"/>
    <mergeCell ref="AE91:AE104"/>
    <mergeCell ref="AE106:AE112"/>
    <mergeCell ref="AE115:AE142"/>
    <mergeCell ref="AE145:AE178"/>
    <mergeCell ref="AE181:AE203"/>
    <mergeCell ref="Q111:Q112"/>
    <mergeCell ref="R111:R112"/>
    <mergeCell ref="Q109:Q110"/>
    <mergeCell ref="R109:R110"/>
    <mergeCell ref="Q102:Q103"/>
    <mergeCell ref="R102:R103"/>
    <mergeCell ref="Q98:Q100"/>
    <mergeCell ref="R98:R100"/>
    <mergeCell ref="P102:P103"/>
    <mergeCell ref="P109:P110"/>
    <mergeCell ref="P111:P112"/>
    <mergeCell ref="A2:AE2"/>
    <mergeCell ref="A3:AE3"/>
    <mergeCell ref="A1:AE1"/>
    <mergeCell ref="M6:M7"/>
    <mergeCell ref="N6:N7"/>
    <mergeCell ref="O6:O7"/>
    <mergeCell ref="P6:P7"/>
    <mergeCell ref="Q6:Q7"/>
    <mergeCell ref="R6:R7"/>
    <mergeCell ref="S6:S7"/>
    <mergeCell ref="T6:T7"/>
    <mergeCell ref="U6:U7"/>
    <mergeCell ref="AC5:AC7"/>
    <mergeCell ref="AD5:AD7"/>
    <mergeCell ref="AE5:AE7"/>
    <mergeCell ref="Q217:AA217"/>
    <mergeCell ref="Q208:AA208"/>
    <mergeCell ref="A209:C209"/>
    <mergeCell ref="Q209:AA209"/>
    <mergeCell ref="Q5:AA5"/>
    <mergeCell ref="A205:AB205"/>
    <mergeCell ref="A207:AA207"/>
    <mergeCell ref="A208:C208"/>
    <mergeCell ref="D6:E6"/>
    <mergeCell ref="F6:G6"/>
    <mergeCell ref="I6:J6"/>
    <mergeCell ref="K6:K7"/>
    <mergeCell ref="L6:L7"/>
    <mergeCell ref="AB5:AB7"/>
    <mergeCell ref="A5:A7"/>
    <mergeCell ref="B5:P5"/>
    <mergeCell ref="X6:X7"/>
    <mergeCell ref="Y6:Y7"/>
    <mergeCell ref="Z6:Z7"/>
    <mergeCell ref="A8:D8"/>
    <mergeCell ref="A40:E40"/>
    <mergeCell ref="A49:A50"/>
    <mergeCell ref="A32:B32"/>
    <mergeCell ref="A19:B19"/>
    <mergeCell ref="K111:K112"/>
    <mergeCell ref="P98:P100"/>
    <mergeCell ref="A219:C219"/>
    <mergeCell ref="Q219:AA219"/>
    <mergeCell ref="A220:C220"/>
    <mergeCell ref="Q220:AA220"/>
    <mergeCell ref="A221:AA221"/>
    <mergeCell ref="A210:C210"/>
    <mergeCell ref="Q210:AA210"/>
    <mergeCell ref="A211:C211"/>
    <mergeCell ref="Q211:AA211"/>
    <mergeCell ref="A212:C212"/>
    <mergeCell ref="Q212:AA212"/>
    <mergeCell ref="A218:C218"/>
    <mergeCell ref="Q218:AA218"/>
    <mergeCell ref="A213:C213"/>
    <mergeCell ref="Q213:AA213"/>
    <mergeCell ref="A214:C214"/>
    <mergeCell ref="Q214:AA214"/>
    <mergeCell ref="A215:C215"/>
    <mergeCell ref="Q215:AA215"/>
    <mergeCell ref="A216:C216"/>
    <mergeCell ref="Q216:AA216"/>
    <mergeCell ref="A217:C217"/>
    <mergeCell ref="A39:B39"/>
    <mergeCell ref="V6:V7"/>
    <mergeCell ref="W6:W7"/>
    <mergeCell ref="AE41:AE44"/>
    <mergeCell ref="I106:I108"/>
    <mergeCell ref="M106:M108"/>
    <mergeCell ref="C6:C7"/>
    <mergeCell ref="A102:A103"/>
    <mergeCell ref="A56:C56"/>
    <mergeCell ref="A58:A62"/>
    <mergeCell ref="A66:C66"/>
    <mergeCell ref="A98:A100"/>
    <mergeCell ref="G106:G108"/>
    <mergeCell ref="J106:J108"/>
    <mergeCell ref="A75:B75"/>
    <mergeCell ref="A90:B90"/>
    <mergeCell ref="F106:F108"/>
    <mergeCell ref="C106:C108"/>
    <mergeCell ref="D106:D108"/>
    <mergeCell ref="E106:E108"/>
    <mergeCell ref="K98:K100"/>
    <mergeCell ref="A9:C9"/>
    <mergeCell ref="Q58:Q62"/>
    <mergeCell ref="R58:R62"/>
    <mergeCell ref="A204:B204"/>
    <mergeCell ref="H106:H108"/>
    <mergeCell ref="A105:B105"/>
    <mergeCell ref="A113:B113"/>
    <mergeCell ref="A114:B114"/>
    <mergeCell ref="B106:B108"/>
    <mergeCell ref="A131:B131"/>
    <mergeCell ref="A193:A194"/>
    <mergeCell ref="A197:A198"/>
    <mergeCell ref="A199:A203"/>
    <mergeCell ref="A144:B144"/>
    <mergeCell ref="A159:B159"/>
    <mergeCell ref="A188:A192"/>
    <mergeCell ref="A111:A112"/>
    <mergeCell ref="A145:A146"/>
    <mergeCell ref="A181:A183"/>
    <mergeCell ref="A184:A187"/>
    <mergeCell ref="A109:A110"/>
    <mergeCell ref="A143:B143"/>
    <mergeCell ref="A179:B179"/>
    <mergeCell ref="A180:B180"/>
  </mergeCells>
  <printOptions horizontalCentered="1" verticalCentered="1"/>
  <pageMargins left="0" right="0" top="0.98425196850393704" bottom="0.98425196850393704" header="0" footer="0"/>
  <pageSetup scale="4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Hoja1!$A$1:$A$10</xm:f>
          </x14:formula1>
          <xm:sqref>AC10:AC203</xm:sqref>
        </x14:dataValidation>
        <x14:dataValidation type="list" allowBlank="1" showInputMessage="1" showErrorMessage="1">
          <x14:formula1>
            <xm:f>Hoja1!$B$1:$B$28</xm:f>
          </x14:formula1>
          <xm:sqref>AD8 AD10:AD203</xm:sqref>
        </x14:dataValidation>
        <x14:dataValidation type="list" allowBlank="1" showInputMessage="1" showErrorMessage="1">
          <x14:formula1>
            <xm:f>'D:\paola corpoguajira\PLAN DE ACCIÓN\INFORME DE GESTIÓN 2021\INFORME 31 MARZO\[Formatos-SINA-PAI-2020-2023 31 marzo 2021.xlsx]Hoja1'!#REF!</xm:f>
          </x14:formula1>
          <xm:sqref>AD9</xm:sqref>
        </x14:dataValidation>
        <x14:dataValidation type="list" allowBlank="1" showInputMessage="1" showErrorMessage="1">
          <x14:formula1>
            <xm:f>'D:\Documents\Downloads\[Formatos SINA - PAI 2021 (1).xlsx]Hoja1'!#REF!</xm:f>
          </x14:formula1>
          <xm:sqref>AC8:AC9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U155"/>
  <sheetViews>
    <sheetView showGridLines="0" topLeftCell="B10" zoomScale="98" zoomScaleNormal="98" workbookViewId="0">
      <selection activeCell="F67" sqref="F67"/>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348</v>
      </c>
      <c r="B5" s="1713"/>
      <c r="C5" s="1713"/>
      <c r="D5" s="1713"/>
      <c r="E5" s="1713"/>
      <c r="F5" s="1713"/>
      <c r="G5" s="1713"/>
      <c r="H5" s="1713"/>
      <c r="I5" s="1713"/>
      <c r="J5" s="1713"/>
      <c r="K5" s="1713"/>
      <c r="L5" s="1713"/>
      <c r="M5" s="1713"/>
      <c r="N5" s="1713"/>
      <c r="O5" s="1713"/>
      <c r="P5" s="1714"/>
    </row>
    <row r="6" spans="1:21" x14ac:dyDescent="0.25">
      <c r="A6" s="245"/>
      <c r="B6" s="246"/>
      <c r="C6" s="247"/>
      <c r="D6" s="248"/>
      <c r="E6" s="248"/>
      <c r="F6" s="248"/>
      <c r="G6" s="248"/>
      <c r="H6" s="248"/>
      <c r="I6" s="248"/>
      <c r="J6" s="248"/>
      <c r="K6" s="248"/>
    </row>
    <row r="7" spans="1:21" x14ac:dyDescent="0.25">
      <c r="A7" s="245"/>
      <c r="B7" s="249" t="s">
        <v>1</v>
      </c>
      <c r="C7" s="250"/>
      <c r="D7" s="248"/>
      <c r="E7" s="259"/>
      <c r="F7" s="248" t="s">
        <v>128</v>
      </c>
      <c r="G7" s="248"/>
      <c r="H7" s="248"/>
      <c r="I7" s="248"/>
      <c r="J7" s="248"/>
      <c r="K7" s="248"/>
    </row>
    <row r="8" spans="1:21" ht="15.75" thickBot="1" x14ac:dyDescent="0.3">
      <c r="A8" s="245"/>
      <c r="B8" s="251"/>
      <c r="C8" s="252"/>
      <c r="D8" s="248"/>
      <c r="E8" s="253"/>
      <c r="F8" s="248" t="s">
        <v>129</v>
      </c>
      <c r="G8" s="248"/>
      <c r="H8" s="248"/>
      <c r="I8" s="248"/>
      <c r="J8" s="248"/>
      <c r="K8" s="248"/>
    </row>
    <row r="9" spans="1:21" ht="15.75" thickBot="1" x14ac:dyDescent="0.3">
      <c r="A9" s="245"/>
      <c r="B9" s="261" t="s">
        <v>1188</v>
      </c>
      <c r="C9" s="262">
        <v>2021</v>
      </c>
      <c r="D9" s="257">
        <f>IF(E11="NO APLICA","NO APLICA",IF(E12="NO SE REPORTA","SIN INFORMACION",+F96))</f>
        <v>0.49956081000878377</v>
      </c>
      <c r="E9" s="264"/>
      <c r="F9" s="248" t="s">
        <v>130</v>
      </c>
      <c r="G9" s="248"/>
      <c r="H9" s="248"/>
      <c r="I9" s="248"/>
      <c r="J9" s="248"/>
      <c r="K9" s="248"/>
    </row>
    <row r="10" spans="1:21" x14ac:dyDescent="0.25">
      <c r="A10" s="245"/>
      <c r="B10" s="497" t="s">
        <v>1189</v>
      </c>
      <c r="C10" s="250"/>
      <c r="D10" s="248"/>
      <c r="E10" s="248"/>
      <c r="F10" s="248"/>
      <c r="G10" s="248"/>
      <c r="H10" s="248"/>
      <c r="I10" s="248"/>
      <c r="J10" s="248"/>
      <c r="K10" s="248"/>
    </row>
    <row r="11" spans="1:21" s="412" customFormat="1" x14ac:dyDescent="0.25">
      <c r="A11" s="245"/>
      <c r="B11" s="1720" t="s">
        <v>1244</v>
      </c>
      <c r="C11" s="1720"/>
      <c r="D11" s="1720"/>
      <c r="E11" s="503" t="s">
        <v>1241</v>
      </c>
      <c r="F11" s="1726"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1727"/>
      <c r="H11" s="1727"/>
      <c r="I11" s="1727"/>
      <c r="J11" s="1727"/>
      <c r="K11" s="1727"/>
      <c r="L11" s="1727"/>
      <c r="M11" s="1727"/>
      <c r="N11" s="1727"/>
      <c r="O11" s="1727"/>
      <c r="P11" s="1727"/>
      <c r="Q11" s="1727"/>
      <c r="R11" s="1727"/>
      <c r="S11" s="1727"/>
      <c r="T11" s="499"/>
      <c r="U11" s="499"/>
    </row>
    <row r="12" spans="1:21" s="412" customFormat="1" ht="14.45" customHeight="1" x14ac:dyDescent="0.25">
      <c r="A12" s="245"/>
      <c r="B12" s="500"/>
      <c r="C12" s="501"/>
      <c r="D12" s="502" t="str">
        <f>IF(E11="SI APLICA","¿El indicador no se reporta por limitaciones de información disponible? ","")</f>
        <v xml:space="preserve">¿El indicador no se reporta por limitaciones de información disponible? </v>
      </c>
      <c r="E12" s="504" t="s">
        <v>1243</v>
      </c>
      <c r="F12" s="1721"/>
      <c r="G12" s="1722"/>
      <c r="H12" s="1722"/>
      <c r="I12" s="1722"/>
      <c r="J12" s="1722"/>
      <c r="K12" s="1722"/>
      <c r="L12" s="1722"/>
      <c r="M12" s="1722"/>
      <c r="N12" s="1722"/>
      <c r="O12" s="1722"/>
      <c r="P12" s="1722"/>
      <c r="Q12" s="1722"/>
      <c r="R12" s="1722"/>
      <c r="S12" s="1722"/>
    </row>
    <row r="13" spans="1:21" s="412" customFormat="1" ht="23.45" customHeight="1" x14ac:dyDescent="0.25">
      <c r="A13" s="245"/>
      <c r="B13" s="497"/>
      <c r="C13" s="304"/>
      <c r="D13" s="502" t="str">
        <f>IF(E12="SI SE REPORTA","¿Qué programas o proyectos del Plan de Acción están asociados al indicador? ","")</f>
        <v xml:space="preserve">¿Qué programas o proyectos del Plan de Acción están asociados al indicador? </v>
      </c>
      <c r="E13" s="1848" t="str">
        <f>'Anexo 1 Matriz Inf Gestión'!A75</f>
        <v>Proyecto No 3.2. Ecosistemas marino costeros.</v>
      </c>
      <c r="F13" s="1781"/>
      <c r="G13" s="1781"/>
      <c r="H13" s="1781"/>
      <c r="I13" s="1781"/>
      <c r="J13" s="1781"/>
      <c r="K13" s="1781"/>
      <c r="L13" s="1781"/>
      <c r="M13" s="1781"/>
      <c r="N13" s="1781"/>
      <c r="O13" s="1781"/>
      <c r="P13" s="1781"/>
      <c r="Q13" s="1781"/>
      <c r="R13" s="1781"/>
    </row>
    <row r="14" spans="1:21" s="412" customFormat="1" ht="21.95" customHeight="1" x14ac:dyDescent="0.25">
      <c r="A14" s="245"/>
      <c r="B14" s="497"/>
      <c r="C14" s="304"/>
      <c r="D14" s="502" t="s">
        <v>1246</v>
      </c>
      <c r="E14" s="1723" t="s">
        <v>2835</v>
      </c>
      <c r="F14" s="1724"/>
      <c r="G14" s="1724"/>
      <c r="H14" s="1724"/>
      <c r="I14" s="1724"/>
      <c r="J14" s="1724"/>
      <c r="K14" s="1724"/>
      <c r="L14" s="1724"/>
      <c r="M14" s="1724"/>
      <c r="N14" s="1724"/>
      <c r="O14" s="1724"/>
      <c r="P14" s="1724"/>
      <c r="Q14" s="1724"/>
      <c r="R14" s="1725"/>
    </row>
    <row r="15" spans="1:21" s="412" customFormat="1" ht="6.95" customHeight="1" thickBot="1" x14ac:dyDescent="0.3">
      <c r="A15" s="245"/>
      <c r="B15" s="497"/>
      <c r="C15" s="250"/>
      <c r="D15" s="248"/>
      <c r="E15" s="248"/>
      <c r="F15" s="248"/>
      <c r="G15" s="248"/>
      <c r="H15" s="248"/>
      <c r="I15" s="248"/>
      <c r="J15" s="248"/>
      <c r="K15" s="248"/>
    </row>
    <row r="16" spans="1:21" ht="15" customHeight="1" thickBot="1" x14ac:dyDescent="0.3">
      <c r="A16" s="245"/>
      <c r="B16" s="1751" t="s">
        <v>2</v>
      </c>
      <c r="C16" s="268"/>
      <c r="D16" s="269" t="s">
        <v>336</v>
      </c>
      <c r="E16" s="270"/>
      <c r="F16" s="270"/>
      <c r="G16" s="270"/>
      <c r="H16" s="270"/>
      <c r="I16" s="270"/>
      <c r="J16" s="271"/>
      <c r="K16" s="248"/>
    </row>
    <row r="17" spans="1:11" x14ac:dyDescent="0.25">
      <c r="A17" s="245"/>
      <c r="B17" s="1752"/>
      <c r="C17" s="1834" t="s">
        <v>19</v>
      </c>
      <c r="D17" s="1831" t="s">
        <v>150</v>
      </c>
      <c r="E17" s="1853" t="s">
        <v>364</v>
      </c>
      <c r="F17" s="1849" t="s">
        <v>1179</v>
      </c>
      <c r="G17" s="1853" t="s">
        <v>151</v>
      </c>
      <c r="H17" s="248"/>
      <c r="I17" s="245"/>
      <c r="J17" s="274"/>
      <c r="K17" s="248"/>
    </row>
    <row r="18" spans="1:11" ht="15.75" thickBot="1" x14ac:dyDescent="0.3">
      <c r="A18" s="245"/>
      <c r="B18" s="1752"/>
      <c r="C18" s="1835"/>
      <c r="D18" s="1832"/>
      <c r="E18" s="1854"/>
      <c r="F18" s="1850"/>
      <c r="G18" s="1854"/>
      <c r="H18" s="248"/>
      <c r="I18" s="245"/>
      <c r="J18" s="274"/>
      <c r="K18" s="248"/>
    </row>
    <row r="19" spans="1:11" ht="24.75" thickBot="1" x14ac:dyDescent="0.3">
      <c r="A19" s="245"/>
      <c r="B19" s="1752"/>
      <c r="C19" s="345" t="s">
        <v>152</v>
      </c>
      <c r="D19" s="278" t="s">
        <v>1770</v>
      </c>
      <c r="E19" s="999">
        <v>6</v>
      </c>
      <c r="F19" s="999">
        <v>3</v>
      </c>
      <c r="G19" s="1000">
        <f t="shared" ref="G19:G24" si="0">+E19+F19</f>
        <v>9</v>
      </c>
      <c r="H19" s="1845" t="s">
        <v>2849</v>
      </c>
      <c r="I19" s="1846"/>
      <c r="J19" s="1847"/>
      <c r="K19" s="248"/>
    </row>
    <row r="20" spans="1:11" ht="24.75" thickBot="1" x14ac:dyDescent="0.3">
      <c r="A20" s="245"/>
      <c r="B20" s="1752"/>
      <c r="C20" s="345" t="s">
        <v>154</v>
      </c>
      <c r="D20" s="278" t="s">
        <v>1771</v>
      </c>
      <c r="E20" s="1001">
        <v>94812</v>
      </c>
      <c r="F20" s="1001">
        <v>72271</v>
      </c>
      <c r="G20" s="1000">
        <f t="shared" si="0"/>
        <v>167083</v>
      </c>
      <c r="H20" s="248"/>
      <c r="I20" s="245"/>
      <c r="J20" s="274"/>
      <c r="K20" s="248"/>
    </row>
    <row r="21" spans="1:11" ht="36.75" thickBot="1" x14ac:dyDescent="0.3">
      <c r="A21" s="245"/>
      <c r="B21" s="1752"/>
      <c r="C21" s="345" t="s">
        <v>156</v>
      </c>
      <c r="D21" s="278" t="s">
        <v>365</v>
      </c>
      <c r="E21" s="1001">
        <v>0</v>
      </c>
      <c r="F21" s="218"/>
      <c r="G21" s="381">
        <f t="shared" si="0"/>
        <v>0</v>
      </c>
      <c r="H21" s="248"/>
      <c r="I21" s="245"/>
      <c r="J21" s="274"/>
      <c r="K21" s="248"/>
    </row>
    <row r="22" spans="1:11" ht="36.75" thickBot="1" x14ac:dyDescent="0.3">
      <c r="A22" s="245"/>
      <c r="B22" s="1752"/>
      <c r="C22" s="345" t="s">
        <v>258</v>
      </c>
      <c r="D22" s="476" t="s">
        <v>1205</v>
      </c>
      <c r="E22" s="1001">
        <v>45190</v>
      </c>
      <c r="F22" s="218"/>
      <c r="G22" s="381">
        <f t="shared" si="0"/>
        <v>45190</v>
      </c>
      <c r="H22" s="248"/>
      <c r="I22" s="245"/>
      <c r="J22" s="274"/>
      <c r="K22" s="248"/>
    </row>
    <row r="23" spans="1:11" ht="48.75" thickBot="1" x14ac:dyDescent="0.3">
      <c r="A23" s="245"/>
      <c r="B23" s="1752"/>
      <c r="C23" s="345" t="s">
        <v>260</v>
      </c>
      <c r="D23" s="278" t="s">
        <v>1772</v>
      </c>
      <c r="E23" s="999">
        <v>4</v>
      </c>
      <c r="F23" s="999"/>
      <c r="G23" s="1000">
        <f t="shared" si="0"/>
        <v>4</v>
      </c>
      <c r="H23" s="248"/>
      <c r="I23" s="245"/>
      <c r="J23" s="274"/>
      <c r="K23" s="248"/>
    </row>
    <row r="24" spans="1:11" ht="48.75" thickBot="1" x14ac:dyDescent="0.3">
      <c r="A24" s="245"/>
      <c r="B24" s="1752"/>
      <c r="C24" s="345" t="s">
        <v>262</v>
      </c>
      <c r="D24" s="278" t="s">
        <v>1773</v>
      </c>
      <c r="E24" s="381">
        <f>+E21+E22</f>
        <v>45190</v>
      </c>
      <c r="F24" s="381">
        <f>+F21+F22</f>
        <v>0</v>
      </c>
      <c r="G24" s="381">
        <f t="shared" si="0"/>
        <v>45190</v>
      </c>
      <c r="H24" s="248"/>
      <c r="I24" s="245"/>
      <c r="J24" s="274"/>
      <c r="K24" s="248"/>
    </row>
    <row r="25" spans="1:11" ht="24" customHeight="1" x14ac:dyDescent="0.25">
      <c r="A25" s="245"/>
      <c r="B25" s="1752"/>
      <c r="C25" s="276"/>
      <c r="D25" s="1851" t="s">
        <v>366</v>
      </c>
      <c r="E25" s="1852"/>
      <c r="F25" s="1852"/>
      <c r="G25" s="1852"/>
      <c r="H25" s="1852"/>
      <c r="I25" s="1852"/>
      <c r="J25" s="274"/>
      <c r="K25" s="245"/>
    </row>
    <row r="26" spans="1:11" x14ac:dyDescent="0.25">
      <c r="A26" s="245"/>
      <c r="B26" s="1752"/>
      <c r="C26" s="276"/>
      <c r="D26" s="382" t="s">
        <v>367</v>
      </c>
      <c r="E26" s="308"/>
      <c r="F26" s="308"/>
      <c r="G26" s="308"/>
      <c r="H26" s="308"/>
      <c r="I26" s="308"/>
      <c r="J26" s="274"/>
      <c r="K26" s="245"/>
    </row>
    <row r="27" spans="1:11" ht="15.75" thickBot="1" x14ac:dyDescent="0.3">
      <c r="A27" s="245"/>
      <c r="B27" s="1752"/>
      <c r="C27" s="276"/>
      <c r="D27" s="1733" t="s">
        <v>368</v>
      </c>
      <c r="E27" s="1776"/>
      <c r="F27" s="1776"/>
      <c r="G27" s="1776"/>
      <c r="H27" s="1776"/>
      <c r="I27" s="1776"/>
      <c r="J27" s="1735"/>
      <c r="K27" s="245"/>
    </row>
    <row r="28" spans="1:11" ht="15.75" thickBot="1" x14ac:dyDescent="0.3">
      <c r="A28" s="245"/>
      <c r="B28" s="1752"/>
      <c r="C28" s="272"/>
      <c r="D28" s="280" t="s">
        <v>150</v>
      </c>
      <c r="E28" s="280" t="s">
        <v>20</v>
      </c>
      <c r="F28" s="280" t="s">
        <v>21</v>
      </c>
      <c r="G28" s="280" t="s">
        <v>22</v>
      </c>
      <c r="H28" s="280" t="s">
        <v>23</v>
      </c>
      <c r="I28" s="280" t="s">
        <v>151</v>
      </c>
      <c r="J28" s="274"/>
      <c r="K28" s="245"/>
    </row>
    <row r="29" spans="1:11" ht="15.75" thickBot="1" x14ac:dyDescent="0.3">
      <c r="A29" s="245"/>
      <c r="B29" s="1752"/>
      <c r="C29" s="272"/>
      <c r="D29" s="294" t="s">
        <v>369</v>
      </c>
      <c r="E29" s="217">
        <v>0</v>
      </c>
      <c r="F29" s="217">
        <v>2</v>
      </c>
      <c r="G29" s="217">
        <v>2</v>
      </c>
      <c r="H29" s="217">
        <v>0</v>
      </c>
      <c r="I29" s="351">
        <f>SUM(E29:H29)</f>
        <v>4</v>
      </c>
      <c r="J29" s="274"/>
      <c r="K29" s="245"/>
    </row>
    <row r="30" spans="1:11" ht="15.75" thickBot="1" x14ac:dyDescent="0.3">
      <c r="A30" s="245"/>
      <c r="B30" s="1752"/>
      <c r="C30" s="272"/>
      <c r="D30" s="294" t="s">
        <v>370</v>
      </c>
      <c r="E30" s="217">
        <v>0</v>
      </c>
      <c r="F30" s="217">
        <v>0</v>
      </c>
      <c r="G30" s="217">
        <v>0</v>
      </c>
      <c r="H30" s="217">
        <v>0</v>
      </c>
      <c r="I30" s="383"/>
      <c r="J30" s="274"/>
      <c r="K30" s="245"/>
    </row>
    <row r="31" spans="1:11" ht="15.75" thickBot="1" x14ac:dyDescent="0.3">
      <c r="A31" s="245"/>
      <c r="B31" s="1752"/>
      <c r="C31" s="272"/>
      <c r="D31" s="294" t="s">
        <v>371</v>
      </c>
      <c r="E31" s="217">
        <v>0</v>
      </c>
      <c r="F31" s="217">
        <v>0</v>
      </c>
      <c r="G31" s="217">
        <v>0</v>
      </c>
      <c r="H31" s="217">
        <v>0</v>
      </c>
      <c r="I31" s="383"/>
      <c r="J31" s="274"/>
      <c r="K31" s="245"/>
    </row>
    <row r="32" spans="1:11" ht="15.75" thickBot="1" x14ac:dyDescent="0.3">
      <c r="A32" s="245"/>
      <c r="B32" s="1752"/>
      <c r="C32" s="272"/>
      <c r="D32" s="294" t="s">
        <v>372</v>
      </c>
      <c r="E32" s="217">
        <v>0</v>
      </c>
      <c r="F32" s="217">
        <v>0</v>
      </c>
      <c r="G32" s="217">
        <v>0</v>
      </c>
      <c r="H32" s="217">
        <v>0</v>
      </c>
      <c r="I32" s="383"/>
      <c r="J32" s="274"/>
      <c r="K32" s="245"/>
    </row>
    <row r="33" spans="1:11" ht="15.75" thickBot="1" x14ac:dyDescent="0.3">
      <c r="A33" s="245"/>
      <c r="B33" s="1752"/>
      <c r="C33" s="272"/>
      <c r="D33" s="294" t="s">
        <v>373</v>
      </c>
      <c r="E33" s="217">
        <v>0</v>
      </c>
      <c r="F33" s="217">
        <v>1</v>
      </c>
      <c r="G33" s="217">
        <v>0</v>
      </c>
      <c r="H33" s="217">
        <v>0</v>
      </c>
      <c r="I33" s="383"/>
      <c r="J33" s="274"/>
      <c r="K33" s="245"/>
    </row>
    <row r="34" spans="1:11" ht="15.75" thickBot="1" x14ac:dyDescent="0.3">
      <c r="A34" s="245"/>
      <c r="B34" s="1752"/>
      <c r="C34" s="272"/>
      <c r="D34" s="294" t="s">
        <v>1201</v>
      </c>
      <c r="E34" s="379">
        <v>0</v>
      </c>
      <c r="F34" s="379">
        <v>1</v>
      </c>
      <c r="G34" s="379">
        <v>2</v>
      </c>
      <c r="H34" s="379">
        <v>0</v>
      </c>
      <c r="I34" s="383"/>
      <c r="J34" s="274"/>
      <c r="K34" s="245"/>
    </row>
    <row r="35" spans="1:11" ht="15.75" thickBot="1" x14ac:dyDescent="0.3">
      <c r="A35" s="245"/>
      <c r="B35" s="1752"/>
      <c r="C35" s="272"/>
      <c r="D35" s="294" t="s">
        <v>151</v>
      </c>
      <c r="E35" s="351">
        <f>SUM(E30:E34)</f>
        <v>0</v>
      </c>
      <c r="F35" s="351">
        <f>SUM(F30:F34)</f>
        <v>2</v>
      </c>
      <c r="G35" s="351">
        <f>SUM(G30:G34)</f>
        <v>2</v>
      </c>
      <c r="H35" s="351">
        <f>SUM(H30:H34)</f>
        <v>0</v>
      </c>
      <c r="I35" s="383"/>
      <c r="J35" s="274"/>
      <c r="K35" s="245"/>
    </row>
    <row r="36" spans="1:11" x14ac:dyDescent="0.25">
      <c r="A36" s="245"/>
      <c r="B36" s="1752"/>
      <c r="C36" s="276"/>
      <c r="D36" s="1733" t="s">
        <v>374</v>
      </c>
      <c r="E36" s="1776"/>
      <c r="F36" s="1776"/>
      <c r="G36" s="1776"/>
      <c r="H36" s="1776"/>
      <c r="I36" s="1776"/>
      <c r="J36" s="1735"/>
      <c r="K36" s="245"/>
    </row>
    <row r="37" spans="1:11" x14ac:dyDescent="0.25">
      <c r="A37" s="245"/>
      <c r="B37" s="1752"/>
      <c r="C37" s="276"/>
      <c r="D37" s="1733" t="s">
        <v>375</v>
      </c>
      <c r="E37" s="1776"/>
      <c r="F37" s="1776"/>
      <c r="G37" s="1776"/>
      <c r="H37" s="1776"/>
      <c r="I37" s="1776"/>
      <c r="J37" s="1735"/>
      <c r="K37" s="245"/>
    </row>
    <row r="38" spans="1:11" ht="15.75" thickBot="1" x14ac:dyDescent="0.3">
      <c r="A38" s="245"/>
      <c r="B38" s="1752"/>
      <c r="C38" s="276"/>
      <c r="D38" s="1745" t="s">
        <v>376</v>
      </c>
      <c r="E38" s="1780"/>
      <c r="F38" s="1780"/>
      <c r="G38" s="1780"/>
      <c r="H38" s="1780"/>
      <c r="I38" s="1780"/>
      <c r="J38" s="1747"/>
      <c r="K38" s="245"/>
    </row>
    <row r="39" spans="1:11" ht="15.75" thickBot="1" x14ac:dyDescent="0.3">
      <c r="A39" s="245"/>
      <c r="B39" s="1752"/>
      <c r="C39" s="272"/>
      <c r="D39" s="280" t="s">
        <v>150</v>
      </c>
      <c r="E39" s="280" t="s">
        <v>20</v>
      </c>
      <c r="F39" s="280" t="s">
        <v>21</v>
      </c>
      <c r="G39" s="280" t="s">
        <v>22</v>
      </c>
      <c r="H39" s="280" t="s">
        <v>23</v>
      </c>
      <c r="I39" s="280" t="s">
        <v>151</v>
      </c>
      <c r="J39" s="274"/>
      <c r="K39" s="245"/>
    </row>
    <row r="40" spans="1:11" ht="15.75" thickBot="1" x14ac:dyDescent="0.3">
      <c r="A40" s="245"/>
      <c r="B40" s="1752"/>
      <c r="C40" s="272"/>
      <c r="D40" s="294" t="s">
        <v>369</v>
      </c>
      <c r="E40" s="1001">
        <v>0</v>
      </c>
      <c r="F40" s="1001">
        <v>42123</v>
      </c>
      <c r="G40" s="1001">
        <v>2974</v>
      </c>
      <c r="H40" s="1001">
        <v>0</v>
      </c>
      <c r="I40" s="351">
        <f>SUM(E40:H40)</f>
        <v>45097</v>
      </c>
      <c r="J40" s="274"/>
      <c r="K40" s="245"/>
    </row>
    <row r="41" spans="1:11" ht="15.75" thickBot="1" x14ac:dyDescent="0.3">
      <c r="A41" s="245"/>
      <c r="B41" s="1752"/>
      <c r="C41" s="272"/>
      <c r="D41" s="294" t="s">
        <v>370</v>
      </c>
      <c r="E41" s="1001">
        <v>0</v>
      </c>
      <c r="F41" s="1001">
        <v>0</v>
      </c>
      <c r="G41" s="1001">
        <v>0</v>
      </c>
      <c r="H41" s="1001">
        <v>0</v>
      </c>
      <c r="I41" s="384"/>
      <c r="J41" s="274"/>
      <c r="K41" s="245"/>
    </row>
    <row r="42" spans="1:11" ht="15.75" thickBot="1" x14ac:dyDescent="0.3">
      <c r="A42" s="245"/>
      <c r="B42" s="1752"/>
      <c r="C42" s="272"/>
      <c r="D42" s="294" t="s">
        <v>371</v>
      </c>
      <c r="E42" s="1001">
        <v>0</v>
      </c>
      <c r="F42" s="1001">
        <v>0</v>
      </c>
      <c r="G42" s="1001">
        <v>0</v>
      </c>
      <c r="H42" s="1001">
        <v>0</v>
      </c>
      <c r="I42" s="384"/>
      <c r="J42" s="274"/>
      <c r="K42" s="245"/>
    </row>
    <row r="43" spans="1:11" ht="15.75" thickBot="1" x14ac:dyDescent="0.3">
      <c r="A43" s="245"/>
      <c r="B43" s="1752"/>
      <c r="C43" s="272"/>
      <c r="D43" s="294" t="s">
        <v>372</v>
      </c>
      <c r="E43" s="1001">
        <v>0</v>
      </c>
      <c r="F43" s="1001">
        <v>0</v>
      </c>
      <c r="G43" s="1001">
        <v>0</v>
      </c>
      <c r="H43" s="1001">
        <v>0</v>
      </c>
      <c r="I43" s="384"/>
      <c r="J43" s="274"/>
      <c r="K43" s="245"/>
    </row>
    <row r="44" spans="1:11" ht="15.75" thickBot="1" x14ac:dyDescent="0.3">
      <c r="A44" s="245"/>
      <c r="B44" s="1752"/>
      <c r="C44" s="272"/>
      <c r="D44" s="294" t="s">
        <v>373</v>
      </c>
      <c r="E44" s="1001">
        <v>0</v>
      </c>
      <c r="F44" s="1001">
        <v>21080</v>
      </c>
      <c r="G44" s="1001">
        <v>0</v>
      </c>
      <c r="H44" s="1001">
        <v>0</v>
      </c>
      <c r="I44" s="384"/>
      <c r="J44" s="274"/>
      <c r="K44" s="245"/>
    </row>
    <row r="45" spans="1:11" ht="15.75" thickBot="1" x14ac:dyDescent="0.3">
      <c r="A45" s="245"/>
      <c r="B45" s="1752"/>
      <c r="C45" s="272"/>
      <c r="D45" s="294" t="s">
        <v>1201</v>
      </c>
      <c r="E45" s="1001">
        <v>0</v>
      </c>
      <c r="F45" s="1001">
        <v>21043</v>
      </c>
      <c r="G45" s="1001">
        <v>2974</v>
      </c>
      <c r="H45" s="1001">
        <v>0</v>
      </c>
      <c r="I45" s="384"/>
      <c r="J45" s="274"/>
      <c r="K45" s="245"/>
    </row>
    <row r="46" spans="1:11" ht="15.75" thickBot="1" x14ac:dyDescent="0.3">
      <c r="A46" s="245"/>
      <c r="B46" s="1752"/>
      <c r="C46" s="272"/>
      <c r="D46" s="294" t="s">
        <v>151</v>
      </c>
      <c r="E46" s="351">
        <f>SUM(E41:E45)</f>
        <v>0</v>
      </c>
      <c r="F46" s="351">
        <f>SUM(F41:F45)</f>
        <v>42123</v>
      </c>
      <c r="G46" s="351">
        <f>SUM(G41:G45)</f>
        <v>2974</v>
      </c>
      <c r="H46" s="351">
        <f>SUM(H41:H45)</f>
        <v>0</v>
      </c>
      <c r="I46" s="384"/>
      <c r="J46" s="274"/>
      <c r="K46" s="245"/>
    </row>
    <row r="47" spans="1:11" x14ac:dyDescent="0.25">
      <c r="A47" s="245"/>
      <c r="B47" s="1752"/>
      <c r="C47" s="276"/>
      <c r="D47" s="1733" t="s">
        <v>377</v>
      </c>
      <c r="E47" s="1776"/>
      <c r="F47" s="1776"/>
      <c r="G47" s="1776"/>
      <c r="H47" s="1776"/>
      <c r="I47" s="1776"/>
      <c r="J47" s="1735"/>
      <c r="K47" s="245"/>
    </row>
    <row r="48" spans="1:11" x14ac:dyDescent="0.25">
      <c r="A48" s="245"/>
      <c r="B48" s="1752"/>
      <c r="C48" s="276"/>
      <c r="D48" s="1733" t="s">
        <v>378</v>
      </c>
      <c r="E48" s="1776"/>
      <c r="F48" s="1776"/>
      <c r="G48" s="1776"/>
      <c r="H48" s="1776"/>
      <c r="I48" s="1776"/>
      <c r="J48" s="1735"/>
      <c r="K48" s="245"/>
    </row>
    <row r="49" spans="1:11" x14ac:dyDescent="0.25">
      <c r="A49" s="245"/>
      <c r="B49" s="1752"/>
      <c r="C49" s="276"/>
      <c r="D49" s="1745" t="s">
        <v>379</v>
      </c>
      <c r="E49" s="1780"/>
      <c r="F49" s="1780"/>
      <c r="G49" s="1780"/>
      <c r="H49" s="1780"/>
      <c r="I49" s="1780"/>
      <c r="J49" s="1747"/>
      <c r="K49" s="245"/>
    </row>
    <row r="50" spans="1:11" ht="15.75" thickBot="1" x14ac:dyDescent="0.3">
      <c r="A50" s="245"/>
      <c r="B50" s="1752"/>
      <c r="C50" s="276"/>
      <c r="D50" s="1733" t="s">
        <v>368</v>
      </c>
      <c r="E50" s="1776"/>
      <c r="F50" s="1776"/>
      <c r="G50" s="1776"/>
      <c r="H50" s="1776"/>
      <c r="I50" s="1776"/>
      <c r="J50" s="1735"/>
      <c r="K50" s="245"/>
    </row>
    <row r="51" spans="1:11" ht="15.75" thickBot="1" x14ac:dyDescent="0.3">
      <c r="A51" s="245"/>
      <c r="B51" s="1752"/>
      <c r="C51" s="272"/>
      <c r="D51" s="280" t="s">
        <v>150</v>
      </c>
      <c r="E51" s="280" t="s">
        <v>20</v>
      </c>
      <c r="F51" s="280" t="s">
        <v>21</v>
      </c>
      <c r="G51" s="280" t="s">
        <v>22</v>
      </c>
      <c r="H51" s="280" t="s">
        <v>23</v>
      </c>
      <c r="I51" s="280" t="s">
        <v>151</v>
      </c>
      <c r="J51" s="274"/>
      <c r="K51" s="245"/>
    </row>
    <row r="52" spans="1:11" ht="15.75" thickBot="1" x14ac:dyDescent="0.3">
      <c r="A52" s="245"/>
      <c r="B52" s="1752"/>
      <c r="C52" s="272"/>
      <c r="D52" s="294" t="s">
        <v>369</v>
      </c>
      <c r="E52" s="7"/>
      <c r="F52" s="7">
        <v>2</v>
      </c>
      <c r="G52" s="7"/>
      <c r="H52" s="7"/>
      <c r="I52" s="283">
        <f>SUM(E52:H52)</f>
        <v>2</v>
      </c>
      <c r="J52" s="274"/>
      <c r="K52" s="245"/>
    </row>
    <row r="53" spans="1:11" ht="15.75" thickBot="1" x14ac:dyDescent="0.3">
      <c r="A53" s="245"/>
      <c r="B53" s="1752"/>
      <c r="C53" s="272"/>
      <c r="D53" s="294" t="s">
        <v>370</v>
      </c>
      <c r="E53" s="7"/>
      <c r="F53" s="7"/>
      <c r="G53" s="7"/>
      <c r="H53" s="7"/>
      <c r="I53" s="385"/>
      <c r="J53" s="274"/>
      <c r="K53" s="245"/>
    </row>
    <row r="54" spans="1:11" ht="15.75" thickBot="1" x14ac:dyDescent="0.3">
      <c r="A54" s="245"/>
      <c r="B54" s="1752"/>
      <c r="C54" s="272"/>
      <c r="D54" s="294" t="s">
        <v>371</v>
      </c>
      <c r="E54" s="7"/>
      <c r="F54" s="7"/>
      <c r="G54" s="7"/>
      <c r="H54" s="7"/>
      <c r="I54" s="385"/>
      <c r="J54" s="274"/>
      <c r="K54" s="245"/>
    </row>
    <row r="55" spans="1:11" ht="15.75" thickBot="1" x14ac:dyDescent="0.3">
      <c r="A55" s="245"/>
      <c r="B55" s="1752"/>
      <c r="C55" s="272"/>
      <c r="D55" s="294" t="s">
        <v>372</v>
      </c>
      <c r="E55" s="7"/>
      <c r="F55" s="7"/>
      <c r="G55" s="7"/>
      <c r="H55" s="7"/>
      <c r="I55" s="385"/>
      <c r="J55" s="274"/>
      <c r="K55" s="245"/>
    </row>
    <row r="56" spans="1:11" ht="15.75" thickBot="1" x14ac:dyDescent="0.3">
      <c r="A56" s="245"/>
      <c r="B56" s="1752"/>
      <c r="C56" s="272"/>
      <c r="D56" s="294" t="s">
        <v>373</v>
      </c>
      <c r="E56" s="7"/>
      <c r="F56" s="7">
        <v>2</v>
      </c>
      <c r="G56" s="7"/>
      <c r="H56" s="7"/>
      <c r="I56" s="385"/>
      <c r="J56" s="274"/>
      <c r="K56" s="245"/>
    </row>
    <row r="57" spans="1:11" ht="15.75" thickBot="1" x14ac:dyDescent="0.3">
      <c r="A57" s="245"/>
      <c r="B57" s="1752"/>
      <c r="C57" s="272"/>
      <c r="D57" s="294" t="s">
        <v>1201</v>
      </c>
      <c r="E57" s="380"/>
      <c r="F57" s="380"/>
      <c r="G57" s="380"/>
      <c r="H57" s="380"/>
      <c r="I57" s="385"/>
      <c r="J57" s="274"/>
      <c r="K57" s="245"/>
    </row>
    <row r="58" spans="1:11" ht="15.75" thickBot="1" x14ac:dyDescent="0.3">
      <c r="A58" s="245"/>
      <c r="B58" s="1752"/>
      <c r="C58" s="272"/>
      <c r="D58" s="294" t="s">
        <v>151</v>
      </c>
      <c r="E58" s="351">
        <f>SUM(E53:E57)</f>
        <v>0</v>
      </c>
      <c r="F58" s="351">
        <f>SUM(F53:F57)</f>
        <v>2</v>
      </c>
      <c r="G58" s="351">
        <f>SUM(G53:G57)</f>
        <v>0</v>
      </c>
      <c r="H58" s="351">
        <f>SUM(H53:H57)</f>
        <v>0</v>
      </c>
      <c r="I58" s="385"/>
      <c r="J58" s="274"/>
      <c r="K58" s="245"/>
    </row>
    <row r="59" spans="1:11" x14ac:dyDescent="0.25">
      <c r="A59" s="245"/>
      <c r="B59" s="1752"/>
      <c r="C59" s="276"/>
      <c r="D59" s="1733" t="s">
        <v>374</v>
      </c>
      <c r="E59" s="1776"/>
      <c r="F59" s="1776"/>
      <c r="G59" s="1776"/>
      <c r="H59" s="1776"/>
      <c r="I59" s="1776"/>
      <c r="J59" s="1735"/>
      <c r="K59" s="245"/>
    </row>
    <row r="60" spans="1:11" x14ac:dyDescent="0.25">
      <c r="A60" s="245"/>
      <c r="B60" s="1752"/>
      <c r="C60" s="276"/>
      <c r="D60" s="1733" t="s">
        <v>375</v>
      </c>
      <c r="E60" s="1776"/>
      <c r="F60" s="1776"/>
      <c r="G60" s="1776"/>
      <c r="H60" s="1776"/>
      <c r="I60" s="1776"/>
      <c r="J60" s="1735"/>
      <c r="K60" s="245"/>
    </row>
    <row r="61" spans="1:11" ht="15.75" thickBot="1" x14ac:dyDescent="0.3">
      <c r="A61" s="245"/>
      <c r="B61" s="1752"/>
      <c r="C61" s="276"/>
      <c r="D61" s="1745" t="s">
        <v>376</v>
      </c>
      <c r="E61" s="1780"/>
      <c r="F61" s="1780"/>
      <c r="G61" s="1780"/>
      <c r="H61" s="1780"/>
      <c r="I61" s="1780"/>
      <c r="J61" s="1747"/>
      <c r="K61" s="245"/>
    </row>
    <row r="62" spans="1:11" ht="15.75" thickBot="1" x14ac:dyDescent="0.3">
      <c r="A62" s="245"/>
      <c r="B62" s="1752"/>
      <c r="C62" s="272"/>
      <c r="D62" s="280" t="s">
        <v>150</v>
      </c>
      <c r="E62" s="280" t="s">
        <v>20</v>
      </c>
      <c r="F62" s="280" t="s">
        <v>21</v>
      </c>
      <c r="G62" s="280" t="s">
        <v>22</v>
      </c>
      <c r="H62" s="280" t="s">
        <v>23</v>
      </c>
      <c r="I62" s="280" t="s">
        <v>151</v>
      </c>
      <c r="J62" s="274"/>
      <c r="K62" s="245"/>
    </row>
    <row r="63" spans="1:11" ht="15.75" thickBot="1" x14ac:dyDescent="0.3">
      <c r="A63" s="245"/>
      <c r="B63" s="1752"/>
      <c r="C63" s="272"/>
      <c r="D63" s="294" t="s">
        <v>369</v>
      </c>
      <c r="E63" s="197"/>
      <c r="F63" s="197"/>
      <c r="G63" s="197">
        <v>54000</v>
      </c>
      <c r="H63" s="7"/>
      <c r="I63" s="351">
        <f>SUM(E63:H63)</f>
        <v>54000</v>
      </c>
      <c r="J63" s="274"/>
      <c r="K63" s="245"/>
    </row>
    <row r="64" spans="1:11" ht="15.75" thickBot="1" x14ac:dyDescent="0.3">
      <c r="A64" s="245"/>
      <c r="B64" s="1752"/>
      <c r="C64" s="272"/>
      <c r="D64" s="294" t="s">
        <v>370</v>
      </c>
      <c r="E64" s="197"/>
      <c r="F64" s="197"/>
      <c r="G64" s="197"/>
      <c r="H64" s="197"/>
      <c r="I64" s="385"/>
      <c r="J64" s="274"/>
      <c r="K64" s="245"/>
    </row>
    <row r="65" spans="1:13" ht="15.75" thickBot="1" x14ac:dyDescent="0.3">
      <c r="A65" s="245"/>
      <c r="B65" s="1752"/>
      <c r="C65" s="272"/>
      <c r="D65" s="294" t="s">
        <v>371</v>
      </c>
      <c r="E65" s="197"/>
      <c r="F65" s="197"/>
      <c r="G65" s="197"/>
      <c r="H65" s="197"/>
      <c r="I65" s="385"/>
      <c r="J65" s="274"/>
      <c r="K65" s="245"/>
    </row>
    <row r="66" spans="1:13" ht="15.75" thickBot="1" x14ac:dyDescent="0.3">
      <c r="A66" s="245"/>
      <c r="B66" s="1752"/>
      <c r="C66" s="272"/>
      <c r="D66" s="294" t="s">
        <v>372</v>
      </c>
      <c r="E66" s="197"/>
      <c r="F66" s="197"/>
      <c r="G66" s="197"/>
      <c r="H66" s="197"/>
      <c r="I66" s="385"/>
      <c r="J66" s="274"/>
      <c r="K66" s="245"/>
    </row>
    <row r="67" spans="1:13" ht="15.75" thickBot="1" x14ac:dyDescent="0.3">
      <c r="A67" s="245"/>
      <c r="B67" s="1752"/>
      <c r="C67" s="272"/>
      <c r="D67" s="294" t="s">
        <v>373</v>
      </c>
      <c r="E67" s="197"/>
      <c r="F67" s="197">
        <v>40000</v>
      </c>
      <c r="G67" s="197"/>
      <c r="H67" s="197"/>
      <c r="I67" s="385"/>
      <c r="J67" s="274"/>
      <c r="K67" s="245"/>
    </row>
    <row r="68" spans="1:13" ht="15.75" thickBot="1" x14ac:dyDescent="0.3">
      <c r="A68" s="245"/>
      <c r="B68" s="1752"/>
      <c r="C68" s="272"/>
      <c r="D68" s="294" t="s">
        <v>1200</v>
      </c>
      <c r="E68" s="197"/>
      <c r="F68" s="197"/>
      <c r="G68" s="197"/>
      <c r="H68" s="197"/>
      <c r="I68" s="385"/>
      <c r="J68" s="274"/>
      <c r="K68" s="245"/>
    </row>
    <row r="69" spans="1:13" ht="15.75" thickBot="1" x14ac:dyDescent="0.3">
      <c r="A69" s="245"/>
      <c r="B69" s="1752"/>
      <c r="C69" s="272"/>
      <c r="D69" s="294" t="s">
        <v>151</v>
      </c>
      <c r="E69" s="351">
        <f>SUM(E64:E68)</f>
        <v>0</v>
      </c>
      <c r="F69" s="351">
        <f>SUM(F64:F68)</f>
        <v>40000</v>
      </c>
      <c r="G69" s="351">
        <f>SUM(G64:G68)</f>
        <v>0</v>
      </c>
      <c r="H69" s="351">
        <f>SUM(H64:H68)</f>
        <v>0</v>
      </c>
      <c r="I69" s="385"/>
      <c r="J69" s="274"/>
      <c r="K69" s="245"/>
    </row>
    <row r="70" spans="1:13" x14ac:dyDescent="0.25">
      <c r="A70" s="245"/>
      <c r="B70" s="1752"/>
      <c r="C70" s="276"/>
      <c r="D70" s="1733" t="s">
        <v>377</v>
      </c>
      <c r="E70" s="1776"/>
      <c r="F70" s="1776"/>
      <c r="G70" s="1776"/>
      <c r="H70" s="1776"/>
      <c r="I70" s="1776"/>
      <c r="J70" s="1735"/>
      <c r="K70" s="245"/>
    </row>
    <row r="71" spans="1:13" x14ac:dyDescent="0.25">
      <c r="A71" s="245"/>
      <c r="B71" s="1752"/>
      <c r="C71" s="276"/>
      <c r="D71" s="1733" t="s">
        <v>378</v>
      </c>
      <c r="E71" s="1776"/>
      <c r="F71" s="1776"/>
      <c r="G71" s="1776"/>
      <c r="H71" s="1776"/>
      <c r="I71" s="1776"/>
      <c r="J71" s="1735"/>
      <c r="K71" s="245"/>
    </row>
    <row r="72" spans="1:13" ht="15.75" thickBot="1" x14ac:dyDescent="0.3">
      <c r="A72" s="245"/>
      <c r="B72" s="1752"/>
      <c r="C72" s="276"/>
      <c r="D72" s="1736" t="s">
        <v>380</v>
      </c>
      <c r="E72" s="1737"/>
      <c r="F72" s="1737"/>
      <c r="G72" s="1737"/>
      <c r="H72" s="1737"/>
      <c r="I72" s="1737"/>
      <c r="J72" s="1738"/>
      <c r="K72" s="245"/>
    </row>
    <row r="73" spans="1:13" ht="33" customHeight="1" x14ac:dyDescent="0.25">
      <c r="A73" s="245"/>
      <c r="B73" s="1752"/>
      <c r="C73" s="272"/>
      <c r="D73" s="1744" t="s">
        <v>381</v>
      </c>
      <c r="E73" s="1751" t="s">
        <v>382</v>
      </c>
      <c r="F73" s="1751" t="s">
        <v>383</v>
      </c>
      <c r="G73" s="1751" t="s">
        <v>384</v>
      </c>
      <c r="H73" s="1751" t="s">
        <v>385</v>
      </c>
      <c r="I73" s="1751" t="s">
        <v>386</v>
      </c>
      <c r="J73" s="271" t="s">
        <v>387</v>
      </c>
      <c r="K73" s="248"/>
    </row>
    <row r="74" spans="1:13" ht="24.75" thickBot="1" x14ac:dyDescent="0.3">
      <c r="A74" s="245"/>
      <c r="B74" s="1752"/>
      <c r="C74" s="272"/>
      <c r="D74" s="1759"/>
      <c r="E74" s="1753"/>
      <c r="F74" s="1753"/>
      <c r="G74" s="1753"/>
      <c r="H74" s="1753"/>
      <c r="I74" s="1753"/>
      <c r="J74" s="278" t="s">
        <v>388</v>
      </c>
      <c r="K74" s="248"/>
    </row>
    <row r="75" spans="1:13" ht="24.75" thickBot="1" x14ac:dyDescent="0.3">
      <c r="A75" s="245"/>
      <c r="B75" s="1752"/>
      <c r="C75" s="272"/>
      <c r="D75" s="30" t="s">
        <v>2852</v>
      </c>
      <c r="E75" s="30" t="s">
        <v>2853</v>
      </c>
      <c r="F75" s="30" t="s">
        <v>2850</v>
      </c>
      <c r="G75" s="197">
        <v>40000</v>
      </c>
      <c r="H75" s="197"/>
      <c r="I75" s="30" t="s">
        <v>2851</v>
      </c>
      <c r="J75" s="30"/>
      <c r="K75" s="1845"/>
      <c r="L75" s="1846"/>
      <c r="M75" s="1847"/>
    </row>
    <row r="76" spans="1:13" ht="24.75" thickBot="1" x14ac:dyDescent="0.3">
      <c r="A76" s="245"/>
      <c r="B76" s="1752"/>
      <c r="C76" s="272"/>
      <c r="D76" s="1262" t="s">
        <v>3316</v>
      </c>
      <c r="E76" s="1263" t="s">
        <v>3317</v>
      </c>
      <c r="F76" s="1264" t="s">
        <v>3318</v>
      </c>
      <c r="G76" s="1263"/>
      <c r="H76" s="1264">
        <v>21080</v>
      </c>
      <c r="I76" s="1265" t="s">
        <v>2851</v>
      </c>
      <c r="J76" s="1003"/>
      <c r="K76" s="248"/>
    </row>
    <row r="77" spans="1:13" ht="60.75" thickBot="1" x14ac:dyDescent="0.3">
      <c r="A77" s="245"/>
      <c r="B77" s="1752"/>
      <c r="C77" s="272"/>
      <c r="D77" s="1266" t="s">
        <v>3319</v>
      </c>
      <c r="E77" s="1263" t="s">
        <v>3317</v>
      </c>
      <c r="F77" s="1267" t="s">
        <v>3320</v>
      </c>
      <c r="G77" s="1263">
        <v>21043.69</v>
      </c>
      <c r="H77" s="1264">
        <v>21042</v>
      </c>
      <c r="I77" s="1265" t="s">
        <v>3321</v>
      </c>
      <c r="J77" s="30" t="s">
        <v>3391</v>
      </c>
      <c r="K77" s="248"/>
    </row>
    <row r="78" spans="1:13" ht="24.75" thickBot="1" x14ac:dyDescent="0.3">
      <c r="A78" s="245"/>
      <c r="B78" s="1752"/>
      <c r="C78" s="272"/>
      <c r="D78" s="1268" t="s">
        <v>3322</v>
      </c>
      <c r="E78" s="1265" t="s">
        <v>3323</v>
      </c>
      <c r="F78" s="1269" t="s">
        <v>3318</v>
      </c>
      <c r="G78" s="1263"/>
      <c r="H78" s="1270">
        <v>900</v>
      </c>
      <c r="I78" s="1265" t="s">
        <v>2851</v>
      </c>
      <c r="J78" s="30"/>
      <c r="K78" s="248"/>
    </row>
    <row r="79" spans="1:13" ht="24.75" thickBot="1" x14ac:dyDescent="0.3">
      <c r="A79" s="245"/>
      <c r="B79" s="1752"/>
      <c r="C79" s="272"/>
      <c r="D79" s="1271" t="s">
        <v>3324</v>
      </c>
      <c r="E79" s="1272" t="s">
        <v>3323</v>
      </c>
      <c r="F79" s="1273" t="s">
        <v>3318</v>
      </c>
      <c r="G79" s="1274"/>
      <c r="H79" s="1275">
        <v>2074</v>
      </c>
      <c r="I79" s="1272" t="s">
        <v>2851</v>
      </c>
      <c r="J79" s="30"/>
      <c r="K79" s="248"/>
    </row>
    <row r="80" spans="1:13" ht="15.75" thickBot="1" x14ac:dyDescent="0.3">
      <c r="A80" s="245"/>
      <c r="B80" s="1752"/>
      <c r="C80" s="272"/>
      <c r="D80" s="30"/>
      <c r="E80" s="30"/>
      <c r="F80" s="30"/>
      <c r="G80" s="197"/>
      <c r="H80" s="197"/>
      <c r="I80" s="30"/>
      <c r="J80" s="30"/>
      <c r="K80" s="248"/>
    </row>
    <row r="81" spans="1:11" ht="15.75" thickBot="1" x14ac:dyDescent="0.3">
      <c r="A81" s="245"/>
      <c r="B81" s="1752"/>
      <c r="C81" s="272"/>
      <c r="D81" s="30"/>
      <c r="E81" s="30"/>
      <c r="F81" s="30"/>
      <c r="G81" s="197"/>
      <c r="H81" s="197"/>
      <c r="I81" s="30"/>
      <c r="J81" s="30"/>
      <c r="K81" s="248"/>
    </row>
    <row r="82" spans="1:11" ht="15.75" thickBot="1" x14ac:dyDescent="0.3">
      <c r="A82" s="245"/>
      <c r="B82" s="1752"/>
      <c r="C82" s="272"/>
      <c r="D82" s="30"/>
      <c r="E82" s="30"/>
      <c r="F82" s="30"/>
      <c r="G82" s="197"/>
      <c r="H82" s="197"/>
      <c r="I82" s="30"/>
      <c r="J82" s="30"/>
      <c r="K82" s="248"/>
    </row>
    <row r="83" spans="1:11" ht="15.75" thickBot="1" x14ac:dyDescent="0.3">
      <c r="A83" s="245"/>
      <c r="B83" s="1752"/>
      <c r="C83" s="272"/>
      <c r="D83" s="30"/>
      <c r="E83" s="30"/>
      <c r="F83" s="30"/>
      <c r="G83" s="197"/>
      <c r="H83" s="197"/>
      <c r="I83" s="30"/>
      <c r="J83" s="30"/>
      <c r="K83" s="248"/>
    </row>
    <row r="84" spans="1:11" ht="15.75" thickBot="1" x14ac:dyDescent="0.3">
      <c r="A84" s="245"/>
      <c r="B84" s="1752"/>
      <c r="C84" s="272"/>
      <c r="D84" s="30"/>
      <c r="E84" s="30"/>
      <c r="F84" s="30"/>
      <c r="G84" s="197"/>
      <c r="H84" s="197"/>
      <c r="I84" s="30"/>
      <c r="J84" s="30"/>
      <c r="K84" s="248"/>
    </row>
    <row r="85" spans="1:11" ht="15.75" thickBot="1" x14ac:dyDescent="0.3">
      <c r="A85" s="245"/>
      <c r="B85" s="1752"/>
      <c r="C85" s="272"/>
      <c r="D85" s="30"/>
      <c r="E85" s="30"/>
      <c r="F85" s="30"/>
      <c r="G85" s="197"/>
      <c r="H85" s="197"/>
      <c r="I85" s="30"/>
      <c r="J85" s="30"/>
      <c r="K85" s="248"/>
    </row>
    <row r="86" spans="1:11" ht="15.75" thickBot="1" x14ac:dyDescent="0.3">
      <c r="A86" s="245"/>
      <c r="B86" s="1752"/>
      <c r="C86" s="272"/>
      <c r="D86" s="30"/>
      <c r="E86" s="30"/>
      <c r="F86" s="30"/>
      <c r="G86" s="197"/>
      <c r="H86" s="197"/>
      <c r="I86" s="30"/>
      <c r="J86" s="30"/>
      <c r="K86" s="248"/>
    </row>
    <row r="87" spans="1:11" ht="15.75" thickBot="1" x14ac:dyDescent="0.3">
      <c r="A87" s="245"/>
      <c r="B87" s="1752"/>
      <c r="C87" s="272"/>
      <c r="D87" s="30"/>
      <c r="E87" s="30"/>
      <c r="F87" s="30"/>
      <c r="G87" s="197"/>
      <c r="H87" s="197"/>
      <c r="I87" s="30"/>
      <c r="J87" s="30"/>
      <c r="K87" s="248"/>
    </row>
    <row r="88" spans="1:11" ht="15.75" thickBot="1" x14ac:dyDescent="0.3">
      <c r="A88" s="245"/>
      <c r="B88" s="1752"/>
      <c r="C88" s="272"/>
      <c r="D88" s="30"/>
      <c r="E88" s="30"/>
      <c r="F88" s="30"/>
      <c r="G88" s="197"/>
      <c r="H88" s="197"/>
      <c r="I88" s="30"/>
      <c r="J88" s="30"/>
      <c r="K88" s="248"/>
    </row>
    <row r="89" spans="1:11" x14ac:dyDescent="0.25">
      <c r="A89" s="245"/>
      <c r="B89" s="1752"/>
      <c r="C89" s="276"/>
      <c r="D89" s="1742" t="s">
        <v>389</v>
      </c>
      <c r="E89" s="1743"/>
      <c r="F89" s="1743"/>
      <c r="G89" s="1743"/>
      <c r="H89" s="1743"/>
      <c r="I89" s="1743"/>
      <c r="J89" s="1744"/>
      <c r="K89" s="248"/>
    </row>
    <row r="90" spans="1:11" ht="15.75" thickBot="1" x14ac:dyDescent="0.3">
      <c r="A90" s="245"/>
      <c r="B90" s="1752"/>
      <c r="C90" s="276"/>
      <c r="D90" s="1757" t="s">
        <v>390</v>
      </c>
      <c r="E90" s="1758"/>
      <c r="F90" s="1758"/>
      <c r="G90" s="1758"/>
      <c r="H90" s="1758"/>
      <c r="I90" s="1758"/>
      <c r="J90" s="1759"/>
      <c r="K90" s="248"/>
    </row>
    <row r="91" spans="1:11" x14ac:dyDescent="0.25">
      <c r="A91" s="245"/>
      <c r="B91" s="1752"/>
      <c r="C91" s="276"/>
      <c r="D91" s="301"/>
      <c r="E91" s="377"/>
      <c r="F91" s="377"/>
      <c r="G91" s="377"/>
      <c r="H91" s="377"/>
      <c r="I91" s="377"/>
      <c r="J91" s="313"/>
      <c r="K91" s="248"/>
    </row>
    <row r="92" spans="1:11" ht="15.75" thickBot="1" x14ac:dyDescent="0.3">
      <c r="A92" s="245"/>
      <c r="B92" s="1752"/>
      <c r="C92" s="276"/>
      <c r="D92" s="301" t="s">
        <v>1202</v>
      </c>
      <c r="E92" s="377"/>
      <c r="F92" s="377"/>
      <c r="G92" s="377"/>
      <c r="H92" s="377"/>
      <c r="I92" s="377"/>
      <c r="J92" s="313"/>
      <c r="K92" s="248"/>
    </row>
    <row r="93" spans="1:11" x14ac:dyDescent="0.25">
      <c r="A93" s="245"/>
      <c r="B93" s="1752"/>
      <c r="C93" s="276"/>
      <c r="D93" s="386" t="s">
        <v>150</v>
      </c>
      <c r="E93" s="387" t="s">
        <v>20</v>
      </c>
      <c r="F93" s="387" t="s">
        <v>21</v>
      </c>
      <c r="G93" s="387" t="s">
        <v>22</v>
      </c>
      <c r="H93" s="387" t="s">
        <v>23</v>
      </c>
      <c r="I93" s="388" t="s">
        <v>151</v>
      </c>
      <c r="J93" s="313"/>
      <c r="K93" s="248"/>
    </row>
    <row r="94" spans="1:11" x14ac:dyDescent="0.25">
      <c r="A94" s="245"/>
      <c r="B94" s="1752"/>
      <c r="C94" s="276"/>
      <c r="D94" s="389" t="s">
        <v>1203</v>
      </c>
      <c r="E94" s="390">
        <f>+E63+E40</f>
        <v>0</v>
      </c>
      <c r="F94" s="390">
        <f>+F63+F40</f>
        <v>42123</v>
      </c>
      <c r="G94" s="390">
        <f>+G63+G40</f>
        <v>56974</v>
      </c>
      <c r="H94" s="390">
        <f>+H63+H40</f>
        <v>0</v>
      </c>
      <c r="I94" s="391">
        <f>SUM(E94:H94)</f>
        <v>99097</v>
      </c>
      <c r="J94" s="313"/>
      <c r="K94" s="248"/>
    </row>
    <row r="95" spans="1:11" ht="36" x14ac:dyDescent="0.25">
      <c r="A95" s="245"/>
      <c r="B95" s="1752"/>
      <c r="C95" s="276"/>
      <c r="D95" s="392" t="s">
        <v>1204</v>
      </c>
      <c r="E95" s="390">
        <f>+E68+E45</f>
        <v>0</v>
      </c>
      <c r="F95" s="390">
        <f>+F68+F45</f>
        <v>21043</v>
      </c>
      <c r="G95" s="390">
        <f>+G68+G45</f>
        <v>2974</v>
      </c>
      <c r="H95" s="390">
        <f>+H68+H45</f>
        <v>0</v>
      </c>
      <c r="I95" s="391">
        <f>SUM(E95:H95)</f>
        <v>24017</v>
      </c>
      <c r="J95" s="313"/>
      <c r="K95" s="248"/>
    </row>
    <row r="96" spans="1:11" ht="48.75" thickBot="1" x14ac:dyDescent="0.3">
      <c r="A96" s="245"/>
      <c r="B96" s="1752"/>
      <c r="C96" s="276"/>
      <c r="D96" s="392" t="s">
        <v>348</v>
      </c>
      <c r="E96" s="393" t="str">
        <f>IFERROR(E95/E94,"N.A.")</f>
        <v>N.A.</v>
      </c>
      <c r="F96" s="393">
        <f>IFERROR(F95/F94,"N.A.")</f>
        <v>0.49956081000878377</v>
      </c>
      <c r="G96" s="393">
        <f>IFERROR(G95/G94,"N.A.")</f>
        <v>5.2199248780145327E-2</v>
      </c>
      <c r="H96" s="393" t="str">
        <f>IFERROR(H95/H94,"N.A.")</f>
        <v>N.A.</v>
      </c>
      <c r="I96" s="393">
        <f>IFERROR(I95/I94,"N.A.")</f>
        <v>0.24235849722998679</v>
      </c>
      <c r="J96" s="313"/>
      <c r="K96" s="248"/>
    </row>
    <row r="97" spans="1:11" ht="24" customHeight="1" thickBot="1" x14ac:dyDescent="0.3">
      <c r="A97" s="245"/>
      <c r="B97" s="1753"/>
      <c r="C97" s="286"/>
      <c r="D97" s="245"/>
      <c r="E97" s="245"/>
      <c r="F97" s="245"/>
      <c r="G97" s="245"/>
      <c r="H97" s="245"/>
      <c r="I97" s="245"/>
      <c r="J97" s="313"/>
      <c r="K97" s="248"/>
    </row>
    <row r="98" spans="1:11" ht="24" customHeight="1" thickBot="1" x14ac:dyDescent="0.3">
      <c r="A98" s="245"/>
      <c r="B98" s="285" t="s">
        <v>34</v>
      </c>
      <c r="C98" s="286"/>
      <c r="D98" s="1754" t="s">
        <v>391</v>
      </c>
      <c r="E98" s="1755"/>
      <c r="F98" s="1755"/>
      <c r="G98" s="1755"/>
      <c r="H98" s="1755"/>
      <c r="I98" s="1755"/>
      <c r="J98" s="1756"/>
      <c r="K98" s="248"/>
    </row>
    <row r="99" spans="1:11" ht="24" customHeight="1" x14ac:dyDescent="0.25">
      <c r="A99" s="245"/>
      <c r="B99" s="1751" t="s">
        <v>36</v>
      </c>
      <c r="C99" s="268"/>
      <c r="D99" s="1742" t="s">
        <v>346</v>
      </c>
      <c r="E99" s="1743"/>
      <c r="F99" s="1743"/>
      <c r="G99" s="1743"/>
      <c r="H99" s="1743"/>
      <c r="I99" s="1743"/>
      <c r="J99" s="1744"/>
      <c r="K99" s="248"/>
    </row>
    <row r="100" spans="1:11" ht="48" customHeight="1" x14ac:dyDescent="0.25">
      <c r="A100" s="245"/>
      <c r="B100" s="1752"/>
      <c r="C100" s="276"/>
      <c r="D100" s="1733" t="s">
        <v>392</v>
      </c>
      <c r="E100" s="1776"/>
      <c r="F100" s="1776"/>
      <c r="G100" s="1776"/>
      <c r="H100" s="1776"/>
      <c r="I100" s="1776"/>
      <c r="J100" s="1735"/>
      <c r="K100" s="248"/>
    </row>
    <row r="101" spans="1:11" ht="60" customHeight="1" thickBot="1" x14ac:dyDescent="0.3">
      <c r="A101" s="245"/>
      <c r="B101" s="1753"/>
      <c r="C101" s="286"/>
      <c r="D101" s="1757" t="s">
        <v>393</v>
      </c>
      <c r="E101" s="1758"/>
      <c r="F101" s="1758"/>
      <c r="G101" s="1758"/>
      <c r="H101" s="1758"/>
      <c r="I101" s="1758"/>
      <c r="J101" s="1759"/>
      <c r="K101" s="248"/>
    </row>
    <row r="102" spans="1:11" ht="15.75" thickBot="1" x14ac:dyDescent="0.3">
      <c r="A102" s="245"/>
      <c r="B102" s="249"/>
      <c r="C102" s="250"/>
      <c r="D102" s="248"/>
      <c r="E102" s="248"/>
      <c r="F102" s="248"/>
      <c r="G102" s="248"/>
      <c r="H102" s="248"/>
      <c r="I102" s="248"/>
      <c r="J102" s="248"/>
      <c r="K102" s="248"/>
    </row>
    <row r="103" spans="1:11" ht="24" customHeight="1" thickBot="1" x14ac:dyDescent="0.3">
      <c r="A103" s="245"/>
      <c r="B103" s="1760" t="s">
        <v>38</v>
      </c>
      <c r="C103" s="1761"/>
      <c r="D103" s="1761"/>
      <c r="E103" s="1762"/>
      <c r="F103" s="248"/>
      <c r="G103" s="248"/>
      <c r="H103" s="248"/>
      <c r="I103" s="248"/>
      <c r="J103" s="248"/>
      <c r="K103" s="248"/>
    </row>
    <row r="104" spans="1:11" ht="15.75" thickBot="1" x14ac:dyDescent="0.3">
      <c r="A104" s="245"/>
      <c r="B104" s="1751">
        <v>1</v>
      </c>
      <c r="C104" s="272"/>
      <c r="D104" s="289" t="s">
        <v>39</v>
      </c>
      <c r="E104" s="31" t="s">
        <v>2854</v>
      </c>
      <c r="F104" s="248"/>
      <c r="G104" s="248"/>
      <c r="H104" s="248"/>
      <c r="I104" s="248"/>
      <c r="J104" s="248"/>
      <c r="K104" s="248"/>
    </row>
    <row r="105" spans="1:11" ht="15.75" thickBot="1" x14ac:dyDescent="0.3">
      <c r="A105" s="245"/>
      <c r="B105" s="1752"/>
      <c r="C105" s="272"/>
      <c r="D105" s="278" t="s">
        <v>40</v>
      </c>
      <c r="E105" s="31" t="s">
        <v>3325</v>
      </c>
      <c r="F105" s="248"/>
      <c r="G105" s="248"/>
      <c r="H105" s="248"/>
      <c r="I105" s="248"/>
      <c r="J105" s="248"/>
      <c r="K105" s="248"/>
    </row>
    <row r="106" spans="1:11" ht="15.75" thickBot="1" x14ac:dyDescent="0.3">
      <c r="A106" s="245"/>
      <c r="B106" s="1752"/>
      <c r="C106" s="272"/>
      <c r="D106" s="278" t="s">
        <v>41</v>
      </c>
      <c r="E106" s="31" t="s">
        <v>3326</v>
      </c>
      <c r="F106" s="248"/>
      <c r="G106" s="248"/>
      <c r="H106" s="248"/>
      <c r="I106" s="248"/>
      <c r="J106" s="248"/>
      <c r="K106" s="248"/>
    </row>
    <row r="107" spans="1:11" ht="15.75" thickBot="1" x14ac:dyDescent="0.3">
      <c r="A107" s="245"/>
      <c r="B107" s="1752"/>
      <c r="C107" s="272"/>
      <c r="D107" s="278" t="s">
        <v>42</v>
      </c>
      <c r="E107" s="31" t="s">
        <v>2855</v>
      </c>
      <c r="F107" s="248"/>
      <c r="G107" s="248"/>
      <c r="H107" s="248"/>
      <c r="I107" s="248"/>
      <c r="J107" s="248"/>
      <c r="K107" s="248"/>
    </row>
    <row r="108" spans="1:11" ht="15.75" thickBot="1" x14ac:dyDescent="0.3">
      <c r="A108" s="245"/>
      <c r="B108" s="1752"/>
      <c r="C108" s="272"/>
      <c r="D108" s="278" t="s">
        <v>43</v>
      </c>
      <c r="E108" s="1004" t="s">
        <v>3327</v>
      </c>
      <c r="F108" s="248"/>
      <c r="G108" s="248"/>
      <c r="H108" s="248"/>
      <c r="I108" s="248"/>
      <c r="J108" s="248"/>
      <c r="K108" s="248"/>
    </row>
    <row r="109" spans="1:11" ht="15.75" thickBot="1" x14ac:dyDescent="0.3">
      <c r="A109" s="245"/>
      <c r="B109" s="1752"/>
      <c r="C109" s="272"/>
      <c r="D109" s="278" t="s">
        <v>44</v>
      </c>
      <c r="E109" s="31" t="s">
        <v>2856</v>
      </c>
      <c r="F109" s="248"/>
      <c r="G109" s="248"/>
      <c r="H109" s="248"/>
      <c r="I109" s="248"/>
      <c r="J109" s="248"/>
      <c r="K109" s="248"/>
    </row>
    <row r="110" spans="1:11" ht="15.75" thickBot="1" x14ac:dyDescent="0.3">
      <c r="A110" s="245"/>
      <c r="B110" s="1753"/>
      <c r="C110" s="345"/>
      <c r="D110" s="278" t="s">
        <v>45</v>
      </c>
      <c r="E110" s="31" t="s">
        <v>2857</v>
      </c>
      <c r="F110" s="248"/>
      <c r="G110" s="248"/>
      <c r="H110" s="248"/>
      <c r="I110" s="248"/>
      <c r="J110" s="248"/>
      <c r="K110" s="248"/>
    </row>
    <row r="111" spans="1:11" ht="15.75" thickBot="1" x14ac:dyDescent="0.3">
      <c r="A111" s="245"/>
      <c r="B111" s="249"/>
      <c r="C111" s="250"/>
      <c r="D111" s="248"/>
      <c r="E111" s="248"/>
      <c r="F111" s="248"/>
      <c r="G111" s="248"/>
      <c r="H111" s="248"/>
      <c r="I111" s="248"/>
      <c r="J111" s="248"/>
      <c r="K111" s="248"/>
    </row>
    <row r="112" spans="1:11" ht="15.75" thickBot="1" x14ac:dyDescent="0.3">
      <c r="A112" s="245"/>
      <c r="B112" s="1760" t="s">
        <v>46</v>
      </c>
      <c r="C112" s="1761"/>
      <c r="D112" s="1761"/>
      <c r="E112" s="1762"/>
      <c r="F112" s="248"/>
      <c r="G112" s="248"/>
      <c r="H112" s="248"/>
      <c r="I112" s="248"/>
      <c r="J112" s="248"/>
      <c r="K112" s="248"/>
    </row>
    <row r="113" spans="1:11" ht="15.75" thickBot="1" x14ac:dyDescent="0.3">
      <c r="A113" s="245"/>
      <c r="B113" s="1751">
        <v>1</v>
      </c>
      <c r="C113" s="272"/>
      <c r="D113" s="289" t="s">
        <v>39</v>
      </c>
      <c r="E113" s="238" t="s">
        <v>47</v>
      </c>
      <c r="F113" s="248"/>
      <c r="G113" s="248"/>
      <c r="H113" s="248"/>
      <c r="I113" s="248"/>
      <c r="J113" s="248"/>
      <c r="K113" s="248"/>
    </row>
    <row r="114" spans="1:11" ht="15.75" thickBot="1" x14ac:dyDescent="0.3">
      <c r="A114" s="245"/>
      <c r="B114" s="1752"/>
      <c r="C114" s="272"/>
      <c r="D114" s="278" t="s">
        <v>40</v>
      </c>
      <c r="E114" s="238" t="s">
        <v>160</v>
      </c>
      <c r="F114" s="248"/>
      <c r="G114" s="248"/>
      <c r="H114" s="248"/>
      <c r="I114" s="248"/>
      <c r="J114" s="248"/>
      <c r="K114" s="248"/>
    </row>
    <row r="115" spans="1:11" ht="15.75" thickBot="1" x14ac:dyDescent="0.3">
      <c r="A115" s="245"/>
      <c r="B115" s="1752"/>
      <c r="C115" s="272"/>
      <c r="D115" s="278" t="s">
        <v>41</v>
      </c>
      <c r="E115" s="315"/>
      <c r="F115" s="248"/>
      <c r="G115" s="248"/>
      <c r="H115" s="248"/>
      <c r="I115" s="248"/>
      <c r="J115" s="248"/>
      <c r="K115" s="248"/>
    </row>
    <row r="116" spans="1:11" ht="15.75" thickBot="1" x14ac:dyDescent="0.3">
      <c r="A116" s="245"/>
      <c r="B116" s="1752"/>
      <c r="C116" s="272"/>
      <c r="D116" s="278" t="s">
        <v>42</v>
      </c>
      <c r="E116" s="315"/>
      <c r="F116" s="248"/>
      <c r="G116" s="248"/>
      <c r="H116" s="248"/>
      <c r="I116" s="248"/>
      <c r="J116" s="248"/>
      <c r="K116" s="248"/>
    </row>
    <row r="117" spans="1:11" ht="15.75" thickBot="1" x14ac:dyDescent="0.3">
      <c r="A117" s="245"/>
      <c r="B117" s="1752"/>
      <c r="C117" s="272"/>
      <c r="D117" s="278" t="s">
        <v>43</v>
      </c>
      <c r="E117" s="315"/>
      <c r="F117" s="248"/>
      <c r="G117" s="248"/>
      <c r="H117" s="248"/>
      <c r="I117" s="248"/>
      <c r="J117" s="248"/>
      <c r="K117" s="248"/>
    </row>
    <row r="118" spans="1:11" ht="15.75" thickBot="1" x14ac:dyDescent="0.3">
      <c r="A118" s="245"/>
      <c r="B118" s="1752"/>
      <c r="C118" s="272"/>
      <c r="D118" s="278" t="s">
        <v>44</v>
      </c>
      <c r="E118" s="315"/>
      <c r="F118" s="248"/>
      <c r="G118" s="248"/>
      <c r="H118" s="248"/>
      <c r="I118" s="248"/>
      <c r="J118" s="248"/>
      <c r="K118" s="248"/>
    </row>
    <row r="119" spans="1:11" ht="15.75" thickBot="1" x14ac:dyDescent="0.3">
      <c r="A119" s="245"/>
      <c r="B119" s="1753"/>
      <c r="C119" s="345"/>
      <c r="D119" s="278" t="s">
        <v>45</v>
      </c>
      <c r="E119" s="315"/>
      <c r="F119" s="248"/>
      <c r="G119" s="248"/>
      <c r="H119" s="248"/>
      <c r="I119" s="248"/>
      <c r="J119" s="248"/>
      <c r="K119" s="248"/>
    </row>
    <row r="120" spans="1:11" ht="15.75" thickBot="1" x14ac:dyDescent="0.3">
      <c r="A120" s="245"/>
      <c r="B120" s="249"/>
      <c r="C120" s="250"/>
      <c r="D120" s="248"/>
      <c r="E120" s="248"/>
      <c r="F120" s="248"/>
      <c r="G120" s="248"/>
      <c r="H120" s="248"/>
      <c r="I120" s="248"/>
      <c r="J120" s="248"/>
      <c r="K120" s="248"/>
    </row>
    <row r="121" spans="1:11" ht="15" customHeight="1" thickBot="1" x14ac:dyDescent="0.3">
      <c r="A121" s="245"/>
      <c r="B121" s="291" t="s">
        <v>49</v>
      </c>
      <c r="C121" s="292"/>
      <c r="D121" s="292"/>
      <c r="E121" s="293"/>
      <c r="F121" s="245"/>
      <c r="G121" s="248"/>
      <c r="H121" s="248"/>
      <c r="I121" s="248"/>
      <c r="J121" s="248"/>
      <c r="K121" s="248"/>
    </row>
    <row r="122" spans="1:11" ht="24.75" thickBot="1" x14ac:dyDescent="0.3">
      <c r="A122" s="245"/>
      <c r="B122" s="285" t="s">
        <v>50</v>
      </c>
      <c r="C122" s="278" t="s">
        <v>51</v>
      </c>
      <c r="D122" s="278" t="s">
        <v>52</v>
      </c>
      <c r="E122" s="278" t="s">
        <v>53</v>
      </c>
      <c r="F122" s="248"/>
      <c r="G122" s="248"/>
      <c r="H122" s="248"/>
      <c r="I122" s="248"/>
      <c r="J122" s="248"/>
      <c r="K122" s="245"/>
    </row>
    <row r="123" spans="1:11" ht="96.75" thickBot="1" x14ac:dyDescent="0.3">
      <c r="A123" s="245"/>
      <c r="B123" s="295">
        <v>42401</v>
      </c>
      <c r="C123" s="278">
        <v>0.01</v>
      </c>
      <c r="D123" s="296" t="s">
        <v>394</v>
      </c>
      <c r="E123" s="278"/>
      <c r="F123" s="248"/>
      <c r="G123" s="248"/>
      <c r="H123" s="248"/>
      <c r="I123" s="248"/>
      <c r="J123" s="248"/>
      <c r="K123" s="245"/>
    </row>
    <row r="124" spans="1:11" ht="15.75" thickBot="1" x14ac:dyDescent="0.3">
      <c r="A124" s="245"/>
      <c r="B124" s="249"/>
      <c r="C124" s="250"/>
      <c r="D124" s="248"/>
      <c r="E124" s="248"/>
      <c r="F124" s="248"/>
      <c r="G124" s="248"/>
      <c r="H124" s="248"/>
      <c r="I124" s="248"/>
      <c r="J124" s="248"/>
      <c r="K124" s="248"/>
    </row>
    <row r="125" spans="1:11" ht="15.75" thickBot="1" x14ac:dyDescent="0.3">
      <c r="A125" s="245"/>
      <c r="B125" s="335" t="s">
        <v>55</v>
      </c>
      <c r="C125" s="298"/>
      <c r="D125" s="248"/>
      <c r="E125" s="248"/>
      <c r="F125" s="248"/>
      <c r="G125" s="248"/>
      <c r="H125" s="248"/>
      <c r="I125" s="248"/>
      <c r="J125" s="248"/>
      <c r="K125" s="248"/>
    </row>
    <row r="126" spans="1:11" x14ac:dyDescent="0.25">
      <c r="A126" s="245"/>
      <c r="B126" s="1841" t="s">
        <v>395</v>
      </c>
      <c r="C126" s="1842"/>
      <c r="D126" s="1842"/>
      <c r="E126" s="1842"/>
      <c r="F126" s="1842"/>
      <c r="G126" s="1842"/>
      <c r="H126" s="1842"/>
      <c r="I126" s="1842"/>
      <c r="J126" s="1842"/>
      <c r="K126" s="248"/>
    </row>
    <row r="127" spans="1:11" ht="24" customHeight="1" x14ac:dyDescent="0.25">
      <c r="A127" s="245"/>
      <c r="B127" s="1841"/>
      <c r="C127" s="1842"/>
      <c r="D127" s="1842"/>
      <c r="E127" s="1842"/>
      <c r="F127" s="1842"/>
      <c r="G127" s="1842"/>
      <c r="H127" s="1842"/>
      <c r="I127" s="1842"/>
      <c r="J127" s="1842"/>
      <c r="K127" s="248"/>
    </row>
    <row r="128" spans="1:11" x14ac:dyDescent="0.25">
      <c r="A128" s="245"/>
      <c r="B128" s="1843"/>
      <c r="C128" s="1844"/>
      <c r="D128" s="1844"/>
      <c r="E128" s="1844"/>
      <c r="F128" s="1844"/>
      <c r="G128" s="1844"/>
      <c r="H128" s="1844"/>
      <c r="I128" s="1844"/>
      <c r="J128" s="1844"/>
      <c r="K128" s="248"/>
    </row>
    <row r="129" spans="1:11" ht="15.75" thickBot="1" x14ac:dyDescent="0.3">
      <c r="A129" s="245"/>
      <c r="B129" s="248"/>
      <c r="C129" s="265"/>
      <c r="D129" s="248"/>
      <c r="E129" s="248"/>
      <c r="F129" s="248"/>
      <c r="G129" s="248"/>
      <c r="H129" s="248"/>
      <c r="I129" s="248"/>
      <c r="J129" s="248"/>
      <c r="K129" s="248"/>
    </row>
    <row r="130" spans="1:11" ht="15.75" thickBot="1" x14ac:dyDescent="0.3">
      <c r="A130" s="245"/>
      <c r="B130" s="1760" t="s">
        <v>56</v>
      </c>
      <c r="C130" s="1761"/>
      <c r="D130" s="1762"/>
      <c r="E130" s="248"/>
      <c r="F130" s="248"/>
      <c r="G130" s="248"/>
      <c r="H130" s="248"/>
      <c r="I130" s="248"/>
      <c r="J130" s="248"/>
      <c r="K130" s="248"/>
    </row>
    <row r="131" spans="1:11" ht="108.75" thickBot="1" x14ac:dyDescent="0.3">
      <c r="A131" s="245"/>
      <c r="B131" s="285" t="s">
        <v>57</v>
      </c>
      <c r="C131" s="345"/>
      <c r="D131" s="278" t="s">
        <v>349</v>
      </c>
      <c r="E131" s="248"/>
      <c r="F131" s="248"/>
      <c r="G131" s="248"/>
      <c r="H131" s="248"/>
      <c r="I131" s="248"/>
      <c r="J131" s="248"/>
      <c r="K131" s="248"/>
    </row>
    <row r="132" spans="1:11" x14ac:dyDescent="0.25">
      <c r="A132" s="245"/>
      <c r="B132" s="1751" t="s">
        <v>59</v>
      </c>
      <c r="C132" s="272"/>
      <c r="D132" s="312" t="s">
        <v>60</v>
      </c>
      <c r="E132" s="248"/>
      <c r="F132" s="248"/>
      <c r="G132" s="248"/>
      <c r="H132" s="248"/>
      <c r="I132" s="248"/>
      <c r="J132" s="248"/>
      <c r="K132" s="248"/>
    </row>
    <row r="133" spans="1:11" ht="84" x14ac:dyDescent="0.25">
      <c r="A133" s="245"/>
      <c r="B133" s="1752"/>
      <c r="C133" s="272"/>
      <c r="D133" s="313" t="s">
        <v>350</v>
      </c>
      <c r="E133" s="248"/>
      <c r="F133" s="248"/>
      <c r="G133" s="248"/>
      <c r="H133" s="248"/>
      <c r="I133" s="248"/>
      <c r="J133" s="248"/>
      <c r="K133" s="248"/>
    </row>
    <row r="134" spans="1:11" ht="36" x14ac:dyDescent="0.25">
      <c r="A134" s="245"/>
      <c r="B134" s="1752"/>
      <c r="C134" s="272"/>
      <c r="D134" s="313" t="s">
        <v>351</v>
      </c>
      <c r="E134" s="248"/>
      <c r="F134" s="248"/>
      <c r="G134" s="248"/>
      <c r="H134" s="248"/>
      <c r="I134" s="248"/>
      <c r="J134" s="248"/>
      <c r="K134" s="248"/>
    </row>
    <row r="135" spans="1:11" x14ac:dyDescent="0.25">
      <c r="A135" s="245"/>
      <c r="B135" s="1752"/>
      <c r="C135" s="272"/>
      <c r="D135" s="312" t="s">
        <v>63</v>
      </c>
      <c r="E135" s="248"/>
      <c r="F135" s="248"/>
      <c r="G135" s="248"/>
      <c r="H135" s="248"/>
      <c r="I135" s="248"/>
      <c r="J135" s="248"/>
      <c r="K135" s="248"/>
    </row>
    <row r="136" spans="1:11" x14ac:dyDescent="0.25">
      <c r="A136" s="245"/>
      <c r="B136" s="1752"/>
      <c r="C136" s="272"/>
      <c r="D136" s="313" t="s">
        <v>65</v>
      </c>
      <c r="E136" s="248"/>
      <c r="F136" s="248"/>
      <c r="G136" s="248"/>
      <c r="H136" s="248"/>
      <c r="I136" s="248"/>
      <c r="J136" s="248"/>
      <c r="K136" s="248"/>
    </row>
    <row r="137" spans="1:11" x14ac:dyDescent="0.25">
      <c r="A137" s="245"/>
      <c r="B137" s="1752"/>
      <c r="C137" s="272"/>
      <c r="D137" s="313" t="s">
        <v>352</v>
      </c>
      <c r="E137" s="248"/>
      <c r="F137" s="248"/>
      <c r="G137" s="248"/>
      <c r="H137" s="248"/>
      <c r="I137" s="248"/>
      <c r="J137" s="248"/>
      <c r="K137" s="248"/>
    </row>
    <row r="138" spans="1:11" x14ac:dyDescent="0.25">
      <c r="A138" s="245"/>
      <c r="B138" s="1752"/>
      <c r="C138" s="272"/>
      <c r="D138" s="312" t="s">
        <v>288</v>
      </c>
      <c r="E138" s="248"/>
      <c r="F138" s="248"/>
      <c r="G138" s="248"/>
      <c r="H138" s="248"/>
      <c r="I138" s="248"/>
      <c r="J138" s="248"/>
      <c r="K138" s="248"/>
    </row>
    <row r="139" spans="1:11" ht="36" x14ac:dyDescent="0.25">
      <c r="A139" s="245"/>
      <c r="B139" s="1752"/>
      <c r="C139" s="272"/>
      <c r="D139" s="313" t="s">
        <v>353</v>
      </c>
      <c r="E139" s="248"/>
      <c r="F139" s="248"/>
      <c r="G139" s="248"/>
      <c r="H139" s="248"/>
      <c r="I139" s="248"/>
      <c r="J139" s="248"/>
      <c r="K139" s="248"/>
    </row>
    <row r="140" spans="1:11" ht="36" x14ac:dyDescent="0.25">
      <c r="A140" s="245"/>
      <c r="B140" s="1752"/>
      <c r="C140" s="272"/>
      <c r="D140" s="313" t="s">
        <v>354</v>
      </c>
      <c r="E140" s="248"/>
      <c r="F140" s="248"/>
      <c r="G140" s="248"/>
      <c r="H140" s="248"/>
      <c r="I140" s="248"/>
      <c r="J140" s="248"/>
      <c r="K140" s="248"/>
    </row>
    <row r="141" spans="1:11" ht="15.75" thickBot="1" x14ac:dyDescent="0.3">
      <c r="A141" s="245"/>
      <c r="B141" s="1753"/>
      <c r="C141" s="345"/>
      <c r="D141" s="278" t="s">
        <v>355</v>
      </c>
      <c r="E141" s="248"/>
      <c r="F141" s="248"/>
      <c r="G141" s="248"/>
      <c r="H141" s="248"/>
      <c r="I141" s="248"/>
      <c r="J141" s="248"/>
      <c r="K141" s="248"/>
    </row>
    <row r="142" spans="1:11" ht="24.75" thickBot="1" x14ac:dyDescent="0.3">
      <c r="A142" s="245"/>
      <c r="B142" s="285" t="s">
        <v>72</v>
      </c>
      <c r="C142" s="345"/>
      <c r="D142" s="278"/>
      <c r="E142" s="248"/>
      <c r="F142" s="248"/>
      <c r="G142" s="248"/>
      <c r="H142" s="248"/>
      <c r="I142" s="248"/>
      <c r="J142" s="248"/>
      <c r="K142" s="248"/>
    </row>
    <row r="143" spans="1:11" ht="15.75" thickBot="1" x14ac:dyDescent="0.3">
      <c r="A143" s="245"/>
      <c r="B143" s="318"/>
      <c r="C143" s="304"/>
      <c r="D143" s="248"/>
      <c r="E143" s="248"/>
      <c r="F143" s="248"/>
      <c r="G143" s="248"/>
      <c r="H143" s="248"/>
      <c r="I143" s="248"/>
      <c r="J143" s="248"/>
      <c r="K143" s="248"/>
    </row>
    <row r="144" spans="1:11" ht="108" x14ac:dyDescent="0.25">
      <c r="A144" s="245"/>
      <c r="B144" s="1751" t="s">
        <v>73</v>
      </c>
      <c r="C144" s="344"/>
      <c r="D144" s="271" t="s">
        <v>356</v>
      </c>
      <c r="E144" s="248"/>
      <c r="F144" s="248"/>
      <c r="G144" s="248"/>
      <c r="H144" s="248"/>
      <c r="I144" s="248"/>
      <c r="J144" s="248"/>
      <c r="K144" s="248"/>
    </row>
    <row r="145" spans="1:11" ht="144" x14ac:dyDescent="0.25">
      <c r="A145" s="245"/>
      <c r="B145" s="1752"/>
      <c r="C145" s="272"/>
      <c r="D145" s="313" t="s">
        <v>357</v>
      </c>
      <c r="E145" s="248"/>
      <c r="F145" s="248"/>
      <c r="G145" s="248"/>
      <c r="H145" s="248"/>
      <c r="I145" s="248"/>
      <c r="J145" s="248"/>
      <c r="K145" s="248"/>
    </row>
    <row r="146" spans="1:11" ht="192" x14ac:dyDescent="0.25">
      <c r="A146" s="245"/>
      <c r="B146" s="1752"/>
      <c r="C146" s="272"/>
      <c r="D146" s="313" t="s">
        <v>358</v>
      </c>
      <c r="E146" s="248"/>
      <c r="F146" s="248"/>
      <c r="G146" s="248"/>
      <c r="H146" s="248"/>
      <c r="I146" s="248"/>
      <c r="J146" s="248"/>
      <c r="K146" s="248"/>
    </row>
    <row r="147" spans="1:11" ht="72" x14ac:dyDescent="0.25">
      <c r="A147" s="245"/>
      <c r="B147" s="1752"/>
      <c r="C147" s="272"/>
      <c r="D147" s="313" t="s">
        <v>359</v>
      </c>
      <c r="E147" s="248"/>
      <c r="F147" s="248"/>
      <c r="G147" s="248"/>
      <c r="H147" s="248"/>
      <c r="I147" s="248"/>
      <c r="J147" s="248"/>
      <c r="K147" s="248"/>
    </row>
    <row r="148" spans="1:11" ht="120.75" thickBot="1" x14ac:dyDescent="0.3">
      <c r="A148" s="245"/>
      <c r="B148" s="1753"/>
      <c r="C148" s="345"/>
      <c r="D148" s="278" t="s">
        <v>360</v>
      </c>
      <c r="E148" s="248"/>
      <c r="F148" s="248"/>
      <c r="G148" s="248"/>
      <c r="H148" s="248"/>
      <c r="I148" s="248"/>
      <c r="J148" s="248"/>
      <c r="K148" s="248"/>
    </row>
    <row r="149" spans="1:11" x14ac:dyDescent="0.25">
      <c r="A149" s="245"/>
      <c r="B149" s="1751" t="s">
        <v>90</v>
      </c>
      <c r="C149" s="272"/>
      <c r="D149" s="312"/>
      <c r="E149" s="248"/>
      <c r="F149" s="248"/>
      <c r="G149" s="248"/>
      <c r="H149" s="248"/>
      <c r="I149" s="248"/>
      <c r="J149" s="248"/>
      <c r="K149" s="248"/>
    </row>
    <row r="150" spans="1:11" ht="36" x14ac:dyDescent="0.25">
      <c r="A150" s="245"/>
      <c r="B150" s="1752"/>
      <c r="C150" s="272"/>
      <c r="D150" s="312" t="s">
        <v>348</v>
      </c>
      <c r="E150" s="248"/>
      <c r="F150" s="248"/>
      <c r="G150" s="248"/>
      <c r="H150" s="248"/>
      <c r="I150" s="248"/>
      <c r="J150" s="248"/>
      <c r="K150" s="248"/>
    </row>
    <row r="151" spans="1:11" x14ac:dyDescent="0.25">
      <c r="A151" s="245"/>
      <c r="B151" s="1752"/>
      <c r="C151" s="272"/>
      <c r="D151" s="314"/>
      <c r="E151" s="248"/>
      <c r="F151" s="248"/>
      <c r="G151" s="248"/>
      <c r="H151" s="248"/>
      <c r="I151" s="248"/>
      <c r="J151" s="248"/>
      <c r="K151" s="248"/>
    </row>
    <row r="152" spans="1:11" x14ac:dyDescent="0.25">
      <c r="A152" s="245"/>
      <c r="B152" s="1752"/>
      <c r="C152" s="272"/>
      <c r="D152" s="313" t="s">
        <v>91</v>
      </c>
      <c r="E152" s="248"/>
      <c r="F152" s="248"/>
      <c r="G152" s="248"/>
      <c r="H152" s="248"/>
      <c r="I152" s="248"/>
      <c r="J152" s="248"/>
      <c r="K152" s="248"/>
    </row>
    <row r="153" spans="1:11" ht="49.5" x14ac:dyDescent="0.25">
      <c r="A153" s="245"/>
      <c r="B153" s="1752"/>
      <c r="C153" s="272"/>
      <c r="D153" s="313" t="s">
        <v>361</v>
      </c>
      <c r="E153" s="248"/>
      <c r="F153" s="248"/>
      <c r="G153" s="248"/>
      <c r="H153" s="248"/>
      <c r="I153" s="248"/>
      <c r="J153" s="248"/>
      <c r="K153" s="248"/>
    </row>
    <row r="154" spans="1:11" ht="49.5" x14ac:dyDescent="0.25">
      <c r="A154" s="245"/>
      <c r="B154" s="1752"/>
      <c r="C154" s="272"/>
      <c r="D154" s="313" t="s">
        <v>362</v>
      </c>
      <c r="E154" s="248"/>
      <c r="F154" s="248"/>
      <c r="G154" s="248"/>
      <c r="H154" s="248"/>
      <c r="I154" s="248"/>
      <c r="J154" s="248"/>
      <c r="K154" s="248"/>
    </row>
    <row r="155" spans="1:11" ht="50.25" thickBot="1" x14ac:dyDescent="0.3">
      <c r="A155" s="245"/>
      <c r="B155" s="1753"/>
      <c r="C155" s="345"/>
      <c r="D155" s="278" t="s">
        <v>363</v>
      </c>
      <c r="E155" s="248"/>
      <c r="F155" s="248"/>
      <c r="G155" s="248"/>
      <c r="H155" s="248"/>
      <c r="I155" s="248"/>
      <c r="J155" s="248"/>
      <c r="K155" s="248"/>
    </row>
  </sheetData>
  <sheetProtection insertRows="0"/>
  <mergeCells count="56">
    <mergeCell ref="K75:M75"/>
    <mergeCell ref="B11:D11"/>
    <mergeCell ref="F11:S11"/>
    <mergeCell ref="F12:S12"/>
    <mergeCell ref="E13:R13"/>
    <mergeCell ref="E14:R14"/>
    <mergeCell ref="D50:J50"/>
    <mergeCell ref="D38:J38"/>
    <mergeCell ref="D47:J47"/>
    <mergeCell ref="F17:F18"/>
    <mergeCell ref="D25:I25"/>
    <mergeCell ref="E17:E18"/>
    <mergeCell ref="G17:G18"/>
    <mergeCell ref="H19:J19"/>
    <mergeCell ref="B126:J127"/>
    <mergeCell ref="B128:J128"/>
    <mergeCell ref="B130:D130"/>
    <mergeCell ref="B132:B141"/>
    <mergeCell ref="B144:B14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A1:P1"/>
    <mergeCell ref="A2:P2"/>
    <mergeCell ref="A3:P3"/>
    <mergeCell ref="A4:D4"/>
    <mergeCell ref="A5:P5"/>
  </mergeCells>
  <conditionalFormatting sqref="F11">
    <cfRule type="notContainsBlanks" dxfId="97" priority="5">
      <formula>LEN(TRIM(F11))&gt;0</formula>
    </cfRule>
  </conditionalFormatting>
  <conditionalFormatting sqref="F12:S12">
    <cfRule type="expression" dxfId="96" priority="3">
      <formula>E12="NO SE REPORTA"</formula>
    </cfRule>
    <cfRule type="expression" dxfId="95" priority="4">
      <formula>E11="NO APLICA"</formula>
    </cfRule>
  </conditionalFormatting>
  <conditionalFormatting sqref="E13:R13">
    <cfRule type="expression" dxfId="94" priority="1">
      <formula>E12="SI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23:F23 E19:F19 H63 E52:H57 E29:H34">
      <formula1>0</formula1>
    </dataValidation>
    <dataValidation type="whole" operator="greaterThanOrEqual" allowBlank="1" showInputMessage="1" showErrorMessage="1" errorTitle="ERROR" error="Valor en HECTAREAS (sin decimales)_x000a_" sqref="G80:H88 E20:F22 H64:H68 E63:G68 E40:H45 G75:H75 H78:H79">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 ref="E108" r:id="rId1" display="mariaguzman@corpoguajira.gov.co"/>
  </hyperlinks>
  <pageMargins left="0.25" right="0.25" top="0.75" bottom="0.75" header="0.3" footer="0.3"/>
  <pageSetup paperSize="178" orientation="landscape" horizontalDpi="1200" verticalDpi="12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U89"/>
  <sheetViews>
    <sheetView showGridLines="0" topLeftCell="A4" zoomScale="98" zoomScaleNormal="98" workbookViewId="0">
      <selection activeCell="E12" sqref="E12:R12"/>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396</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1188</v>
      </c>
      <c r="C8" s="262">
        <v>2020</v>
      </c>
      <c r="D8" s="257" t="str">
        <f>IF(E10="NO APLICA","NO APLICA",IF(E11="NO SE REPORTA","SIN INFORMACION",+F20))</f>
        <v>NO APLICA</v>
      </c>
      <c r="E8" s="264"/>
      <c r="F8" s="248" t="s">
        <v>130</v>
      </c>
      <c r="G8" s="248"/>
      <c r="H8" s="248"/>
      <c r="I8" s="248"/>
      <c r="J8" s="248"/>
      <c r="K8" s="248"/>
    </row>
    <row r="9" spans="1:21" x14ac:dyDescent="0.25">
      <c r="A9" s="245"/>
      <c r="B9" s="497" t="s">
        <v>1189</v>
      </c>
      <c r="C9" s="265"/>
      <c r="D9" s="248"/>
      <c r="E9" s="248"/>
      <c r="F9" s="248"/>
      <c r="G9" s="248"/>
      <c r="H9" s="248"/>
      <c r="I9" s="248"/>
      <c r="J9" s="248"/>
      <c r="K9" s="248"/>
    </row>
    <row r="10" spans="1:21" s="412" customFormat="1" x14ac:dyDescent="0.25">
      <c r="A10" s="245"/>
      <c r="B10" s="1720" t="s">
        <v>1244</v>
      </c>
      <c r="C10" s="1720"/>
      <c r="D10" s="1720"/>
      <c r="E10" s="503" t="s">
        <v>1240</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265"/>
      <c r="D14" s="248"/>
      <c r="E14" s="248"/>
      <c r="F14" s="248"/>
      <c r="G14" s="248"/>
      <c r="H14" s="248"/>
      <c r="I14" s="248"/>
      <c r="J14" s="248"/>
      <c r="K14" s="248"/>
    </row>
    <row r="15" spans="1:21" ht="15.75" thickTop="1" x14ac:dyDescent="0.25">
      <c r="A15" s="245"/>
      <c r="B15" s="1855" t="s">
        <v>2</v>
      </c>
      <c r="C15" s="268"/>
      <c r="D15" s="1742" t="s">
        <v>336</v>
      </c>
      <c r="E15" s="1743"/>
      <c r="F15" s="1743"/>
      <c r="G15" s="1743"/>
      <c r="H15" s="1743"/>
      <c r="I15" s="1743"/>
      <c r="J15" s="1744"/>
      <c r="K15" s="248"/>
    </row>
    <row r="16" spans="1:21" ht="15.75" thickBot="1" x14ac:dyDescent="0.3">
      <c r="A16" s="245"/>
      <c r="B16" s="1752"/>
      <c r="C16" s="276"/>
      <c r="D16" s="1736" t="s">
        <v>411</v>
      </c>
      <c r="E16" s="1737"/>
      <c r="F16" s="1737"/>
      <c r="G16" s="1737"/>
      <c r="H16" s="1737"/>
      <c r="I16" s="1737"/>
      <c r="J16" s="1738"/>
      <c r="K16" s="248"/>
    </row>
    <row r="17" spans="1:11" ht="24.75" thickBot="1" x14ac:dyDescent="0.3">
      <c r="A17" s="245"/>
      <c r="B17" s="1752"/>
      <c r="C17" s="272"/>
      <c r="D17" s="280" t="s">
        <v>412</v>
      </c>
      <c r="E17" s="287" t="s">
        <v>1864</v>
      </c>
      <c r="F17" s="280" t="s">
        <v>20</v>
      </c>
      <c r="G17" s="280" t="s">
        <v>21</v>
      </c>
      <c r="H17" s="280" t="s">
        <v>22</v>
      </c>
      <c r="I17" s="280" t="s">
        <v>23</v>
      </c>
      <c r="J17" s="280" t="s">
        <v>151</v>
      </c>
      <c r="K17" s="248"/>
    </row>
    <row r="18" spans="1:11" ht="36.75" thickBot="1" x14ac:dyDescent="0.3">
      <c r="A18" s="245"/>
      <c r="B18" s="1752"/>
      <c r="C18" s="272"/>
      <c r="D18" s="278" t="s">
        <v>413</v>
      </c>
      <c r="E18" s="540"/>
      <c r="F18" s="217"/>
      <c r="G18" s="217"/>
      <c r="H18" s="217"/>
      <c r="I18" s="217"/>
      <c r="J18" s="283">
        <f>SUM(F18:I18)</f>
        <v>0</v>
      </c>
      <c r="K18" s="19"/>
    </row>
    <row r="19" spans="1:11" ht="36.75" thickBot="1" x14ac:dyDescent="0.3">
      <c r="A19" s="245"/>
      <c r="B19" s="1752"/>
      <c r="C19" s="272"/>
      <c r="D19" s="278" t="s">
        <v>414</v>
      </c>
      <c r="E19" s="217"/>
      <c r="F19" s="217"/>
      <c r="G19" s="217"/>
      <c r="H19" s="217"/>
      <c r="I19" s="217"/>
      <c r="J19" s="283">
        <f>SUM(F19:I19)</f>
        <v>0</v>
      </c>
      <c r="K19" s="19"/>
    </row>
    <row r="20" spans="1:11" ht="36.75" thickBot="1" x14ac:dyDescent="0.3">
      <c r="A20" s="245"/>
      <c r="B20" s="1752"/>
      <c r="C20" s="345"/>
      <c r="D20" s="278" t="s">
        <v>396</v>
      </c>
      <c r="E20" s="196" t="str">
        <f t="shared" ref="E20:J20" si="0">IFERROR(E19/E18,"N.A.")</f>
        <v>N.A.</v>
      </c>
      <c r="F20" s="196" t="str">
        <f t="shared" si="0"/>
        <v>N.A.</v>
      </c>
      <c r="G20" s="196" t="str">
        <f t="shared" si="0"/>
        <v>N.A.</v>
      </c>
      <c r="H20" s="196" t="str">
        <f t="shared" si="0"/>
        <v>N.A.</v>
      </c>
      <c r="I20" s="196" t="str">
        <f t="shared" si="0"/>
        <v>N.A.</v>
      </c>
      <c r="J20" s="196" t="str">
        <f t="shared" si="0"/>
        <v>N.A.</v>
      </c>
      <c r="K20" s="19"/>
    </row>
    <row r="21" spans="1:11" ht="11.1" customHeight="1" thickBot="1" x14ac:dyDescent="0.3">
      <c r="A21" s="245"/>
      <c r="B21" s="337"/>
      <c r="C21" s="268"/>
      <c r="D21" s="1736" t="s">
        <v>1192</v>
      </c>
      <c r="E21" s="1737"/>
      <c r="F21" s="1737"/>
      <c r="G21" s="1737"/>
      <c r="H21" s="1737"/>
      <c r="I21" s="1737"/>
      <c r="J21" s="1738"/>
      <c r="K21" s="248"/>
    </row>
    <row r="22" spans="1:11" ht="36.75" thickBot="1" x14ac:dyDescent="0.3">
      <c r="A22" s="245"/>
      <c r="B22" s="337"/>
      <c r="C22" s="276"/>
      <c r="D22" s="299" t="s">
        <v>1193</v>
      </c>
      <c r="E22" s="267" t="s">
        <v>1194</v>
      </c>
      <c r="F22" s="271" t="s">
        <v>387</v>
      </c>
      <c r="G22" s="401"/>
      <c r="H22" s="402"/>
      <c r="I22" s="402"/>
      <c r="J22" s="403"/>
      <c r="K22" s="248"/>
    </row>
    <row r="23" spans="1:11" s="199" customFormat="1" ht="15.75" thickBot="1" x14ac:dyDescent="0.3">
      <c r="B23" s="236"/>
      <c r="C23" s="239"/>
      <c r="D23" s="394"/>
      <c r="E23" s="738"/>
      <c r="F23" s="336"/>
      <c r="G23" s="395"/>
      <c r="H23" s="396"/>
      <c r="I23" s="396"/>
      <c r="J23" s="397"/>
      <c r="K23" s="19"/>
    </row>
    <row r="24" spans="1:11" s="199" customFormat="1" ht="15.75" thickBot="1" x14ac:dyDescent="0.3">
      <c r="B24" s="236"/>
      <c r="C24" s="239"/>
      <c r="D24" s="394"/>
      <c r="E24" s="336"/>
      <c r="F24" s="336"/>
      <c r="G24" s="395"/>
      <c r="H24" s="396"/>
      <c r="I24" s="396"/>
      <c r="J24" s="397"/>
      <c r="K24" s="19"/>
    </row>
    <row r="25" spans="1:11" s="199" customFormat="1" ht="15.75" thickBot="1" x14ac:dyDescent="0.3">
      <c r="B25" s="236"/>
      <c r="C25" s="239"/>
      <c r="D25" s="394"/>
      <c r="E25" s="336"/>
      <c r="F25" s="336"/>
      <c r="G25" s="395"/>
      <c r="H25" s="396"/>
      <c r="I25" s="396"/>
      <c r="J25" s="397"/>
      <c r="K25" s="19"/>
    </row>
    <row r="26" spans="1:11" s="199" customFormat="1" ht="15.75" thickBot="1" x14ac:dyDescent="0.3">
      <c r="B26" s="236"/>
      <c r="C26" s="239"/>
      <c r="D26" s="394"/>
      <c r="E26" s="336"/>
      <c r="F26" s="336"/>
      <c r="G26" s="395"/>
      <c r="H26" s="396"/>
      <c r="I26" s="396"/>
      <c r="J26" s="397"/>
      <c r="K26" s="19"/>
    </row>
    <row r="27" spans="1:11" s="199" customFormat="1" ht="15.75" thickBot="1" x14ac:dyDescent="0.3">
      <c r="B27" s="236"/>
      <c r="C27" s="239"/>
      <c r="D27" s="394"/>
      <c r="E27" s="336"/>
      <c r="F27" s="336"/>
      <c r="G27" s="395"/>
      <c r="H27" s="396"/>
      <c r="I27" s="396"/>
      <c r="J27" s="397"/>
      <c r="K27" s="19"/>
    </row>
    <row r="28" spans="1:11" s="199" customFormat="1" ht="15.75" thickBot="1" x14ac:dyDescent="0.3">
      <c r="B28" s="236"/>
      <c r="C28" s="239"/>
      <c r="D28" s="394"/>
      <c r="E28" s="336"/>
      <c r="F28" s="336"/>
      <c r="G28" s="395"/>
      <c r="H28" s="396"/>
      <c r="I28" s="396"/>
      <c r="J28" s="397"/>
      <c r="K28" s="19"/>
    </row>
    <row r="29" spans="1:11" s="199" customFormat="1" ht="15.75" thickBot="1" x14ac:dyDescent="0.3">
      <c r="B29" s="236"/>
      <c r="C29" s="239"/>
      <c r="D29" s="394"/>
      <c r="E29" s="336"/>
      <c r="F29" s="336"/>
      <c r="G29" s="395"/>
      <c r="H29" s="396"/>
      <c r="I29" s="396"/>
      <c r="J29" s="397"/>
      <c r="K29" s="19"/>
    </row>
    <row r="30" spans="1:11" s="199" customFormat="1" ht="15.75" thickBot="1" x14ac:dyDescent="0.3">
      <c r="B30" s="236"/>
      <c r="C30" s="239"/>
      <c r="D30" s="394"/>
      <c r="E30" s="336"/>
      <c r="F30" s="336"/>
      <c r="G30" s="395"/>
      <c r="H30" s="396"/>
      <c r="I30" s="396"/>
      <c r="J30" s="397"/>
      <c r="K30" s="19"/>
    </row>
    <row r="31" spans="1:11" s="199" customFormat="1" ht="15.75" thickBot="1" x14ac:dyDescent="0.3">
      <c r="B31" s="236"/>
      <c r="C31" s="239"/>
      <c r="D31" s="394"/>
      <c r="E31" s="336"/>
      <c r="F31" s="336"/>
      <c r="G31" s="395"/>
      <c r="H31" s="396"/>
      <c r="I31" s="396"/>
      <c r="J31" s="397"/>
      <c r="K31" s="19"/>
    </row>
    <row r="32" spans="1:11" s="199" customFormat="1" ht="15.75" thickBot="1" x14ac:dyDescent="0.3">
      <c r="B32" s="236"/>
      <c r="C32" s="239"/>
      <c r="D32" s="394"/>
      <c r="E32" s="336"/>
      <c r="F32" s="336"/>
      <c r="G32" s="395"/>
      <c r="H32" s="396"/>
      <c r="I32" s="396"/>
      <c r="J32" s="397"/>
      <c r="K32" s="19"/>
    </row>
    <row r="33" spans="1:11" s="199" customFormat="1" ht="15.75" thickBot="1" x14ac:dyDescent="0.3">
      <c r="B33" s="236"/>
      <c r="C33" s="239"/>
      <c r="D33" s="31"/>
      <c r="E33" s="31"/>
      <c r="F33" s="31"/>
      <c r="G33" s="395"/>
      <c r="H33" s="396"/>
      <c r="I33" s="396"/>
      <c r="J33" s="397"/>
    </row>
    <row r="34" spans="1:11" s="199" customFormat="1" ht="15.75" thickBot="1" x14ac:dyDescent="0.3">
      <c r="B34" s="236"/>
      <c r="C34" s="239"/>
      <c r="D34" s="31"/>
      <c r="E34" s="31"/>
      <c r="F34" s="31"/>
      <c r="G34" s="395"/>
      <c r="H34" s="396"/>
      <c r="I34" s="396"/>
      <c r="J34" s="397"/>
    </row>
    <row r="35" spans="1:11" s="199" customFormat="1" ht="15.75" thickBot="1" x14ac:dyDescent="0.3">
      <c r="B35" s="237"/>
      <c r="C35" s="240"/>
      <c r="D35" s="31"/>
      <c r="E35" s="31"/>
      <c r="F35" s="31"/>
      <c r="G35" s="398"/>
      <c r="H35" s="399"/>
      <c r="I35" s="399"/>
      <c r="J35" s="400"/>
    </row>
    <row r="36" spans="1:11" ht="15.75" thickBot="1" x14ac:dyDescent="0.3">
      <c r="A36" s="245"/>
      <c r="B36" s="285" t="s">
        <v>34</v>
      </c>
      <c r="C36" s="286"/>
      <c r="D36" s="1754" t="s">
        <v>415</v>
      </c>
      <c r="E36" s="1755"/>
      <c r="F36" s="1755"/>
      <c r="G36" s="1755"/>
      <c r="H36" s="1755"/>
      <c r="I36" s="1755"/>
      <c r="J36" s="1756"/>
      <c r="K36" s="245"/>
    </row>
    <row r="37" spans="1:11" ht="24.75" thickBot="1" x14ac:dyDescent="0.3">
      <c r="A37" s="245"/>
      <c r="B37" s="285" t="s">
        <v>36</v>
      </c>
      <c r="C37" s="286"/>
      <c r="D37" s="1754" t="s">
        <v>346</v>
      </c>
      <c r="E37" s="1755"/>
      <c r="F37" s="1755"/>
      <c r="G37" s="1755"/>
      <c r="H37" s="1755"/>
      <c r="I37" s="1755"/>
      <c r="J37" s="1756"/>
      <c r="K37" s="245"/>
    </row>
    <row r="38" spans="1:11" ht="15.75" thickBot="1" x14ac:dyDescent="0.3">
      <c r="A38" s="245"/>
      <c r="B38" s="377"/>
      <c r="C38" s="404"/>
      <c r="D38" s="377"/>
      <c r="E38" s="377"/>
      <c r="F38" s="377"/>
      <c r="G38" s="377"/>
      <c r="H38" s="377"/>
      <c r="I38" s="377"/>
      <c r="J38" s="377"/>
      <c r="K38" s="248"/>
    </row>
    <row r="39" spans="1:11" ht="24" customHeight="1" thickBot="1" x14ac:dyDescent="0.3">
      <c r="A39" s="245"/>
      <c r="B39" s="1760" t="s">
        <v>38</v>
      </c>
      <c r="C39" s="1761"/>
      <c r="D39" s="1761"/>
      <c r="E39" s="1762"/>
      <c r="F39" s="248"/>
      <c r="G39" s="248"/>
      <c r="H39" s="248"/>
      <c r="I39" s="248"/>
      <c r="J39" s="248"/>
      <c r="K39" s="248"/>
    </row>
    <row r="40" spans="1:11" ht="15.75" thickBot="1" x14ac:dyDescent="0.3">
      <c r="A40" s="245"/>
      <c r="B40" s="1751">
        <v>1</v>
      </c>
      <c r="C40" s="272"/>
      <c r="D40" s="289" t="s">
        <v>39</v>
      </c>
      <c r="E40" s="31"/>
      <c r="F40" s="248"/>
      <c r="G40" s="248"/>
      <c r="H40" s="248"/>
      <c r="I40" s="248"/>
      <c r="J40" s="248"/>
      <c r="K40" s="248"/>
    </row>
    <row r="41" spans="1:11" ht="15.75" thickBot="1" x14ac:dyDescent="0.3">
      <c r="A41" s="245"/>
      <c r="B41" s="1752"/>
      <c r="C41" s="272"/>
      <c r="D41" s="278" t="s">
        <v>40</v>
      </c>
      <c r="E41" s="31"/>
      <c r="F41" s="248"/>
      <c r="G41" s="248"/>
      <c r="H41" s="248"/>
      <c r="I41" s="248"/>
      <c r="J41" s="248"/>
      <c r="K41" s="248"/>
    </row>
    <row r="42" spans="1:11" ht="15.75" thickBot="1" x14ac:dyDescent="0.3">
      <c r="A42" s="245"/>
      <c r="B42" s="1752"/>
      <c r="C42" s="272"/>
      <c r="D42" s="278" t="s">
        <v>41</v>
      </c>
      <c r="E42" s="31"/>
      <c r="F42" s="248"/>
      <c r="G42" s="248"/>
      <c r="H42" s="248"/>
      <c r="I42" s="248"/>
      <c r="J42" s="248"/>
      <c r="K42" s="248"/>
    </row>
    <row r="43" spans="1:11" ht="15.75" thickBot="1" x14ac:dyDescent="0.3">
      <c r="A43" s="245"/>
      <c r="B43" s="1752"/>
      <c r="C43" s="272"/>
      <c r="D43" s="278" t="s">
        <v>42</v>
      </c>
      <c r="E43" s="31"/>
      <c r="F43" s="248"/>
      <c r="G43" s="248"/>
      <c r="H43" s="248"/>
      <c r="I43" s="248"/>
      <c r="J43" s="248"/>
      <c r="K43" s="248"/>
    </row>
    <row r="44" spans="1:11" ht="15.75" thickBot="1" x14ac:dyDescent="0.3">
      <c r="A44" s="245"/>
      <c r="B44" s="1752"/>
      <c r="C44" s="272"/>
      <c r="D44" s="278" t="s">
        <v>43</v>
      </c>
      <c r="E44" s="31"/>
      <c r="F44" s="248"/>
      <c r="G44" s="248"/>
      <c r="H44" s="248"/>
      <c r="I44" s="248"/>
      <c r="J44" s="248"/>
      <c r="K44" s="248"/>
    </row>
    <row r="45" spans="1:11" ht="15.75" thickBot="1" x14ac:dyDescent="0.3">
      <c r="A45" s="245"/>
      <c r="B45" s="1752"/>
      <c r="C45" s="272"/>
      <c r="D45" s="278" t="s">
        <v>44</v>
      </c>
      <c r="E45" s="31"/>
      <c r="F45" s="248"/>
      <c r="G45" s="248"/>
      <c r="H45" s="248"/>
      <c r="I45" s="248"/>
      <c r="J45" s="248"/>
      <c r="K45" s="248"/>
    </row>
    <row r="46" spans="1:11" ht="15.75" thickBot="1" x14ac:dyDescent="0.3">
      <c r="A46" s="245"/>
      <c r="B46" s="1753"/>
      <c r="C46" s="345"/>
      <c r="D46" s="278" t="s">
        <v>45</v>
      </c>
      <c r="E46" s="31"/>
      <c r="F46" s="248"/>
      <c r="G46" s="248"/>
      <c r="H46" s="248"/>
      <c r="I46" s="248"/>
      <c r="J46" s="248"/>
      <c r="K46" s="248"/>
    </row>
    <row r="47" spans="1:11" ht="15.75" thickBot="1" x14ac:dyDescent="0.3">
      <c r="A47" s="245"/>
      <c r="B47" s="249"/>
      <c r="C47" s="250"/>
      <c r="D47" s="248"/>
      <c r="E47" s="248"/>
      <c r="F47" s="248"/>
      <c r="G47" s="248"/>
      <c r="H47" s="248"/>
      <c r="I47" s="248"/>
      <c r="J47" s="248"/>
      <c r="K47" s="248"/>
    </row>
    <row r="48" spans="1:11" ht="15.75" thickBot="1" x14ac:dyDescent="0.3">
      <c r="A48" s="245"/>
      <c r="B48" s="1760" t="s">
        <v>46</v>
      </c>
      <c r="C48" s="1761"/>
      <c r="D48" s="1761"/>
      <c r="E48" s="1762"/>
      <c r="F48" s="248"/>
      <c r="G48" s="248"/>
      <c r="H48" s="248"/>
      <c r="I48" s="248"/>
      <c r="J48" s="248"/>
      <c r="K48" s="248"/>
    </row>
    <row r="49" spans="1:11" ht="15.75" thickBot="1" x14ac:dyDescent="0.3">
      <c r="A49" s="245"/>
      <c r="B49" s="1751">
        <v>1</v>
      </c>
      <c r="C49" s="272"/>
      <c r="D49" s="289" t="s">
        <v>39</v>
      </c>
      <c r="E49" s="238" t="s">
        <v>47</v>
      </c>
      <c r="F49" s="248"/>
      <c r="G49" s="248"/>
      <c r="H49" s="248"/>
      <c r="I49" s="248"/>
      <c r="J49" s="248"/>
      <c r="K49" s="248"/>
    </row>
    <row r="50" spans="1:11" ht="15.75" thickBot="1" x14ac:dyDescent="0.3">
      <c r="A50" s="245"/>
      <c r="B50" s="1752"/>
      <c r="C50" s="272"/>
      <c r="D50" s="278" t="s">
        <v>40</v>
      </c>
      <c r="E50" s="238" t="s">
        <v>48</v>
      </c>
      <c r="F50" s="248"/>
      <c r="G50" s="248"/>
      <c r="H50" s="248"/>
      <c r="I50" s="248"/>
      <c r="J50" s="248"/>
      <c r="K50" s="248"/>
    </row>
    <row r="51" spans="1:11" ht="15.75" thickBot="1" x14ac:dyDescent="0.3">
      <c r="A51" s="245"/>
      <c r="B51" s="1752"/>
      <c r="C51" s="272"/>
      <c r="D51" s="278" t="s">
        <v>41</v>
      </c>
      <c r="E51" s="315"/>
      <c r="F51" s="248"/>
      <c r="G51" s="248"/>
      <c r="H51" s="248"/>
      <c r="I51" s="248"/>
      <c r="J51" s="248"/>
      <c r="K51" s="248"/>
    </row>
    <row r="52" spans="1:11" ht="15.75" thickBot="1" x14ac:dyDescent="0.3">
      <c r="A52" s="245"/>
      <c r="B52" s="1752"/>
      <c r="C52" s="272"/>
      <c r="D52" s="278" t="s">
        <v>42</v>
      </c>
      <c r="E52" s="315"/>
      <c r="F52" s="248"/>
      <c r="G52" s="248"/>
      <c r="H52" s="248"/>
      <c r="I52" s="248"/>
      <c r="J52" s="248"/>
      <c r="K52" s="248"/>
    </row>
    <row r="53" spans="1:11" ht="15.75" thickBot="1" x14ac:dyDescent="0.3">
      <c r="A53" s="245"/>
      <c r="B53" s="1752"/>
      <c r="C53" s="272"/>
      <c r="D53" s="278" t="s">
        <v>43</v>
      </c>
      <c r="E53" s="315"/>
      <c r="F53" s="248"/>
      <c r="G53" s="248"/>
      <c r="H53" s="248"/>
      <c r="I53" s="248"/>
      <c r="J53" s="248"/>
      <c r="K53" s="248"/>
    </row>
    <row r="54" spans="1:11" ht="15.75" thickBot="1" x14ac:dyDescent="0.3">
      <c r="A54" s="245"/>
      <c r="B54" s="1752"/>
      <c r="C54" s="272"/>
      <c r="D54" s="278" t="s">
        <v>44</v>
      </c>
      <c r="E54" s="315"/>
      <c r="F54" s="248"/>
      <c r="G54" s="248"/>
      <c r="H54" s="248"/>
      <c r="I54" s="248"/>
      <c r="J54" s="248"/>
      <c r="K54" s="248"/>
    </row>
    <row r="55" spans="1:11" ht="15.75" thickBot="1" x14ac:dyDescent="0.3">
      <c r="A55" s="245"/>
      <c r="B55" s="1753"/>
      <c r="C55" s="345"/>
      <c r="D55" s="278" t="s">
        <v>45</v>
      </c>
      <c r="E55" s="315"/>
      <c r="F55" s="248"/>
      <c r="G55" s="248"/>
      <c r="H55" s="248"/>
      <c r="I55" s="248"/>
      <c r="J55" s="248"/>
      <c r="K55" s="248"/>
    </row>
    <row r="56" spans="1:11" ht="15.75" thickBot="1" x14ac:dyDescent="0.3">
      <c r="A56" s="245"/>
      <c r="B56" s="249"/>
      <c r="C56" s="250"/>
      <c r="D56" s="248"/>
      <c r="E56" s="248"/>
      <c r="F56" s="248"/>
      <c r="G56" s="248"/>
      <c r="H56" s="248"/>
      <c r="I56" s="248"/>
      <c r="J56" s="248"/>
      <c r="K56" s="248"/>
    </row>
    <row r="57" spans="1:11" ht="15" customHeight="1" thickBot="1" x14ac:dyDescent="0.3">
      <c r="A57" s="245"/>
      <c r="B57" s="288" t="s">
        <v>49</v>
      </c>
      <c r="C57" s="320"/>
      <c r="D57" s="320"/>
      <c r="E57" s="321"/>
      <c r="F57" s="245"/>
      <c r="G57" s="248"/>
      <c r="H57" s="248"/>
      <c r="I57" s="248"/>
      <c r="J57" s="248"/>
      <c r="K57" s="248"/>
    </row>
    <row r="58" spans="1:11" ht="24.75" thickBot="1" x14ac:dyDescent="0.3">
      <c r="A58" s="245"/>
      <c r="B58" s="285" t="s">
        <v>50</v>
      </c>
      <c r="C58" s="278" t="s">
        <v>51</v>
      </c>
      <c r="D58" s="278" t="s">
        <v>52</v>
      </c>
      <c r="E58" s="278" t="s">
        <v>53</v>
      </c>
      <c r="F58" s="248"/>
      <c r="G58" s="248"/>
      <c r="H58" s="248"/>
      <c r="I58" s="248"/>
      <c r="J58" s="248"/>
      <c r="K58" s="245"/>
    </row>
    <row r="59" spans="1:11" ht="72.75" thickBot="1" x14ac:dyDescent="0.3">
      <c r="A59" s="245"/>
      <c r="B59" s="295">
        <v>42401</v>
      </c>
      <c r="C59" s="278">
        <v>1</v>
      </c>
      <c r="D59" s="296" t="s">
        <v>416</v>
      </c>
      <c r="E59" s="278"/>
      <c r="F59" s="248"/>
      <c r="G59" s="248"/>
      <c r="H59" s="248"/>
      <c r="I59" s="248"/>
      <c r="J59" s="248"/>
      <c r="K59" s="245"/>
    </row>
    <row r="60" spans="1:11" ht="15.75" thickBot="1" x14ac:dyDescent="0.3">
      <c r="A60" s="245"/>
      <c r="B60" s="249"/>
      <c r="C60" s="250"/>
      <c r="D60" s="248"/>
      <c r="E60" s="248"/>
      <c r="F60" s="248"/>
      <c r="G60" s="248"/>
      <c r="H60" s="248"/>
      <c r="I60" s="248"/>
      <c r="J60" s="248"/>
      <c r="K60" s="248"/>
    </row>
    <row r="61" spans="1:11" ht="15.75" thickBot="1" x14ac:dyDescent="0.3">
      <c r="A61" s="245"/>
      <c r="B61" s="335" t="s">
        <v>417</v>
      </c>
      <c r="C61" s="298"/>
      <c r="D61" s="248"/>
      <c r="E61" s="248"/>
      <c r="F61" s="248"/>
      <c r="G61" s="248"/>
      <c r="H61" s="248"/>
      <c r="I61" s="248"/>
      <c r="J61" s="248"/>
      <c r="K61" s="248"/>
    </row>
    <row r="62" spans="1:11" x14ac:dyDescent="0.25">
      <c r="A62" s="245"/>
      <c r="B62" s="1791"/>
      <c r="C62" s="1792"/>
      <c r="D62" s="1792"/>
      <c r="E62" s="248"/>
      <c r="F62" s="248"/>
      <c r="G62" s="248"/>
      <c r="H62" s="248"/>
      <c r="I62" s="248"/>
      <c r="J62" s="248"/>
      <c r="K62" s="248"/>
    </row>
    <row r="63" spans="1:11" x14ac:dyDescent="0.25">
      <c r="A63" s="245"/>
      <c r="B63" s="1791"/>
      <c r="C63" s="1792"/>
      <c r="D63" s="1792"/>
      <c r="E63" s="248"/>
      <c r="F63" s="248"/>
      <c r="G63" s="248"/>
      <c r="H63" s="248"/>
      <c r="I63" s="248"/>
      <c r="J63" s="248"/>
      <c r="K63" s="248"/>
    </row>
    <row r="64" spans="1:11" ht="15.75" thickBot="1" x14ac:dyDescent="0.3">
      <c r="A64" s="245"/>
      <c r="B64" s="248"/>
      <c r="C64" s="265"/>
      <c r="D64" s="248"/>
      <c r="E64" s="248"/>
      <c r="F64" s="248"/>
      <c r="G64" s="248"/>
      <c r="H64" s="248"/>
      <c r="I64" s="248"/>
      <c r="J64" s="248"/>
      <c r="K64" s="248"/>
    </row>
    <row r="65" spans="1:11" ht="15.75" thickBot="1" x14ac:dyDescent="0.3">
      <c r="A65" s="245"/>
      <c r="B65" s="1760" t="s">
        <v>56</v>
      </c>
      <c r="C65" s="1761"/>
      <c r="D65" s="1762"/>
      <c r="E65" s="248"/>
      <c r="F65" s="248"/>
      <c r="G65" s="248"/>
      <c r="H65" s="248"/>
      <c r="I65" s="248"/>
      <c r="J65" s="248"/>
      <c r="K65" s="248"/>
    </row>
    <row r="66" spans="1:11" ht="60.75" thickBot="1" x14ac:dyDescent="0.3">
      <c r="A66" s="245"/>
      <c r="B66" s="285" t="s">
        <v>57</v>
      </c>
      <c r="C66" s="345"/>
      <c r="D66" s="278" t="s">
        <v>397</v>
      </c>
      <c r="E66" s="248"/>
      <c r="F66" s="248"/>
      <c r="G66" s="248"/>
      <c r="H66" s="248"/>
      <c r="I66" s="248"/>
      <c r="J66" s="248"/>
      <c r="K66" s="248"/>
    </row>
    <row r="67" spans="1:11" x14ac:dyDescent="0.25">
      <c r="A67" s="245"/>
      <c r="B67" s="1751" t="s">
        <v>59</v>
      </c>
      <c r="C67" s="272"/>
      <c r="D67" s="312" t="s">
        <v>60</v>
      </c>
      <c r="E67" s="248"/>
      <c r="F67" s="248"/>
      <c r="G67" s="248"/>
      <c r="H67" s="248"/>
      <c r="I67" s="248"/>
      <c r="J67" s="248"/>
      <c r="K67" s="248"/>
    </row>
    <row r="68" spans="1:11" ht="120" x14ac:dyDescent="0.25">
      <c r="A68" s="245"/>
      <c r="B68" s="1752"/>
      <c r="C68" s="272"/>
      <c r="D68" s="313" t="s">
        <v>398</v>
      </c>
      <c r="E68" s="248"/>
      <c r="F68" s="248"/>
      <c r="G68" s="248"/>
      <c r="H68" s="248"/>
      <c r="I68" s="248"/>
      <c r="J68" s="248"/>
      <c r="K68" s="248"/>
    </row>
    <row r="69" spans="1:11" x14ac:dyDescent="0.25">
      <c r="A69" s="245"/>
      <c r="B69" s="1752"/>
      <c r="C69" s="272"/>
      <c r="D69" s="312" t="s">
        <v>63</v>
      </c>
      <c r="E69" s="248"/>
      <c r="F69" s="248"/>
      <c r="G69" s="248"/>
      <c r="H69" s="248"/>
      <c r="I69" s="248"/>
      <c r="J69" s="248"/>
      <c r="K69" s="248"/>
    </row>
    <row r="70" spans="1:11" x14ac:dyDescent="0.25">
      <c r="A70" s="245"/>
      <c r="B70" s="1752"/>
      <c r="C70" s="272"/>
      <c r="D70" s="313" t="s">
        <v>318</v>
      </c>
      <c r="E70" s="248"/>
      <c r="F70" s="248"/>
      <c r="G70" s="248"/>
      <c r="H70" s="248"/>
      <c r="I70" s="248"/>
      <c r="J70" s="248"/>
      <c r="K70" s="248"/>
    </row>
    <row r="71" spans="1:11" x14ac:dyDescent="0.25">
      <c r="A71" s="245"/>
      <c r="B71" s="1752"/>
      <c r="C71" s="272"/>
      <c r="D71" s="313" t="s">
        <v>399</v>
      </c>
      <c r="E71" s="248"/>
      <c r="F71" s="248"/>
      <c r="G71" s="248"/>
      <c r="H71" s="248"/>
      <c r="I71" s="248"/>
      <c r="J71" s="248"/>
      <c r="K71" s="248"/>
    </row>
    <row r="72" spans="1:11" x14ac:dyDescent="0.25">
      <c r="A72" s="245"/>
      <c r="B72" s="1752"/>
      <c r="C72" s="272"/>
      <c r="D72" s="313" t="s">
        <v>165</v>
      </c>
      <c r="E72" s="248"/>
      <c r="F72" s="248"/>
      <c r="G72" s="248"/>
      <c r="H72" s="248"/>
      <c r="I72" s="248"/>
      <c r="J72" s="248"/>
      <c r="K72" s="248"/>
    </row>
    <row r="73" spans="1:11" x14ac:dyDescent="0.25">
      <c r="A73" s="245"/>
      <c r="B73" s="1752"/>
      <c r="C73" s="272"/>
      <c r="D73" s="313" t="s">
        <v>400</v>
      </c>
      <c r="E73" s="248"/>
      <c r="F73" s="248"/>
      <c r="G73" s="248"/>
      <c r="H73" s="248"/>
      <c r="I73" s="248"/>
      <c r="J73" s="248"/>
      <c r="K73" s="248"/>
    </row>
    <row r="74" spans="1:11" x14ac:dyDescent="0.25">
      <c r="A74" s="245"/>
      <c r="B74" s="1752"/>
      <c r="C74" s="272"/>
      <c r="D74" s="313" t="s">
        <v>401</v>
      </c>
      <c r="E74" s="248"/>
      <c r="F74" s="248"/>
      <c r="G74" s="248"/>
      <c r="H74" s="248"/>
      <c r="I74" s="248"/>
      <c r="J74" s="248"/>
      <c r="K74" s="248"/>
    </row>
    <row r="75" spans="1:11" x14ac:dyDescent="0.25">
      <c r="A75" s="245"/>
      <c r="B75" s="1752"/>
      <c r="C75" s="272"/>
      <c r="D75" s="313" t="s">
        <v>402</v>
      </c>
      <c r="E75" s="248"/>
      <c r="F75" s="248"/>
      <c r="G75" s="248"/>
      <c r="H75" s="248"/>
      <c r="I75" s="248"/>
      <c r="J75" s="248"/>
      <c r="K75" s="248"/>
    </row>
    <row r="76" spans="1:11" x14ac:dyDescent="0.25">
      <c r="A76" s="245"/>
      <c r="B76" s="1752"/>
      <c r="C76" s="272"/>
      <c r="D76" s="313" t="s">
        <v>403</v>
      </c>
      <c r="E76" s="248"/>
      <c r="F76" s="248"/>
      <c r="G76" s="248"/>
      <c r="H76" s="248"/>
      <c r="I76" s="248"/>
      <c r="J76" s="248"/>
      <c r="K76" s="248"/>
    </row>
    <row r="77" spans="1:11" x14ac:dyDescent="0.25">
      <c r="A77" s="245"/>
      <c r="B77" s="1752"/>
      <c r="C77" s="272"/>
      <c r="D77" s="312" t="s">
        <v>288</v>
      </c>
      <c r="E77" s="248"/>
      <c r="F77" s="248"/>
      <c r="G77" s="248"/>
      <c r="H77" s="248"/>
      <c r="I77" s="248"/>
      <c r="J77" s="248"/>
      <c r="K77" s="248"/>
    </row>
    <row r="78" spans="1:11" ht="36.75" thickBot="1" x14ac:dyDescent="0.3">
      <c r="A78" s="245"/>
      <c r="B78" s="1753"/>
      <c r="C78" s="345"/>
      <c r="D78" s="278" t="s">
        <v>353</v>
      </c>
      <c r="E78" s="248"/>
      <c r="F78" s="248"/>
      <c r="G78" s="248"/>
      <c r="H78" s="248"/>
      <c r="I78" s="248"/>
      <c r="J78" s="248"/>
      <c r="K78" s="248"/>
    </row>
    <row r="79" spans="1:11" ht="24.75" thickBot="1" x14ac:dyDescent="0.3">
      <c r="A79" s="245"/>
      <c r="B79" s="285" t="s">
        <v>72</v>
      </c>
      <c r="C79" s="345"/>
      <c r="D79" s="278"/>
      <c r="E79" s="248"/>
      <c r="F79" s="248"/>
      <c r="G79" s="248"/>
      <c r="H79" s="248"/>
      <c r="I79" s="248"/>
      <c r="J79" s="248"/>
      <c r="K79" s="248"/>
    </row>
    <row r="80" spans="1:11" ht="144" x14ac:dyDescent="0.25">
      <c r="A80" s="245"/>
      <c r="B80" s="1751" t="s">
        <v>73</v>
      </c>
      <c r="C80" s="272"/>
      <c r="D80" s="313" t="s">
        <v>404</v>
      </c>
      <c r="E80" s="248"/>
      <c r="F80" s="248"/>
      <c r="G80" s="248"/>
      <c r="H80" s="248"/>
      <c r="I80" s="248"/>
      <c r="J80" s="248"/>
      <c r="K80" s="248"/>
    </row>
    <row r="81" spans="1:11" ht="72" x14ac:dyDescent="0.25">
      <c r="A81" s="245"/>
      <c r="B81" s="1752"/>
      <c r="C81" s="272"/>
      <c r="D81" s="313" t="s">
        <v>405</v>
      </c>
      <c r="E81" s="248"/>
      <c r="F81" s="248"/>
      <c r="G81" s="248"/>
      <c r="H81" s="248"/>
      <c r="I81" s="248"/>
      <c r="J81" s="248"/>
      <c r="K81" s="248"/>
    </row>
    <row r="82" spans="1:11" ht="84" x14ac:dyDescent="0.25">
      <c r="A82" s="245"/>
      <c r="B82" s="1752"/>
      <c r="C82" s="272"/>
      <c r="D82" s="313" t="s">
        <v>406</v>
      </c>
      <c r="E82" s="248"/>
      <c r="F82" s="248"/>
      <c r="G82" s="248"/>
      <c r="H82" s="248"/>
      <c r="I82" s="248"/>
      <c r="J82" s="248"/>
      <c r="K82" s="248"/>
    </row>
    <row r="83" spans="1:11" ht="108.75" thickBot="1" x14ac:dyDescent="0.3">
      <c r="A83" s="245"/>
      <c r="B83" s="1753"/>
      <c r="C83" s="345"/>
      <c r="D83" s="278" t="s">
        <v>407</v>
      </c>
      <c r="E83" s="248"/>
      <c r="F83" s="248"/>
      <c r="G83" s="248"/>
      <c r="H83" s="248"/>
      <c r="I83" s="248"/>
      <c r="J83" s="248"/>
      <c r="K83" s="248"/>
    </row>
    <row r="84" spans="1:11" ht="36" x14ac:dyDescent="0.25">
      <c r="A84" s="245"/>
      <c r="B84" s="1751" t="s">
        <v>90</v>
      </c>
      <c r="C84" s="272"/>
      <c r="D84" s="312" t="s">
        <v>396</v>
      </c>
      <c r="E84" s="248"/>
      <c r="F84" s="248"/>
      <c r="G84" s="248"/>
      <c r="H84" s="248"/>
      <c r="I84" s="248"/>
      <c r="J84" s="248"/>
      <c r="K84" s="248"/>
    </row>
    <row r="85" spans="1:11" x14ac:dyDescent="0.25">
      <c r="A85" s="245"/>
      <c r="B85" s="1752"/>
      <c r="C85" s="272"/>
      <c r="D85" s="314"/>
      <c r="E85" s="248"/>
      <c r="F85" s="248"/>
      <c r="G85" s="248"/>
      <c r="H85" s="248"/>
      <c r="I85" s="248"/>
      <c r="J85" s="248"/>
      <c r="K85" s="248"/>
    </row>
    <row r="86" spans="1:11" x14ac:dyDescent="0.25">
      <c r="A86" s="245"/>
      <c r="B86" s="1752"/>
      <c r="C86" s="272"/>
      <c r="D86" s="313" t="s">
        <v>91</v>
      </c>
      <c r="E86" s="248"/>
      <c r="F86" s="248"/>
      <c r="G86" s="248"/>
      <c r="H86" s="248"/>
      <c r="I86" s="248"/>
      <c r="J86" s="248"/>
      <c r="K86" s="248"/>
    </row>
    <row r="87" spans="1:11" ht="61.5" x14ac:dyDescent="0.25">
      <c r="A87" s="245"/>
      <c r="B87" s="1752"/>
      <c r="C87" s="272"/>
      <c r="D87" s="313" t="s">
        <v>408</v>
      </c>
      <c r="E87" s="248"/>
      <c r="F87" s="248"/>
      <c r="G87" s="248"/>
      <c r="H87" s="248"/>
      <c r="I87" s="248"/>
      <c r="J87" s="248"/>
      <c r="K87" s="248"/>
    </row>
    <row r="88" spans="1:11" ht="61.5" x14ac:dyDescent="0.25">
      <c r="A88" s="245"/>
      <c r="B88" s="1752"/>
      <c r="C88" s="272"/>
      <c r="D88" s="313" t="s">
        <v>409</v>
      </c>
      <c r="E88" s="248"/>
      <c r="F88" s="248"/>
      <c r="G88" s="248"/>
      <c r="H88" s="248"/>
      <c r="I88" s="248"/>
      <c r="J88" s="248"/>
      <c r="K88" s="248"/>
    </row>
    <row r="89" spans="1:11" ht="38.25" thickBot="1" x14ac:dyDescent="0.3">
      <c r="A89" s="245"/>
      <c r="B89" s="1753"/>
      <c r="C89" s="345"/>
      <c r="D89" s="278" t="s">
        <v>410</v>
      </c>
      <c r="E89" s="248"/>
      <c r="F89" s="248"/>
      <c r="G89" s="248"/>
      <c r="H89" s="248"/>
      <c r="I89" s="248"/>
      <c r="J89" s="248"/>
      <c r="K89" s="248"/>
    </row>
  </sheetData>
  <mergeCells count="25">
    <mergeCell ref="B10:D10"/>
    <mergeCell ref="F10:S10"/>
    <mergeCell ref="F11:S11"/>
    <mergeCell ref="E12:R12"/>
    <mergeCell ref="E13:R13"/>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A1:P1"/>
    <mergeCell ref="A2:P2"/>
    <mergeCell ref="A3:P3"/>
    <mergeCell ref="A4:D4"/>
    <mergeCell ref="A5:P5"/>
  </mergeCells>
  <conditionalFormatting sqref="F10">
    <cfRule type="notContainsBlanks" dxfId="93" priority="4">
      <formula>LEN(TRIM(F10))&gt;0</formula>
    </cfRule>
  </conditionalFormatting>
  <conditionalFormatting sqref="F11:S11">
    <cfRule type="expression" dxfId="92" priority="2">
      <formula>E11="NO SE REPORTA"</formula>
    </cfRule>
    <cfRule type="expression" dxfId="91" priority="3">
      <formula>E10="NO APLICA"</formula>
    </cfRule>
  </conditionalFormatting>
  <conditionalFormatting sqref="E12:R12">
    <cfRule type="expression" dxfId="90"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U184"/>
  <sheetViews>
    <sheetView showGridLines="0" topLeftCell="D6" zoomScale="98" zoomScaleNormal="98" workbookViewId="0">
      <selection activeCell="E11" sqref="E11"/>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11" max="11" width="11.5703125" style="411"/>
    <col min="12" max="12" width="23" customWidth="1"/>
    <col min="13" max="13" width="11" customWidth="1"/>
    <col min="14" max="16" width="8.8554687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418</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c r="L6" s="6"/>
    </row>
    <row r="7" spans="1:21" ht="15.75" thickBot="1" x14ac:dyDescent="0.3">
      <c r="B7" s="75"/>
      <c r="C7" s="77"/>
      <c r="D7" s="6"/>
      <c r="E7" s="18"/>
      <c r="F7" s="6" t="s">
        <v>129</v>
      </c>
      <c r="G7" s="6"/>
      <c r="H7" s="6"/>
      <c r="I7" s="6"/>
      <c r="J7" s="6"/>
      <c r="K7" s="6" t="s">
        <v>1209</v>
      </c>
    </row>
    <row r="8" spans="1:21" ht="15.75" thickBot="1" x14ac:dyDescent="0.3">
      <c r="B8" s="178" t="s">
        <v>1188</v>
      </c>
      <c r="C8" s="222">
        <v>2020</v>
      </c>
      <c r="D8" s="226" t="str">
        <f>IF(E10="NO APLICA","NO APLICA",IF(E11="NO SE REPORTA","SIN INFORMACION",+M34))</f>
        <v>NO APLICA</v>
      </c>
      <c r="E8" s="223"/>
      <c r="F8" s="6" t="s">
        <v>130</v>
      </c>
      <c r="G8" s="6"/>
      <c r="H8" s="6"/>
      <c r="I8" s="6"/>
      <c r="J8" s="6"/>
      <c r="K8" s="6"/>
      <c r="L8" s="6"/>
    </row>
    <row r="9" spans="1:21" x14ac:dyDescent="0.25">
      <c r="B9" s="497" t="s">
        <v>1189</v>
      </c>
      <c r="C9" s="88"/>
      <c r="D9" s="6"/>
      <c r="E9" s="6"/>
      <c r="F9" s="6"/>
      <c r="G9" s="6"/>
      <c r="H9" s="6"/>
      <c r="I9" s="6"/>
    </row>
    <row r="10" spans="1:21" s="412" customFormat="1" x14ac:dyDescent="0.25">
      <c r="A10" s="245"/>
      <c r="B10" s="1720" t="s">
        <v>1244</v>
      </c>
      <c r="C10" s="1720"/>
      <c r="D10" s="1720"/>
      <c r="E10" s="503" t="s">
        <v>1240</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c>
      <c r="E11" s="504" t="s">
        <v>1242</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c>
      <c r="E12" s="1781"/>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2835</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8"/>
      <c r="D14" s="6"/>
      <c r="E14" s="6"/>
      <c r="F14" s="6"/>
      <c r="G14" s="6"/>
      <c r="H14" s="6"/>
      <c r="I14" s="6"/>
    </row>
    <row r="15" spans="1:21" ht="15.6" customHeight="1" thickBot="1" x14ac:dyDescent="0.3">
      <c r="B15" s="1804" t="s">
        <v>2</v>
      </c>
      <c r="C15" s="89"/>
      <c r="D15" s="1825" t="s">
        <v>336</v>
      </c>
      <c r="E15" s="1826"/>
      <c r="F15" s="1826"/>
      <c r="G15" s="1826"/>
      <c r="H15" s="1826"/>
      <c r="I15" s="1827"/>
      <c r="K15" s="410" t="s">
        <v>412</v>
      </c>
      <c r="L15" s="410" t="s">
        <v>1222</v>
      </c>
      <c r="M15" s="410" t="s">
        <v>1065</v>
      </c>
      <c r="N15" s="410" t="s">
        <v>105</v>
      </c>
      <c r="O15" s="225"/>
    </row>
    <row r="16" spans="1:21" ht="21.6" customHeight="1" thickBot="1" x14ac:dyDescent="0.3">
      <c r="B16" s="1805"/>
      <c r="C16" s="98" t="s">
        <v>19</v>
      </c>
      <c r="D16" s="43" t="s">
        <v>150</v>
      </c>
      <c r="E16" s="39" t="s">
        <v>151</v>
      </c>
      <c r="F16" s="6"/>
      <c r="G16" s="6"/>
      <c r="I16" s="22"/>
      <c r="K16" s="410" t="s">
        <v>1214</v>
      </c>
      <c r="L16" s="433" t="s">
        <v>1223</v>
      </c>
      <c r="M16" s="413">
        <v>0.05</v>
      </c>
      <c r="N16" s="413">
        <v>0.05</v>
      </c>
      <c r="O16" s="225"/>
    </row>
    <row r="17" spans="2:18" ht="34.700000000000003" customHeight="1" thickBot="1" x14ac:dyDescent="0.3">
      <c r="B17" s="1805"/>
      <c r="C17" s="3" t="s">
        <v>152</v>
      </c>
      <c r="D17" s="41" t="s">
        <v>1774</v>
      </c>
      <c r="E17" s="218">
        <v>43480</v>
      </c>
      <c r="F17" s="6"/>
      <c r="G17" s="6"/>
      <c r="I17" s="22"/>
      <c r="K17" s="410" t="s">
        <v>1211</v>
      </c>
      <c r="L17" s="433" t="s">
        <v>1225</v>
      </c>
      <c r="M17" s="413">
        <v>0.15</v>
      </c>
      <c r="N17" s="413">
        <f>+M17+N16</f>
        <v>0.2</v>
      </c>
      <c r="O17" s="225"/>
    </row>
    <row r="18" spans="2:18" ht="34.700000000000003" customHeight="1" thickBot="1" x14ac:dyDescent="0.3">
      <c r="B18" s="1805"/>
      <c r="C18" s="3" t="s">
        <v>154</v>
      </c>
      <c r="D18" s="41" t="s">
        <v>430</v>
      </c>
      <c r="E18" s="218">
        <v>169000</v>
      </c>
      <c r="F18" s="6"/>
      <c r="G18" s="6"/>
      <c r="I18" s="22"/>
      <c r="K18" s="410" t="s">
        <v>1212</v>
      </c>
      <c r="L18" s="433" t="s">
        <v>1226</v>
      </c>
      <c r="M18" s="413">
        <v>0.15</v>
      </c>
      <c r="N18" s="413">
        <f>+M18+N17</f>
        <v>0.35</v>
      </c>
      <c r="O18" s="225"/>
    </row>
    <row r="19" spans="2:18" ht="34.700000000000003" customHeight="1" thickBot="1" x14ac:dyDescent="0.3">
      <c r="B19" s="1805"/>
      <c r="C19" s="3" t="s">
        <v>156</v>
      </c>
      <c r="D19" s="41" t="s">
        <v>431</v>
      </c>
      <c r="E19" s="218"/>
      <c r="F19" s="6"/>
      <c r="G19" s="6"/>
      <c r="I19" s="22"/>
      <c r="K19" s="410" t="s">
        <v>1213</v>
      </c>
      <c r="L19" s="433" t="s">
        <v>1227</v>
      </c>
      <c r="M19" s="413">
        <v>0.2</v>
      </c>
      <c r="N19" s="413">
        <f>+M19+N18</f>
        <v>0.55000000000000004</v>
      </c>
      <c r="O19" s="225"/>
    </row>
    <row r="20" spans="2:18" ht="34.700000000000003" customHeight="1" thickBot="1" x14ac:dyDescent="0.3">
      <c r="B20" s="1805"/>
      <c r="C20" s="3" t="s">
        <v>258</v>
      </c>
      <c r="D20" s="41" t="s">
        <v>432</v>
      </c>
      <c r="E20" s="141">
        <f>+E18+E19</f>
        <v>169000</v>
      </c>
      <c r="F20" s="6"/>
      <c r="G20" s="6"/>
      <c r="I20" s="22"/>
      <c r="K20" s="410" t="s">
        <v>1210</v>
      </c>
      <c r="L20" s="433" t="s">
        <v>1228</v>
      </c>
      <c r="M20" s="413">
        <v>0.2</v>
      </c>
      <c r="N20" s="413">
        <f>+M20+N19</f>
        <v>0.75</v>
      </c>
      <c r="O20" s="225"/>
    </row>
    <row r="21" spans="2:18" ht="34.700000000000003" customHeight="1" thickBot="1" x14ac:dyDescent="0.3">
      <c r="B21" s="1805"/>
      <c r="C21" s="3" t="s">
        <v>260</v>
      </c>
      <c r="D21" s="41" t="s">
        <v>1775</v>
      </c>
      <c r="E21" s="218">
        <v>169000</v>
      </c>
      <c r="F21" s="6"/>
      <c r="G21" s="6"/>
      <c r="I21" s="22"/>
      <c r="K21" s="410" t="s">
        <v>1230</v>
      </c>
      <c r="L21" s="433" t="s">
        <v>1229</v>
      </c>
      <c r="M21" s="413">
        <v>0.25</v>
      </c>
      <c r="N21" s="413">
        <f>+M21+N20</f>
        <v>1</v>
      </c>
      <c r="R21" t="s">
        <v>1224</v>
      </c>
    </row>
    <row r="22" spans="2:18" ht="15" customHeight="1" x14ac:dyDescent="0.25">
      <c r="B22" s="1805"/>
      <c r="C22" s="92"/>
      <c r="D22" s="1828"/>
      <c r="E22" s="1829"/>
      <c r="F22" s="1829"/>
      <c r="G22" s="1829"/>
      <c r="H22" s="1829"/>
      <c r="I22" s="1830"/>
      <c r="K22" s="410" t="s">
        <v>151</v>
      </c>
      <c r="L22" s="410"/>
      <c r="M22" s="413">
        <f>SUM(M16:M21)</f>
        <v>1</v>
      </c>
    </row>
    <row r="23" spans="2:18" ht="15.75" thickBot="1" x14ac:dyDescent="0.3">
      <c r="B23" s="1805"/>
      <c r="C23" s="92"/>
      <c r="D23" s="1856" t="s">
        <v>433</v>
      </c>
      <c r="E23" s="1857"/>
      <c r="F23" s="1857"/>
      <c r="G23" s="1857"/>
      <c r="H23" s="1857"/>
      <c r="I23" s="1858"/>
      <c r="J23" s="6"/>
      <c r="K23" s="6"/>
      <c r="L23" s="6"/>
    </row>
    <row r="24" spans="2:18" ht="15" customHeight="1" thickBot="1" x14ac:dyDescent="0.3">
      <c r="B24" s="1805"/>
      <c r="C24" s="94"/>
      <c r="D24" s="39" t="s">
        <v>150</v>
      </c>
      <c r="E24" s="39" t="s">
        <v>20</v>
      </c>
      <c r="F24" s="39" t="s">
        <v>21</v>
      </c>
      <c r="G24" s="39" t="s">
        <v>22</v>
      </c>
      <c r="H24" s="39" t="s">
        <v>23</v>
      </c>
      <c r="I24" s="39" t="s">
        <v>151</v>
      </c>
      <c r="J24" s="6"/>
      <c r="K24" s="1859" t="s">
        <v>412</v>
      </c>
      <c r="L24" s="1859" t="s">
        <v>1215</v>
      </c>
      <c r="M24" s="1859" t="s">
        <v>20</v>
      </c>
      <c r="N24" s="1859" t="s">
        <v>21</v>
      </c>
      <c r="O24" s="1859" t="s">
        <v>22</v>
      </c>
      <c r="P24" s="1859" t="s">
        <v>23</v>
      </c>
    </row>
    <row r="25" spans="2:18" ht="15" customHeight="1" thickBot="1" x14ac:dyDescent="0.3">
      <c r="B25" s="1805"/>
      <c r="C25" s="94"/>
      <c r="D25" s="40" t="s">
        <v>434</v>
      </c>
      <c r="E25" s="218">
        <v>0</v>
      </c>
      <c r="F25" s="218">
        <v>0</v>
      </c>
      <c r="G25" s="218">
        <v>169000</v>
      </c>
      <c r="H25" s="218">
        <v>0</v>
      </c>
      <c r="I25" s="407">
        <f>Formulas!$I$15</f>
        <v>169000</v>
      </c>
      <c r="J25" s="6"/>
      <c r="K25" s="1859"/>
      <c r="L25" s="1859"/>
      <c r="M25" s="1859"/>
      <c r="N25" s="1859"/>
      <c r="O25" s="1859"/>
      <c r="P25" s="1859"/>
    </row>
    <row r="26" spans="2:18" ht="15" customHeight="1" thickBot="1" x14ac:dyDescent="0.3">
      <c r="B26" s="1805"/>
      <c r="C26" s="94"/>
      <c r="D26" s="40" t="s">
        <v>370</v>
      </c>
      <c r="E26" s="218">
        <v>0</v>
      </c>
      <c r="F26" s="218">
        <v>0</v>
      </c>
      <c r="G26" s="218">
        <v>169000</v>
      </c>
      <c r="H26" s="218"/>
      <c r="I26" s="405"/>
      <c r="J26" s="6"/>
      <c r="K26" s="410" t="str">
        <f>+D26</f>
        <v>Sin iniciar</v>
      </c>
      <c r="L26" s="409"/>
      <c r="M26" s="406">
        <f>+$L26*E26</f>
        <v>0</v>
      </c>
      <c r="N26" s="406"/>
      <c r="O26" s="406"/>
      <c r="P26" s="406"/>
    </row>
    <row r="27" spans="2:18" ht="15" customHeight="1" thickBot="1" x14ac:dyDescent="0.3">
      <c r="B27" s="1805"/>
      <c r="C27" s="94"/>
      <c r="D27" s="40" t="s">
        <v>435</v>
      </c>
      <c r="E27" s="218">
        <v>0</v>
      </c>
      <c r="F27" s="218">
        <v>0</v>
      </c>
      <c r="G27" s="218"/>
      <c r="H27" s="218"/>
      <c r="I27" s="405"/>
      <c r="J27" s="6"/>
      <c r="K27" s="410" t="str">
        <f>+D27</f>
        <v>En formulación</v>
      </c>
      <c r="L27" s="409"/>
      <c r="M27" s="406">
        <f>+$L27*E27</f>
        <v>0</v>
      </c>
      <c r="N27" s="406"/>
      <c r="O27" s="406"/>
      <c r="P27" s="406"/>
    </row>
    <row r="28" spans="2:18" ht="15" customHeight="1" thickBot="1" x14ac:dyDescent="0.3">
      <c r="B28" s="1805"/>
      <c r="C28" s="94"/>
      <c r="D28" s="40" t="s">
        <v>436</v>
      </c>
      <c r="E28" s="218">
        <v>0</v>
      </c>
      <c r="F28" s="218">
        <v>0</v>
      </c>
      <c r="G28" s="218"/>
      <c r="H28" s="218"/>
      <c r="I28" s="405"/>
      <c r="J28" s="6"/>
      <c r="K28" s="410" t="str">
        <f>+D28</f>
        <v>En actualización</v>
      </c>
      <c r="L28" s="409"/>
      <c r="M28" s="406">
        <f>+$L28*E28</f>
        <v>0</v>
      </c>
      <c r="N28" s="406"/>
      <c r="O28" s="406"/>
      <c r="P28" s="406"/>
    </row>
    <row r="29" spans="2:18" ht="15.75" thickBot="1" x14ac:dyDescent="0.3">
      <c r="B29" s="1805"/>
      <c r="C29" s="94"/>
      <c r="D29" s="40" t="s">
        <v>437</v>
      </c>
      <c r="E29" s="218">
        <v>0</v>
      </c>
      <c r="F29" s="218">
        <v>0</v>
      </c>
      <c r="G29" s="218"/>
      <c r="H29" s="218"/>
      <c r="I29" s="405"/>
      <c r="J29" s="6"/>
      <c r="K29" s="410" t="str">
        <f>+D29</f>
        <v>Plan forestal adoptado</v>
      </c>
      <c r="L29" s="409"/>
      <c r="M29" s="406">
        <f>+$L29*E29</f>
        <v>0</v>
      </c>
      <c r="N29" s="406"/>
      <c r="O29" s="406"/>
      <c r="P29" s="406"/>
    </row>
    <row r="30" spans="2:18" ht="15" customHeight="1" thickBot="1" x14ac:dyDescent="0.3">
      <c r="B30" s="1805"/>
      <c r="C30" s="94"/>
      <c r="D30" s="40" t="s">
        <v>151</v>
      </c>
      <c r="E30" s="145" t="str">
        <f>Formulas!D15</f>
        <v>ERROR: LA SUMA DE LA COLUMNA DEBE SER IGUAL A LA META ANUAL</v>
      </c>
      <c r="F30" s="145" t="str">
        <f>Formulas!E15</f>
        <v>ERROR: LA SUMA DE LA COLUMNA DEBE SER IGUAL A LA META ANUAL</v>
      </c>
      <c r="G30" s="145">
        <f>Formulas!F15</f>
        <v>169000</v>
      </c>
      <c r="H30" s="145" t="str">
        <f>Formulas!G15</f>
        <v>ERROR: LA SUMA DE LA COLUMNA DEBE SER IGUAL A LA META ANUAL</v>
      </c>
      <c r="I30" s="405"/>
      <c r="J30" s="6"/>
      <c r="K30" s="410"/>
      <c r="L30" s="410" t="s">
        <v>1206</v>
      </c>
      <c r="M30" s="406">
        <f>SUM(M26:M29)</f>
        <v>0</v>
      </c>
      <c r="N30" s="406"/>
      <c r="O30" s="406"/>
      <c r="P30" s="406"/>
    </row>
    <row r="31" spans="2:18" ht="14.45" customHeight="1" x14ac:dyDescent="0.25">
      <c r="B31" s="1805"/>
      <c r="C31" s="92"/>
      <c r="D31" s="1825" t="s">
        <v>438</v>
      </c>
      <c r="E31" s="1826"/>
      <c r="F31" s="1826"/>
      <c r="G31" s="1826"/>
      <c r="H31" s="1826"/>
      <c r="I31" s="1827"/>
      <c r="J31" s="6"/>
      <c r="K31" s="410"/>
      <c r="L31" s="410" t="s">
        <v>1207</v>
      </c>
      <c r="M31" s="408">
        <f>+M30/$I$25</f>
        <v>0</v>
      </c>
      <c r="N31" s="408"/>
      <c r="O31" s="408"/>
      <c r="P31" s="408"/>
    </row>
    <row r="32" spans="2:18" ht="24" customHeight="1" x14ac:dyDescent="0.25">
      <c r="B32" s="1805"/>
      <c r="C32" s="92"/>
      <c r="D32" s="1828" t="s">
        <v>439</v>
      </c>
      <c r="E32" s="1829"/>
      <c r="F32" s="1829"/>
      <c r="G32" s="1829"/>
      <c r="H32" s="1829"/>
      <c r="I32" s="1830"/>
      <c r="J32" s="6"/>
      <c r="K32" s="410"/>
      <c r="L32" s="410" t="s">
        <v>1216</v>
      </c>
      <c r="M32" s="408" t="e">
        <f>+M45</f>
        <v>#DIV/0!</v>
      </c>
      <c r="N32" s="408"/>
      <c r="O32" s="408"/>
      <c r="P32" s="408"/>
    </row>
    <row r="33" spans="2:16" ht="15" customHeight="1" thickBot="1" x14ac:dyDescent="0.3">
      <c r="B33" s="1805"/>
      <c r="C33" s="92"/>
      <c r="D33" s="1810" t="s">
        <v>440</v>
      </c>
      <c r="E33" s="1811"/>
      <c r="F33" s="1811"/>
      <c r="G33" s="1811"/>
      <c r="H33" s="1811"/>
      <c r="I33" s="1812"/>
      <c r="J33" s="6"/>
      <c r="K33" s="410"/>
      <c r="L33" s="410" t="s">
        <v>1220</v>
      </c>
      <c r="M33" s="406">
        <f>+M46</f>
        <v>0</v>
      </c>
      <c r="N33" s="406"/>
      <c r="O33" s="406"/>
      <c r="P33" s="406"/>
    </row>
    <row r="34" spans="2:16" ht="48.75" thickBot="1" x14ac:dyDescent="0.3">
      <c r="B34" s="1805"/>
      <c r="C34" s="94"/>
      <c r="D34" s="43" t="s">
        <v>441</v>
      </c>
      <c r="E34" s="43" t="s">
        <v>442</v>
      </c>
      <c r="F34" s="43" t="s">
        <v>443</v>
      </c>
      <c r="G34" s="43" t="s">
        <v>444</v>
      </c>
      <c r="H34" s="43" t="s">
        <v>445</v>
      </c>
      <c r="I34" s="22"/>
      <c r="J34" s="6"/>
      <c r="K34" s="410"/>
      <c r="L34" s="410" t="s">
        <v>418</v>
      </c>
      <c r="M34" s="408" t="e">
        <f>+M30/M33</f>
        <v>#DIV/0!</v>
      </c>
      <c r="N34" s="408"/>
      <c r="O34" s="408"/>
      <c r="P34" s="408"/>
    </row>
    <row r="35" spans="2:16" ht="15" customHeight="1" thickBot="1" x14ac:dyDescent="0.3">
      <c r="B35" s="1805"/>
      <c r="C35" s="94"/>
      <c r="D35" s="31"/>
      <c r="E35" s="31"/>
      <c r="F35" s="218"/>
      <c r="G35" s="31"/>
      <c r="H35" s="31"/>
      <c r="I35" s="22"/>
      <c r="J35" s="6"/>
      <c r="K35" s="6"/>
      <c r="L35" s="6"/>
      <c r="M35" s="6"/>
      <c r="N35" s="6"/>
      <c r="O35" s="6"/>
      <c r="P35" s="6"/>
    </row>
    <row r="36" spans="2:16" ht="15" customHeight="1" thickBot="1" x14ac:dyDescent="0.3">
      <c r="B36" s="1805"/>
      <c r="C36" s="94"/>
      <c r="D36" s="31"/>
      <c r="E36" s="31"/>
      <c r="F36" s="218"/>
      <c r="G36" s="31"/>
      <c r="H36" s="31"/>
      <c r="I36" s="22"/>
      <c r="J36" s="6"/>
      <c r="K36" s="6"/>
      <c r="L36" s="6"/>
    </row>
    <row r="37" spans="2:16" ht="15" customHeight="1" thickBot="1" x14ac:dyDescent="0.3">
      <c r="B37" s="1805"/>
      <c r="C37" s="94"/>
      <c r="D37" s="31"/>
      <c r="E37" s="31"/>
      <c r="F37" s="218"/>
      <c r="G37" s="31"/>
      <c r="H37" s="31"/>
      <c r="I37" s="22"/>
      <c r="J37" s="6"/>
      <c r="K37" s="6"/>
      <c r="L37" s="412" t="s">
        <v>1217</v>
      </c>
    </row>
    <row r="38" spans="2:16" ht="15" customHeight="1" thickBot="1" x14ac:dyDescent="0.3">
      <c r="B38" s="1805"/>
      <c r="C38" s="94"/>
      <c r="D38" s="31"/>
      <c r="E38" s="31"/>
      <c r="F38" s="218"/>
      <c r="G38" s="31"/>
      <c r="H38" s="31"/>
      <c r="I38" s="22"/>
      <c r="J38" s="6"/>
      <c r="K38" s="6"/>
      <c r="L38" s="6"/>
      <c r="N38" s="412"/>
      <c r="O38" s="412"/>
      <c r="P38" s="412"/>
    </row>
    <row r="39" spans="2:16" ht="15" customHeight="1" thickBot="1" x14ac:dyDescent="0.3">
      <c r="B39" s="1805"/>
      <c r="C39" s="94"/>
      <c r="D39" s="31"/>
      <c r="E39" s="31"/>
      <c r="F39" s="218"/>
      <c r="G39" s="31"/>
      <c r="H39" s="31"/>
      <c r="I39" s="22"/>
      <c r="J39" s="6"/>
      <c r="K39" s="1859" t="s">
        <v>1208</v>
      </c>
      <c r="L39" s="1859" t="s">
        <v>1218</v>
      </c>
      <c r="M39" s="1859" t="s">
        <v>1219</v>
      </c>
      <c r="N39" s="412"/>
      <c r="O39" s="412"/>
      <c r="P39" s="412"/>
    </row>
    <row r="40" spans="2:16" ht="15" customHeight="1" thickBot="1" x14ac:dyDescent="0.3">
      <c r="B40" s="1805"/>
      <c r="C40" s="94"/>
      <c r="D40" s="31"/>
      <c r="E40" s="31"/>
      <c r="F40" s="218"/>
      <c r="G40" s="31"/>
      <c r="H40" s="31"/>
      <c r="I40" s="22"/>
      <c r="J40" s="6"/>
      <c r="K40" s="1859"/>
      <c r="L40" s="1859"/>
      <c r="M40" s="1859"/>
      <c r="N40" s="412"/>
      <c r="O40" s="412"/>
      <c r="P40" s="412"/>
    </row>
    <row r="41" spans="2:16" ht="15.75" thickBot="1" x14ac:dyDescent="0.3">
      <c r="B41" s="1805"/>
      <c r="C41" s="94"/>
      <c r="D41" s="31"/>
      <c r="E41" s="31"/>
      <c r="F41" s="218"/>
      <c r="G41" s="31"/>
      <c r="H41" s="31"/>
      <c r="I41" s="22"/>
      <c r="J41" s="6"/>
      <c r="K41" s="410" t="str">
        <f>+K26</f>
        <v>Sin iniciar</v>
      </c>
      <c r="L41" s="475"/>
      <c r="M41" s="408">
        <v>0</v>
      </c>
      <c r="N41" s="412"/>
      <c r="O41" s="412"/>
      <c r="P41" s="412"/>
    </row>
    <row r="42" spans="2:16" ht="15.75" thickBot="1" x14ac:dyDescent="0.3">
      <c r="B42" s="1805"/>
      <c r="C42" s="94"/>
      <c r="D42" s="31"/>
      <c r="E42" s="31"/>
      <c r="F42" s="218"/>
      <c r="G42" s="31"/>
      <c r="H42" s="31"/>
      <c r="I42" s="22"/>
      <c r="J42" s="6"/>
      <c r="K42" s="410" t="str">
        <f>+K27</f>
        <v>En formulación</v>
      </c>
      <c r="L42" s="475"/>
      <c r="M42" s="414"/>
      <c r="N42" s="412"/>
      <c r="O42" s="412"/>
      <c r="P42" s="412"/>
    </row>
    <row r="43" spans="2:16" ht="24" customHeight="1" thickBot="1" x14ac:dyDescent="0.3">
      <c r="B43" s="1806"/>
      <c r="C43" s="93"/>
      <c r="D43" s="1856" t="s">
        <v>446</v>
      </c>
      <c r="E43" s="1857"/>
      <c r="F43" s="1857"/>
      <c r="G43" s="1857"/>
      <c r="H43" s="1857"/>
      <c r="I43" s="1858"/>
      <c r="J43" s="6"/>
      <c r="K43" s="410" t="str">
        <f>+K28</f>
        <v>En actualización</v>
      </c>
      <c r="L43" s="475"/>
      <c r="M43" s="414"/>
      <c r="N43" s="412"/>
      <c r="O43" s="412"/>
      <c r="P43" s="412"/>
    </row>
    <row r="44" spans="2:16" ht="24" customHeight="1" thickBot="1" x14ac:dyDescent="0.3">
      <c r="B44" s="47" t="s">
        <v>34</v>
      </c>
      <c r="C44" s="93"/>
      <c r="D44" s="1816" t="s">
        <v>447</v>
      </c>
      <c r="E44" s="1817"/>
      <c r="F44" s="1817"/>
      <c r="G44" s="1817"/>
      <c r="H44" s="1817"/>
      <c r="I44" s="1818"/>
      <c r="J44" s="6"/>
      <c r="K44" s="410" t="str">
        <f>+K29</f>
        <v>Plan forestal adoptado</v>
      </c>
      <c r="L44" s="475"/>
      <c r="M44" s="414"/>
      <c r="N44" s="412"/>
      <c r="O44" s="412"/>
      <c r="P44" s="412"/>
    </row>
    <row r="45" spans="2:16" ht="24.75" thickBot="1" x14ac:dyDescent="0.3">
      <c r="B45" s="47" t="s">
        <v>36</v>
      </c>
      <c r="C45" s="93"/>
      <c r="D45" s="1816" t="s">
        <v>346</v>
      </c>
      <c r="E45" s="1817"/>
      <c r="F45" s="1817"/>
      <c r="G45" s="1817"/>
      <c r="H45" s="1817"/>
      <c r="I45" s="1818"/>
      <c r="J45" s="6"/>
      <c r="K45" s="410" t="s">
        <v>151</v>
      </c>
      <c r="L45" s="406">
        <f>SUM(L41:L44)</f>
        <v>0</v>
      </c>
      <c r="M45" s="408" t="e">
        <f>+M46/L45</f>
        <v>#DIV/0!</v>
      </c>
      <c r="N45" s="412"/>
      <c r="O45" s="412"/>
      <c r="P45" s="412"/>
    </row>
    <row r="46" spans="2:16" ht="15" customHeight="1" thickBot="1" x14ac:dyDescent="0.3">
      <c r="B46" s="2"/>
      <c r="C46" s="76"/>
      <c r="D46" s="6"/>
      <c r="E46" s="6"/>
      <c r="F46" s="6"/>
      <c r="G46" s="6"/>
      <c r="H46" s="6"/>
      <c r="I46" s="6"/>
      <c r="J46" s="6"/>
      <c r="K46" s="410"/>
      <c r="L46" s="410" t="s">
        <v>1221</v>
      </c>
      <c r="M46" s="406">
        <f>+L41*M41+L42*M42+L43*M43+L44*M44</f>
        <v>0</v>
      </c>
      <c r="N46" s="412"/>
      <c r="O46" s="412"/>
      <c r="P46" s="412"/>
    </row>
    <row r="47" spans="2:16" ht="24" customHeight="1" thickBot="1" x14ac:dyDescent="0.3">
      <c r="B47" s="1807" t="s">
        <v>38</v>
      </c>
      <c r="C47" s="1808"/>
      <c r="D47" s="1808"/>
      <c r="E47" s="1809"/>
      <c r="F47" s="6"/>
      <c r="G47" s="6"/>
      <c r="H47" s="6"/>
      <c r="I47" s="6"/>
      <c r="J47" s="6"/>
      <c r="K47" s="6"/>
      <c r="L47" s="6"/>
      <c r="M47" s="6"/>
      <c r="N47" s="6"/>
      <c r="O47" s="412"/>
      <c r="P47" s="412"/>
    </row>
    <row r="48" spans="2:16" ht="15" customHeight="1" thickBot="1" x14ac:dyDescent="0.3">
      <c r="B48" s="1804">
        <v>1</v>
      </c>
      <c r="C48" s="94"/>
      <c r="D48" s="48" t="s">
        <v>39</v>
      </c>
      <c r="E48" s="31" t="s">
        <v>2854</v>
      </c>
      <c r="F48" s="6"/>
      <c r="G48" s="6"/>
      <c r="H48" s="6"/>
      <c r="I48" s="6"/>
      <c r="J48" s="6"/>
      <c r="K48" s="6"/>
      <c r="L48" s="6"/>
      <c r="M48" s="6"/>
      <c r="N48" s="6"/>
      <c r="O48" s="412"/>
      <c r="P48" s="412"/>
    </row>
    <row r="49" spans="2:16" ht="15" customHeight="1" thickBot="1" x14ac:dyDescent="0.3">
      <c r="B49" s="1805"/>
      <c r="C49" s="94"/>
      <c r="D49" s="41" t="s">
        <v>40</v>
      </c>
      <c r="E49" s="31" t="s">
        <v>3392</v>
      </c>
      <c r="F49" s="6"/>
      <c r="G49" s="6"/>
      <c r="H49" s="6"/>
      <c r="I49" s="6"/>
      <c r="J49" s="6"/>
      <c r="K49" s="6"/>
      <c r="L49" s="6"/>
      <c r="M49" s="6"/>
      <c r="N49" s="6"/>
      <c r="O49" s="412"/>
      <c r="P49" s="412"/>
    </row>
    <row r="50" spans="2:16" ht="15" customHeight="1" thickBot="1" x14ac:dyDescent="0.3">
      <c r="B50" s="1805"/>
      <c r="C50" s="94"/>
      <c r="D50" s="41" t="s">
        <v>41</v>
      </c>
      <c r="E50" s="31" t="s">
        <v>3393</v>
      </c>
      <c r="F50" s="6"/>
      <c r="G50" s="6"/>
      <c r="H50" s="6"/>
      <c r="I50" s="6"/>
      <c r="J50" s="6"/>
      <c r="K50" s="6"/>
      <c r="L50" s="6"/>
      <c r="M50" s="6"/>
      <c r="N50" s="6"/>
      <c r="O50" s="412"/>
      <c r="P50" s="412"/>
    </row>
    <row r="51" spans="2:16" ht="15" customHeight="1" thickBot="1" x14ac:dyDescent="0.3">
      <c r="B51" s="1805"/>
      <c r="C51" s="94"/>
      <c r="D51" s="41" t="s">
        <v>42</v>
      </c>
      <c r="E51" s="31" t="s">
        <v>3261</v>
      </c>
      <c r="F51" s="6"/>
      <c r="G51" s="6"/>
      <c r="H51" s="6"/>
      <c r="I51" s="6"/>
      <c r="J51" s="6"/>
      <c r="K51" s="6"/>
      <c r="L51" s="6"/>
      <c r="M51" s="6"/>
      <c r="N51" s="6"/>
    </row>
    <row r="52" spans="2:16" ht="15" customHeight="1" thickBot="1" x14ac:dyDescent="0.3">
      <c r="B52" s="1805"/>
      <c r="C52" s="94"/>
      <c r="D52" s="41" t="s">
        <v>43</v>
      </c>
      <c r="E52" s="1284" t="s">
        <v>3394</v>
      </c>
      <c r="F52" s="6"/>
      <c r="G52" s="6"/>
      <c r="H52" s="6"/>
      <c r="I52" s="6"/>
      <c r="J52" s="6"/>
      <c r="K52" s="6"/>
      <c r="L52" s="6"/>
    </row>
    <row r="53" spans="2:16" ht="15" customHeight="1" thickBot="1" x14ac:dyDescent="0.3">
      <c r="B53" s="1805"/>
      <c r="C53" s="94"/>
      <c r="D53" s="41" t="s">
        <v>44</v>
      </c>
      <c r="E53" s="31" t="s">
        <v>3395</v>
      </c>
      <c r="F53" s="6"/>
      <c r="G53" s="6"/>
      <c r="H53" s="6"/>
      <c r="I53" s="6"/>
      <c r="J53" s="6"/>
      <c r="K53" s="6"/>
      <c r="L53" s="6"/>
    </row>
    <row r="54" spans="2:16" ht="15" customHeight="1" thickBot="1" x14ac:dyDescent="0.3">
      <c r="B54" s="1806"/>
      <c r="C54" s="3"/>
      <c r="D54" s="41" t="s">
        <v>45</v>
      </c>
      <c r="E54" s="31" t="s">
        <v>2886</v>
      </c>
      <c r="F54" s="6"/>
      <c r="G54" s="6"/>
      <c r="H54" s="6"/>
      <c r="I54" s="6"/>
      <c r="J54" s="6"/>
      <c r="K54" s="6"/>
      <c r="L54" s="6"/>
    </row>
    <row r="55" spans="2:16" ht="15" customHeight="1" thickBot="1" x14ac:dyDescent="0.3">
      <c r="B55" s="2"/>
      <c r="C55" s="76"/>
      <c r="D55" s="6"/>
      <c r="E55" s="6"/>
      <c r="F55" s="6"/>
      <c r="G55" s="6"/>
      <c r="H55" s="6"/>
      <c r="I55" s="6"/>
      <c r="J55" s="6"/>
      <c r="K55" s="6"/>
      <c r="L55" s="6"/>
    </row>
    <row r="56" spans="2:16" ht="15" customHeight="1" thickBot="1" x14ac:dyDescent="0.3">
      <c r="B56" s="1807" t="s">
        <v>46</v>
      </c>
      <c r="C56" s="1808"/>
      <c r="D56" s="1808"/>
      <c r="E56" s="1809"/>
      <c r="F56" s="6"/>
      <c r="G56" s="6"/>
      <c r="H56" s="6"/>
      <c r="I56" s="6"/>
      <c r="J56" s="6"/>
      <c r="K56" s="6"/>
      <c r="L56" s="6"/>
    </row>
    <row r="57" spans="2:16" ht="15" customHeight="1" thickBot="1" x14ac:dyDescent="0.3">
      <c r="B57" s="1804">
        <v>1</v>
      </c>
      <c r="C57" s="94"/>
      <c r="D57" s="48" t="s">
        <v>39</v>
      </c>
      <c r="E57" s="444" t="s">
        <v>47</v>
      </c>
      <c r="F57" s="6"/>
      <c r="G57" s="6"/>
      <c r="H57" s="6"/>
      <c r="I57" s="6"/>
      <c r="J57" s="6"/>
      <c r="K57" s="6"/>
      <c r="L57" s="6"/>
    </row>
    <row r="58" spans="2:16" ht="15" customHeight="1" thickBot="1" x14ac:dyDescent="0.3">
      <c r="B58" s="1805"/>
      <c r="C58" s="94"/>
      <c r="D58" s="41" t="s">
        <v>40</v>
      </c>
      <c r="E58" s="444" t="s">
        <v>160</v>
      </c>
      <c r="F58" s="6"/>
      <c r="G58" s="6"/>
      <c r="H58" s="6"/>
      <c r="I58" s="6"/>
      <c r="J58" s="6"/>
      <c r="K58" s="6"/>
      <c r="L58" s="6"/>
    </row>
    <row r="59" spans="2:16" ht="15" customHeight="1" thickBot="1" x14ac:dyDescent="0.3">
      <c r="B59" s="1805"/>
      <c r="C59" s="94"/>
      <c r="D59" s="41" t="s">
        <v>41</v>
      </c>
      <c r="E59" s="315"/>
      <c r="F59" s="6"/>
      <c r="G59" s="6"/>
      <c r="H59" s="6"/>
      <c r="I59" s="6"/>
      <c r="J59" s="6"/>
      <c r="K59" s="6"/>
      <c r="L59" s="6"/>
    </row>
    <row r="60" spans="2:16" ht="15" customHeight="1" thickBot="1" x14ac:dyDescent="0.3">
      <c r="B60" s="1805"/>
      <c r="C60" s="94"/>
      <c r="D60" s="41" t="s">
        <v>42</v>
      </c>
      <c r="E60" s="315"/>
      <c r="F60" s="6"/>
      <c r="G60" s="6"/>
      <c r="H60" s="6"/>
      <c r="I60" s="6"/>
      <c r="J60" s="6"/>
      <c r="K60" s="6"/>
      <c r="L60" s="6"/>
    </row>
    <row r="61" spans="2:16" ht="15.75" thickBot="1" x14ac:dyDescent="0.3">
      <c r="B61" s="1805"/>
      <c r="C61" s="94"/>
      <c r="D61" s="41" t="s">
        <v>43</v>
      </c>
      <c r="E61" s="315"/>
      <c r="F61" s="6"/>
      <c r="G61" s="6"/>
      <c r="H61" s="6"/>
      <c r="I61" s="6"/>
      <c r="J61" s="6"/>
      <c r="K61" s="6"/>
      <c r="L61" s="6"/>
    </row>
    <row r="62" spans="2:16" ht="15.75" thickBot="1" x14ac:dyDescent="0.3">
      <c r="B62" s="1805"/>
      <c r="C62" s="94"/>
      <c r="D62" s="41" t="s">
        <v>44</v>
      </c>
      <c r="E62" s="315"/>
      <c r="F62" s="6"/>
      <c r="G62" s="6"/>
      <c r="H62" s="6"/>
      <c r="I62" s="6"/>
      <c r="J62" s="6"/>
      <c r="K62" s="6"/>
      <c r="L62" s="6"/>
    </row>
    <row r="63" spans="2:16" ht="15" customHeight="1" thickBot="1" x14ac:dyDescent="0.3">
      <c r="B63" s="1806"/>
      <c r="C63" s="3"/>
      <c r="D63" s="41" t="s">
        <v>45</v>
      </c>
      <c r="E63" s="315"/>
      <c r="F63" s="6"/>
      <c r="G63" s="6"/>
      <c r="H63" s="6"/>
      <c r="I63" s="6"/>
      <c r="J63" s="6"/>
      <c r="K63" s="6"/>
      <c r="L63" s="6"/>
    </row>
    <row r="64" spans="2:16" ht="15" customHeight="1" thickBot="1" x14ac:dyDescent="0.3">
      <c r="B64" s="136"/>
      <c r="C64" s="131"/>
      <c r="D64" s="136"/>
      <c r="E64" s="6"/>
      <c r="F64" s="6"/>
      <c r="G64" s="6"/>
      <c r="H64" s="6"/>
      <c r="I64" s="6"/>
      <c r="J64" s="6"/>
      <c r="K64" s="6"/>
      <c r="L64" s="6"/>
    </row>
    <row r="65" spans="2:12" ht="15" customHeight="1" x14ac:dyDescent="0.25">
      <c r="B65" s="135" t="s">
        <v>417</v>
      </c>
      <c r="C65" s="96"/>
      <c r="D65" s="6"/>
      <c r="E65" s="6"/>
      <c r="F65" s="6"/>
      <c r="G65" s="6"/>
      <c r="H65" s="6"/>
      <c r="I65" s="6"/>
      <c r="J65" s="6"/>
      <c r="K65" s="6"/>
      <c r="L65" s="6"/>
    </row>
    <row r="66" spans="2:12" x14ac:dyDescent="0.25">
      <c r="B66" s="1785"/>
      <c r="C66" s="1786"/>
      <c r="D66" s="1787"/>
      <c r="E66" s="6"/>
      <c r="F66" s="6"/>
      <c r="G66" s="6"/>
      <c r="H66" s="6"/>
      <c r="I66" s="6"/>
      <c r="J66" s="6"/>
      <c r="K66" s="6"/>
      <c r="L66" s="6"/>
    </row>
    <row r="67" spans="2:12" x14ac:dyDescent="0.25">
      <c r="B67" s="1788"/>
      <c r="C67" s="1789"/>
      <c r="D67" s="1790"/>
      <c r="E67" s="6"/>
      <c r="F67" s="6"/>
      <c r="G67" s="6"/>
      <c r="H67" s="6"/>
      <c r="I67" s="6"/>
      <c r="J67" s="6"/>
      <c r="K67" s="6"/>
      <c r="L67" s="6"/>
    </row>
    <row r="68" spans="2:12" ht="15.75" thickBot="1" x14ac:dyDescent="0.3">
      <c r="B68" s="136"/>
      <c r="C68" s="131"/>
      <c r="D68" s="136"/>
      <c r="E68" s="6"/>
      <c r="F68" s="6"/>
      <c r="G68" s="6"/>
      <c r="H68" s="6"/>
      <c r="I68" s="6"/>
      <c r="J68" s="6"/>
      <c r="K68" s="6"/>
      <c r="L68" s="6"/>
    </row>
    <row r="69" spans="2:12" ht="15.75" thickBot="1" x14ac:dyDescent="0.3">
      <c r="B69" s="1807" t="s">
        <v>49</v>
      </c>
      <c r="C69" s="1808"/>
      <c r="D69" s="1808"/>
      <c r="E69" s="1808"/>
      <c r="F69" s="1809"/>
      <c r="G69" s="6"/>
      <c r="H69" s="6"/>
      <c r="I69" s="6"/>
      <c r="J69" s="6"/>
      <c r="K69" s="6"/>
      <c r="L69" s="6"/>
    </row>
    <row r="70" spans="2:12" ht="24.75" thickBot="1" x14ac:dyDescent="0.3">
      <c r="B70" s="47" t="s">
        <v>50</v>
      </c>
      <c r="C70" s="41" t="s">
        <v>51</v>
      </c>
      <c r="D70" s="41" t="s">
        <v>52</v>
      </c>
      <c r="E70" s="41" t="s">
        <v>53</v>
      </c>
      <c r="F70" s="6"/>
      <c r="G70" s="6"/>
      <c r="H70" s="6"/>
      <c r="I70" s="6"/>
      <c r="J70" s="6"/>
      <c r="K70" s="6"/>
      <c r="L70" s="6"/>
    </row>
    <row r="71" spans="2:12" ht="72.75" thickBot="1" x14ac:dyDescent="0.3">
      <c r="B71" s="49">
        <v>42401</v>
      </c>
      <c r="C71" s="41">
        <v>0.01</v>
      </c>
      <c r="D71" s="50" t="s">
        <v>448</v>
      </c>
      <c r="E71" s="41"/>
      <c r="F71" s="6"/>
      <c r="G71" s="6"/>
      <c r="H71" s="6"/>
      <c r="I71" s="6"/>
      <c r="J71" s="6"/>
      <c r="K71" s="6"/>
    </row>
    <row r="72" spans="2:12" x14ac:dyDescent="0.25">
      <c r="B72" s="2"/>
      <c r="C72" s="76"/>
      <c r="D72" s="6"/>
      <c r="E72" s="6"/>
      <c r="F72" s="6"/>
      <c r="G72" s="6"/>
      <c r="H72" s="6"/>
      <c r="I72" s="6"/>
      <c r="J72" s="6"/>
      <c r="K72" s="6"/>
    </row>
    <row r="73" spans="2:12" ht="15.75" thickBot="1" x14ac:dyDescent="0.3">
      <c r="B73" s="6"/>
      <c r="D73" s="6"/>
      <c r="E73" s="6"/>
      <c r="F73" s="6"/>
      <c r="G73" s="6"/>
      <c r="H73" s="6"/>
      <c r="I73" s="6"/>
      <c r="J73" s="6"/>
      <c r="K73" s="6"/>
      <c r="L73" s="6"/>
    </row>
    <row r="74" spans="2:12" ht="15.75" thickBot="1" x14ac:dyDescent="0.3">
      <c r="B74" s="1807" t="s">
        <v>56</v>
      </c>
      <c r="C74" s="1808"/>
      <c r="D74" s="1809"/>
      <c r="E74" s="6"/>
      <c r="F74" s="6"/>
      <c r="G74" s="6"/>
      <c r="H74" s="6"/>
      <c r="I74" s="6"/>
      <c r="J74" s="6"/>
      <c r="K74" s="6"/>
      <c r="L74" s="6"/>
    </row>
    <row r="75" spans="2:12" ht="60.75" thickBot="1" x14ac:dyDescent="0.3">
      <c r="B75" s="47" t="s">
        <v>57</v>
      </c>
      <c r="C75" s="3"/>
      <c r="D75" s="41" t="s">
        <v>419</v>
      </c>
      <c r="E75" s="6"/>
      <c r="F75" s="6"/>
      <c r="G75" s="6"/>
      <c r="H75" s="6"/>
      <c r="I75" s="6"/>
      <c r="J75" s="6"/>
      <c r="K75" s="6"/>
      <c r="L75" s="6"/>
    </row>
    <row r="76" spans="2:12" x14ac:dyDescent="0.25">
      <c r="B76" s="1804" t="s">
        <v>59</v>
      </c>
      <c r="C76" s="94"/>
      <c r="D76" s="53" t="s">
        <v>60</v>
      </c>
      <c r="E76" s="6"/>
      <c r="F76" s="6"/>
      <c r="G76" s="6"/>
      <c r="H76" s="6"/>
      <c r="I76" s="6"/>
      <c r="J76" s="6"/>
      <c r="K76" s="6"/>
      <c r="L76" s="6"/>
    </row>
    <row r="77" spans="2:12" ht="132" x14ac:dyDescent="0.25">
      <c r="B77" s="1805"/>
      <c r="C77" s="94"/>
      <c r="D77" s="46" t="s">
        <v>420</v>
      </c>
      <c r="E77" s="6"/>
      <c r="F77" s="6"/>
      <c r="G77" s="6"/>
      <c r="H77" s="6"/>
      <c r="I77" s="6"/>
      <c r="J77" s="6"/>
      <c r="K77" s="6"/>
      <c r="L77" s="6"/>
    </row>
    <row r="78" spans="2:12" x14ac:dyDescent="0.25">
      <c r="B78" s="1805"/>
      <c r="C78" s="94"/>
      <c r="D78" s="53" t="s">
        <v>63</v>
      </c>
      <c r="E78" s="6"/>
      <c r="F78" s="6"/>
      <c r="G78" s="6"/>
      <c r="H78" s="6"/>
      <c r="I78" s="6"/>
      <c r="J78" s="6"/>
      <c r="K78" s="6"/>
      <c r="L78" s="6"/>
    </row>
    <row r="79" spans="2:12" x14ac:dyDescent="0.25">
      <c r="B79" s="1805"/>
      <c r="C79" s="94"/>
      <c r="D79" s="61" t="s">
        <v>421</v>
      </c>
      <c r="E79" s="6"/>
      <c r="F79" s="6"/>
      <c r="G79" s="6"/>
      <c r="H79" s="6"/>
      <c r="I79" s="6"/>
      <c r="J79" s="6"/>
      <c r="K79" s="6"/>
      <c r="L79" s="6"/>
    </row>
    <row r="80" spans="2:12" x14ac:dyDescent="0.25">
      <c r="B80" s="1805"/>
      <c r="C80" s="94"/>
      <c r="D80" s="61" t="s">
        <v>422</v>
      </c>
      <c r="E80" s="6"/>
      <c r="F80" s="6"/>
      <c r="G80" s="6"/>
      <c r="H80" s="6"/>
      <c r="I80" s="6"/>
      <c r="J80" s="6"/>
      <c r="K80" s="6"/>
      <c r="L80" s="6"/>
    </row>
    <row r="81" spans="2:12" x14ac:dyDescent="0.25">
      <c r="B81" s="1805"/>
      <c r="C81" s="94"/>
      <c r="D81" s="61" t="s">
        <v>423</v>
      </c>
      <c r="E81" s="6"/>
      <c r="F81" s="6"/>
      <c r="G81" s="6"/>
      <c r="H81" s="6"/>
      <c r="I81" s="6"/>
      <c r="J81" s="6"/>
      <c r="K81" s="6"/>
      <c r="L81" s="6"/>
    </row>
    <row r="82" spans="2:12" x14ac:dyDescent="0.25">
      <c r="B82" s="1805"/>
      <c r="C82" s="94"/>
      <c r="D82" s="61" t="s">
        <v>424</v>
      </c>
      <c r="E82" s="6"/>
      <c r="F82" s="6"/>
      <c r="G82" s="6"/>
      <c r="H82" s="6"/>
      <c r="I82" s="6"/>
      <c r="J82" s="6"/>
      <c r="K82" s="6"/>
      <c r="L82" s="6"/>
    </row>
    <row r="83" spans="2:12" x14ac:dyDescent="0.25">
      <c r="B83" s="1805"/>
      <c r="C83" s="94"/>
      <c r="D83" s="53" t="s">
        <v>288</v>
      </c>
      <c r="E83" s="6"/>
      <c r="F83" s="6"/>
      <c r="G83" s="6"/>
      <c r="H83" s="6"/>
      <c r="I83" s="6"/>
      <c r="J83" s="6"/>
      <c r="K83" s="6"/>
      <c r="L83" s="6"/>
    </row>
    <row r="84" spans="2:12" ht="36.75" thickBot="1" x14ac:dyDescent="0.3">
      <c r="B84" s="1806"/>
      <c r="C84" s="3"/>
      <c r="D84" s="41" t="s">
        <v>353</v>
      </c>
      <c r="E84" s="6"/>
      <c r="F84" s="6"/>
      <c r="G84" s="6"/>
      <c r="H84" s="6"/>
      <c r="I84" s="6"/>
      <c r="J84" s="6"/>
      <c r="K84" s="6"/>
      <c r="L84" s="6"/>
    </row>
    <row r="85" spans="2:12" x14ac:dyDescent="0.25">
      <c r="B85" s="1804" t="s">
        <v>72</v>
      </c>
      <c r="C85" s="99"/>
      <c r="D85" s="1804"/>
      <c r="E85" s="6"/>
      <c r="F85" s="6"/>
      <c r="G85" s="6"/>
      <c r="H85" s="6"/>
      <c r="I85" s="6"/>
      <c r="J85" s="6"/>
      <c r="K85" s="6"/>
      <c r="L85" s="6"/>
    </row>
    <row r="86" spans="2:12" ht="15.75" thickBot="1" x14ac:dyDescent="0.3">
      <c r="B86" s="1806"/>
      <c r="C86" s="100"/>
      <c r="D86" s="1806"/>
      <c r="E86" s="6"/>
      <c r="F86" s="6"/>
      <c r="G86" s="6"/>
      <c r="H86" s="6"/>
      <c r="I86" s="6"/>
      <c r="J86" s="6"/>
      <c r="K86" s="6"/>
      <c r="L86" s="6"/>
    </row>
    <row r="87" spans="2:12" ht="132" x14ac:dyDescent="0.25">
      <c r="B87" s="1804" t="s">
        <v>73</v>
      </c>
      <c r="C87" s="94"/>
      <c r="D87" s="46" t="s">
        <v>425</v>
      </c>
      <c r="E87" s="6"/>
      <c r="F87" s="6"/>
      <c r="G87" s="6"/>
      <c r="H87" s="6"/>
      <c r="I87" s="6"/>
      <c r="J87" s="6"/>
      <c r="K87" s="6"/>
      <c r="L87" s="6"/>
    </row>
    <row r="88" spans="2:12" ht="120.75" thickBot="1" x14ac:dyDescent="0.3">
      <c r="B88" s="1806"/>
      <c r="C88" s="3"/>
      <c r="D88" s="41" t="s">
        <v>426</v>
      </c>
      <c r="E88" s="6"/>
      <c r="F88" s="6"/>
      <c r="G88" s="6"/>
      <c r="H88" s="6"/>
      <c r="I88" s="6"/>
      <c r="J88" s="6"/>
      <c r="K88" s="6"/>
      <c r="L88" s="6"/>
    </row>
    <row r="89" spans="2:12" ht="24" x14ac:dyDescent="0.25">
      <c r="B89" s="1804" t="s">
        <v>90</v>
      </c>
      <c r="C89" s="94"/>
      <c r="D89" s="53" t="s">
        <v>418</v>
      </c>
      <c r="E89" s="6"/>
      <c r="F89" s="6"/>
      <c r="G89" s="6"/>
      <c r="H89" s="6"/>
      <c r="I89" s="6"/>
      <c r="J89" s="6"/>
      <c r="K89" s="6"/>
      <c r="L89" s="6"/>
    </row>
    <row r="90" spans="2:12" x14ac:dyDescent="0.25">
      <c r="B90" s="1805"/>
      <c r="C90" s="94"/>
      <c r="D90" s="17"/>
      <c r="E90" s="6"/>
      <c r="F90" s="6"/>
      <c r="G90" s="6"/>
      <c r="H90" s="6"/>
      <c r="I90" s="6"/>
      <c r="J90" s="6"/>
      <c r="K90" s="6"/>
      <c r="L90" s="6"/>
    </row>
    <row r="91" spans="2:12" x14ac:dyDescent="0.25">
      <c r="B91" s="1805"/>
      <c r="C91" s="94"/>
      <c r="D91" s="46" t="s">
        <v>91</v>
      </c>
      <c r="E91" s="6"/>
      <c r="F91" s="6"/>
      <c r="G91" s="6"/>
      <c r="H91" s="6"/>
      <c r="I91" s="6"/>
      <c r="J91" s="6"/>
      <c r="K91" s="6"/>
      <c r="L91" s="6"/>
    </row>
    <row r="92" spans="2:12" ht="37.5" x14ac:dyDescent="0.25">
      <c r="B92" s="1805"/>
      <c r="C92" s="94"/>
      <c r="D92" s="46" t="s">
        <v>427</v>
      </c>
      <c r="E92" s="6"/>
      <c r="F92" s="6"/>
      <c r="G92" s="6"/>
      <c r="H92" s="6"/>
      <c r="I92" s="6"/>
      <c r="J92" s="6"/>
      <c r="K92" s="6"/>
      <c r="L92" s="6"/>
    </row>
    <row r="93" spans="2:12" ht="37.5" x14ac:dyDescent="0.25">
      <c r="B93" s="1805"/>
      <c r="C93" s="94"/>
      <c r="D93" s="46" t="s">
        <v>428</v>
      </c>
      <c r="E93" s="6"/>
      <c r="F93" s="6"/>
      <c r="G93" s="6"/>
      <c r="H93" s="6"/>
      <c r="I93" s="6"/>
      <c r="J93" s="6"/>
      <c r="K93" s="6"/>
      <c r="L93" s="6"/>
    </row>
    <row r="94" spans="2:12" ht="38.25" thickBot="1" x14ac:dyDescent="0.3">
      <c r="B94" s="1806"/>
      <c r="C94" s="3"/>
      <c r="D94" s="41" t="s">
        <v>429</v>
      </c>
      <c r="E94" s="6"/>
      <c r="F94" s="6"/>
      <c r="G94" s="6"/>
      <c r="H94" s="6"/>
      <c r="I94" s="6"/>
      <c r="J94" s="6"/>
      <c r="K94" s="6"/>
      <c r="L94" s="6"/>
    </row>
    <row r="95" spans="2:12" x14ac:dyDescent="0.25">
      <c r="B95" s="6"/>
      <c r="D95" s="6"/>
      <c r="E95" s="6"/>
      <c r="F95" s="6"/>
      <c r="G95" s="6"/>
      <c r="H95" s="6"/>
      <c r="I95" s="6"/>
      <c r="J95" s="6"/>
      <c r="K95" s="6"/>
      <c r="L95" s="6"/>
    </row>
    <row r="96" spans="2:12" x14ac:dyDescent="0.25">
      <c r="B96" s="6"/>
      <c r="D96" s="6"/>
      <c r="E96" s="6"/>
      <c r="F96" s="6"/>
      <c r="G96" s="6"/>
      <c r="H96" s="6"/>
      <c r="I96" s="6"/>
      <c r="J96" s="6"/>
      <c r="K96" s="6"/>
      <c r="L96" s="6"/>
    </row>
    <row r="97" spans="2:12" x14ac:dyDescent="0.25">
      <c r="B97" s="6"/>
      <c r="D97" s="6"/>
      <c r="E97" s="6"/>
      <c r="F97" s="6"/>
      <c r="G97" s="6"/>
      <c r="H97" s="6"/>
      <c r="I97" s="6"/>
      <c r="J97" s="6"/>
      <c r="K97" s="6"/>
      <c r="L97" s="6"/>
    </row>
    <row r="98" spans="2:12" x14ac:dyDescent="0.25">
      <c r="B98" s="6"/>
      <c r="D98" s="6"/>
      <c r="E98" s="6"/>
      <c r="F98" s="6"/>
      <c r="G98" s="6"/>
      <c r="H98" s="6"/>
      <c r="I98" s="6"/>
      <c r="J98" s="6"/>
      <c r="K98" s="6"/>
      <c r="L98" s="6"/>
    </row>
    <row r="99" spans="2:12" x14ac:dyDescent="0.25">
      <c r="B99" s="6"/>
      <c r="D99" s="6"/>
      <c r="E99" s="6"/>
      <c r="F99" s="6"/>
      <c r="G99" s="6"/>
      <c r="H99" s="6"/>
      <c r="I99" s="6"/>
      <c r="J99" s="6"/>
      <c r="K99" s="6"/>
      <c r="L99" s="6"/>
    </row>
    <row r="100" spans="2:12" x14ac:dyDescent="0.25">
      <c r="B100" s="6"/>
      <c r="D100" s="6"/>
      <c r="E100" s="6"/>
      <c r="F100" s="6"/>
      <c r="G100" s="6"/>
      <c r="H100" s="6"/>
      <c r="I100" s="6"/>
      <c r="J100" s="6"/>
      <c r="K100" s="6"/>
      <c r="L100" s="6"/>
    </row>
    <row r="101" spans="2:12" x14ac:dyDescent="0.25">
      <c r="B101" s="6"/>
      <c r="D101" s="6"/>
      <c r="E101" s="6"/>
      <c r="F101" s="6"/>
      <c r="G101" s="6"/>
      <c r="H101" s="6"/>
      <c r="I101" s="6"/>
      <c r="J101" s="6"/>
      <c r="K101" s="6"/>
      <c r="L101" s="6"/>
    </row>
    <row r="102" spans="2:12" x14ac:dyDescent="0.25">
      <c r="B102" s="6"/>
      <c r="D102" s="6"/>
      <c r="E102" s="6"/>
      <c r="F102" s="6"/>
      <c r="G102" s="6"/>
      <c r="H102" s="6"/>
      <c r="I102" s="6"/>
      <c r="J102" s="6"/>
      <c r="K102" s="6"/>
      <c r="L102" s="6"/>
    </row>
    <row r="103" spans="2:12" x14ac:dyDescent="0.25">
      <c r="B103" s="6"/>
      <c r="D103" s="6"/>
      <c r="E103" s="6"/>
      <c r="F103" s="6"/>
      <c r="G103" s="6"/>
      <c r="H103" s="6"/>
      <c r="I103" s="6"/>
      <c r="J103" s="6"/>
      <c r="K103" s="6"/>
      <c r="L103" s="6"/>
    </row>
    <row r="104" spans="2:12" x14ac:dyDescent="0.25">
      <c r="B104" s="6"/>
      <c r="D104" s="6"/>
      <c r="E104" s="6"/>
      <c r="F104" s="6"/>
      <c r="G104" s="6"/>
      <c r="H104" s="6"/>
      <c r="I104" s="6"/>
      <c r="J104" s="6"/>
      <c r="K104" s="6"/>
      <c r="L104" s="6"/>
    </row>
    <row r="105" spans="2:12" x14ac:dyDescent="0.25">
      <c r="B105" s="6"/>
      <c r="D105" s="6"/>
      <c r="E105" s="6"/>
      <c r="F105" s="6"/>
      <c r="G105" s="6"/>
      <c r="H105" s="6"/>
      <c r="I105" s="6"/>
      <c r="J105" s="6"/>
      <c r="K105" s="6"/>
      <c r="L105" s="6"/>
    </row>
    <row r="106" spans="2:12" x14ac:dyDescent="0.25">
      <c r="B106" s="6"/>
      <c r="D106" s="6"/>
      <c r="E106" s="6"/>
      <c r="F106" s="6"/>
      <c r="G106" s="6"/>
      <c r="H106" s="6"/>
      <c r="I106" s="6"/>
      <c r="J106" s="6"/>
      <c r="K106" s="6"/>
      <c r="L106" s="6"/>
    </row>
    <row r="107" spans="2:12" x14ac:dyDescent="0.25">
      <c r="B107" s="6"/>
      <c r="D107" s="6"/>
      <c r="E107" s="6"/>
      <c r="F107" s="6"/>
      <c r="G107" s="6"/>
      <c r="H107" s="6"/>
      <c r="I107" s="6"/>
      <c r="J107" s="6"/>
      <c r="K107" s="6"/>
      <c r="L107" s="6"/>
    </row>
    <row r="108" spans="2:12" x14ac:dyDescent="0.25">
      <c r="B108" s="6"/>
      <c r="D108" s="6"/>
      <c r="E108" s="6"/>
      <c r="F108" s="6"/>
      <c r="G108" s="6"/>
      <c r="H108" s="6"/>
      <c r="I108" s="6"/>
      <c r="J108" s="6"/>
      <c r="K108" s="6"/>
      <c r="L108" s="6"/>
    </row>
    <row r="109" spans="2:12" x14ac:dyDescent="0.25">
      <c r="B109" s="6"/>
      <c r="D109" s="6"/>
      <c r="E109" s="6"/>
      <c r="F109" s="6"/>
      <c r="G109" s="6"/>
      <c r="H109" s="6"/>
      <c r="I109" s="6"/>
      <c r="J109" s="6"/>
      <c r="K109" s="6"/>
      <c r="L109" s="6"/>
    </row>
    <row r="110" spans="2:12" x14ac:dyDescent="0.25">
      <c r="B110" s="6"/>
      <c r="D110" s="6"/>
      <c r="E110" s="6"/>
      <c r="F110" s="6"/>
      <c r="G110" s="6"/>
      <c r="H110" s="6"/>
      <c r="I110" s="6"/>
      <c r="J110" s="6"/>
      <c r="K110" s="6"/>
      <c r="L110" s="6"/>
    </row>
    <row r="111" spans="2:12" x14ac:dyDescent="0.25">
      <c r="B111" s="6"/>
      <c r="D111" s="6"/>
      <c r="E111" s="6"/>
      <c r="F111" s="6"/>
      <c r="G111" s="6"/>
      <c r="H111" s="6"/>
      <c r="I111" s="6"/>
      <c r="J111" s="6"/>
      <c r="K111" s="6"/>
      <c r="L111" s="6"/>
    </row>
    <row r="112" spans="2:12" x14ac:dyDescent="0.25">
      <c r="B112" s="6"/>
      <c r="D112" s="6"/>
      <c r="E112" s="6"/>
      <c r="F112" s="6"/>
      <c r="G112" s="6"/>
      <c r="H112" s="6"/>
      <c r="I112" s="6"/>
      <c r="J112" s="6"/>
      <c r="K112" s="6"/>
      <c r="L112" s="6"/>
    </row>
    <row r="113" spans="2:12" x14ac:dyDescent="0.25">
      <c r="B113" s="6"/>
      <c r="D113" s="6"/>
      <c r="E113" s="6"/>
      <c r="F113" s="6"/>
      <c r="G113" s="6"/>
      <c r="H113" s="6"/>
      <c r="I113" s="6"/>
      <c r="J113" s="6"/>
      <c r="K113" s="6"/>
      <c r="L113" s="6"/>
    </row>
    <row r="114" spans="2:12" x14ac:dyDescent="0.25">
      <c r="B114" s="6"/>
      <c r="D114" s="6"/>
      <c r="E114" s="6"/>
      <c r="F114" s="6"/>
      <c r="G114" s="6"/>
      <c r="H114" s="6"/>
      <c r="I114" s="6"/>
      <c r="J114" s="6"/>
      <c r="K114" s="6"/>
      <c r="L114" s="6"/>
    </row>
    <row r="115" spans="2:12" x14ac:dyDescent="0.25">
      <c r="B115" s="6"/>
      <c r="D115" s="6"/>
      <c r="E115" s="6"/>
      <c r="F115" s="6"/>
      <c r="G115" s="6"/>
      <c r="H115" s="6"/>
      <c r="I115" s="6"/>
      <c r="J115" s="6"/>
      <c r="K115" s="6"/>
      <c r="L115" s="6"/>
    </row>
    <row r="116" spans="2:12" x14ac:dyDescent="0.25">
      <c r="B116" s="6"/>
      <c r="D116" s="6"/>
      <c r="E116" s="6"/>
      <c r="F116" s="6"/>
      <c r="G116" s="6"/>
      <c r="H116" s="6"/>
      <c r="I116" s="6"/>
      <c r="J116" s="6"/>
      <c r="K116" s="6"/>
      <c r="L116" s="6"/>
    </row>
    <row r="117" spans="2:12" x14ac:dyDescent="0.25">
      <c r="B117" s="6"/>
      <c r="D117" s="6"/>
      <c r="E117" s="6"/>
      <c r="F117" s="6"/>
      <c r="G117" s="6"/>
      <c r="H117" s="6"/>
      <c r="I117" s="6"/>
      <c r="J117" s="6"/>
      <c r="K117" s="6"/>
      <c r="L117" s="6"/>
    </row>
    <row r="118" spans="2:12" x14ac:dyDescent="0.25">
      <c r="B118" s="6"/>
      <c r="D118" s="6"/>
      <c r="E118" s="6"/>
      <c r="F118" s="6"/>
      <c r="G118" s="6"/>
      <c r="H118" s="6"/>
      <c r="I118" s="6"/>
      <c r="J118" s="6"/>
      <c r="K118" s="6"/>
      <c r="L118" s="6"/>
    </row>
    <row r="119" spans="2:12" x14ac:dyDescent="0.25">
      <c r="B119" s="6"/>
      <c r="D119" s="6"/>
      <c r="E119" s="6"/>
      <c r="F119" s="6"/>
      <c r="G119" s="6"/>
      <c r="H119" s="6"/>
      <c r="I119" s="6"/>
      <c r="J119" s="6"/>
      <c r="K119" s="6"/>
      <c r="L119" s="6"/>
    </row>
    <row r="120" spans="2:12" x14ac:dyDescent="0.25">
      <c r="B120" s="6"/>
      <c r="D120" s="6"/>
      <c r="E120" s="6"/>
      <c r="F120" s="6"/>
      <c r="G120" s="6"/>
      <c r="H120" s="6"/>
      <c r="I120" s="6"/>
      <c r="J120" s="6"/>
      <c r="K120" s="6"/>
      <c r="L120" s="6"/>
    </row>
    <row r="121" spans="2:12" x14ac:dyDescent="0.25">
      <c r="B121" s="6"/>
      <c r="D121" s="6"/>
      <c r="E121" s="6"/>
      <c r="F121" s="6"/>
      <c r="G121" s="6"/>
      <c r="H121" s="6"/>
      <c r="I121" s="6"/>
      <c r="J121" s="6"/>
      <c r="K121" s="6"/>
      <c r="L121" s="6"/>
    </row>
    <row r="122" spans="2:12" x14ac:dyDescent="0.25">
      <c r="B122" s="6"/>
      <c r="D122" s="6"/>
      <c r="E122" s="6"/>
      <c r="F122" s="6"/>
      <c r="G122" s="6"/>
      <c r="H122" s="6"/>
      <c r="I122" s="6"/>
      <c r="J122" s="6"/>
      <c r="K122" s="6"/>
      <c r="L122" s="6"/>
    </row>
    <row r="123" spans="2:12" x14ac:dyDescent="0.25">
      <c r="B123" s="6"/>
      <c r="D123" s="6"/>
      <c r="E123" s="6"/>
      <c r="F123" s="6"/>
      <c r="G123" s="6"/>
      <c r="H123" s="6"/>
      <c r="I123" s="6"/>
      <c r="J123" s="6"/>
      <c r="K123" s="6"/>
      <c r="L123" s="6"/>
    </row>
    <row r="124" spans="2:12" x14ac:dyDescent="0.25">
      <c r="B124" s="6"/>
      <c r="D124" s="6"/>
      <c r="E124" s="6"/>
      <c r="F124" s="6"/>
      <c r="G124" s="6"/>
      <c r="H124" s="6"/>
      <c r="I124" s="6"/>
      <c r="J124" s="6"/>
      <c r="K124" s="6"/>
      <c r="L124" s="6"/>
    </row>
    <row r="125" spans="2:12" x14ac:dyDescent="0.25">
      <c r="B125" s="6"/>
      <c r="D125" s="6"/>
      <c r="E125" s="6"/>
      <c r="F125" s="6"/>
      <c r="G125" s="6"/>
      <c r="H125" s="6"/>
      <c r="I125" s="6"/>
      <c r="J125" s="6"/>
      <c r="K125" s="6"/>
      <c r="L125" s="6"/>
    </row>
    <row r="126" spans="2:12" x14ac:dyDescent="0.25">
      <c r="B126" s="6"/>
      <c r="D126" s="6"/>
      <c r="E126" s="6"/>
      <c r="F126" s="6"/>
      <c r="G126" s="6"/>
      <c r="H126" s="6"/>
      <c r="I126" s="6"/>
      <c r="J126" s="6"/>
      <c r="K126" s="6"/>
      <c r="L126" s="6"/>
    </row>
    <row r="127" spans="2:12" x14ac:dyDescent="0.25">
      <c r="B127" s="6"/>
      <c r="D127" s="6"/>
      <c r="E127" s="6"/>
      <c r="F127" s="6"/>
      <c r="G127" s="6"/>
      <c r="H127" s="6"/>
      <c r="I127" s="6"/>
      <c r="J127" s="6"/>
      <c r="K127" s="6"/>
      <c r="L127" s="6"/>
    </row>
    <row r="128" spans="2:12" x14ac:dyDescent="0.25">
      <c r="B128" s="6"/>
      <c r="D128" s="6"/>
      <c r="E128" s="6"/>
      <c r="F128" s="6"/>
      <c r="G128" s="6"/>
      <c r="H128" s="6"/>
      <c r="I128" s="6"/>
      <c r="J128" s="6"/>
      <c r="K128" s="6"/>
      <c r="L128" s="6"/>
    </row>
    <row r="129" spans="2:12" x14ac:dyDescent="0.25">
      <c r="B129" s="6"/>
      <c r="D129" s="6"/>
      <c r="E129" s="6"/>
      <c r="F129" s="6"/>
      <c r="G129" s="6"/>
      <c r="H129" s="6"/>
      <c r="I129" s="6"/>
      <c r="J129" s="6"/>
      <c r="K129" s="6"/>
      <c r="L129" s="6"/>
    </row>
    <row r="130" spans="2:12" x14ac:dyDescent="0.25">
      <c r="B130" s="6"/>
      <c r="D130" s="6"/>
      <c r="E130" s="6"/>
      <c r="F130" s="6"/>
      <c r="G130" s="6"/>
      <c r="H130" s="6"/>
      <c r="I130" s="6"/>
      <c r="J130" s="6"/>
      <c r="K130" s="6"/>
      <c r="L130" s="6"/>
    </row>
    <row r="131" spans="2:12" x14ac:dyDescent="0.25">
      <c r="B131" s="6"/>
      <c r="D131" s="6"/>
      <c r="E131" s="6"/>
      <c r="F131" s="6"/>
      <c r="G131" s="6"/>
      <c r="H131" s="6"/>
      <c r="I131" s="6"/>
      <c r="J131" s="6"/>
      <c r="K131" s="6"/>
      <c r="L131" s="6"/>
    </row>
    <row r="132" spans="2:12" x14ac:dyDescent="0.25">
      <c r="B132" s="6"/>
      <c r="D132" s="6"/>
      <c r="E132" s="6"/>
      <c r="F132" s="6"/>
      <c r="G132" s="6"/>
      <c r="H132" s="6"/>
      <c r="I132" s="6"/>
      <c r="J132" s="6"/>
      <c r="K132" s="6"/>
      <c r="L132" s="6"/>
    </row>
    <row r="133" spans="2:12" x14ac:dyDescent="0.25">
      <c r="B133" s="6"/>
      <c r="D133" s="6"/>
      <c r="E133" s="6"/>
      <c r="F133" s="6"/>
      <c r="G133" s="6"/>
      <c r="H133" s="6"/>
      <c r="I133" s="6"/>
      <c r="J133" s="6"/>
      <c r="K133" s="6"/>
      <c r="L133" s="6"/>
    </row>
    <row r="134" spans="2:12" x14ac:dyDescent="0.25">
      <c r="B134" s="6"/>
      <c r="D134" s="6"/>
      <c r="E134" s="6"/>
      <c r="F134" s="6"/>
      <c r="G134" s="6"/>
      <c r="H134" s="6"/>
      <c r="I134" s="6"/>
      <c r="J134" s="6"/>
      <c r="K134" s="6"/>
      <c r="L134" s="6"/>
    </row>
    <row r="135" spans="2:12" x14ac:dyDescent="0.25">
      <c r="B135" s="6"/>
      <c r="D135" s="6"/>
      <c r="E135" s="6"/>
      <c r="F135" s="6"/>
      <c r="G135" s="6"/>
      <c r="H135" s="6"/>
      <c r="I135" s="6"/>
      <c r="J135" s="6"/>
      <c r="K135" s="6"/>
      <c r="L135" s="6"/>
    </row>
    <row r="136" spans="2:12" x14ac:dyDescent="0.25">
      <c r="B136" s="6"/>
      <c r="D136" s="6"/>
      <c r="E136" s="6"/>
      <c r="F136" s="6"/>
      <c r="G136" s="6"/>
      <c r="H136" s="6"/>
      <c r="I136" s="6"/>
      <c r="J136" s="6"/>
      <c r="K136" s="6"/>
      <c r="L136" s="6"/>
    </row>
    <row r="137" spans="2:12" x14ac:dyDescent="0.25">
      <c r="B137" s="6"/>
      <c r="D137" s="6"/>
      <c r="E137" s="6"/>
      <c r="F137" s="6"/>
      <c r="G137" s="6"/>
      <c r="H137" s="6"/>
      <c r="I137" s="6"/>
      <c r="J137" s="6"/>
      <c r="K137" s="6"/>
      <c r="L137" s="6"/>
    </row>
    <row r="138" spans="2:12" x14ac:dyDescent="0.25">
      <c r="B138" s="6"/>
      <c r="D138" s="6"/>
      <c r="E138" s="6"/>
      <c r="F138" s="6"/>
      <c r="G138" s="6"/>
      <c r="H138" s="6"/>
      <c r="I138" s="6"/>
      <c r="J138" s="6"/>
      <c r="K138" s="6"/>
      <c r="L138" s="6"/>
    </row>
    <row r="139" spans="2:12" x14ac:dyDescent="0.25">
      <c r="B139" s="6"/>
      <c r="D139" s="6"/>
      <c r="E139" s="6"/>
      <c r="F139" s="6"/>
      <c r="G139" s="6"/>
      <c r="H139" s="6"/>
      <c r="I139" s="6"/>
      <c r="J139" s="6"/>
      <c r="K139" s="6"/>
      <c r="L139" s="6"/>
    </row>
    <row r="140" spans="2:12" x14ac:dyDescent="0.25">
      <c r="B140" s="6"/>
      <c r="D140" s="6"/>
      <c r="E140" s="6"/>
      <c r="F140" s="6"/>
      <c r="G140" s="6"/>
      <c r="H140" s="6"/>
      <c r="I140" s="6"/>
      <c r="J140" s="6"/>
      <c r="K140" s="6"/>
      <c r="L140" s="6"/>
    </row>
    <row r="141" spans="2:12" x14ac:dyDescent="0.25">
      <c r="B141" s="6"/>
      <c r="D141" s="6"/>
      <c r="E141" s="6"/>
      <c r="F141" s="6"/>
      <c r="G141" s="6"/>
      <c r="H141" s="6"/>
      <c r="I141" s="6"/>
      <c r="J141" s="6"/>
      <c r="K141" s="6"/>
      <c r="L141" s="6"/>
    </row>
    <row r="142" spans="2:12" x14ac:dyDescent="0.25">
      <c r="B142" s="6"/>
      <c r="D142" s="6"/>
      <c r="E142" s="6"/>
      <c r="F142" s="6"/>
      <c r="G142" s="6"/>
      <c r="H142" s="6"/>
      <c r="I142" s="6"/>
      <c r="J142" s="6"/>
      <c r="K142" s="6"/>
      <c r="L142" s="6"/>
    </row>
    <row r="143" spans="2:12" x14ac:dyDescent="0.25">
      <c r="B143" s="6"/>
      <c r="D143" s="6"/>
      <c r="E143" s="6"/>
      <c r="F143" s="6"/>
      <c r="G143" s="6"/>
      <c r="H143" s="6"/>
      <c r="I143" s="6"/>
      <c r="J143" s="6"/>
      <c r="K143" s="6"/>
      <c r="L143" s="6"/>
    </row>
    <row r="144" spans="2:12" x14ac:dyDescent="0.25">
      <c r="B144" s="6"/>
      <c r="D144" s="6"/>
      <c r="E144" s="6"/>
      <c r="F144" s="6"/>
      <c r="G144" s="6"/>
      <c r="H144" s="6"/>
      <c r="I144" s="6"/>
      <c r="J144" s="6"/>
      <c r="K144" s="6"/>
      <c r="L144" s="6"/>
    </row>
    <row r="145" spans="2:12" x14ac:dyDescent="0.25">
      <c r="B145" s="6"/>
      <c r="D145" s="6"/>
      <c r="E145" s="6"/>
      <c r="F145" s="6"/>
      <c r="G145" s="6"/>
      <c r="H145" s="6"/>
      <c r="I145" s="6"/>
      <c r="J145" s="6"/>
      <c r="K145" s="6"/>
      <c r="L145" s="6"/>
    </row>
    <row r="146" spans="2:12" x14ac:dyDescent="0.25">
      <c r="B146" s="6"/>
      <c r="D146" s="6"/>
      <c r="E146" s="6"/>
      <c r="F146" s="6"/>
      <c r="G146" s="6"/>
      <c r="H146" s="6"/>
      <c r="I146" s="6"/>
      <c r="J146" s="6"/>
      <c r="K146" s="6"/>
      <c r="L146" s="6"/>
    </row>
    <row r="147" spans="2:12" x14ac:dyDescent="0.25">
      <c r="B147" s="6"/>
      <c r="D147" s="6"/>
      <c r="E147" s="6"/>
      <c r="F147" s="6"/>
      <c r="G147" s="6"/>
      <c r="H147" s="6"/>
      <c r="I147" s="6"/>
      <c r="J147" s="6"/>
      <c r="K147" s="6"/>
      <c r="L147" s="6"/>
    </row>
    <row r="148" spans="2:12" x14ac:dyDescent="0.25">
      <c r="B148" s="6"/>
      <c r="D148" s="6"/>
      <c r="E148" s="6"/>
      <c r="F148" s="6"/>
      <c r="G148" s="6"/>
      <c r="H148" s="6"/>
      <c r="I148" s="6"/>
      <c r="J148" s="6"/>
      <c r="K148" s="6"/>
      <c r="L148" s="6"/>
    </row>
    <row r="149" spans="2:12" x14ac:dyDescent="0.25">
      <c r="B149" s="6"/>
      <c r="D149" s="6"/>
      <c r="E149" s="6"/>
      <c r="F149" s="6"/>
      <c r="G149" s="6"/>
      <c r="H149" s="6"/>
      <c r="I149" s="6"/>
      <c r="J149" s="6"/>
      <c r="K149" s="6"/>
      <c r="L149" s="6"/>
    </row>
    <row r="150" spans="2:12" x14ac:dyDescent="0.25">
      <c r="B150" s="6"/>
      <c r="D150" s="6"/>
      <c r="E150" s="6"/>
      <c r="F150" s="6"/>
      <c r="G150" s="6"/>
      <c r="H150" s="6"/>
      <c r="I150" s="6"/>
      <c r="J150" s="6"/>
      <c r="K150" s="6"/>
      <c r="L150" s="6"/>
    </row>
    <row r="151" spans="2:12" x14ac:dyDescent="0.25">
      <c r="B151" s="6"/>
      <c r="D151" s="6"/>
      <c r="E151" s="6"/>
      <c r="F151" s="6"/>
      <c r="G151" s="6"/>
      <c r="H151" s="6"/>
      <c r="I151" s="6"/>
      <c r="J151" s="6"/>
      <c r="K151" s="6"/>
      <c r="L151" s="6"/>
    </row>
    <row r="152" spans="2:12" x14ac:dyDescent="0.25">
      <c r="B152" s="6"/>
      <c r="D152" s="6"/>
      <c r="E152" s="6"/>
      <c r="F152" s="6"/>
      <c r="G152" s="6"/>
      <c r="H152" s="6"/>
      <c r="I152" s="6"/>
      <c r="J152" s="6"/>
      <c r="K152" s="6"/>
      <c r="L152" s="6"/>
    </row>
    <row r="153" spans="2:12" x14ac:dyDescent="0.25">
      <c r="B153" s="6"/>
      <c r="D153" s="6"/>
      <c r="E153" s="6"/>
      <c r="F153" s="6"/>
      <c r="G153" s="6"/>
      <c r="H153" s="6"/>
      <c r="I153" s="6"/>
      <c r="J153" s="6"/>
      <c r="K153" s="6"/>
      <c r="L153" s="6"/>
    </row>
    <row r="154" spans="2:12" x14ac:dyDescent="0.25">
      <c r="B154" s="6"/>
      <c r="D154" s="6"/>
      <c r="E154" s="6"/>
      <c r="F154" s="6"/>
      <c r="G154" s="6"/>
      <c r="H154" s="6"/>
      <c r="I154" s="6"/>
      <c r="J154" s="6"/>
      <c r="K154" s="6"/>
      <c r="L154" s="6"/>
    </row>
    <row r="155" spans="2:12" x14ac:dyDescent="0.25">
      <c r="B155" s="6"/>
      <c r="D155" s="6"/>
      <c r="E155" s="6"/>
      <c r="F155" s="6"/>
      <c r="G155" s="6"/>
      <c r="H155" s="6"/>
      <c r="I155" s="6"/>
      <c r="J155" s="6"/>
      <c r="K155" s="6"/>
      <c r="L155" s="6"/>
    </row>
    <row r="156" spans="2:12" x14ac:dyDescent="0.25">
      <c r="B156" s="6"/>
      <c r="D156" s="6"/>
      <c r="E156" s="6"/>
      <c r="F156" s="6"/>
      <c r="G156" s="6"/>
      <c r="H156" s="6"/>
      <c r="I156" s="6"/>
      <c r="J156" s="6"/>
      <c r="K156" s="6"/>
      <c r="L156" s="6"/>
    </row>
    <row r="157" spans="2:12" x14ac:dyDescent="0.25">
      <c r="B157" s="6"/>
      <c r="D157" s="6"/>
      <c r="E157" s="6"/>
      <c r="F157" s="6"/>
      <c r="G157" s="6"/>
      <c r="H157" s="6"/>
      <c r="I157" s="6"/>
      <c r="J157" s="6"/>
      <c r="K157" s="6"/>
      <c r="L157" s="6"/>
    </row>
    <row r="158" spans="2:12" x14ac:dyDescent="0.25">
      <c r="B158" s="6"/>
      <c r="D158" s="6"/>
      <c r="E158" s="6"/>
      <c r="F158" s="6"/>
      <c r="G158" s="6"/>
      <c r="H158" s="6"/>
      <c r="I158" s="6"/>
      <c r="J158" s="6"/>
      <c r="K158" s="6"/>
      <c r="L158" s="6"/>
    </row>
    <row r="159" spans="2:12" x14ac:dyDescent="0.25">
      <c r="B159" s="6"/>
      <c r="D159" s="6"/>
      <c r="E159" s="6"/>
      <c r="F159" s="6"/>
      <c r="G159" s="6"/>
      <c r="H159" s="6"/>
      <c r="I159" s="6"/>
      <c r="J159" s="6"/>
      <c r="K159" s="6"/>
      <c r="L159" s="6"/>
    </row>
    <row r="160" spans="2:12" x14ac:dyDescent="0.25">
      <c r="B160" s="6"/>
      <c r="D160" s="6"/>
      <c r="E160" s="6"/>
      <c r="F160" s="6"/>
      <c r="G160" s="6"/>
      <c r="H160" s="6"/>
      <c r="I160" s="6"/>
      <c r="J160" s="6"/>
      <c r="K160" s="6"/>
      <c r="L160" s="6"/>
    </row>
    <row r="161" spans="2:12" x14ac:dyDescent="0.25">
      <c r="B161" s="6"/>
      <c r="D161" s="6"/>
      <c r="E161" s="6"/>
      <c r="F161" s="6"/>
      <c r="G161" s="6"/>
      <c r="H161" s="6"/>
      <c r="I161" s="6"/>
      <c r="J161" s="6"/>
      <c r="K161" s="6"/>
      <c r="L161" s="6"/>
    </row>
    <row r="162" spans="2:12" x14ac:dyDescent="0.25">
      <c r="B162" s="6"/>
      <c r="D162" s="6"/>
      <c r="E162" s="6"/>
      <c r="F162" s="6"/>
      <c r="G162" s="6"/>
      <c r="H162" s="6"/>
      <c r="I162" s="6"/>
      <c r="J162" s="6"/>
      <c r="K162" s="6"/>
      <c r="L162" s="6"/>
    </row>
    <row r="163" spans="2:12" x14ac:dyDescent="0.25">
      <c r="B163" s="6"/>
      <c r="D163" s="6"/>
      <c r="E163" s="6"/>
      <c r="F163" s="6"/>
      <c r="G163" s="6"/>
      <c r="H163" s="6"/>
      <c r="I163" s="6"/>
      <c r="J163" s="6"/>
      <c r="K163" s="6"/>
      <c r="L163" s="6"/>
    </row>
    <row r="164" spans="2:12" x14ac:dyDescent="0.25">
      <c r="B164" s="6"/>
      <c r="D164" s="6"/>
      <c r="E164" s="6"/>
      <c r="F164" s="6"/>
      <c r="G164" s="6"/>
      <c r="H164" s="6"/>
      <c r="I164" s="6"/>
      <c r="J164" s="6"/>
      <c r="K164" s="6"/>
      <c r="L164" s="6"/>
    </row>
    <row r="165" spans="2:12" x14ac:dyDescent="0.25">
      <c r="B165" s="6"/>
      <c r="D165" s="6"/>
      <c r="E165" s="6"/>
      <c r="F165" s="6"/>
      <c r="G165" s="6"/>
      <c r="H165" s="6"/>
      <c r="I165" s="6"/>
      <c r="J165" s="6"/>
      <c r="K165" s="6"/>
      <c r="L165" s="6"/>
    </row>
    <row r="166" spans="2:12" x14ac:dyDescent="0.25">
      <c r="B166" s="6"/>
      <c r="D166" s="6"/>
      <c r="E166" s="6"/>
      <c r="F166" s="6"/>
      <c r="G166" s="6"/>
      <c r="H166" s="6"/>
      <c r="I166" s="6"/>
      <c r="J166" s="6"/>
      <c r="K166" s="6"/>
      <c r="L166" s="6"/>
    </row>
    <row r="167" spans="2:12" x14ac:dyDescent="0.25">
      <c r="B167" s="6"/>
      <c r="D167" s="6"/>
      <c r="E167" s="6"/>
      <c r="F167" s="6"/>
      <c r="G167" s="6"/>
      <c r="H167" s="6"/>
      <c r="I167" s="6"/>
      <c r="J167" s="6"/>
      <c r="K167" s="6"/>
      <c r="L167" s="6"/>
    </row>
    <row r="168" spans="2:12" x14ac:dyDescent="0.25">
      <c r="B168" s="6"/>
      <c r="D168" s="6"/>
      <c r="E168" s="6"/>
      <c r="F168" s="6"/>
      <c r="G168" s="6"/>
      <c r="H168" s="6"/>
      <c r="I168" s="6"/>
      <c r="J168" s="6"/>
      <c r="K168" s="6"/>
      <c r="L168" s="6"/>
    </row>
    <row r="169" spans="2:12" x14ac:dyDescent="0.25">
      <c r="B169" s="6"/>
      <c r="D169" s="6"/>
      <c r="E169" s="6"/>
      <c r="F169" s="6"/>
      <c r="G169" s="6"/>
      <c r="H169" s="6"/>
      <c r="I169" s="6"/>
      <c r="J169" s="6"/>
      <c r="K169" s="6"/>
      <c r="L169" s="6"/>
    </row>
    <row r="170" spans="2:12" x14ac:dyDescent="0.25">
      <c r="B170" s="6"/>
      <c r="D170" s="6"/>
      <c r="E170" s="6"/>
      <c r="F170" s="6"/>
      <c r="G170" s="6"/>
      <c r="H170" s="6"/>
      <c r="I170" s="6"/>
      <c r="J170" s="6"/>
      <c r="K170" s="6"/>
      <c r="L170" s="6"/>
    </row>
    <row r="171" spans="2:12" x14ac:dyDescent="0.25">
      <c r="B171" s="6"/>
      <c r="D171" s="6"/>
      <c r="E171" s="6"/>
      <c r="F171" s="6"/>
      <c r="G171" s="6"/>
      <c r="H171" s="6"/>
      <c r="I171" s="6"/>
      <c r="J171" s="6"/>
      <c r="K171" s="6"/>
      <c r="L171" s="6"/>
    </row>
    <row r="172" spans="2:12" x14ac:dyDescent="0.25">
      <c r="B172" s="6"/>
      <c r="D172" s="6"/>
      <c r="E172" s="6"/>
      <c r="F172" s="6"/>
      <c r="G172" s="6"/>
      <c r="H172" s="6"/>
      <c r="I172" s="6"/>
      <c r="J172" s="6"/>
      <c r="K172" s="6"/>
      <c r="L172" s="6"/>
    </row>
    <row r="173" spans="2:12" x14ac:dyDescent="0.25">
      <c r="B173" s="6"/>
      <c r="D173" s="6"/>
      <c r="E173" s="6"/>
      <c r="F173" s="6"/>
      <c r="G173" s="6"/>
      <c r="H173" s="6"/>
      <c r="I173" s="6"/>
      <c r="J173" s="6"/>
      <c r="K173" s="6"/>
      <c r="L173" s="6"/>
    </row>
    <row r="174" spans="2:12" x14ac:dyDescent="0.25">
      <c r="B174" s="6"/>
      <c r="D174" s="6"/>
      <c r="E174" s="6"/>
      <c r="F174" s="6"/>
      <c r="G174" s="6"/>
      <c r="H174" s="6"/>
      <c r="I174" s="6"/>
      <c r="J174" s="6"/>
      <c r="K174" s="6"/>
      <c r="L174" s="6"/>
    </row>
    <row r="175" spans="2:12" x14ac:dyDescent="0.25">
      <c r="B175" s="6"/>
      <c r="D175" s="6"/>
      <c r="E175" s="6"/>
      <c r="F175" s="6"/>
      <c r="G175" s="6"/>
      <c r="H175" s="6"/>
      <c r="I175" s="6"/>
      <c r="J175" s="6"/>
      <c r="K175" s="6"/>
      <c r="L175" s="6"/>
    </row>
    <row r="176" spans="2:12" x14ac:dyDescent="0.25">
      <c r="B176" s="6"/>
      <c r="D176" s="6"/>
      <c r="E176" s="6"/>
      <c r="F176" s="6"/>
      <c r="G176" s="6"/>
      <c r="H176" s="6"/>
      <c r="I176" s="6"/>
      <c r="J176" s="6"/>
      <c r="K176" s="6"/>
      <c r="L176" s="6"/>
    </row>
    <row r="177" spans="2:12" x14ac:dyDescent="0.25">
      <c r="B177" s="6"/>
      <c r="D177" s="6"/>
      <c r="E177" s="6"/>
      <c r="F177" s="6"/>
      <c r="G177" s="6"/>
      <c r="H177" s="6"/>
      <c r="I177" s="6"/>
      <c r="J177" s="6"/>
      <c r="K177" s="6"/>
      <c r="L177" s="6"/>
    </row>
    <row r="178" spans="2:12" x14ac:dyDescent="0.25">
      <c r="B178" s="6"/>
      <c r="D178" s="6"/>
      <c r="E178" s="6"/>
      <c r="F178" s="6"/>
      <c r="G178" s="6"/>
      <c r="H178" s="6"/>
      <c r="I178" s="6"/>
      <c r="J178" s="6"/>
      <c r="K178" s="6"/>
      <c r="L178" s="6"/>
    </row>
    <row r="179" spans="2:12" x14ac:dyDescent="0.25">
      <c r="B179" s="6"/>
      <c r="D179" s="6"/>
      <c r="E179" s="6"/>
      <c r="F179" s="6"/>
      <c r="G179" s="6"/>
      <c r="H179" s="6"/>
      <c r="I179" s="6"/>
      <c r="J179" s="6"/>
      <c r="K179" s="6"/>
      <c r="L179" s="6"/>
    </row>
    <row r="180" spans="2:12" x14ac:dyDescent="0.25">
      <c r="B180" s="6"/>
      <c r="D180" s="6"/>
      <c r="E180" s="6"/>
      <c r="F180" s="6"/>
      <c r="G180" s="6"/>
      <c r="H180" s="6"/>
      <c r="I180" s="6"/>
      <c r="J180" s="6"/>
      <c r="K180" s="6"/>
      <c r="L180" s="6"/>
    </row>
    <row r="181" spans="2:12" x14ac:dyDescent="0.25">
      <c r="B181" s="6"/>
      <c r="D181" s="6"/>
      <c r="E181" s="6"/>
      <c r="F181" s="6"/>
      <c r="G181" s="6"/>
      <c r="H181" s="6"/>
      <c r="I181" s="6"/>
      <c r="J181" s="6"/>
      <c r="K181" s="6"/>
      <c r="L181" s="6"/>
    </row>
    <row r="182" spans="2:12" x14ac:dyDescent="0.25">
      <c r="B182" s="6"/>
      <c r="D182" s="6"/>
      <c r="E182" s="6"/>
      <c r="F182" s="6"/>
      <c r="G182" s="6"/>
      <c r="H182" s="6"/>
      <c r="I182" s="6"/>
      <c r="J182" s="6"/>
      <c r="K182" s="6"/>
      <c r="L182" s="6"/>
    </row>
    <row r="183" spans="2:12" x14ac:dyDescent="0.25">
      <c r="B183" s="6"/>
      <c r="D183" s="6"/>
      <c r="E183" s="6"/>
      <c r="F183" s="6"/>
      <c r="G183" s="6"/>
      <c r="H183" s="6"/>
      <c r="I183" s="6"/>
      <c r="J183" s="6"/>
      <c r="K183" s="6"/>
      <c r="L183" s="6"/>
    </row>
    <row r="184" spans="2:12" x14ac:dyDescent="0.25">
      <c r="K184" s="6"/>
      <c r="L184" s="6"/>
    </row>
  </sheetData>
  <mergeCells count="41">
    <mergeCell ref="B10:D10"/>
    <mergeCell ref="F10:S10"/>
    <mergeCell ref="F11:S11"/>
    <mergeCell ref="E12:R12"/>
    <mergeCell ref="E13:R13"/>
    <mergeCell ref="N24:N25"/>
    <mergeCell ref="O24:O25"/>
    <mergeCell ref="P24:P25"/>
    <mergeCell ref="K24:K25"/>
    <mergeCell ref="K39:K40"/>
    <mergeCell ref="L39:L40"/>
    <mergeCell ref="M39:M40"/>
    <mergeCell ref="L24:L25"/>
    <mergeCell ref="M24:M25"/>
    <mergeCell ref="B89:B94"/>
    <mergeCell ref="B74:D74"/>
    <mergeCell ref="B76:B84"/>
    <mergeCell ref="B85:B86"/>
    <mergeCell ref="D85:D86"/>
    <mergeCell ref="B87:B88"/>
    <mergeCell ref="B15:B43"/>
    <mergeCell ref="D15:I15"/>
    <mergeCell ref="D22:I22"/>
    <mergeCell ref="D23:I23"/>
    <mergeCell ref="D31:I31"/>
    <mergeCell ref="D32:I32"/>
    <mergeCell ref="D33:I33"/>
    <mergeCell ref="D43:I43"/>
    <mergeCell ref="B69:F69"/>
    <mergeCell ref="D44:I44"/>
    <mergeCell ref="D45:I45"/>
    <mergeCell ref="B47:E47"/>
    <mergeCell ref="B48:B54"/>
    <mergeCell ref="B56:E56"/>
    <mergeCell ref="B57:B63"/>
    <mergeCell ref="B66:D67"/>
    <mergeCell ref="A1:P1"/>
    <mergeCell ref="A2:P2"/>
    <mergeCell ref="A3:P3"/>
    <mergeCell ref="A4:D4"/>
    <mergeCell ref="A5:P5"/>
  </mergeCells>
  <conditionalFormatting sqref="I20">
    <cfRule type="containsErrors" dxfId="89" priority="6">
      <formula>ISERROR(I20)</formula>
    </cfRule>
  </conditionalFormatting>
  <conditionalFormatting sqref="I25">
    <cfRule type="containsText" dxfId="88" priority="5" operator="containsText" text="debe">
      <formula>NOT(ISERROR(SEARCH("debe",I25)))</formula>
    </cfRule>
  </conditionalFormatting>
  <conditionalFormatting sqref="F10">
    <cfRule type="notContainsBlanks" dxfId="87" priority="4">
      <formula>LEN(TRIM(F10))&gt;0</formula>
    </cfRule>
  </conditionalFormatting>
  <conditionalFormatting sqref="F11:S11">
    <cfRule type="expression" dxfId="86" priority="2">
      <formula>E11="NO SE REPORTA"</formula>
    </cfRule>
    <cfRule type="expression" dxfId="85" priority="3">
      <formula>E10="NO APLICA"</formula>
    </cfRule>
  </conditionalFormatting>
  <conditionalFormatting sqref="E12:R12">
    <cfRule type="expression" dxfId="84" priority="1">
      <formula>E11="SI SE REPORTA"</formula>
    </cfRule>
  </conditionalFormatting>
  <dataValidations count="6">
    <dataValidation type="whole" operator="greaterThanOrEqual" allowBlank="1" showInputMessage="1" showErrorMessage="1" errorTitle="ERROR" error="Valor en HECTAREAS (sin decimales)" sqref="L41:L45 E17:E19 E21 F35:F42 I26:I30 E25:H29">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2" r:id="rId1"/>
  </hyperlinks>
  <pageMargins left="0.25" right="0.25" top="0.75" bottom="0.75" header="0.3" footer="0.3"/>
  <pageSetup paperSize="178"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U297"/>
  <sheetViews>
    <sheetView showGridLines="0" topLeftCell="A4" zoomScale="98" zoomScaleNormal="98"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449</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1188</v>
      </c>
      <c r="C8" s="222">
        <v>2021</v>
      </c>
      <c r="D8" s="226">
        <f>IF(E10="NO APLICA","NO APLICA",IF(E11="NO SE REPORTA","SIN INFORMACION",+G20))</f>
        <v>0.66666666666666663</v>
      </c>
      <c r="E8" s="223"/>
      <c r="F8" s="6" t="s">
        <v>130</v>
      </c>
      <c r="G8" s="6"/>
      <c r="H8" s="6"/>
      <c r="I8" s="6"/>
      <c r="J8" s="6"/>
      <c r="K8" s="6"/>
    </row>
    <row r="9" spans="1:21" x14ac:dyDescent="0.25">
      <c r="B9" s="497" t="s">
        <v>1189</v>
      </c>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Gestión'!A67</f>
        <v>Proyecto No 3.1. Ecosistemas estratégicos continentales.</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6"/>
      <c r="J14" s="6"/>
      <c r="K14" s="6"/>
    </row>
    <row r="15" spans="1:21" ht="15.6" customHeight="1" thickTop="1" thickBot="1" x14ac:dyDescent="0.3">
      <c r="B15" s="1866" t="s">
        <v>2</v>
      </c>
      <c r="C15" s="89"/>
      <c r="D15" s="1825" t="s">
        <v>336</v>
      </c>
      <c r="E15" s="1826"/>
      <c r="F15" s="1826"/>
      <c r="G15" s="1826"/>
      <c r="H15" s="1826"/>
      <c r="I15" s="1826"/>
      <c r="J15" s="1826"/>
      <c r="K15" s="1826"/>
      <c r="L15" s="1876"/>
    </row>
    <row r="16" spans="1:21" ht="36.75" thickBot="1" x14ac:dyDescent="0.3">
      <c r="B16" s="1867"/>
      <c r="C16" s="94"/>
      <c r="D16" s="43" t="s">
        <v>463</v>
      </c>
      <c r="E16" s="43" t="s">
        <v>464</v>
      </c>
      <c r="F16" s="43" t="s">
        <v>465</v>
      </c>
      <c r="G16" s="43" t="s">
        <v>466</v>
      </c>
      <c r="H16" s="6"/>
      <c r="I16" s="6"/>
      <c r="J16" s="6"/>
      <c r="K16" s="6"/>
      <c r="L16" s="14"/>
    </row>
    <row r="17" spans="2:12" ht="36.75" thickBot="1" x14ac:dyDescent="0.3">
      <c r="B17" s="1867"/>
      <c r="C17" s="94"/>
      <c r="D17" s="41" t="s">
        <v>467</v>
      </c>
      <c r="E17" s="999">
        <v>6</v>
      </c>
      <c r="F17" s="217"/>
      <c r="G17" s="151">
        <f>+E17+F17</f>
        <v>6</v>
      </c>
      <c r="H17" s="6"/>
      <c r="I17" s="6"/>
      <c r="J17" s="6"/>
      <c r="K17" s="6"/>
      <c r="L17" s="14"/>
    </row>
    <row r="18" spans="2:12" ht="24.75" thickBot="1" x14ac:dyDescent="0.3">
      <c r="B18" s="1867"/>
      <c r="C18" s="94"/>
      <c r="D18" s="41" t="s">
        <v>468</v>
      </c>
      <c r="E18" s="999">
        <v>6</v>
      </c>
      <c r="F18" s="217"/>
      <c r="G18" s="151">
        <f>+E18+F18</f>
        <v>6</v>
      </c>
      <c r="H18" s="6"/>
      <c r="I18" s="6"/>
      <c r="J18" s="6"/>
      <c r="K18" s="6"/>
      <c r="L18" s="14"/>
    </row>
    <row r="19" spans="2:12" ht="24.75" thickBot="1" x14ac:dyDescent="0.3">
      <c r="B19" s="1867"/>
      <c r="C19" s="94"/>
      <c r="D19" s="41" t="s">
        <v>469</v>
      </c>
      <c r="E19" s="999">
        <v>4</v>
      </c>
      <c r="F19" s="217"/>
      <c r="G19" s="151">
        <f>+E19+F19</f>
        <v>4</v>
      </c>
      <c r="H19" s="6"/>
      <c r="I19" s="6"/>
      <c r="J19" s="6"/>
      <c r="K19" s="6"/>
      <c r="L19" s="14"/>
    </row>
    <row r="20" spans="2:12" ht="24.75" thickBot="1" x14ac:dyDescent="0.3">
      <c r="B20" s="1867"/>
      <c r="C20" s="94"/>
      <c r="D20" s="41" t="s">
        <v>449</v>
      </c>
      <c r="E20" s="196">
        <f>IFERROR(E19/E18,"N.A.")</f>
        <v>0.66666666666666663</v>
      </c>
      <c r="F20" s="196" t="str">
        <f>IFERROR(F19/F18,"N.A.")</f>
        <v>N.A.</v>
      </c>
      <c r="G20" s="144">
        <f>IFERROR(G19/G18,0)</f>
        <v>0.66666666666666663</v>
      </c>
      <c r="H20" s="6"/>
      <c r="I20" s="6"/>
      <c r="J20" s="6"/>
      <c r="K20" s="6"/>
      <c r="L20" s="14"/>
    </row>
    <row r="21" spans="2:12" x14ac:dyDescent="0.25">
      <c r="B21" s="1867"/>
      <c r="C21" s="92"/>
      <c r="D21" s="1828"/>
      <c r="E21" s="1829"/>
      <c r="F21" s="1829"/>
      <c r="G21" s="1829"/>
      <c r="H21" s="1829"/>
      <c r="I21" s="1829"/>
      <c r="J21" s="1829"/>
      <c r="K21" s="1829"/>
      <c r="L21" s="1861"/>
    </row>
    <row r="22" spans="2:12" x14ac:dyDescent="0.25">
      <c r="B22" s="1867"/>
      <c r="C22" s="92"/>
      <c r="D22" s="1810" t="s">
        <v>246</v>
      </c>
      <c r="E22" s="1811"/>
      <c r="F22" s="1811"/>
      <c r="G22" s="1811"/>
      <c r="H22" s="1811"/>
      <c r="I22" s="1811"/>
      <c r="J22" s="1811"/>
      <c r="K22" s="1811"/>
      <c r="L22" s="1862"/>
    </row>
    <row r="23" spans="2:12" x14ac:dyDescent="0.25">
      <c r="B23" s="1867"/>
      <c r="C23" s="92"/>
      <c r="D23" s="1810" t="s">
        <v>470</v>
      </c>
      <c r="E23" s="1811"/>
      <c r="F23" s="1811"/>
      <c r="G23" s="1811"/>
      <c r="H23" s="1811"/>
      <c r="I23" s="1811"/>
      <c r="J23" s="1811"/>
      <c r="K23" s="1811"/>
      <c r="L23" s="1862"/>
    </row>
    <row r="24" spans="2:12" ht="15.75" thickBot="1" x14ac:dyDescent="0.3">
      <c r="B24" s="1867"/>
      <c r="C24" s="92"/>
      <c r="D24" s="1856" t="s">
        <v>340</v>
      </c>
      <c r="E24" s="1857"/>
      <c r="F24" s="1857"/>
      <c r="G24" s="1857"/>
      <c r="H24" s="1857"/>
      <c r="I24" s="1857"/>
      <c r="J24" s="1857"/>
      <c r="K24" s="1857"/>
      <c r="L24" s="1863"/>
    </row>
    <row r="25" spans="2:12" ht="15.6" customHeight="1" x14ac:dyDescent="0.25">
      <c r="B25" s="436"/>
      <c r="C25" s="1874" t="s">
        <v>19</v>
      </c>
      <c r="D25" s="1864" t="s">
        <v>270</v>
      </c>
      <c r="E25" s="1864" t="s">
        <v>471</v>
      </c>
      <c r="F25" s="1864" t="s">
        <v>382</v>
      </c>
      <c r="G25" s="1864" t="s">
        <v>472</v>
      </c>
      <c r="H25" s="73" t="s">
        <v>473</v>
      </c>
      <c r="I25" s="73" t="s">
        <v>475</v>
      </c>
      <c r="J25" s="1864" t="s">
        <v>274</v>
      </c>
      <c r="K25" s="1864" t="s">
        <v>275</v>
      </c>
      <c r="L25" s="1864" t="s">
        <v>55</v>
      </c>
    </row>
    <row r="26" spans="2:12" ht="15.75" thickBot="1" x14ac:dyDescent="0.3">
      <c r="B26" s="436"/>
      <c r="C26" s="1875"/>
      <c r="D26" s="1865"/>
      <c r="E26" s="1865"/>
      <c r="F26" s="1865"/>
      <c r="G26" s="1865"/>
      <c r="H26" s="65" t="s">
        <v>474</v>
      </c>
      <c r="I26" s="65" t="s">
        <v>476</v>
      </c>
      <c r="J26" s="1865"/>
      <c r="K26" s="1865"/>
      <c r="L26" s="1865"/>
    </row>
    <row r="27" spans="2:12" x14ac:dyDescent="0.25">
      <c r="B27" s="436"/>
      <c r="C27" s="1285">
        <v>1</v>
      </c>
      <c r="D27" s="1286" t="s">
        <v>3396</v>
      </c>
      <c r="E27" s="1286" t="s">
        <v>3397</v>
      </c>
      <c r="F27" s="1286" t="s">
        <v>3323</v>
      </c>
      <c r="G27" s="1287" t="s">
        <v>3398</v>
      </c>
      <c r="H27" s="1288"/>
      <c r="I27" s="1288"/>
      <c r="J27" s="1288"/>
      <c r="K27" s="1288"/>
      <c r="L27" s="1289"/>
    </row>
    <row r="28" spans="2:12" s="774" customFormat="1" x14ac:dyDescent="0.25">
      <c r="B28" s="1281"/>
      <c r="C28" s="1290">
        <v>2</v>
      </c>
      <c r="D28" s="1291" t="s">
        <v>3399</v>
      </c>
      <c r="E28" s="1291" t="s">
        <v>3397</v>
      </c>
      <c r="F28" s="1291" t="s">
        <v>3323</v>
      </c>
      <c r="G28" s="1292" t="s">
        <v>3398</v>
      </c>
      <c r="H28" s="1293"/>
      <c r="I28" s="1293"/>
      <c r="J28" s="1293"/>
      <c r="K28" s="1293"/>
      <c r="L28" s="1294"/>
    </row>
    <row r="29" spans="2:12" s="774" customFormat="1" x14ac:dyDescent="0.25">
      <c r="B29" s="1281"/>
      <c r="C29" s="1290">
        <v>3</v>
      </c>
      <c r="D29" s="1291" t="s">
        <v>3400</v>
      </c>
      <c r="E29" s="1291" t="s">
        <v>3397</v>
      </c>
      <c r="F29" s="1291" t="s">
        <v>3323</v>
      </c>
      <c r="G29" s="1292" t="s">
        <v>3398</v>
      </c>
      <c r="H29" s="1295"/>
      <c r="I29" s="1295"/>
      <c r="J29" s="1295"/>
      <c r="K29" s="1295"/>
      <c r="L29" s="1294"/>
    </row>
    <row r="30" spans="2:12" s="774" customFormat="1" x14ac:dyDescent="0.25">
      <c r="B30" s="1281"/>
      <c r="C30" s="1290">
        <v>4</v>
      </c>
      <c r="D30" s="1291" t="s">
        <v>3401</v>
      </c>
      <c r="E30" s="1291" t="s">
        <v>3397</v>
      </c>
      <c r="F30" s="1291" t="s">
        <v>3323</v>
      </c>
      <c r="G30" s="1292" t="s">
        <v>3398</v>
      </c>
      <c r="H30" s="1293"/>
      <c r="I30" s="1293"/>
      <c r="J30" s="1293"/>
      <c r="K30" s="1293"/>
      <c r="L30" s="1294"/>
    </row>
    <row r="31" spans="2:12" s="774" customFormat="1" x14ac:dyDescent="0.25">
      <c r="B31" s="1281"/>
      <c r="C31" s="1290">
        <v>5</v>
      </c>
      <c r="D31" s="1291" t="s">
        <v>3402</v>
      </c>
      <c r="E31" s="1291" t="s">
        <v>3397</v>
      </c>
      <c r="F31" s="1291" t="s">
        <v>3323</v>
      </c>
      <c r="G31" s="1292" t="s">
        <v>3398</v>
      </c>
      <c r="H31" s="1293"/>
      <c r="I31" s="1293"/>
      <c r="J31" s="1293"/>
      <c r="K31" s="1293"/>
      <c r="L31" s="1294"/>
    </row>
    <row r="32" spans="2:12" s="774" customFormat="1" x14ac:dyDescent="0.25">
      <c r="B32" s="1281"/>
      <c r="C32" s="1290">
        <v>6</v>
      </c>
      <c r="D32" s="1291" t="s">
        <v>3403</v>
      </c>
      <c r="E32" s="1291" t="s">
        <v>3397</v>
      </c>
      <c r="F32" s="1291" t="s">
        <v>3323</v>
      </c>
      <c r="G32" s="1292" t="s">
        <v>3398</v>
      </c>
      <c r="H32" s="1293">
        <v>384223714</v>
      </c>
      <c r="I32" s="1293">
        <v>384223714</v>
      </c>
      <c r="J32" s="1293">
        <v>236907573</v>
      </c>
      <c r="K32" s="1293">
        <v>87189453</v>
      </c>
      <c r="L32" s="1294" t="s">
        <v>3404</v>
      </c>
    </row>
    <row r="33" spans="2:12" s="774" customFormat="1" ht="24" x14ac:dyDescent="0.25">
      <c r="B33" s="1281"/>
      <c r="C33" s="1290">
        <v>7</v>
      </c>
      <c r="D33" s="1296" t="s">
        <v>3405</v>
      </c>
      <c r="E33" s="1291" t="s">
        <v>3397</v>
      </c>
      <c r="F33" s="1291" t="s">
        <v>3323</v>
      </c>
      <c r="G33" s="1292" t="s">
        <v>3398</v>
      </c>
      <c r="H33" s="1293"/>
      <c r="I33" s="1293"/>
      <c r="J33" s="1293"/>
      <c r="K33" s="1293"/>
      <c r="L33" s="1294"/>
    </row>
    <row r="34" spans="2:12" s="774" customFormat="1" x14ac:dyDescent="0.25">
      <c r="B34" s="1281"/>
      <c r="C34" s="1290">
        <v>8</v>
      </c>
      <c r="D34" s="1291" t="s">
        <v>3406</v>
      </c>
      <c r="E34" s="1291" t="s">
        <v>3397</v>
      </c>
      <c r="F34" s="1291" t="s">
        <v>3323</v>
      </c>
      <c r="G34" s="1292" t="s">
        <v>3398</v>
      </c>
      <c r="H34" s="1293"/>
      <c r="I34" s="1293"/>
      <c r="J34" s="1293"/>
      <c r="K34" s="1293"/>
      <c r="L34" s="1294"/>
    </row>
    <row r="35" spans="2:12" s="774" customFormat="1" ht="24" x14ac:dyDescent="0.25">
      <c r="B35" s="1281"/>
      <c r="C35" s="1290">
        <v>9</v>
      </c>
      <c r="D35" s="1296" t="s">
        <v>3407</v>
      </c>
      <c r="E35" s="1291" t="s">
        <v>3397</v>
      </c>
      <c r="F35" s="1291" t="s">
        <v>3323</v>
      </c>
      <c r="G35" s="1292" t="s">
        <v>3398</v>
      </c>
      <c r="H35" s="1293"/>
      <c r="I35" s="1293"/>
      <c r="J35" s="1293"/>
      <c r="K35" s="1293"/>
      <c r="L35" s="1294"/>
    </row>
    <row r="36" spans="2:12" s="774" customFormat="1" ht="24" x14ac:dyDescent="0.25">
      <c r="B36" s="1281"/>
      <c r="C36" s="1290">
        <v>10</v>
      </c>
      <c r="D36" s="1297" t="s">
        <v>3408</v>
      </c>
      <c r="E36" s="1291" t="s">
        <v>3397</v>
      </c>
      <c r="F36" s="1291" t="s">
        <v>3323</v>
      </c>
      <c r="G36" s="1292" t="s">
        <v>3398</v>
      </c>
      <c r="H36" s="1293"/>
      <c r="I36" s="1293"/>
      <c r="J36" s="1293"/>
      <c r="K36" s="1293"/>
      <c r="L36" s="1294"/>
    </row>
    <row r="37" spans="2:12" s="774" customFormat="1" ht="48" x14ac:dyDescent="0.25">
      <c r="B37" s="1281"/>
      <c r="C37" s="1290">
        <v>11</v>
      </c>
      <c r="D37" s="1297" t="s">
        <v>3409</v>
      </c>
      <c r="E37" s="1291" t="s">
        <v>3397</v>
      </c>
      <c r="F37" s="1291" t="s">
        <v>3323</v>
      </c>
      <c r="G37" s="1292" t="s">
        <v>3398</v>
      </c>
      <c r="H37" s="1293"/>
      <c r="I37" s="1293"/>
      <c r="J37" s="1293"/>
      <c r="K37" s="1293"/>
      <c r="L37" s="1294"/>
    </row>
    <row r="38" spans="2:12" s="774" customFormat="1" x14ac:dyDescent="0.25">
      <c r="B38" s="1281"/>
      <c r="C38" s="1298">
        <v>1</v>
      </c>
      <c r="D38" s="1299" t="s">
        <v>3410</v>
      </c>
      <c r="E38" s="1299" t="s">
        <v>3411</v>
      </c>
      <c r="F38" s="1299" t="s">
        <v>3323</v>
      </c>
      <c r="G38" s="1300" t="s">
        <v>3412</v>
      </c>
      <c r="H38" s="1301"/>
      <c r="I38" s="1301"/>
      <c r="J38" s="1301"/>
      <c r="K38" s="1301"/>
      <c r="L38" s="1302"/>
    </row>
    <row r="39" spans="2:12" s="774" customFormat="1" x14ac:dyDescent="0.25">
      <c r="B39" s="1281"/>
      <c r="C39" s="1298">
        <v>2</v>
      </c>
      <c r="D39" s="1299" t="s">
        <v>3413</v>
      </c>
      <c r="E39" s="1299" t="s">
        <v>3411</v>
      </c>
      <c r="F39" s="1299" t="s">
        <v>3323</v>
      </c>
      <c r="G39" s="1300" t="s">
        <v>3412</v>
      </c>
      <c r="H39" s="1303"/>
      <c r="I39" s="1303"/>
      <c r="J39" s="1303"/>
      <c r="K39" s="1303"/>
      <c r="L39" s="1302"/>
    </row>
    <row r="40" spans="2:12" s="774" customFormat="1" x14ac:dyDescent="0.25">
      <c r="B40" s="1281"/>
      <c r="C40" s="1304">
        <v>3</v>
      </c>
      <c r="D40" s="1305" t="s">
        <v>3414</v>
      </c>
      <c r="E40" s="1305" t="s">
        <v>3411</v>
      </c>
      <c r="F40" s="1305" t="s">
        <v>3323</v>
      </c>
      <c r="G40" s="1300" t="s">
        <v>3412</v>
      </c>
      <c r="H40" s="1303"/>
      <c r="I40" s="1303"/>
      <c r="J40" s="1303"/>
      <c r="K40" s="1303"/>
      <c r="L40" s="1302"/>
    </row>
    <row r="41" spans="2:12" s="774" customFormat="1" ht="36" x14ac:dyDescent="0.25">
      <c r="B41" s="1281"/>
      <c r="C41" s="1298">
        <v>4</v>
      </c>
      <c r="D41" s="1306" t="s">
        <v>3415</v>
      </c>
      <c r="E41" s="1299" t="s">
        <v>3411</v>
      </c>
      <c r="F41" s="1299" t="s">
        <v>3323</v>
      </c>
      <c r="G41" s="1300" t="s">
        <v>3412</v>
      </c>
      <c r="H41" s="1301"/>
      <c r="I41" s="1301"/>
      <c r="J41" s="1301"/>
      <c r="K41" s="1301"/>
      <c r="L41" s="1302"/>
    </row>
    <row r="42" spans="2:12" s="774" customFormat="1" ht="36" x14ac:dyDescent="0.25">
      <c r="B42" s="1281"/>
      <c r="C42" s="1298">
        <v>5</v>
      </c>
      <c r="D42" s="1306" t="s">
        <v>3416</v>
      </c>
      <c r="E42" s="1299" t="s">
        <v>3411</v>
      </c>
      <c r="F42" s="1299" t="s">
        <v>3323</v>
      </c>
      <c r="G42" s="1300" t="s">
        <v>3412</v>
      </c>
      <c r="H42" s="1301"/>
      <c r="I42" s="1301"/>
      <c r="J42" s="1301"/>
      <c r="K42" s="1301"/>
      <c r="L42" s="1302"/>
    </row>
    <row r="43" spans="2:12" s="774" customFormat="1" ht="36" x14ac:dyDescent="0.25">
      <c r="B43" s="1281"/>
      <c r="C43" s="1298">
        <v>6</v>
      </c>
      <c r="D43" s="1306" t="s">
        <v>3417</v>
      </c>
      <c r="E43" s="1299" t="s">
        <v>3411</v>
      </c>
      <c r="F43" s="1299" t="s">
        <v>3323</v>
      </c>
      <c r="G43" s="1300" t="s">
        <v>3412</v>
      </c>
      <c r="H43" s="1301"/>
      <c r="I43" s="1301"/>
      <c r="J43" s="1301"/>
      <c r="K43" s="1301"/>
      <c r="L43" s="1302" t="s">
        <v>3404</v>
      </c>
    </row>
    <row r="44" spans="2:12" s="774" customFormat="1" x14ac:dyDescent="0.25">
      <c r="B44" s="1281"/>
      <c r="C44" s="1298">
        <v>7</v>
      </c>
      <c r="D44" s="1299" t="s">
        <v>3170</v>
      </c>
      <c r="E44" s="1299" t="s">
        <v>3411</v>
      </c>
      <c r="F44" s="1299" t="s">
        <v>3323</v>
      </c>
      <c r="G44" s="1300" t="s">
        <v>3412</v>
      </c>
      <c r="H44" s="1301"/>
      <c r="I44" s="1301"/>
      <c r="J44" s="1301"/>
      <c r="K44" s="1301"/>
      <c r="L44" s="1302"/>
    </row>
    <row r="45" spans="2:12" s="774" customFormat="1" x14ac:dyDescent="0.25">
      <c r="B45" s="1281"/>
      <c r="C45" s="1298">
        <v>8</v>
      </c>
      <c r="D45" s="1299" t="s">
        <v>3418</v>
      </c>
      <c r="E45" s="1299" t="s">
        <v>3411</v>
      </c>
      <c r="F45" s="1299" t="s">
        <v>3323</v>
      </c>
      <c r="G45" s="1300" t="s">
        <v>3412</v>
      </c>
      <c r="H45" s="1301"/>
      <c r="I45" s="1301"/>
      <c r="J45" s="1301"/>
      <c r="K45" s="1301"/>
      <c r="L45" s="1302"/>
    </row>
    <row r="46" spans="2:12" s="774" customFormat="1" x14ac:dyDescent="0.25">
      <c r="B46" s="1281"/>
      <c r="C46" s="1298">
        <v>9</v>
      </c>
      <c r="D46" s="1299" t="s">
        <v>3419</v>
      </c>
      <c r="E46" s="1299" t="s">
        <v>3411</v>
      </c>
      <c r="F46" s="1299" t="s">
        <v>3323</v>
      </c>
      <c r="G46" s="1300" t="s">
        <v>3412</v>
      </c>
      <c r="H46" s="1301"/>
      <c r="I46" s="1301"/>
      <c r="J46" s="1301"/>
      <c r="K46" s="1301"/>
      <c r="L46" s="1302"/>
    </row>
    <row r="47" spans="2:12" s="774" customFormat="1" ht="24" x14ac:dyDescent="0.25">
      <c r="B47" s="1281"/>
      <c r="C47" s="1298">
        <v>10</v>
      </c>
      <c r="D47" s="1306" t="s">
        <v>3420</v>
      </c>
      <c r="E47" s="1299" t="s">
        <v>3411</v>
      </c>
      <c r="F47" s="1299" t="s">
        <v>3323</v>
      </c>
      <c r="G47" s="1300" t="s">
        <v>3412</v>
      </c>
      <c r="H47" s="1301"/>
      <c r="I47" s="1301"/>
      <c r="J47" s="1301"/>
      <c r="K47" s="1301"/>
      <c r="L47" s="1302"/>
    </row>
    <row r="48" spans="2:12" s="774" customFormat="1" x14ac:dyDescent="0.25">
      <c r="B48" s="1281"/>
      <c r="C48" s="1298">
        <v>11</v>
      </c>
      <c r="D48" s="1306" t="s">
        <v>3421</v>
      </c>
      <c r="E48" s="1299" t="s">
        <v>3411</v>
      </c>
      <c r="F48" s="1299" t="s">
        <v>3323</v>
      </c>
      <c r="G48" s="1300" t="s">
        <v>3412</v>
      </c>
      <c r="H48" s="1301"/>
      <c r="I48" s="1301"/>
      <c r="J48" s="1301"/>
      <c r="K48" s="1301"/>
      <c r="L48" s="1302"/>
    </row>
    <row r="49" spans="2:12" s="774" customFormat="1" x14ac:dyDescent="0.25">
      <c r="B49" s="1281"/>
      <c r="C49" s="1298">
        <v>12</v>
      </c>
      <c r="D49" s="1306" t="s">
        <v>3422</v>
      </c>
      <c r="E49" s="1299" t="s">
        <v>3411</v>
      </c>
      <c r="F49" s="1299" t="s">
        <v>3323</v>
      </c>
      <c r="G49" s="1300" t="s">
        <v>3412</v>
      </c>
      <c r="H49" s="1301"/>
      <c r="I49" s="1301"/>
      <c r="J49" s="1301"/>
      <c r="K49" s="1301"/>
      <c r="L49" s="1302"/>
    </row>
    <row r="50" spans="2:12" s="774" customFormat="1" ht="24" x14ac:dyDescent="0.25">
      <c r="B50" s="1281"/>
      <c r="C50" s="1298">
        <v>13</v>
      </c>
      <c r="D50" s="1306" t="s">
        <v>3423</v>
      </c>
      <c r="E50" s="1299" t="s">
        <v>3411</v>
      </c>
      <c r="F50" s="1299" t="s">
        <v>3323</v>
      </c>
      <c r="G50" s="1300" t="s">
        <v>3412</v>
      </c>
      <c r="H50" s="1301"/>
      <c r="I50" s="1301"/>
      <c r="J50" s="1301"/>
      <c r="K50" s="1301"/>
      <c r="L50" s="1302"/>
    </row>
    <row r="51" spans="2:12" s="774" customFormat="1" ht="24" x14ac:dyDescent="0.25">
      <c r="B51" s="1281"/>
      <c r="C51" s="1298">
        <v>14</v>
      </c>
      <c r="D51" s="1306" t="s">
        <v>3424</v>
      </c>
      <c r="E51" s="1299" t="s">
        <v>3411</v>
      </c>
      <c r="F51" s="1299" t="s">
        <v>3323</v>
      </c>
      <c r="G51" s="1300" t="s">
        <v>3412</v>
      </c>
      <c r="H51" s="1301"/>
      <c r="I51" s="1301"/>
      <c r="J51" s="1301"/>
      <c r="K51" s="1301"/>
      <c r="L51" s="1302"/>
    </row>
    <row r="52" spans="2:12" s="774" customFormat="1" ht="48" x14ac:dyDescent="0.25">
      <c r="B52" s="1281"/>
      <c r="C52" s="1298">
        <v>15</v>
      </c>
      <c r="D52" s="1306" t="s">
        <v>3425</v>
      </c>
      <c r="E52" s="1299" t="s">
        <v>3411</v>
      </c>
      <c r="F52" s="1299" t="s">
        <v>3323</v>
      </c>
      <c r="G52" s="1300" t="s">
        <v>3412</v>
      </c>
      <c r="H52" s="1301"/>
      <c r="I52" s="1301"/>
      <c r="J52" s="1301"/>
      <c r="K52" s="1301"/>
      <c r="L52" s="1302"/>
    </row>
    <row r="53" spans="2:12" s="774" customFormat="1" ht="24" x14ac:dyDescent="0.25">
      <c r="B53" s="1281"/>
      <c r="C53" s="1298">
        <v>16</v>
      </c>
      <c r="D53" s="1306" t="s">
        <v>3426</v>
      </c>
      <c r="E53" s="1299" t="s">
        <v>3411</v>
      </c>
      <c r="F53" s="1299" t="s">
        <v>3323</v>
      </c>
      <c r="G53" s="1300" t="s">
        <v>3412</v>
      </c>
      <c r="H53" s="1301"/>
      <c r="I53" s="1301"/>
      <c r="J53" s="1301"/>
      <c r="K53" s="1301"/>
      <c r="L53" s="1302"/>
    </row>
    <row r="54" spans="2:12" s="774" customFormat="1" ht="24" x14ac:dyDescent="0.25">
      <c r="B54" s="1281"/>
      <c r="C54" s="1298">
        <v>17</v>
      </c>
      <c r="D54" s="1306" t="s">
        <v>3427</v>
      </c>
      <c r="E54" s="1299" t="s">
        <v>3411</v>
      </c>
      <c r="F54" s="1299" t="s">
        <v>3323</v>
      </c>
      <c r="G54" s="1300" t="s">
        <v>3412</v>
      </c>
      <c r="H54" s="1301"/>
      <c r="I54" s="1301"/>
      <c r="J54" s="1301"/>
      <c r="K54" s="1301"/>
      <c r="L54" s="1302"/>
    </row>
    <row r="55" spans="2:12" s="774" customFormat="1" x14ac:dyDescent="0.25">
      <c r="B55" s="1281"/>
      <c r="C55" s="1298">
        <v>18</v>
      </c>
      <c r="D55" s="1306" t="s">
        <v>3428</v>
      </c>
      <c r="E55" s="1299" t="s">
        <v>3411</v>
      </c>
      <c r="F55" s="1299" t="s">
        <v>3323</v>
      </c>
      <c r="G55" s="1300" t="s">
        <v>3412</v>
      </c>
      <c r="H55" s="1301"/>
      <c r="I55" s="1301"/>
      <c r="J55" s="1301"/>
      <c r="K55" s="1301"/>
      <c r="L55" s="1302"/>
    </row>
    <row r="56" spans="2:12" s="774" customFormat="1" x14ac:dyDescent="0.25">
      <c r="B56" s="1281"/>
      <c r="C56" s="1298">
        <v>19</v>
      </c>
      <c r="D56" s="1306" t="s">
        <v>3429</v>
      </c>
      <c r="E56" s="1299" t="s">
        <v>3411</v>
      </c>
      <c r="F56" s="1299" t="s">
        <v>3323</v>
      </c>
      <c r="G56" s="1300" t="s">
        <v>3412</v>
      </c>
      <c r="H56" s="1301"/>
      <c r="I56" s="1301"/>
      <c r="J56" s="1301"/>
      <c r="K56" s="1301"/>
      <c r="L56" s="1302"/>
    </row>
    <row r="57" spans="2:12" s="774" customFormat="1" x14ac:dyDescent="0.25">
      <c r="B57" s="1281"/>
      <c r="C57" s="1307">
        <v>1</v>
      </c>
      <c r="D57" s="1308" t="s">
        <v>3430</v>
      </c>
      <c r="E57" s="1309" t="s">
        <v>3431</v>
      </c>
      <c r="F57" s="1309" t="s">
        <v>3323</v>
      </c>
      <c r="G57" s="1309" t="s">
        <v>3318</v>
      </c>
      <c r="H57" s="1310"/>
      <c r="I57" s="1310"/>
      <c r="J57" s="1310"/>
      <c r="K57" s="1310"/>
      <c r="L57" s="1311"/>
    </row>
    <row r="58" spans="2:12" s="774" customFormat="1" x14ac:dyDescent="0.25">
      <c r="B58" s="1281"/>
      <c r="C58" s="1307">
        <v>2</v>
      </c>
      <c r="D58" s="1308" t="s">
        <v>3432</v>
      </c>
      <c r="E58" s="1309" t="s">
        <v>3431</v>
      </c>
      <c r="F58" s="1309" t="s">
        <v>3323</v>
      </c>
      <c r="G58" s="1309" t="s">
        <v>3318</v>
      </c>
      <c r="H58" s="1312"/>
      <c r="I58" s="1312"/>
      <c r="J58" s="1312"/>
      <c r="K58" s="1312"/>
      <c r="L58" s="1311"/>
    </row>
    <row r="59" spans="2:12" s="774" customFormat="1" x14ac:dyDescent="0.25">
      <c r="B59" s="1281"/>
      <c r="C59" s="1307">
        <v>3</v>
      </c>
      <c r="D59" s="1308" t="s">
        <v>3433</v>
      </c>
      <c r="E59" s="1309" t="s">
        <v>3431</v>
      </c>
      <c r="F59" s="1309" t="s">
        <v>3323</v>
      </c>
      <c r="G59" s="1309" t="s">
        <v>3318</v>
      </c>
      <c r="H59" s="1312"/>
      <c r="I59" s="1312"/>
      <c r="J59" s="1312"/>
      <c r="K59" s="1312"/>
      <c r="L59" s="1311"/>
    </row>
    <row r="60" spans="2:12" s="774" customFormat="1" x14ac:dyDescent="0.25">
      <c r="B60" s="1281"/>
      <c r="C60" s="1307">
        <v>4</v>
      </c>
      <c r="D60" s="1308" t="s">
        <v>3434</v>
      </c>
      <c r="E60" s="1309" t="s">
        <v>3431</v>
      </c>
      <c r="F60" s="1309" t="s">
        <v>3323</v>
      </c>
      <c r="G60" s="1309" t="s">
        <v>3318</v>
      </c>
      <c r="H60" s="1312"/>
      <c r="I60" s="1312"/>
      <c r="J60" s="1312"/>
      <c r="K60" s="1312"/>
      <c r="L60" s="1311"/>
    </row>
    <row r="61" spans="2:12" s="774" customFormat="1" ht="24" x14ac:dyDescent="0.25">
      <c r="B61" s="1281"/>
      <c r="C61" s="1307">
        <v>5</v>
      </c>
      <c r="D61" s="1313" t="s">
        <v>3435</v>
      </c>
      <c r="E61" s="1309" t="s">
        <v>3431</v>
      </c>
      <c r="F61" s="1309" t="s">
        <v>3323</v>
      </c>
      <c r="G61" s="1309" t="s">
        <v>3318</v>
      </c>
      <c r="H61" s="1312"/>
      <c r="I61" s="1312"/>
      <c r="J61" s="1312"/>
      <c r="K61" s="1312"/>
      <c r="L61" s="1311"/>
    </row>
    <row r="62" spans="2:12" s="774" customFormat="1" ht="24" x14ac:dyDescent="0.25">
      <c r="B62" s="1281"/>
      <c r="C62" s="1307">
        <v>6</v>
      </c>
      <c r="D62" s="1313" t="s">
        <v>3436</v>
      </c>
      <c r="E62" s="1309" t="s">
        <v>3431</v>
      </c>
      <c r="F62" s="1309" t="s">
        <v>3323</v>
      </c>
      <c r="G62" s="1309" t="s">
        <v>3318</v>
      </c>
      <c r="H62" s="1312"/>
      <c r="I62" s="1312"/>
      <c r="J62" s="1312"/>
      <c r="K62" s="1312"/>
      <c r="L62" s="1311"/>
    </row>
    <row r="63" spans="2:12" s="774" customFormat="1" x14ac:dyDescent="0.25">
      <c r="B63" s="1281"/>
      <c r="C63" s="1307">
        <v>7</v>
      </c>
      <c r="D63" s="1308" t="s">
        <v>3437</v>
      </c>
      <c r="E63" s="1309" t="s">
        <v>3431</v>
      </c>
      <c r="F63" s="1309" t="s">
        <v>3323</v>
      </c>
      <c r="G63" s="1309" t="s">
        <v>3318</v>
      </c>
      <c r="H63" s="1312"/>
      <c r="I63" s="1312"/>
      <c r="J63" s="1312"/>
      <c r="K63" s="1312"/>
      <c r="L63" s="1311"/>
    </row>
    <row r="64" spans="2:12" s="774" customFormat="1" x14ac:dyDescent="0.25">
      <c r="B64" s="1281"/>
      <c r="C64" s="1307">
        <v>8</v>
      </c>
      <c r="D64" s="1308" t="s">
        <v>3438</v>
      </c>
      <c r="E64" s="1309" t="s">
        <v>3431</v>
      </c>
      <c r="F64" s="1309" t="s">
        <v>3323</v>
      </c>
      <c r="G64" s="1309" t="s">
        <v>3318</v>
      </c>
      <c r="H64" s="1312"/>
      <c r="I64" s="1312"/>
      <c r="J64" s="1312"/>
      <c r="K64" s="1312"/>
      <c r="L64" s="1311"/>
    </row>
    <row r="65" spans="2:12" s="774" customFormat="1" ht="24" x14ac:dyDescent="0.25">
      <c r="B65" s="1281"/>
      <c r="C65" s="1307">
        <v>9</v>
      </c>
      <c r="D65" s="1313" t="s">
        <v>3439</v>
      </c>
      <c r="E65" s="1309" t="s">
        <v>3431</v>
      </c>
      <c r="F65" s="1309" t="s">
        <v>3323</v>
      </c>
      <c r="G65" s="1309" t="s">
        <v>3318</v>
      </c>
      <c r="H65" s="1312"/>
      <c r="I65" s="1312"/>
      <c r="J65" s="1312"/>
      <c r="K65" s="1312"/>
      <c r="L65" s="1311"/>
    </row>
    <row r="66" spans="2:12" s="774" customFormat="1" ht="24" x14ac:dyDescent="0.25">
      <c r="B66" s="1281"/>
      <c r="C66" s="1307">
        <v>10</v>
      </c>
      <c r="D66" s="1313" t="s">
        <v>3440</v>
      </c>
      <c r="E66" s="1309" t="s">
        <v>3431</v>
      </c>
      <c r="F66" s="1309" t="s">
        <v>3323</v>
      </c>
      <c r="G66" s="1309" t="s">
        <v>3318</v>
      </c>
      <c r="H66" s="1312"/>
      <c r="I66" s="1312"/>
      <c r="J66" s="1312"/>
      <c r="K66" s="1312"/>
      <c r="L66" s="1311"/>
    </row>
    <row r="67" spans="2:12" s="774" customFormat="1" x14ac:dyDescent="0.25">
      <c r="B67" s="1281"/>
      <c r="C67" s="1307">
        <v>11</v>
      </c>
      <c r="D67" s="1308" t="s">
        <v>3441</v>
      </c>
      <c r="E67" s="1309" t="s">
        <v>3431</v>
      </c>
      <c r="F67" s="1309" t="s">
        <v>3323</v>
      </c>
      <c r="G67" s="1309" t="s">
        <v>3318</v>
      </c>
      <c r="H67" s="1312"/>
      <c r="I67" s="1312"/>
      <c r="J67" s="1312"/>
      <c r="K67" s="1312"/>
      <c r="L67" s="1311"/>
    </row>
    <row r="68" spans="2:12" s="774" customFormat="1" x14ac:dyDescent="0.25">
      <c r="B68" s="1281"/>
      <c r="C68" s="1307">
        <v>12</v>
      </c>
      <c r="D68" s="1308" t="s">
        <v>3442</v>
      </c>
      <c r="E68" s="1309" t="s">
        <v>3431</v>
      </c>
      <c r="F68" s="1309" t="s">
        <v>3323</v>
      </c>
      <c r="G68" s="1309" t="s">
        <v>3318</v>
      </c>
      <c r="H68" s="1312"/>
      <c r="I68" s="1312"/>
      <c r="J68" s="1312"/>
      <c r="K68" s="1312"/>
      <c r="L68" s="1311"/>
    </row>
    <row r="69" spans="2:12" s="774" customFormat="1" ht="24" x14ac:dyDescent="0.25">
      <c r="B69" s="1281"/>
      <c r="C69" s="1307">
        <v>13</v>
      </c>
      <c r="D69" s="1314" t="s">
        <v>3443</v>
      </c>
      <c r="E69" s="1309" t="s">
        <v>3431</v>
      </c>
      <c r="F69" s="1309" t="s">
        <v>3323</v>
      </c>
      <c r="G69" s="1309" t="s">
        <v>3318</v>
      </c>
      <c r="H69" s="1312"/>
      <c r="I69" s="1312"/>
      <c r="J69" s="1312"/>
      <c r="K69" s="1312"/>
      <c r="L69" s="1311"/>
    </row>
    <row r="70" spans="2:12" s="774" customFormat="1" x14ac:dyDescent="0.25">
      <c r="B70" s="1281"/>
      <c r="C70" s="1307">
        <v>14</v>
      </c>
      <c r="D70" s="1308" t="s">
        <v>3444</v>
      </c>
      <c r="E70" s="1309" t="s">
        <v>3431</v>
      </c>
      <c r="F70" s="1309" t="s">
        <v>3323</v>
      </c>
      <c r="G70" s="1309" t="s">
        <v>3318</v>
      </c>
      <c r="H70" s="1312"/>
      <c r="I70" s="1312"/>
      <c r="J70" s="1312"/>
      <c r="K70" s="1312"/>
      <c r="L70" s="1311"/>
    </row>
    <row r="71" spans="2:12" s="774" customFormat="1" ht="24" x14ac:dyDescent="0.25">
      <c r="B71" s="1281"/>
      <c r="C71" s="1307">
        <v>15</v>
      </c>
      <c r="D71" s="1313" t="s">
        <v>3445</v>
      </c>
      <c r="E71" s="1309" t="s">
        <v>3431</v>
      </c>
      <c r="F71" s="1309" t="s">
        <v>3323</v>
      </c>
      <c r="G71" s="1309" t="s">
        <v>3318</v>
      </c>
      <c r="H71" s="1312"/>
      <c r="I71" s="1312"/>
      <c r="J71" s="1312"/>
      <c r="K71" s="1312"/>
      <c r="L71" s="1311"/>
    </row>
    <row r="72" spans="2:12" s="774" customFormat="1" x14ac:dyDescent="0.25">
      <c r="B72" s="1281"/>
      <c r="C72" s="1307">
        <v>16</v>
      </c>
      <c r="D72" s="1308" t="s">
        <v>3446</v>
      </c>
      <c r="E72" s="1309" t="s">
        <v>3431</v>
      </c>
      <c r="F72" s="1309" t="s">
        <v>3323</v>
      </c>
      <c r="G72" s="1309" t="s">
        <v>3318</v>
      </c>
      <c r="H72" s="1312"/>
      <c r="I72" s="1312"/>
      <c r="J72" s="1312"/>
      <c r="K72" s="1312"/>
      <c r="L72" s="1311"/>
    </row>
    <row r="73" spans="2:12" s="774" customFormat="1" ht="24" x14ac:dyDescent="0.25">
      <c r="B73" s="1281"/>
      <c r="C73" s="1307">
        <v>17</v>
      </c>
      <c r="D73" s="1313" t="s">
        <v>3447</v>
      </c>
      <c r="E73" s="1309" t="s">
        <v>3431</v>
      </c>
      <c r="F73" s="1309" t="s">
        <v>3323</v>
      </c>
      <c r="G73" s="1309" t="s">
        <v>3318</v>
      </c>
      <c r="H73" s="1312"/>
      <c r="I73" s="1312"/>
      <c r="J73" s="1312"/>
      <c r="K73" s="1312"/>
      <c r="L73" s="1311"/>
    </row>
    <row r="74" spans="2:12" s="774" customFormat="1" x14ac:dyDescent="0.25">
      <c r="B74" s="1281"/>
      <c r="C74" s="1307">
        <v>18</v>
      </c>
      <c r="D74" s="1313" t="s">
        <v>3448</v>
      </c>
      <c r="E74" s="1309" t="s">
        <v>3431</v>
      </c>
      <c r="F74" s="1309" t="s">
        <v>3323</v>
      </c>
      <c r="G74" s="1309" t="s">
        <v>3318</v>
      </c>
      <c r="H74" s="1312"/>
      <c r="I74" s="1312"/>
      <c r="J74" s="1312"/>
      <c r="K74" s="1312"/>
      <c r="L74" s="1311"/>
    </row>
    <row r="75" spans="2:12" s="774" customFormat="1" x14ac:dyDescent="0.25">
      <c r="B75" s="1281"/>
      <c r="C75" s="1307">
        <v>19</v>
      </c>
      <c r="D75" s="1313" t="s">
        <v>3449</v>
      </c>
      <c r="E75" s="1309" t="s">
        <v>3431</v>
      </c>
      <c r="F75" s="1309" t="s">
        <v>3323</v>
      </c>
      <c r="G75" s="1309" t="s">
        <v>3318</v>
      </c>
      <c r="H75" s="1312"/>
      <c r="I75" s="1312"/>
      <c r="J75" s="1312"/>
      <c r="K75" s="1312"/>
      <c r="L75" s="1311"/>
    </row>
    <row r="76" spans="2:12" s="774" customFormat="1" ht="24" x14ac:dyDescent="0.25">
      <c r="B76" s="1281"/>
      <c r="C76" s="1307">
        <v>20</v>
      </c>
      <c r="D76" s="1314" t="s">
        <v>3450</v>
      </c>
      <c r="E76" s="1309" t="s">
        <v>3431</v>
      </c>
      <c r="F76" s="1309" t="s">
        <v>3323</v>
      </c>
      <c r="G76" s="1309" t="s">
        <v>3318</v>
      </c>
      <c r="H76" s="1312"/>
      <c r="I76" s="1312"/>
      <c r="J76" s="1312"/>
      <c r="K76" s="1312"/>
      <c r="L76" s="1311"/>
    </row>
    <row r="77" spans="2:12" s="774" customFormat="1" x14ac:dyDescent="0.25">
      <c r="B77" s="1281"/>
      <c r="C77" s="1315">
        <v>1</v>
      </c>
      <c r="D77" s="1316" t="s">
        <v>3430</v>
      </c>
      <c r="E77" s="1317" t="s">
        <v>3451</v>
      </c>
      <c r="F77" s="1317" t="s">
        <v>3323</v>
      </c>
      <c r="G77" s="1317" t="s">
        <v>3318</v>
      </c>
      <c r="H77" s="1318"/>
      <c r="I77" s="1318"/>
      <c r="J77" s="1318"/>
      <c r="K77" s="1318"/>
      <c r="L77" s="1319" t="s">
        <v>3452</v>
      </c>
    </row>
    <row r="78" spans="2:12" s="774" customFormat="1" x14ac:dyDescent="0.25">
      <c r="B78" s="1281"/>
      <c r="C78" s="1315">
        <v>2</v>
      </c>
      <c r="D78" s="1316" t="s">
        <v>3453</v>
      </c>
      <c r="E78" s="1317" t="s">
        <v>3451</v>
      </c>
      <c r="F78" s="1317" t="s">
        <v>3323</v>
      </c>
      <c r="G78" s="1317" t="s">
        <v>3318</v>
      </c>
      <c r="H78" s="1318"/>
      <c r="I78" s="1318"/>
      <c r="J78" s="1318"/>
      <c r="K78" s="1318"/>
      <c r="L78" s="1319"/>
    </row>
    <row r="79" spans="2:12" s="774" customFormat="1" x14ac:dyDescent="0.25">
      <c r="B79" s="1281"/>
      <c r="C79" s="1315">
        <v>3</v>
      </c>
      <c r="D79" s="1316" t="s">
        <v>3399</v>
      </c>
      <c r="E79" s="1317" t="s">
        <v>3451</v>
      </c>
      <c r="F79" s="1317" t="s">
        <v>3323</v>
      </c>
      <c r="G79" s="1317" t="s">
        <v>3318</v>
      </c>
      <c r="H79" s="1318"/>
      <c r="I79" s="1318"/>
      <c r="J79" s="1318"/>
      <c r="K79" s="1318"/>
      <c r="L79" s="1319"/>
    </row>
    <row r="80" spans="2:12" s="774" customFormat="1" x14ac:dyDescent="0.25">
      <c r="B80" s="1281"/>
      <c r="C80" s="1315">
        <v>4</v>
      </c>
      <c r="D80" s="1316" t="s">
        <v>3454</v>
      </c>
      <c r="E80" s="1317" t="s">
        <v>3451</v>
      </c>
      <c r="F80" s="1317" t="s">
        <v>3323</v>
      </c>
      <c r="G80" s="1317" t="s">
        <v>3318</v>
      </c>
      <c r="H80" s="1318"/>
      <c r="I80" s="1318"/>
      <c r="J80" s="1318"/>
      <c r="K80" s="1318"/>
      <c r="L80" s="1319"/>
    </row>
    <row r="81" spans="2:12" s="774" customFormat="1" x14ac:dyDescent="0.25">
      <c r="B81" s="1281"/>
      <c r="C81" s="1315">
        <v>5</v>
      </c>
      <c r="D81" s="1316" t="s">
        <v>3455</v>
      </c>
      <c r="E81" s="1317" t="s">
        <v>3451</v>
      </c>
      <c r="F81" s="1317" t="s">
        <v>3323</v>
      </c>
      <c r="G81" s="1317" t="s">
        <v>3318</v>
      </c>
      <c r="H81" s="1318"/>
      <c r="I81" s="1318"/>
      <c r="J81" s="1318"/>
      <c r="K81" s="1318"/>
      <c r="L81" s="1319"/>
    </row>
    <row r="82" spans="2:12" s="774" customFormat="1" x14ac:dyDescent="0.25">
      <c r="B82" s="1281"/>
      <c r="C82" s="1315">
        <v>6</v>
      </c>
      <c r="D82" s="1316" t="s">
        <v>3170</v>
      </c>
      <c r="E82" s="1317" t="s">
        <v>3451</v>
      </c>
      <c r="F82" s="1317" t="s">
        <v>3323</v>
      </c>
      <c r="G82" s="1317" t="s">
        <v>3318</v>
      </c>
      <c r="H82" s="1318"/>
      <c r="I82" s="1318"/>
      <c r="J82" s="1318"/>
      <c r="K82" s="1318"/>
      <c r="L82" s="1319"/>
    </row>
    <row r="83" spans="2:12" s="774" customFormat="1" ht="24" x14ac:dyDescent="0.25">
      <c r="B83" s="1281"/>
      <c r="C83" s="1315">
        <v>7</v>
      </c>
      <c r="D83" s="1320" t="s">
        <v>3456</v>
      </c>
      <c r="E83" s="1317" t="s">
        <v>3451</v>
      </c>
      <c r="F83" s="1317" t="s">
        <v>3323</v>
      </c>
      <c r="G83" s="1317" t="s">
        <v>3318</v>
      </c>
      <c r="H83" s="1318"/>
      <c r="I83" s="1318"/>
      <c r="J83" s="1318"/>
      <c r="K83" s="1318"/>
      <c r="L83" s="1319"/>
    </row>
    <row r="84" spans="2:12" s="774" customFormat="1" x14ac:dyDescent="0.25">
      <c r="B84" s="1281"/>
      <c r="C84" s="1315">
        <v>8</v>
      </c>
      <c r="D84" s="1316" t="s">
        <v>3434</v>
      </c>
      <c r="E84" s="1317" t="s">
        <v>3451</v>
      </c>
      <c r="F84" s="1317" t="s">
        <v>3323</v>
      </c>
      <c r="G84" s="1317" t="s">
        <v>3318</v>
      </c>
      <c r="H84" s="1318"/>
      <c r="I84" s="1318"/>
      <c r="J84" s="1318"/>
      <c r="K84" s="1318"/>
      <c r="L84" s="1319"/>
    </row>
    <row r="85" spans="2:12" s="774" customFormat="1" ht="24" x14ac:dyDescent="0.25">
      <c r="B85" s="1281"/>
      <c r="C85" s="1315">
        <v>9</v>
      </c>
      <c r="D85" s="1321" t="s">
        <v>3457</v>
      </c>
      <c r="E85" s="1317" t="s">
        <v>3451</v>
      </c>
      <c r="F85" s="1317" t="s">
        <v>3323</v>
      </c>
      <c r="G85" s="1317" t="s">
        <v>3318</v>
      </c>
      <c r="H85" s="1318"/>
      <c r="I85" s="1318"/>
      <c r="J85" s="1318"/>
      <c r="K85" s="1318"/>
      <c r="L85" s="1319"/>
    </row>
    <row r="86" spans="2:12" s="774" customFormat="1" x14ac:dyDescent="0.25">
      <c r="B86" s="1281"/>
      <c r="C86" s="1315">
        <v>10</v>
      </c>
      <c r="D86" s="1316" t="s">
        <v>3458</v>
      </c>
      <c r="E86" s="1317" t="s">
        <v>3451</v>
      </c>
      <c r="F86" s="1317" t="s">
        <v>3323</v>
      </c>
      <c r="G86" s="1317" t="s">
        <v>3318</v>
      </c>
      <c r="H86" s="1318"/>
      <c r="I86" s="1318"/>
      <c r="J86" s="1318"/>
      <c r="K86" s="1318"/>
      <c r="L86" s="1319"/>
    </row>
    <row r="87" spans="2:12" s="774" customFormat="1" x14ac:dyDescent="0.25">
      <c r="B87" s="1281"/>
      <c r="C87" s="1315">
        <v>11</v>
      </c>
      <c r="D87" s="1316" t="s">
        <v>3459</v>
      </c>
      <c r="E87" s="1317" t="s">
        <v>3451</v>
      </c>
      <c r="F87" s="1317" t="s">
        <v>3323</v>
      </c>
      <c r="G87" s="1317" t="s">
        <v>3318</v>
      </c>
      <c r="H87" s="1318"/>
      <c r="I87" s="1318"/>
      <c r="J87" s="1318"/>
      <c r="K87" s="1318"/>
      <c r="L87" s="1319"/>
    </row>
    <row r="88" spans="2:12" s="774" customFormat="1" x14ac:dyDescent="0.25">
      <c r="B88" s="1281"/>
      <c r="C88" s="1315">
        <v>12</v>
      </c>
      <c r="D88" s="1316" t="s">
        <v>3460</v>
      </c>
      <c r="E88" s="1317" t="s">
        <v>3451</v>
      </c>
      <c r="F88" s="1317" t="s">
        <v>3323</v>
      </c>
      <c r="G88" s="1317" t="s">
        <v>3318</v>
      </c>
      <c r="H88" s="1318"/>
      <c r="I88" s="1318"/>
      <c r="J88" s="1318"/>
      <c r="K88" s="1318"/>
      <c r="L88" s="1319"/>
    </row>
    <row r="89" spans="2:12" s="774" customFormat="1" x14ac:dyDescent="0.25">
      <c r="B89" s="1281"/>
      <c r="C89" s="1315">
        <v>13</v>
      </c>
      <c r="D89" s="1316" t="s">
        <v>3461</v>
      </c>
      <c r="E89" s="1317" t="s">
        <v>3451</v>
      </c>
      <c r="F89" s="1317" t="s">
        <v>3323</v>
      </c>
      <c r="G89" s="1317" t="s">
        <v>3318</v>
      </c>
      <c r="H89" s="1318"/>
      <c r="I89" s="1318"/>
      <c r="J89" s="1318"/>
      <c r="K89" s="1318"/>
      <c r="L89" s="1319"/>
    </row>
    <row r="90" spans="2:12" s="774" customFormat="1" x14ac:dyDescent="0.25">
      <c r="B90" s="1281"/>
      <c r="C90" s="1315">
        <v>14</v>
      </c>
      <c r="D90" s="1316" t="s">
        <v>3438</v>
      </c>
      <c r="E90" s="1317" t="s">
        <v>3451</v>
      </c>
      <c r="F90" s="1317" t="s">
        <v>3323</v>
      </c>
      <c r="G90" s="1317" t="s">
        <v>3318</v>
      </c>
      <c r="H90" s="1318"/>
      <c r="I90" s="1318"/>
      <c r="J90" s="1318"/>
      <c r="K90" s="1318"/>
      <c r="L90" s="1319"/>
    </row>
    <row r="91" spans="2:12" s="774" customFormat="1" x14ac:dyDescent="0.25">
      <c r="B91" s="1281"/>
      <c r="C91" s="1315">
        <v>15</v>
      </c>
      <c r="D91" s="1316" t="s">
        <v>3462</v>
      </c>
      <c r="E91" s="1317" t="s">
        <v>3451</v>
      </c>
      <c r="F91" s="1317" t="s">
        <v>3323</v>
      </c>
      <c r="G91" s="1317" t="s">
        <v>3318</v>
      </c>
      <c r="H91" s="1318"/>
      <c r="I91" s="1318"/>
      <c r="J91" s="1318"/>
      <c r="K91" s="1318"/>
      <c r="L91" s="1319"/>
    </row>
    <row r="92" spans="2:12" s="774" customFormat="1" ht="36" x14ac:dyDescent="0.25">
      <c r="B92" s="1281"/>
      <c r="C92" s="1315">
        <v>16</v>
      </c>
      <c r="D92" s="1320" t="s">
        <v>3463</v>
      </c>
      <c r="E92" s="1317" t="s">
        <v>3451</v>
      </c>
      <c r="F92" s="1317" t="s">
        <v>3323</v>
      </c>
      <c r="G92" s="1317" t="s">
        <v>3318</v>
      </c>
      <c r="H92" s="1318"/>
      <c r="I92" s="1318"/>
      <c r="J92" s="1318"/>
      <c r="K92" s="1318"/>
      <c r="L92" s="1319"/>
    </row>
    <row r="93" spans="2:12" s="774" customFormat="1" ht="24" x14ac:dyDescent="0.25">
      <c r="B93" s="1281"/>
      <c r="C93" s="1315">
        <v>1</v>
      </c>
      <c r="D93" s="1322" t="s">
        <v>3464</v>
      </c>
      <c r="E93" s="1323" t="s">
        <v>3465</v>
      </c>
      <c r="F93" s="1324" t="s">
        <v>3323</v>
      </c>
      <c r="G93" s="1325" t="s">
        <v>3318</v>
      </c>
      <c r="H93" s="1326"/>
      <c r="I93" s="1326"/>
      <c r="J93" s="1326"/>
      <c r="K93" s="1326"/>
      <c r="L93" s="1327" t="s">
        <v>3404</v>
      </c>
    </row>
    <row r="94" spans="2:12" s="774" customFormat="1" ht="24" x14ac:dyDescent="0.25">
      <c r="B94" s="1281"/>
      <c r="C94" s="1315">
        <v>2</v>
      </c>
      <c r="D94" s="1322" t="s">
        <v>3466</v>
      </c>
      <c r="E94" s="1323" t="s">
        <v>3465</v>
      </c>
      <c r="F94" s="1324" t="s">
        <v>3323</v>
      </c>
      <c r="G94" s="1325" t="s">
        <v>3318</v>
      </c>
      <c r="H94" s="1326"/>
      <c r="I94" s="1326"/>
      <c r="J94" s="1326"/>
      <c r="K94" s="1326"/>
      <c r="L94" s="1327"/>
    </row>
    <row r="95" spans="2:12" s="774" customFormat="1" ht="24" x14ac:dyDescent="0.25">
      <c r="B95" s="1281"/>
      <c r="C95" s="1315">
        <v>3</v>
      </c>
      <c r="D95" s="1322" t="s">
        <v>3467</v>
      </c>
      <c r="E95" s="1323" t="s">
        <v>3465</v>
      </c>
      <c r="F95" s="1324" t="s">
        <v>3323</v>
      </c>
      <c r="G95" s="1325" t="s">
        <v>3318</v>
      </c>
      <c r="H95" s="1326"/>
      <c r="I95" s="1326"/>
      <c r="J95" s="1326"/>
      <c r="K95" s="1326"/>
      <c r="L95" s="1327"/>
    </row>
    <row r="96" spans="2:12" s="774" customFormat="1" ht="24" x14ac:dyDescent="0.25">
      <c r="B96" s="1281"/>
      <c r="C96" s="1315">
        <v>4</v>
      </c>
      <c r="D96" s="1322" t="s">
        <v>3399</v>
      </c>
      <c r="E96" s="1323" t="s">
        <v>3465</v>
      </c>
      <c r="F96" s="1324" t="s">
        <v>3323</v>
      </c>
      <c r="G96" s="1325" t="s">
        <v>3318</v>
      </c>
      <c r="H96" s="1326"/>
      <c r="I96" s="1326"/>
      <c r="J96" s="1326"/>
      <c r="K96" s="1326"/>
      <c r="L96" s="1327"/>
    </row>
    <row r="97" spans="2:12" s="774" customFormat="1" ht="24" x14ac:dyDescent="0.25">
      <c r="B97" s="1281"/>
      <c r="C97" s="1315">
        <v>5</v>
      </c>
      <c r="D97" s="1322" t="s">
        <v>3468</v>
      </c>
      <c r="E97" s="1323" t="s">
        <v>3465</v>
      </c>
      <c r="F97" s="1324" t="s">
        <v>3323</v>
      </c>
      <c r="G97" s="1325" t="s">
        <v>3318</v>
      </c>
      <c r="H97" s="1326"/>
      <c r="I97" s="1326"/>
      <c r="J97" s="1326"/>
      <c r="K97" s="1326"/>
      <c r="L97" s="1327"/>
    </row>
    <row r="98" spans="2:12" s="774" customFormat="1" ht="24" x14ac:dyDescent="0.25">
      <c r="B98" s="1281"/>
      <c r="C98" s="1315">
        <v>6</v>
      </c>
      <c r="D98" s="1322" t="s">
        <v>3469</v>
      </c>
      <c r="E98" s="1323" t="s">
        <v>3465</v>
      </c>
      <c r="F98" s="1324" t="s">
        <v>3323</v>
      </c>
      <c r="G98" s="1325" t="s">
        <v>3318</v>
      </c>
      <c r="H98" s="1326"/>
      <c r="I98" s="1326"/>
      <c r="J98" s="1326"/>
      <c r="K98" s="1326"/>
      <c r="L98" s="1327"/>
    </row>
    <row r="99" spans="2:12" s="774" customFormat="1" ht="24" x14ac:dyDescent="0.25">
      <c r="B99" s="1281"/>
      <c r="C99" s="1315">
        <v>7</v>
      </c>
      <c r="D99" s="1322" t="s">
        <v>3470</v>
      </c>
      <c r="E99" s="1323" t="s">
        <v>3465</v>
      </c>
      <c r="F99" s="1324" t="s">
        <v>3323</v>
      </c>
      <c r="G99" s="1325" t="s">
        <v>3318</v>
      </c>
      <c r="H99" s="1326"/>
      <c r="I99" s="1326"/>
      <c r="J99" s="1326"/>
      <c r="K99" s="1326"/>
      <c r="L99" s="1327"/>
    </row>
    <row r="100" spans="2:12" s="774" customFormat="1" ht="24" x14ac:dyDescent="0.25">
      <c r="B100" s="1281"/>
      <c r="C100" s="1315">
        <v>8</v>
      </c>
      <c r="D100" s="1324" t="s">
        <v>3403</v>
      </c>
      <c r="E100" s="1323" t="s">
        <v>3465</v>
      </c>
      <c r="F100" s="1324" t="s">
        <v>3323</v>
      </c>
      <c r="G100" s="1325" t="s">
        <v>3318</v>
      </c>
      <c r="H100" s="1326"/>
      <c r="I100" s="1326"/>
      <c r="J100" s="1326"/>
      <c r="K100" s="1326"/>
      <c r="L100" s="1327"/>
    </row>
    <row r="101" spans="2:12" s="774" customFormat="1" ht="24" x14ac:dyDescent="0.25">
      <c r="B101" s="1281"/>
      <c r="C101" s="1315">
        <v>9</v>
      </c>
      <c r="D101" s="1323" t="s">
        <v>3471</v>
      </c>
      <c r="E101" s="1323" t="s">
        <v>3465</v>
      </c>
      <c r="F101" s="1324" t="s">
        <v>3323</v>
      </c>
      <c r="G101" s="1325" t="s">
        <v>3318</v>
      </c>
      <c r="H101" s="1326"/>
      <c r="I101" s="1326"/>
      <c r="J101" s="1326"/>
      <c r="K101" s="1326"/>
      <c r="L101" s="1327"/>
    </row>
    <row r="102" spans="2:12" s="774" customFormat="1" ht="24" x14ac:dyDescent="0.25">
      <c r="B102" s="1281"/>
      <c r="C102" s="1315">
        <v>10</v>
      </c>
      <c r="D102" s="1324" t="s">
        <v>3461</v>
      </c>
      <c r="E102" s="1323" t="s">
        <v>3465</v>
      </c>
      <c r="F102" s="1324" t="s">
        <v>3323</v>
      </c>
      <c r="G102" s="1325" t="s">
        <v>3318</v>
      </c>
      <c r="H102" s="1326"/>
      <c r="I102" s="1326"/>
      <c r="J102" s="1326"/>
      <c r="K102" s="1326"/>
      <c r="L102" s="1327"/>
    </row>
    <row r="103" spans="2:12" s="774" customFormat="1" ht="24" x14ac:dyDescent="0.25">
      <c r="B103" s="1281"/>
      <c r="C103" s="1315">
        <v>11</v>
      </c>
      <c r="D103" s="1328" t="s">
        <v>3472</v>
      </c>
      <c r="E103" s="1323" t="s">
        <v>3465</v>
      </c>
      <c r="F103" s="1324" t="s">
        <v>3323</v>
      </c>
      <c r="G103" s="1325" t="s">
        <v>3318</v>
      </c>
      <c r="H103" s="1329"/>
      <c r="I103" s="1329"/>
      <c r="J103" s="1329"/>
      <c r="K103" s="1329"/>
      <c r="L103" s="1327"/>
    </row>
    <row r="104" spans="2:12" s="774" customFormat="1" ht="24" x14ac:dyDescent="0.25">
      <c r="B104" s="1281"/>
      <c r="C104" s="1315">
        <v>12</v>
      </c>
      <c r="D104" s="1328" t="s">
        <v>3473</v>
      </c>
      <c r="E104" s="1323" t="s">
        <v>3465</v>
      </c>
      <c r="F104" s="1324" t="s">
        <v>3323</v>
      </c>
      <c r="G104" s="1325" t="s">
        <v>3318</v>
      </c>
      <c r="H104" s="1329"/>
      <c r="I104" s="1329"/>
      <c r="J104" s="1329"/>
      <c r="K104" s="1329"/>
      <c r="L104" s="1327"/>
    </row>
    <row r="105" spans="2:12" s="774" customFormat="1" ht="24" x14ac:dyDescent="0.25">
      <c r="B105" s="1281"/>
      <c r="C105" s="1315">
        <v>13</v>
      </c>
      <c r="D105" s="1328" t="s">
        <v>3474</v>
      </c>
      <c r="E105" s="1323" t="s">
        <v>3465</v>
      </c>
      <c r="F105" s="1324" t="s">
        <v>3323</v>
      </c>
      <c r="G105" s="1325" t="s">
        <v>3318</v>
      </c>
      <c r="H105" s="1329"/>
      <c r="I105" s="1329"/>
      <c r="J105" s="1329"/>
      <c r="K105" s="1329"/>
      <c r="L105" s="1327"/>
    </row>
    <row r="106" spans="2:12" s="774" customFormat="1" ht="24" x14ac:dyDescent="0.25">
      <c r="B106" s="1281"/>
      <c r="C106" s="1315">
        <v>14</v>
      </c>
      <c r="D106" s="1328" t="s">
        <v>3475</v>
      </c>
      <c r="E106" s="1323" t="s">
        <v>3465</v>
      </c>
      <c r="F106" s="1324" t="s">
        <v>3323</v>
      </c>
      <c r="G106" s="1325" t="s">
        <v>3318</v>
      </c>
      <c r="H106" s="1329"/>
      <c r="I106" s="1329"/>
      <c r="J106" s="1329"/>
      <c r="K106" s="1329"/>
      <c r="L106" s="1327"/>
    </row>
    <row r="107" spans="2:12" s="774" customFormat="1" ht="24" x14ac:dyDescent="0.25">
      <c r="B107" s="1281"/>
      <c r="C107" s="1315">
        <v>15</v>
      </c>
      <c r="D107" s="1328" t="s">
        <v>3476</v>
      </c>
      <c r="E107" s="1323" t="s">
        <v>3465</v>
      </c>
      <c r="F107" s="1324" t="s">
        <v>3323</v>
      </c>
      <c r="G107" s="1325" t="s">
        <v>3318</v>
      </c>
      <c r="H107" s="1329"/>
      <c r="I107" s="1329"/>
      <c r="J107" s="1329"/>
      <c r="K107" s="1329"/>
      <c r="L107" s="1327"/>
    </row>
    <row r="108" spans="2:12" s="774" customFormat="1" ht="24" x14ac:dyDescent="0.25">
      <c r="B108" s="1281"/>
      <c r="C108" s="1315">
        <v>16</v>
      </c>
      <c r="D108" s="1328" t="s">
        <v>3477</v>
      </c>
      <c r="E108" s="1323" t="s">
        <v>3465</v>
      </c>
      <c r="F108" s="1324" t="s">
        <v>3323</v>
      </c>
      <c r="G108" s="1325" t="s">
        <v>3318</v>
      </c>
      <c r="H108" s="1329"/>
      <c r="I108" s="1329"/>
      <c r="J108" s="1329"/>
      <c r="K108" s="1329"/>
      <c r="L108" s="1327"/>
    </row>
    <row r="109" spans="2:12" s="774" customFormat="1" ht="24" x14ac:dyDescent="0.25">
      <c r="B109" s="1281"/>
      <c r="C109" s="1315">
        <v>17</v>
      </c>
      <c r="D109" s="1328" t="s">
        <v>3478</v>
      </c>
      <c r="E109" s="1323" t="s">
        <v>3465</v>
      </c>
      <c r="F109" s="1324" t="s">
        <v>3323</v>
      </c>
      <c r="G109" s="1325" t="s">
        <v>3318</v>
      </c>
      <c r="H109" s="1329"/>
      <c r="I109" s="1329"/>
      <c r="J109" s="1329"/>
      <c r="K109" s="1329"/>
      <c r="L109" s="1327"/>
    </row>
    <row r="110" spans="2:12" s="774" customFormat="1" ht="24" x14ac:dyDescent="0.25">
      <c r="B110" s="1281"/>
      <c r="C110" s="1315">
        <v>18</v>
      </c>
      <c r="D110" s="1328" t="s">
        <v>3479</v>
      </c>
      <c r="E110" s="1323" t="s">
        <v>3465</v>
      </c>
      <c r="F110" s="1324" t="s">
        <v>3323</v>
      </c>
      <c r="G110" s="1325" t="s">
        <v>3318</v>
      </c>
      <c r="H110" s="1329"/>
      <c r="I110" s="1329"/>
      <c r="J110" s="1329"/>
      <c r="K110" s="1329"/>
      <c r="L110" s="1327"/>
    </row>
    <row r="111" spans="2:12" s="774" customFormat="1" ht="24" x14ac:dyDescent="0.25">
      <c r="B111" s="1281"/>
      <c r="C111" s="1315">
        <v>19</v>
      </c>
      <c r="D111" s="1328" t="s">
        <v>3480</v>
      </c>
      <c r="E111" s="1323" t="s">
        <v>3465</v>
      </c>
      <c r="F111" s="1324" t="s">
        <v>3323</v>
      </c>
      <c r="G111" s="1325" t="s">
        <v>3318</v>
      </c>
      <c r="H111" s="1329"/>
      <c r="I111" s="1329"/>
      <c r="J111" s="1329"/>
      <c r="K111" s="1329"/>
      <c r="L111" s="1327"/>
    </row>
    <row r="112" spans="2:12" s="774" customFormat="1" ht="24" x14ac:dyDescent="0.25">
      <c r="B112" s="1281"/>
      <c r="C112" s="1315">
        <v>20</v>
      </c>
      <c r="D112" s="1328" t="s">
        <v>3481</v>
      </c>
      <c r="E112" s="1323" t="s">
        <v>3465</v>
      </c>
      <c r="F112" s="1324" t="s">
        <v>3323</v>
      </c>
      <c r="G112" s="1325" t="s">
        <v>3318</v>
      </c>
      <c r="H112" s="1329"/>
      <c r="I112" s="1329"/>
      <c r="J112" s="1329"/>
      <c r="K112" s="1329"/>
      <c r="L112" s="1327"/>
    </row>
    <row r="113" spans="2:12" s="774" customFormat="1" ht="24" x14ac:dyDescent="0.25">
      <c r="B113" s="1281"/>
      <c r="C113" s="1315">
        <v>21</v>
      </c>
      <c r="D113" s="1328" t="s">
        <v>3482</v>
      </c>
      <c r="E113" s="1323" t="s">
        <v>3465</v>
      </c>
      <c r="F113" s="1324" t="s">
        <v>3323</v>
      </c>
      <c r="G113" s="1325" t="s">
        <v>3318</v>
      </c>
      <c r="H113" s="1329"/>
      <c r="I113" s="1329"/>
      <c r="J113" s="1329"/>
      <c r="K113" s="1329"/>
      <c r="L113" s="1327"/>
    </row>
    <row r="114" spans="2:12" s="774" customFormat="1" ht="24" x14ac:dyDescent="0.25">
      <c r="B114" s="1281"/>
      <c r="C114" s="1330">
        <v>1</v>
      </c>
      <c r="D114" s="1331" t="s">
        <v>3483</v>
      </c>
      <c r="E114" s="1332" t="s">
        <v>3484</v>
      </c>
      <c r="F114" s="1333" t="s">
        <v>3323</v>
      </c>
      <c r="G114" s="1333" t="s">
        <v>3318</v>
      </c>
      <c r="H114" s="1334"/>
      <c r="I114" s="1334"/>
      <c r="J114" s="1334"/>
      <c r="K114" s="1334"/>
      <c r="L114" s="1335"/>
    </row>
    <row r="115" spans="2:12" s="774" customFormat="1" ht="24" x14ac:dyDescent="0.25">
      <c r="B115" s="1281"/>
      <c r="C115" s="1330">
        <v>2</v>
      </c>
      <c r="D115" s="1331" t="s">
        <v>3485</v>
      </c>
      <c r="E115" s="1332" t="s">
        <v>3484</v>
      </c>
      <c r="F115" s="1333" t="s">
        <v>3323</v>
      </c>
      <c r="G115" s="1333" t="s">
        <v>3318</v>
      </c>
      <c r="H115" s="1334"/>
      <c r="I115" s="1334"/>
      <c r="J115" s="1334"/>
      <c r="K115" s="1334"/>
      <c r="L115" s="1335"/>
    </row>
    <row r="116" spans="2:12" s="774" customFormat="1" ht="24" x14ac:dyDescent="0.25">
      <c r="B116" s="1281"/>
      <c r="C116" s="1330">
        <v>3</v>
      </c>
      <c r="D116" s="1331" t="s">
        <v>3486</v>
      </c>
      <c r="E116" s="1332" t="s">
        <v>3484</v>
      </c>
      <c r="F116" s="1333" t="s">
        <v>3323</v>
      </c>
      <c r="G116" s="1333" t="s">
        <v>3318</v>
      </c>
      <c r="H116" s="1334"/>
      <c r="I116" s="1334"/>
      <c r="J116" s="1334"/>
      <c r="K116" s="1334"/>
      <c r="L116" s="1335"/>
    </row>
    <row r="117" spans="2:12" s="774" customFormat="1" ht="24" x14ac:dyDescent="0.25">
      <c r="B117" s="1281"/>
      <c r="C117" s="1330">
        <v>4</v>
      </c>
      <c r="D117" s="1331" t="s">
        <v>3487</v>
      </c>
      <c r="E117" s="1332" t="s">
        <v>3484</v>
      </c>
      <c r="F117" s="1333" t="s">
        <v>3323</v>
      </c>
      <c r="G117" s="1333" t="s">
        <v>3318</v>
      </c>
      <c r="H117" s="1334"/>
      <c r="I117" s="1334"/>
      <c r="J117" s="1334"/>
      <c r="K117" s="1334"/>
      <c r="L117" s="1335"/>
    </row>
    <row r="118" spans="2:12" s="774" customFormat="1" ht="24" x14ac:dyDescent="0.25">
      <c r="B118" s="1281"/>
      <c r="C118" s="1330">
        <v>5</v>
      </c>
      <c r="D118" s="1331" t="s">
        <v>3488</v>
      </c>
      <c r="E118" s="1332" t="s">
        <v>3484</v>
      </c>
      <c r="F118" s="1333" t="s">
        <v>3323</v>
      </c>
      <c r="G118" s="1333" t="s">
        <v>3318</v>
      </c>
      <c r="H118" s="1334"/>
      <c r="I118" s="1334"/>
      <c r="J118" s="1334"/>
      <c r="K118" s="1334"/>
      <c r="L118" s="1335"/>
    </row>
    <row r="119" spans="2:12" s="774" customFormat="1" ht="24" x14ac:dyDescent="0.25">
      <c r="B119" s="1281"/>
      <c r="C119" s="1330">
        <v>6</v>
      </c>
      <c r="D119" s="1331" t="s">
        <v>3489</v>
      </c>
      <c r="E119" s="1332" t="s">
        <v>3484</v>
      </c>
      <c r="F119" s="1333" t="s">
        <v>3323</v>
      </c>
      <c r="G119" s="1333" t="s">
        <v>3318</v>
      </c>
      <c r="H119" s="1334"/>
      <c r="I119" s="1334"/>
      <c r="J119" s="1334"/>
      <c r="K119" s="1334"/>
      <c r="L119" s="1335"/>
    </row>
    <row r="120" spans="2:12" s="774" customFormat="1" ht="24" x14ac:dyDescent="0.25">
      <c r="B120" s="1281"/>
      <c r="C120" s="1330">
        <v>7</v>
      </c>
      <c r="D120" s="1331" t="s">
        <v>3490</v>
      </c>
      <c r="E120" s="1332" t="s">
        <v>3484</v>
      </c>
      <c r="F120" s="1333" t="s">
        <v>3323</v>
      </c>
      <c r="G120" s="1333" t="s">
        <v>3318</v>
      </c>
      <c r="H120" s="1334"/>
      <c r="I120" s="1334"/>
      <c r="J120" s="1334"/>
      <c r="K120" s="1334"/>
      <c r="L120" s="1335"/>
    </row>
    <row r="121" spans="2:12" s="774" customFormat="1" ht="36" x14ac:dyDescent="0.25">
      <c r="B121" s="1281"/>
      <c r="C121" s="1330">
        <v>8</v>
      </c>
      <c r="D121" s="1331" t="s">
        <v>3491</v>
      </c>
      <c r="E121" s="1332" t="s">
        <v>3484</v>
      </c>
      <c r="F121" s="1333" t="s">
        <v>3323</v>
      </c>
      <c r="G121" s="1333" t="s">
        <v>3318</v>
      </c>
      <c r="H121" s="1334"/>
      <c r="I121" s="1334"/>
      <c r="J121" s="1334"/>
      <c r="K121" s="1334"/>
      <c r="L121" s="1335"/>
    </row>
    <row r="122" spans="2:12" s="774" customFormat="1" ht="48" x14ac:dyDescent="0.25">
      <c r="B122" s="1281"/>
      <c r="C122" s="1330">
        <v>9</v>
      </c>
      <c r="D122" s="1331" t="s">
        <v>3492</v>
      </c>
      <c r="E122" s="1332" t="s">
        <v>3484</v>
      </c>
      <c r="F122" s="1333" t="s">
        <v>3323</v>
      </c>
      <c r="G122" s="1333" t="s">
        <v>3318</v>
      </c>
      <c r="H122" s="1334"/>
      <c r="I122" s="1334"/>
      <c r="J122" s="1334"/>
      <c r="K122" s="1334"/>
      <c r="L122" s="1335"/>
    </row>
    <row r="123" spans="2:12" s="774" customFormat="1" ht="36" x14ac:dyDescent="0.25">
      <c r="B123" s="1281"/>
      <c r="C123" s="1330">
        <v>10</v>
      </c>
      <c r="D123" s="1331" t="s">
        <v>3493</v>
      </c>
      <c r="E123" s="1332" t="s">
        <v>3484</v>
      </c>
      <c r="F123" s="1333" t="s">
        <v>3323</v>
      </c>
      <c r="G123" s="1333" t="s">
        <v>3318</v>
      </c>
      <c r="H123" s="1334"/>
      <c r="I123" s="1334"/>
      <c r="J123" s="1334"/>
      <c r="K123" s="1334"/>
      <c r="L123" s="1335"/>
    </row>
    <row r="124" spans="2:12" s="774" customFormat="1" ht="24" x14ac:dyDescent="0.25">
      <c r="B124" s="1281"/>
      <c r="C124" s="1330">
        <v>11</v>
      </c>
      <c r="D124" s="1331" t="s">
        <v>3494</v>
      </c>
      <c r="E124" s="1332" t="s">
        <v>3484</v>
      </c>
      <c r="F124" s="1333" t="s">
        <v>3323</v>
      </c>
      <c r="G124" s="1333" t="s">
        <v>3318</v>
      </c>
      <c r="H124" s="1334"/>
      <c r="I124" s="1334"/>
      <c r="J124" s="1334"/>
      <c r="K124" s="1334"/>
      <c r="L124" s="1335"/>
    </row>
    <row r="125" spans="2:12" s="774" customFormat="1" ht="24" x14ac:dyDescent="0.25">
      <c r="B125" s="1281"/>
      <c r="C125" s="1330">
        <v>12</v>
      </c>
      <c r="D125" s="1331" t="s">
        <v>3495</v>
      </c>
      <c r="E125" s="1332" t="s">
        <v>3484</v>
      </c>
      <c r="F125" s="1333" t="s">
        <v>3323</v>
      </c>
      <c r="G125" s="1333" t="s">
        <v>3318</v>
      </c>
      <c r="H125" s="1334"/>
      <c r="I125" s="1334"/>
      <c r="J125" s="1334"/>
      <c r="K125" s="1334"/>
      <c r="L125" s="1335"/>
    </row>
    <row r="126" spans="2:12" s="774" customFormat="1" ht="36" x14ac:dyDescent="0.25">
      <c r="B126" s="1281"/>
      <c r="C126" s="1330">
        <v>13</v>
      </c>
      <c r="D126" s="1331" t="s">
        <v>3496</v>
      </c>
      <c r="E126" s="1332" t="s">
        <v>3484</v>
      </c>
      <c r="F126" s="1333" t="s">
        <v>3323</v>
      </c>
      <c r="G126" s="1333" t="s">
        <v>3318</v>
      </c>
      <c r="H126" s="1334"/>
      <c r="I126" s="1334"/>
      <c r="J126" s="1334"/>
      <c r="K126" s="1334"/>
      <c r="L126" s="1335"/>
    </row>
    <row r="127" spans="2:12" s="774" customFormat="1" ht="24" x14ac:dyDescent="0.25">
      <c r="B127" s="1281"/>
      <c r="C127" s="1330">
        <v>14</v>
      </c>
      <c r="D127" s="1331" t="s">
        <v>3497</v>
      </c>
      <c r="E127" s="1332" t="s">
        <v>3484</v>
      </c>
      <c r="F127" s="1333" t="s">
        <v>3323</v>
      </c>
      <c r="G127" s="1333" t="s">
        <v>3318</v>
      </c>
      <c r="H127" s="1334"/>
      <c r="I127" s="1334"/>
      <c r="J127" s="1334"/>
      <c r="K127" s="1334"/>
      <c r="L127" s="1335"/>
    </row>
    <row r="128" spans="2:12" s="774" customFormat="1" ht="24" x14ac:dyDescent="0.25">
      <c r="B128" s="1281"/>
      <c r="C128" s="1336">
        <v>1</v>
      </c>
      <c r="D128" s="1337" t="s">
        <v>3498</v>
      </c>
      <c r="E128" s="1338" t="s">
        <v>3499</v>
      </c>
      <c r="F128" s="1339" t="s">
        <v>3323</v>
      </c>
      <c r="G128" s="1339" t="s">
        <v>3318</v>
      </c>
      <c r="H128" s="1340"/>
      <c r="I128" s="1340"/>
      <c r="J128" s="1340"/>
      <c r="K128" s="1340"/>
      <c r="L128" s="1341"/>
    </row>
    <row r="129" spans="2:12" s="774" customFormat="1" ht="24" x14ac:dyDescent="0.25">
      <c r="B129" s="1281"/>
      <c r="C129" s="1336">
        <v>2</v>
      </c>
      <c r="D129" s="1337" t="s">
        <v>3500</v>
      </c>
      <c r="E129" s="1338" t="s">
        <v>3499</v>
      </c>
      <c r="F129" s="1339" t="s">
        <v>3323</v>
      </c>
      <c r="G129" s="1339" t="s">
        <v>3318</v>
      </c>
      <c r="H129" s="1340"/>
      <c r="I129" s="1340"/>
      <c r="J129" s="1340"/>
      <c r="K129" s="1340"/>
      <c r="L129" s="1341"/>
    </row>
    <row r="130" spans="2:12" s="774" customFormat="1" ht="24" x14ac:dyDescent="0.25">
      <c r="B130" s="1281"/>
      <c r="C130" s="1336">
        <v>3</v>
      </c>
      <c r="D130" s="1337" t="s">
        <v>3399</v>
      </c>
      <c r="E130" s="1338" t="s">
        <v>3499</v>
      </c>
      <c r="F130" s="1339" t="s">
        <v>3323</v>
      </c>
      <c r="G130" s="1339" t="s">
        <v>3318</v>
      </c>
      <c r="H130" s="1340"/>
      <c r="I130" s="1340"/>
      <c r="J130" s="1340"/>
      <c r="K130" s="1340"/>
      <c r="L130" s="1341"/>
    </row>
    <row r="131" spans="2:12" s="774" customFormat="1" ht="24" x14ac:dyDescent="0.25">
      <c r="B131" s="1281"/>
      <c r="C131" s="1336">
        <v>4</v>
      </c>
      <c r="D131" s="1337" t="s">
        <v>3468</v>
      </c>
      <c r="E131" s="1338" t="s">
        <v>3499</v>
      </c>
      <c r="F131" s="1339" t="s">
        <v>3323</v>
      </c>
      <c r="G131" s="1339" t="s">
        <v>3318</v>
      </c>
      <c r="H131" s="1340"/>
      <c r="I131" s="1340"/>
      <c r="J131" s="1340"/>
      <c r="K131" s="1340"/>
      <c r="L131" s="1341"/>
    </row>
    <row r="132" spans="2:12" s="774" customFormat="1" ht="24" x14ac:dyDescent="0.25">
      <c r="B132" s="1281"/>
      <c r="C132" s="1336">
        <v>5</v>
      </c>
      <c r="D132" s="1337" t="s">
        <v>3501</v>
      </c>
      <c r="E132" s="1338" t="s">
        <v>3499</v>
      </c>
      <c r="F132" s="1339" t="s">
        <v>3323</v>
      </c>
      <c r="G132" s="1339" t="s">
        <v>3318</v>
      </c>
      <c r="H132" s="1340"/>
      <c r="I132" s="1340"/>
      <c r="J132" s="1340"/>
      <c r="K132" s="1340"/>
      <c r="L132" s="1341"/>
    </row>
    <row r="133" spans="2:12" s="774" customFormat="1" ht="24" x14ac:dyDescent="0.25">
      <c r="B133" s="1281"/>
      <c r="C133" s="1336">
        <v>6</v>
      </c>
      <c r="D133" s="1337" t="s">
        <v>3470</v>
      </c>
      <c r="E133" s="1338" t="s">
        <v>3499</v>
      </c>
      <c r="F133" s="1339" t="s">
        <v>3323</v>
      </c>
      <c r="G133" s="1339" t="s">
        <v>3318</v>
      </c>
      <c r="H133" s="1340"/>
      <c r="I133" s="1340"/>
      <c r="J133" s="1340"/>
      <c r="K133" s="1340"/>
      <c r="L133" s="1341"/>
    </row>
    <row r="134" spans="2:12" s="774" customFormat="1" ht="24" x14ac:dyDescent="0.25">
      <c r="B134" s="1281"/>
      <c r="C134" s="1336">
        <v>7</v>
      </c>
      <c r="D134" s="1337" t="s">
        <v>3502</v>
      </c>
      <c r="E134" s="1338" t="s">
        <v>3499</v>
      </c>
      <c r="F134" s="1339" t="s">
        <v>3323</v>
      </c>
      <c r="G134" s="1339" t="s">
        <v>3318</v>
      </c>
      <c r="H134" s="1340"/>
      <c r="I134" s="1340"/>
      <c r="J134" s="1340"/>
      <c r="K134" s="1340"/>
      <c r="L134" s="1341"/>
    </row>
    <row r="135" spans="2:12" s="774" customFormat="1" ht="45" x14ac:dyDescent="0.25">
      <c r="B135" s="1281"/>
      <c r="C135" s="1336">
        <v>8</v>
      </c>
      <c r="D135" s="1337" t="s">
        <v>3434</v>
      </c>
      <c r="E135" s="1338" t="s">
        <v>3499</v>
      </c>
      <c r="F135" s="1339" t="s">
        <v>3323</v>
      </c>
      <c r="G135" s="1339" t="s">
        <v>3318</v>
      </c>
      <c r="H135" s="1342">
        <v>1265611410.5</v>
      </c>
      <c r="I135" s="1342">
        <v>1265611410.5</v>
      </c>
      <c r="J135" s="1342">
        <v>1263345629</v>
      </c>
      <c r="K135" s="1342">
        <v>0</v>
      </c>
      <c r="L135" s="1343" t="s">
        <v>3330</v>
      </c>
    </row>
    <row r="136" spans="2:12" s="412" customFormat="1" ht="36" x14ac:dyDescent="0.25">
      <c r="B136" s="436"/>
      <c r="C136" s="1336">
        <v>9</v>
      </c>
      <c r="D136" s="1337" t="s">
        <v>3503</v>
      </c>
      <c r="E136" s="1338" t="s">
        <v>3499</v>
      </c>
      <c r="F136" s="1339" t="s">
        <v>3323</v>
      </c>
      <c r="G136" s="1339" t="s">
        <v>3318</v>
      </c>
      <c r="H136" s="1344"/>
      <c r="I136" s="1344"/>
      <c r="J136" s="1344"/>
      <c r="K136" s="1344"/>
      <c r="L136" s="1345"/>
    </row>
    <row r="137" spans="2:12" s="412" customFormat="1" ht="24" x14ac:dyDescent="0.25">
      <c r="B137" s="436"/>
      <c r="C137" s="1336">
        <v>10</v>
      </c>
      <c r="D137" s="1337" t="s">
        <v>3438</v>
      </c>
      <c r="E137" s="1338" t="s">
        <v>3499</v>
      </c>
      <c r="F137" s="1339" t="s">
        <v>3323</v>
      </c>
      <c r="G137" s="1339" t="s">
        <v>3318</v>
      </c>
      <c r="H137" s="1340"/>
      <c r="I137" s="1340"/>
      <c r="J137" s="1340"/>
      <c r="K137" s="1340"/>
      <c r="L137" s="1341"/>
    </row>
    <row r="138" spans="2:12" s="412" customFormat="1" ht="24" x14ac:dyDescent="0.25">
      <c r="B138" s="436"/>
      <c r="C138" s="1336">
        <v>11</v>
      </c>
      <c r="D138" s="1337" t="s">
        <v>3504</v>
      </c>
      <c r="E138" s="1338" t="s">
        <v>3499</v>
      </c>
      <c r="F138" s="1339" t="s">
        <v>3323</v>
      </c>
      <c r="G138" s="1339" t="s">
        <v>3318</v>
      </c>
      <c r="H138" s="1340"/>
      <c r="I138" s="1340"/>
      <c r="J138" s="1340"/>
      <c r="K138" s="1340"/>
      <c r="L138" s="1341"/>
    </row>
    <row r="139" spans="2:12" s="412" customFormat="1" ht="24" x14ac:dyDescent="0.25">
      <c r="B139" s="436"/>
      <c r="C139" s="1336">
        <v>12</v>
      </c>
      <c r="D139" s="1337" t="s">
        <v>3460</v>
      </c>
      <c r="E139" s="1338" t="s">
        <v>3499</v>
      </c>
      <c r="F139" s="1339" t="s">
        <v>3323</v>
      </c>
      <c r="G139" s="1339" t="s">
        <v>3318</v>
      </c>
      <c r="H139" s="1340"/>
      <c r="I139" s="1340"/>
      <c r="J139" s="1340"/>
      <c r="K139" s="1340"/>
      <c r="L139" s="1341"/>
    </row>
    <row r="140" spans="2:12" s="412" customFormat="1" ht="24" x14ac:dyDescent="0.25">
      <c r="B140" s="436"/>
      <c r="C140" s="1336">
        <v>13</v>
      </c>
      <c r="D140" s="1337" t="s">
        <v>3505</v>
      </c>
      <c r="E140" s="1338" t="s">
        <v>3499</v>
      </c>
      <c r="F140" s="1339" t="s">
        <v>3323</v>
      </c>
      <c r="G140" s="1339" t="s">
        <v>3318</v>
      </c>
      <c r="H140" s="1340"/>
      <c r="I140" s="1340"/>
      <c r="J140" s="1340"/>
      <c r="K140" s="1340"/>
      <c r="L140" s="1341"/>
    </row>
    <row r="141" spans="2:12" s="412" customFormat="1" ht="24" x14ac:dyDescent="0.25">
      <c r="B141" s="436"/>
      <c r="C141" s="1336">
        <v>14</v>
      </c>
      <c r="D141" s="1337" t="s">
        <v>3506</v>
      </c>
      <c r="E141" s="1338" t="s">
        <v>3499</v>
      </c>
      <c r="F141" s="1339" t="s">
        <v>3323</v>
      </c>
      <c r="G141" s="1339" t="s">
        <v>3318</v>
      </c>
      <c r="H141" s="1340"/>
      <c r="I141" s="1340"/>
      <c r="J141" s="1340"/>
      <c r="K141" s="1340"/>
      <c r="L141" s="1341"/>
    </row>
    <row r="142" spans="2:12" s="412" customFormat="1" ht="24" x14ac:dyDescent="0.25">
      <c r="B142" s="436"/>
      <c r="C142" s="1336">
        <v>15</v>
      </c>
      <c r="D142" s="1337" t="s">
        <v>3507</v>
      </c>
      <c r="E142" s="1338" t="s">
        <v>3499</v>
      </c>
      <c r="F142" s="1339" t="s">
        <v>3323</v>
      </c>
      <c r="G142" s="1339" t="s">
        <v>3318</v>
      </c>
      <c r="H142" s="1340"/>
      <c r="I142" s="1340"/>
      <c r="J142" s="1340"/>
      <c r="K142" s="1340"/>
      <c r="L142" s="1341"/>
    </row>
    <row r="143" spans="2:12" s="412" customFormat="1" ht="24.75" thickBot="1" x14ac:dyDescent="0.3">
      <c r="B143" s="436"/>
      <c r="C143" s="1346">
        <v>16</v>
      </c>
      <c r="D143" s="1347" t="s">
        <v>3508</v>
      </c>
      <c r="E143" s="1348" t="s">
        <v>3499</v>
      </c>
      <c r="F143" s="1349" t="s">
        <v>3323</v>
      </c>
      <c r="G143" s="1349" t="s">
        <v>3318</v>
      </c>
      <c r="H143" s="1350"/>
      <c r="I143" s="1350"/>
      <c r="J143" s="1350"/>
      <c r="K143" s="1350"/>
      <c r="L143" s="1351"/>
    </row>
    <row r="144" spans="2:12" s="412" customFormat="1" ht="15.75" thickBot="1" x14ac:dyDescent="0.3">
      <c r="B144" s="436"/>
      <c r="C144" s="91"/>
      <c r="D144" s="31"/>
      <c r="E144" s="31"/>
      <c r="F144" s="31"/>
      <c r="G144" s="31"/>
      <c r="H144" s="218"/>
      <c r="I144" s="218"/>
      <c r="J144" s="218"/>
      <c r="K144" s="218"/>
      <c r="L144" s="218"/>
    </row>
    <row r="145" spans="2:12" ht="15.75" thickBot="1" x14ac:dyDescent="0.3">
      <c r="B145" s="436"/>
      <c r="C145" s="91"/>
      <c r="D145" s="31"/>
      <c r="E145" s="31"/>
      <c r="F145" s="31"/>
      <c r="G145" s="31"/>
      <c r="H145" s="218"/>
      <c r="I145" s="218"/>
      <c r="J145" s="218"/>
      <c r="K145" s="218"/>
      <c r="L145" s="218"/>
    </row>
    <row r="146" spans="2:12" ht="15.75" thickBot="1" x14ac:dyDescent="0.3">
      <c r="B146" s="436"/>
      <c r="C146" s="91"/>
      <c r="D146" s="31"/>
      <c r="E146" s="31"/>
      <c r="F146" s="31"/>
      <c r="G146" s="31"/>
      <c r="H146" s="218"/>
      <c r="I146" s="218"/>
      <c r="J146" s="218"/>
      <c r="K146" s="218"/>
      <c r="L146" s="218"/>
    </row>
    <row r="147" spans="2:12" ht="15.75" thickBot="1" x14ac:dyDescent="0.3">
      <c r="B147" s="436"/>
      <c r="C147" s="91"/>
      <c r="D147" s="31"/>
      <c r="E147" s="31"/>
      <c r="F147" s="31"/>
      <c r="G147" s="31"/>
      <c r="H147" s="218"/>
      <c r="I147" s="218"/>
      <c r="J147" s="218"/>
      <c r="K147" s="218"/>
      <c r="L147" s="218"/>
    </row>
    <row r="148" spans="2:12" ht="15.75" thickBot="1" x14ac:dyDescent="0.3">
      <c r="B148" s="437"/>
      <c r="C148" s="111"/>
      <c r="D148" s="40" t="s">
        <v>151</v>
      </c>
      <c r="E148" s="27"/>
      <c r="F148" s="27"/>
      <c r="G148" s="27"/>
      <c r="H148" s="142">
        <f>SUM(H27:H147)</f>
        <v>1649835124.5</v>
      </c>
      <c r="I148" s="142">
        <f>SUM(I27:I147)</f>
        <v>1649835124.5</v>
      </c>
      <c r="J148" s="142">
        <f>SUM(J27:J147)</f>
        <v>1500253202</v>
      </c>
      <c r="K148" s="142">
        <f>SUM(K27:K147)</f>
        <v>87189453</v>
      </c>
      <c r="L148" s="13"/>
    </row>
    <row r="149" spans="2:12" ht="24" customHeight="1" thickBot="1" x14ac:dyDescent="0.3">
      <c r="B149" s="72" t="s">
        <v>34</v>
      </c>
      <c r="C149" s="108"/>
      <c r="D149" s="1816" t="s">
        <v>477</v>
      </c>
      <c r="E149" s="1817"/>
      <c r="F149" s="1817"/>
      <c r="G149" s="1817"/>
      <c r="H149" s="1817"/>
      <c r="I149" s="1817"/>
      <c r="J149" s="1817"/>
      <c r="K149" s="1817"/>
      <c r="L149" s="1860"/>
    </row>
    <row r="150" spans="2:12" ht="24" customHeight="1" thickBot="1" x14ac:dyDescent="0.3">
      <c r="B150" s="72" t="s">
        <v>36</v>
      </c>
      <c r="C150" s="108"/>
      <c r="D150" s="1816" t="s">
        <v>346</v>
      </c>
      <c r="E150" s="1817"/>
      <c r="F150" s="1817"/>
      <c r="G150" s="1817"/>
      <c r="H150" s="1817"/>
      <c r="I150" s="1817"/>
      <c r="J150" s="1817"/>
      <c r="K150" s="1817"/>
      <c r="L150" s="1860"/>
    </row>
    <row r="151" spans="2:12" ht="15.75" thickBot="1" x14ac:dyDescent="0.3">
      <c r="B151" s="2"/>
      <c r="C151" s="76"/>
      <c r="D151" s="6"/>
      <c r="E151" s="6"/>
      <c r="F151" s="6"/>
      <c r="G151" s="6"/>
      <c r="H151" s="6"/>
      <c r="I151" s="6"/>
      <c r="J151" s="6"/>
      <c r="K151" s="6"/>
    </row>
    <row r="152" spans="2:12" ht="24" customHeight="1" thickBot="1" x14ac:dyDescent="0.3">
      <c r="B152" s="1807" t="s">
        <v>38</v>
      </c>
      <c r="C152" s="1808"/>
      <c r="D152" s="1808"/>
      <c r="E152" s="1809"/>
      <c r="F152" s="6"/>
      <c r="G152" s="6"/>
      <c r="H152" s="6"/>
      <c r="I152" s="6"/>
      <c r="J152" s="6"/>
      <c r="K152" s="6"/>
    </row>
    <row r="153" spans="2:12" ht="15.75" thickBot="1" x14ac:dyDescent="0.3">
      <c r="B153" s="1804">
        <v>1</v>
      </c>
      <c r="C153" s="94"/>
      <c r="D153" s="48" t="s">
        <v>39</v>
      </c>
      <c r="E153" s="31" t="s">
        <v>2854</v>
      </c>
      <c r="F153" s="6"/>
      <c r="G153" s="6"/>
      <c r="H153" s="6"/>
      <c r="I153" s="6"/>
      <c r="J153" s="6"/>
      <c r="K153" s="6"/>
    </row>
    <row r="154" spans="2:12" ht="15.75" thickBot="1" x14ac:dyDescent="0.3">
      <c r="B154" s="1805"/>
      <c r="C154" s="94"/>
      <c r="D154" s="41" t="s">
        <v>40</v>
      </c>
      <c r="E154" s="31" t="s">
        <v>3509</v>
      </c>
      <c r="F154" s="6"/>
      <c r="G154" s="6"/>
      <c r="H154" s="6"/>
      <c r="I154" s="6"/>
      <c r="J154" s="6"/>
      <c r="K154" s="6"/>
    </row>
    <row r="155" spans="2:12" ht="15.75" thickBot="1" x14ac:dyDescent="0.3">
      <c r="B155" s="1805"/>
      <c r="C155" s="94"/>
      <c r="D155" s="41" t="s">
        <v>41</v>
      </c>
      <c r="E155" s="31" t="s">
        <v>3393</v>
      </c>
      <c r="F155" s="6"/>
      <c r="G155" s="6"/>
      <c r="H155" s="6"/>
      <c r="I155" s="6"/>
      <c r="J155" s="6"/>
      <c r="K155" s="6"/>
    </row>
    <row r="156" spans="2:12" ht="15.75" thickBot="1" x14ac:dyDescent="0.3">
      <c r="B156" s="1805"/>
      <c r="C156" s="94"/>
      <c r="D156" s="41" t="s">
        <v>42</v>
      </c>
      <c r="E156" s="31" t="s">
        <v>3261</v>
      </c>
      <c r="F156" s="6"/>
      <c r="G156" s="6"/>
      <c r="H156" s="6"/>
      <c r="I156" s="6"/>
      <c r="J156" s="6"/>
      <c r="K156" s="6"/>
    </row>
    <row r="157" spans="2:12" ht="15.75" thickBot="1" x14ac:dyDescent="0.3">
      <c r="B157" s="1805"/>
      <c r="C157" s="94"/>
      <c r="D157" s="41" t="s">
        <v>43</v>
      </c>
      <c r="E157" s="1284" t="s">
        <v>3394</v>
      </c>
      <c r="F157" s="6"/>
      <c r="G157" s="6"/>
      <c r="H157" s="6"/>
      <c r="I157" s="6"/>
      <c r="J157" s="6"/>
      <c r="K157" s="6"/>
    </row>
    <row r="158" spans="2:12" ht="15.75" thickBot="1" x14ac:dyDescent="0.3">
      <c r="B158" s="1805"/>
      <c r="C158" s="94"/>
      <c r="D158" s="41" t="s">
        <v>44</v>
      </c>
      <c r="E158" s="31" t="s">
        <v>3510</v>
      </c>
      <c r="F158" s="6"/>
      <c r="G158" s="6"/>
      <c r="H158" s="6"/>
      <c r="I158" s="6"/>
      <c r="J158" s="6"/>
      <c r="K158" s="6"/>
    </row>
    <row r="159" spans="2:12" ht="15.75" thickBot="1" x14ac:dyDescent="0.3">
      <c r="B159" s="1806"/>
      <c r="C159" s="3"/>
      <c r="D159" s="41" t="s">
        <v>45</v>
      </c>
      <c r="E159" s="31"/>
      <c r="F159" s="6"/>
      <c r="G159" s="6"/>
      <c r="H159" s="6"/>
      <c r="I159" s="6"/>
      <c r="J159" s="6"/>
      <c r="K159" s="6"/>
    </row>
    <row r="160" spans="2:12" ht="15.75" thickBot="1" x14ac:dyDescent="0.3">
      <c r="B160" s="2"/>
      <c r="C160" s="76"/>
      <c r="D160" s="6"/>
      <c r="E160" s="6"/>
      <c r="F160" s="6"/>
      <c r="G160" s="6"/>
      <c r="H160" s="6"/>
      <c r="I160" s="6"/>
      <c r="J160" s="6"/>
      <c r="K160" s="6"/>
    </row>
    <row r="161" spans="2:11" ht="15.75" thickBot="1" x14ac:dyDescent="0.3">
      <c r="B161" s="1807" t="s">
        <v>46</v>
      </c>
      <c r="C161" s="1808"/>
      <c r="D161" s="1808"/>
      <c r="E161" s="1809"/>
      <c r="F161" s="6"/>
      <c r="G161" s="6"/>
      <c r="H161" s="6"/>
      <c r="I161" s="6"/>
      <c r="J161" s="6"/>
      <c r="K161" s="6"/>
    </row>
    <row r="162" spans="2:11" ht="15.75" thickBot="1" x14ac:dyDescent="0.3">
      <c r="B162" s="1804">
        <v>1</v>
      </c>
      <c r="C162" s="94"/>
      <c r="D162" s="48" t="s">
        <v>39</v>
      </c>
      <c r="E162" s="444" t="s">
        <v>47</v>
      </c>
      <c r="F162" s="6"/>
      <c r="G162" s="6"/>
      <c r="H162" s="6"/>
      <c r="I162" s="6"/>
      <c r="J162" s="6"/>
      <c r="K162" s="6"/>
    </row>
    <row r="163" spans="2:11" ht="15.75" thickBot="1" x14ac:dyDescent="0.3">
      <c r="B163" s="1805"/>
      <c r="C163" s="94"/>
      <c r="D163" s="41" t="s">
        <v>40</v>
      </c>
      <c r="E163" s="444" t="s">
        <v>48</v>
      </c>
      <c r="F163" s="6"/>
      <c r="G163" s="6"/>
      <c r="H163" s="6"/>
      <c r="I163" s="6"/>
      <c r="J163" s="6"/>
      <c r="K163" s="6"/>
    </row>
    <row r="164" spans="2:11" ht="15.75" thickBot="1" x14ac:dyDescent="0.3">
      <c r="B164" s="1805"/>
      <c r="C164" s="94"/>
      <c r="D164" s="41" t="s">
        <v>41</v>
      </c>
      <c r="E164" s="315"/>
      <c r="F164" s="6"/>
      <c r="G164" s="6"/>
      <c r="H164" s="6"/>
      <c r="I164" s="6"/>
      <c r="J164" s="6"/>
      <c r="K164" s="6"/>
    </row>
    <row r="165" spans="2:11" ht="15.75" thickBot="1" x14ac:dyDescent="0.3">
      <c r="B165" s="1805"/>
      <c r="C165" s="94"/>
      <c r="D165" s="41" t="s">
        <v>42</v>
      </c>
      <c r="E165" s="315"/>
      <c r="F165" s="6"/>
      <c r="G165" s="6"/>
      <c r="H165" s="6"/>
      <c r="I165" s="6"/>
      <c r="J165" s="6"/>
      <c r="K165" s="6"/>
    </row>
    <row r="166" spans="2:11" ht="15.75" thickBot="1" x14ac:dyDescent="0.3">
      <c r="B166" s="1805"/>
      <c r="C166" s="94"/>
      <c r="D166" s="41" t="s">
        <v>43</v>
      </c>
      <c r="E166" s="315"/>
      <c r="F166" s="6"/>
      <c r="G166" s="6"/>
      <c r="H166" s="6"/>
      <c r="I166" s="6"/>
      <c r="J166" s="6"/>
      <c r="K166" s="6"/>
    </row>
    <row r="167" spans="2:11" ht="15.75" thickBot="1" x14ac:dyDescent="0.3">
      <c r="B167" s="1805"/>
      <c r="C167" s="94"/>
      <c r="D167" s="41" t="s">
        <v>44</v>
      </c>
      <c r="E167" s="315"/>
      <c r="F167" s="6"/>
      <c r="G167" s="6"/>
      <c r="H167" s="6"/>
      <c r="I167" s="6"/>
      <c r="J167" s="6"/>
      <c r="K167" s="6"/>
    </row>
    <row r="168" spans="2:11" ht="15.75" thickBot="1" x14ac:dyDescent="0.3">
      <c r="B168" s="1806"/>
      <c r="C168" s="3"/>
      <c r="D168" s="41" t="s">
        <v>45</v>
      </c>
      <c r="E168" s="315"/>
      <c r="F168" s="6"/>
      <c r="G168" s="6"/>
      <c r="H168" s="6"/>
      <c r="I168" s="6"/>
      <c r="J168" s="6"/>
      <c r="K168" s="6"/>
    </row>
    <row r="169" spans="2:11" ht="15.75" thickBot="1" x14ac:dyDescent="0.3">
      <c r="B169" s="2"/>
      <c r="C169" s="76"/>
      <c r="D169" s="6"/>
      <c r="E169" s="6"/>
      <c r="F169" s="6"/>
      <c r="G169" s="6"/>
      <c r="H169" s="6"/>
      <c r="I169" s="6"/>
      <c r="J169" s="6"/>
      <c r="K169" s="6"/>
    </row>
    <row r="170" spans="2:11" ht="15" customHeight="1" thickBot="1" x14ac:dyDescent="0.3">
      <c r="B170" s="125" t="s">
        <v>49</v>
      </c>
      <c r="C170" s="126"/>
      <c r="D170" s="126"/>
      <c r="E170" s="127"/>
      <c r="F170" s="6"/>
      <c r="G170" s="6"/>
      <c r="H170" s="6"/>
      <c r="I170" s="6"/>
      <c r="J170" s="6"/>
      <c r="K170" s="6"/>
    </row>
    <row r="171" spans="2:11" ht="24.75" thickBot="1" x14ac:dyDescent="0.3">
      <c r="B171" s="47" t="s">
        <v>50</v>
      </c>
      <c r="C171" s="41" t="s">
        <v>51</v>
      </c>
      <c r="D171" s="41" t="s">
        <v>52</v>
      </c>
      <c r="E171" s="41" t="s">
        <v>53</v>
      </c>
      <c r="F171" s="6"/>
      <c r="G171" s="6"/>
      <c r="H171" s="6"/>
      <c r="I171" s="6"/>
      <c r="J171" s="6"/>
    </row>
    <row r="172" spans="2:11" ht="72.75" thickBot="1" x14ac:dyDescent="0.3">
      <c r="B172" s="49">
        <v>42401</v>
      </c>
      <c r="C172" s="41">
        <v>0.01</v>
      </c>
      <c r="D172" s="50" t="s">
        <v>478</v>
      </c>
      <c r="E172" s="41"/>
      <c r="F172" s="6"/>
      <c r="G172" s="6"/>
      <c r="H172" s="6"/>
      <c r="I172" s="6"/>
      <c r="J172" s="6"/>
    </row>
    <row r="173" spans="2:11" ht="15.75" thickBot="1" x14ac:dyDescent="0.3">
      <c r="B173" s="2"/>
      <c r="C173" s="76"/>
      <c r="D173" s="6"/>
      <c r="E173" s="6"/>
      <c r="F173" s="6"/>
      <c r="G173" s="6"/>
      <c r="H173" s="6"/>
      <c r="I173" s="6"/>
      <c r="J173" s="6"/>
      <c r="K173" s="6"/>
    </row>
    <row r="174" spans="2:11" x14ac:dyDescent="0.25">
      <c r="B174" s="135" t="s">
        <v>55</v>
      </c>
      <c r="C174" s="96"/>
      <c r="D174" s="6"/>
      <c r="E174" s="6"/>
      <c r="F174" s="6"/>
      <c r="G174" s="6"/>
      <c r="H174" s="6"/>
      <c r="I174" s="6"/>
      <c r="J174" s="6"/>
      <c r="K174" s="6"/>
    </row>
    <row r="175" spans="2:11" ht="14.45" customHeight="1" x14ac:dyDescent="0.25">
      <c r="B175" s="1868" t="s">
        <v>479</v>
      </c>
      <c r="C175" s="1869"/>
      <c r="D175" s="1869"/>
      <c r="E175" s="1869"/>
      <c r="F175" s="1869"/>
      <c r="G175" s="1870"/>
      <c r="H175" s="6"/>
      <c r="I175" s="6"/>
      <c r="J175" s="6"/>
      <c r="K175" s="6"/>
    </row>
    <row r="176" spans="2:11" x14ac:dyDescent="0.25">
      <c r="B176" s="1871"/>
      <c r="C176" s="1872"/>
      <c r="D176" s="1872"/>
      <c r="E176" s="1872"/>
      <c r="F176" s="1872"/>
      <c r="G176" s="1873"/>
      <c r="H176" s="6"/>
      <c r="I176" s="6"/>
      <c r="J176" s="6"/>
      <c r="K176" s="6"/>
    </row>
    <row r="177" spans="2:11" x14ac:dyDescent="0.25">
      <c r="B177" s="168"/>
      <c r="C177" s="169"/>
      <c r="D177" s="169"/>
      <c r="E177" s="169"/>
      <c r="F177" s="169"/>
      <c r="G177" s="170"/>
      <c r="H177" s="6"/>
      <c r="I177" s="6"/>
      <c r="J177" s="6"/>
      <c r="K177" s="6"/>
    </row>
    <row r="178" spans="2:11" ht="15.75" thickBot="1" x14ac:dyDescent="0.3">
      <c r="B178" s="6"/>
      <c r="D178" s="6"/>
      <c r="E178" s="6"/>
      <c r="F178" s="6"/>
      <c r="G178" s="6"/>
      <c r="H178" s="6"/>
      <c r="I178" s="6"/>
      <c r="J178" s="6"/>
      <c r="K178" s="6"/>
    </row>
    <row r="179" spans="2:11" ht="15.75" thickBot="1" x14ac:dyDescent="0.3">
      <c r="B179" s="1807" t="s">
        <v>450</v>
      </c>
      <c r="C179" s="1808"/>
      <c r="D179" s="1809"/>
      <c r="E179" s="6"/>
      <c r="F179" s="6"/>
      <c r="G179" s="6"/>
      <c r="H179" s="6"/>
      <c r="I179" s="6"/>
      <c r="J179" s="6"/>
      <c r="K179" s="6"/>
    </row>
    <row r="180" spans="2:11" ht="108.75" thickBot="1" x14ac:dyDescent="0.3">
      <c r="B180" s="47" t="s">
        <v>57</v>
      </c>
      <c r="C180" s="3"/>
      <c r="D180" s="41" t="s">
        <v>451</v>
      </c>
      <c r="E180" s="6"/>
      <c r="F180" s="6"/>
      <c r="G180" s="6"/>
      <c r="H180" s="6"/>
      <c r="I180" s="6"/>
      <c r="J180" s="6"/>
      <c r="K180" s="6"/>
    </row>
    <row r="181" spans="2:11" x14ac:dyDescent="0.25">
      <c r="B181" s="1804" t="s">
        <v>59</v>
      </c>
      <c r="C181" s="94"/>
      <c r="D181" s="53" t="s">
        <v>60</v>
      </c>
      <c r="E181" s="6"/>
      <c r="F181" s="6"/>
      <c r="G181" s="6"/>
      <c r="H181" s="6"/>
      <c r="I181" s="6"/>
      <c r="J181" s="6"/>
      <c r="K181" s="6"/>
    </row>
    <row r="182" spans="2:11" ht="120" x14ac:dyDescent="0.25">
      <c r="B182" s="1805"/>
      <c r="C182" s="94"/>
      <c r="D182" s="46" t="s">
        <v>452</v>
      </c>
      <c r="E182" s="6"/>
      <c r="F182" s="6"/>
      <c r="G182" s="6"/>
      <c r="H182" s="6"/>
      <c r="I182" s="6"/>
      <c r="J182" s="6"/>
      <c r="K182" s="6"/>
    </row>
    <row r="183" spans="2:11" x14ac:dyDescent="0.25">
      <c r="B183" s="1805"/>
      <c r="C183" s="94"/>
      <c r="D183" s="53" t="s">
        <v>63</v>
      </c>
      <c r="E183" s="6"/>
      <c r="F183" s="6"/>
      <c r="G183" s="6"/>
      <c r="H183" s="6"/>
      <c r="I183" s="6"/>
      <c r="J183" s="6"/>
      <c r="K183" s="6"/>
    </row>
    <row r="184" spans="2:11" x14ac:dyDescent="0.25">
      <c r="B184" s="1805"/>
      <c r="C184" s="94"/>
      <c r="D184" s="46" t="s">
        <v>65</v>
      </c>
      <c r="E184" s="6"/>
      <c r="F184" s="6"/>
      <c r="G184" s="6"/>
      <c r="H184" s="6"/>
      <c r="I184" s="6"/>
      <c r="J184" s="6"/>
      <c r="K184" s="6"/>
    </row>
    <row r="185" spans="2:11" x14ac:dyDescent="0.25">
      <c r="B185" s="1805"/>
      <c r="C185" s="94"/>
      <c r="D185" s="53" t="s">
        <v>288</v>
      </c>
      <c r="E185" s="6"/>
      <c r="F185" s="6"/>
      <c r="G185" s="6"/>
      <c r="H185" s="6"/>
      <c r="I185" s="6"/>
      <c r="J185" s="6"/>
      <c r="K185" s="6"/>
    </row>
    <row r="186" spans="2:11" ht="36.75" thickBot="1" x14ac:dyDescent="0.3">
      <c r="B186" s="1806"/>
      <c r="C186" s="3"/>
      <c r="D186" s="41" t="s">
        <v>453</v>
      </c>
      <c r="E186" s="6"/>
      <c r="F186" s="6"/>
      <c r="G186" s="6"/>
      <c r="H186" s="6"/>
      <c r="I186" s="6"/>
      <c r="J186" s="6"/>
      <c r="K186" s="6"/>
    </row>
    <row r="187" spans="2:11" x14ac:dyDescent="0.25">
      <c r="B187" s="1804" t="s">
        <v>72</v>
      </c>
      <c r="C187" s="99"/>
      <c r="D187" s="1804"/>
      <c r="E187" s="6"/>
      <c r="F187" s="6"/>
      <c r="G187" s="6"/>
      <c r="H187" s="6"/>
      <c r="I187" s="6"/>
      <c r="J187" s="6"/>
      <c r="K187" s="6"/>
    </row>
    <row r="188" spans="2:11" ht="15.75" thickBot="1" x14ac:dyDescent="0.3">
      <c r="B188" s="1806"/>
      <c r="C188" s="100"/>
      <c r="D188" s="1806"/>
      <c r="E188" s="6"/>
      <c r="F188" s="6"/>
      <c r="G188" s="6"/>
      <c r="H188" s="6"/>
      <c r="I188" s="6"/>
      <c r="J188" s="6"/>
      <c r="K188" s="6"/>
    </row>
    <row r="189" spans="2:11" ht="108" x14ac:dyDescent="0.25">
      <c r="B189" s="1804" t="s">
        <v>73</v>
      </c>
      <c r="C189" s="94"/>
      <c r="D189" s="46" t="s">
        <v>356</v>
      </c>
      <c r="E189" s="6"/>
      <c r="F189" s="6"/>
      <c r="G189" s="6"/>
      <c r="H189" s="6"/>
      <c r="I189" s="6"/>
      <c r="J189" s="6"/>
      <c r="K189" s="6"/>
    </row>
    <row r="190" spans="2:11" ht="144" x14ac:dyDescent="0.25">
      <c r="B190" s="1805"/>
      <c r="C190" s="94"/>
      <c r="D190" s="46" t="s">
        <v>357</v>
      </c>
      <c r="E190" s="6"/>
      <c r="F190" s="6"/>
      <c r="G190" s="6"/>
      <c r="H190" s="6"/>
      <c r="I190" s="6"/>
      <c r="J190" s="6"/>
      <c r="K190" s="6"/>
    </row>
    <row r="191" spans="2:11" ht="72" x14ac:dyDescent="0.25">
      <c r="B191" s="1805"/>
      <c r="C191" s="94"/>
      <c r="D191" s="46" t="s">
        <v>359</v>
      </c>
      <c r="E191" s="6"/>
      <c r="F191" s="6"/>
      <c r="G191" s="6"/>
      <c r="H191" s="6"/>
      <c r="I191" s="6"/>
      <c r="J191" s="6"/>
      <c r="K191" s="6"/>
    </row>
    <row r="192" spans="2:11" ht="36" x14ac:dyDescent="0.25">
      <c r="B192" s="1805"/>
      <c r="C192" s="94"/>
      <c r="D192" s="46" t="s">
        <v>454</v>
      </c>
      <c r="E192" s="6"/>
      <c r="F192" s="6"/>
      <c r="G192" s="6"/>
      <c r="H192" s="6"/>
      <c r="I192" s="6"/>
      <c r="J192" s="6"/>
      <c r="K192" s="6"/>
    </row>
    <row r="193" spans="2:11" ht="192.75" thickBot="1" x14ac:dyDescent="0.3">
      <c r="B193" s="1806"/>
      <c r="C193" s="3"/>
      <c r="D193" s="41" t="s">
        <v>455</v>
      </c>
      <c r="E193" s="6"/>
      <c r="F193" s="6"/>
      <c r="G193" s="6"/>
      <c r="H193" s="6"/>
      <c r="I193" s="6"/>
      <c r="J193" s="6"/>
      <c r="K193" s="6"/>
    </row>
    <row r="194" spans="2:11" ht="24" x14ac:dyDescent="0.25">
      <c r="B194" s="1804" t="s">
        <v>90</v>
      </c>
      <c r="C194" s="94"/>
      <c r="D194" s="53" t="s">
        <v>456</v>
      </c>
      <c r="E194" s="6"/>
      <c r="F194" s="6"/>
      <c r="G194" s="6"/>
      <c r="H194" s="6"/>
      <c r="I194" s="6"/>
      <c r="J194" s="6"/>
      <c r="K194" s="6"/>
    </row>
    <row r="195" spans="2:11" x14ac:dyDescent="0.25">
      <c r="B195" s="1805"/>
      <c r="C195" s="94"/>
      <c r="D195" s="17"/>
      <c r="E195" s="6"/>
      <c r="F195" s="6"/>
      <c r="G195" s="6"/>
      <c r="H195" s="6"/>
      <c r="I195" s="6"/>
      <c r="J195" s="6"/>
      <c r="K195" s="6"/>
    </row>
    <row r="196" spans="2:11" x14ac:dyDescent="0.25">
      <c r="B196" s="1805"/>
      <c r="C196" s="94"/>
      <c r="D196" s="46" t="s">
        <v>91</v>
      </c>
      <c r="E196" s="6"/>
      <c r="F196" s="6"/>
      <c r="G196" s="6"/>
      <c r="H196" s="6"/>
      <c r="I196" s="6"/>
      <c r="J196" s="6"/>
      <c r="K196" s="6"/>
    </row>
    <row r="197" spans="2:11" ht="37.5" x14ac:dyDescent="0.25">
      <c r="B197" s="1805"/>
      <c r="C197" s="94"/>
      <c r="D197" s="46" t="s">
        <v>457</v>
      </c>
      <c r="E197" s="6"/>
      <c r="F197" s="6"/>
      <c r="G197" s="6"/>
      <c r="H197" s="6"/>
      <c r="I197" s="6"/>
      <c r="J197" s="6"/>
      <c r="K197" s="6"/>
    </row>
    <row r="198" spans="2:11" ht="37.5" x14ac:dyDescent="0.25">
      <c r="B198" s="1805"/>
      <c r="C198" s="94"/>
      <c r="D198" s="46" t="s">
        <v>458</v>
      </c>
      <c r="E198" s="6"/>
      <c r="F198" s="6"/>
      <c r="G198" s="6"/>
      <c r="H198" s="6"/>
      <c r="I198" s="6"/>
      <c r="J198" s="6"/>
      <c r="K198" s="6"/>
    </row>
    <row r="199" spans="2:11" ht="49.5" x14ac:dyDescent="0.25">
      <c r="B199" s="1805"/>
      <c r="C199" s="94"/>
      <c r="D199" s="46" t="s">
        <v>459</v>
      </c>
      <c r="E199" s="6"/>
      <c r="F199" s="6"/>
      <c r="G199" s="6"/>
      <c r="H199" s="6"/>
      <c r="I199" s="6"/>
      <c r="J199" s="6"/>
      <c r="K199" s="6"/>
    </row>
    <row r="200" spans="2:11" x14ac:dyDescent="0.25">
      <c r="B200" s="1805"/>
      <c r="C200" s="94"/>
      <c r="D200" s="53" t="s">
        <v>246</v>
      </c>
      <c r="E200" s="6"/>
      <c r="F200" s="6"/>
      <c r="G200" s="6"/>
      <c r="H200" s="6"/>
      <c r="I200" s="6"/>
      <c r="J200" s="6"/>
      <c r="K200" s="6"/>
    </row>
    <row r="201" spans="2:11" ht="24" x14ac:dyDescent="0.25">
      <c r="B201" s="1805"/>
      <c r="C201" s="94"/>
      <c r="D201" s="53" t="s">
        <v>460</v>
      </c>
      <c r="E201" s="6"/>
      <c r="F201" s="6"/>
      <c r="G201" s="6"/>
      <c r="H201" s="6"/>
      <c r="I201" s="6"/>
      <c r="J201" s="6"/>
      <c r="K201" s="6"/>
    </row>
    <row r="202" spans="2:11" x14ac:dyDescent="0.25">
      <c r="B202" s="1805"/>
      <c r="C202" s="94"/>
      <c r="D202" s="17"/>
      <c r="E202" s="6"/>
      <c r="F202" s="6"/>
      <c r="G202" s="6"/>
      <c r="H202" s="6"/>
      <c r="I202" s="6"/>
      <c r="J202" s="6"/>
      <c r="K202" s="6"/>
    </row>
    <row r="203" spans="2:11" x14ac:dyDescent="0.25">
      <c r="B203" s="1805"/>
      <c r="C203" s="94"/>
      <c r="D203" s="46" t="s">
        <v>91</v>
      </c>
      <c r="E203" s="6"/>
      <c r="F203" s="6"/>
      <c r="G203" s="6"/>
      <c r="H203" s="6"/>
      <c r="I203" s="6"/>
      <c r="J203" s="6"/>
      <c r="K203" s="6"/>
    </row>
    <row r="204" spans="2:11" ht="61.5" x14ac:dyDescent="0.25">
      <c r="B204" s="1805"/>
      <c r="C204" s="94"/>
      <c r="D204" s="46" t="s">
        <v>461</v>
      </c>
      <c r="E204" s="6"/>
      <c r="F204" s="6"/>
      <c r="G204" s="6"/>
      <c r="H204" s="6"/>
      <c r="I204" s="6"/>
      <c r="J204" s="6"/>
      <c r="K204" s="6"/>
    </row>
    <row r="205" spans="2:11" ht="38.25" thickBot="1" x14ac:dyDescent="0.3">
      <c r="B205" s="1806"/>
      <c r="C205" s="3"/>
      <c r="D205" s="41" t="s">
        <v>462</v>
      </c>
      <c r="E205" s="6"/>
      <c r="F205" s="6"/>
      <c r="G205" s="6"/>
      <c r="H205" s="6"/>
      <c r="I205" s="6"/>
      <c r="J205" s="6"/>
      <c r="K205" s="6"/>
    </row>
    <row r="206" spans="2:11" x14ac:dyDescent="0.25">
      <c r="B206" s="6"/>
      <c r="D206" s="6"/>
      <c r="E206" s="6"/>
      <c r="F206" s="6"/>
      <c r="G206" s="6"/>
      <c r="H206" s="6"/>
      <c r="I206" s="6"/>
      <c r="J206" s="6"/>
      <c r="K206" s="6"/>
    </row>
    <row r="207" spans="2:11" x14ac:dyDescent="0.25">
      <c r="B207" s="6"/>
      <c r="D207" s="6"/>
      <c r="E207" s="6"/>
      <c r="F207" s="6"/>
      <c r="G207" s="6"/>
      <c r="H207" s="6"/>
      <c r="I207" s="6"/>
      <c r="J207" s="6"/>
      <c r="K207" s="6"/>
    </row>
    <row r="208" spans="2:11" x14ac:dyDescent="0.25">
      <c r="B208" s="6"/>
      <c r="D208" s="6"/>
      <c r="E208" s="6"/>
      <c r="F208" s="6"/>
      <c r="G208" s="6"/>
      <c r="H208" s="6"/>
      <c r="I208" s="6"/>
      <c r="J208" s="6"/>
      <c r="K208" s="6"/>
    </row>
    <row r="209" spans="2:11" x14ac:dyDescent="0.25">
      <c r="B209" s="6"/>
      <c r="D209" s="6"/>
      <c r="E209" s="6"/>
      <c r="F209" s="6"/>
      <c r="G209" s="6"/>
      <c r="H209" s="6"/>
      <c r="I209" s="6"/>
      <c r="J209" s="6"/>
      <c r="K209" s="6"/>
    </row>
    <row r="210" spans="2:11" x14ac:dyDescent="0.25">
      <c r="B210" s="6"/>
      <c r="D210" s="6"/>
      <c r="E210" s="6"/>
      <c r="F210" s="6"/>
      <c r="G210" s="6"/>
      <c r="H210" s="6"/>
      <c r="I210" s="6"/>
      <c r="J210" s="6"/>
      <c r="K210" s="6"/>
    </row>
    <row r="211" spans="2:11" x14ac:dyDescent="0.25">
      <c r="B211" s="6"/>
      <c r="D211" s="6"/>
      <c r="E211" s="6"/>
      <c r="F211" s="6"/>
      <c r="G211" s="6"/>
      <c r="H211" s="6"/>
      <c r="I211" s="6"/>
      <c r="J211" s="6"/>
      <c r="K211" s="6"/>
    </row>
    <row r="212" spans="2:11" x14ac:dyDescent="0.25">
      <c r="B212" s="6"/>
      <c r="D212" s="6"/>
      <c r="E212" s="6"/>
      <c r="F212" s="6"/>
      <c r="G212" s="6"/>
      <c r="H212" s="6"/>
      <c r="I212" s="6"/>
      <c r="J212" s="6"/>
      <c r="K212" s="6"/>
    </row>
    <row r="213" spans="2:11" x14ac:dyDescent="0.25">
      <c r="B213" s="6"/>
      <c r="D213" s="6"/>
      <c r="E213" s="6"/>
      <c r="F213" s="6"/>
      <c r="G213" s="6"/>
      <c r="H213" s="6"/>
      <c r="I213" s="6"/>
      <c r="J213" s="6"/>
      <c r="K213" s="6"/>
    </row>
    <row r="214" spans="2:11" x14ac:dyDescent="0.25">
      <c r="B214" s="6"/>
      <c r="D214" s="6"/>
      <c r="E214" s="6"/>
      <c r="F214" s="6"/>
      <c r="G214" s="6"/>
      <c r="H214" s="6"/>
      <c r="I214" s="6"/>
      <c r="J214" s="6"/>
      <c r="K214" s="6"/>
    </row>
    <row r="215" spans="2:11" x14ac:dyDescent="0.25">
      <c r="B215" s="6"/>
      <c r="D215" s="6"/>
      <c r="E215" s="6"/>
      <c r="F215" s="6"/>
      <c r="G215" s="6"/>
      <c r="H215" s="6"/>
      <c r="I215" s="6"/>
      <c r="J215" s="6"/>
      <c r="K215" s="6"/>
    </row>
    <row r="216" spans="2:11" x14ac:dyDescent="0.25">
      <c r="B216" s="6"/>
      <c r="D216" s="6"/>
      <c r="E216" s="6"/>
      <c r="F216" s="6"/>
      <c r="G216" s="6"/>
      <c r="H216" s="6"/>
      <c r="I216" s="6"/>
      <c r="J216" s="6"/>
      <c r="K216" s="6"/>
    </row>
    <row r="217" spans="2:11" x14ac:dyDescent="0.25">
      <c r="B217" s="6"/>
      <c r="D217" s="6"/>
      <c r="E217" s="6"/>
      <c r="F217" s="6"/>
      <c r="G217" s="6"/>
      <c r="H217" s="6"/>
      <c r="I217" s="6"/>
      <c r="J217" s="6"/>
      <c r="K217" s="6"/>
    </row>
    <row r="218" spans="2:11" x14ac:dyDescent="0.25">
      <c r="B218" s="6"/>
      <c r="D218" s="6"/>
      <c r="E218" s="6"/>
      <c r="F218" s="6"/>
      <c r="G218" s="6"/>
      <c r="H218" s="6"/>
      <c r="I218" s="6"/>
      <c r="J218" s="6"/>
      <c r="K218" s="6"/>
    </row>
    <row r="219" spans="2:11" x14ac:dyDescent="0.25">
      <c r="B219" s="6"/>
      <c r="D219" s="6"/>
      <c r="E219" s="6"/>
      <c r="F219" s="6"/>
      <c r="G219" s="6"/>
      <c r="H219" s="6"/>
      <c r="I219" s="6"/>
      <c r="J219" s="6"/>
      <c r="K219" s="6"/>
    </row>
    <row r="220" spans="2:11" x14ac:dyDescent="0.25">
      <c r="B220" s="6"/>
      <c r="D220" s="6"/>
      <c r="E220" s="6"/>
      <c r="F220" s="6"/>
      <c r="G220" s="6"/>
      <c r="H220" s="6"/>
      <c r="I220" s="6"/>
      <c r="J220" s="6"/>
      <c r="K220" s="6"/>
    </row>
    <row r="221" spans="2:11" x14ac:dyDescent="0.25">
      <c r="B221" s="6"/>
      <c r="D221" s="6"/>
      <c r="E221" s="6"/>
      <c r="F221" s="6"/>
      <c r="G221" s="6"/>
      <c r="H221" s="6"/>
      <c r="I221" s="6"/>
      <c r="J221" s="6"/>
      <c r="K221" s="6"/>
    </row>
    <row r="222" spans="2:11" x14ac:dyDescent="0.25">
      <c r="B222" s="6"/>
      <c r="D222" s="6"/>
      <c r="E222" s="6"/>
      <c r="F222" s="6"/>
      <c r="G222" s="6"/>
      <c r="H222" s="6"/>
      <c r="I222" s="6"/>
      <c r="J222" s="6"/>
      <c r="K222" s="6"/>
    </row>
    <row r="223" spans="2:11" x14ac:dyDescent="0.25">
      <c r="B223" s="6"/>
      <c r="D223" s="6"/>
      <c r="E223" s="6"/>
      <c r="F223" s="6"/>
      <c r="G223" s="6"/>
      <c r="H223" s="6"/>
      <c r="I223" s="6"/>
      <c r="J223" s="6"/>
      <c r="K223" s="6"/>
    </row>
    <row r="224" spans="2:11" x14ac:dyDescent="0.25">
      <c r="B224" s="6"/>
      <c r="D224" s="6"/>
      <c r="E224" s="6"/>
      <c r="F224" s="6"/>
      <c r="G224" s="6"/>
      <c r="H224" s="6"/>
      <c r="I224" s="6"/>
      <c r="J224" s="6"/>
      <c r="K224" s="6"/>
    </row>
    <row r="225" spans="2:11" x14ac:dyDescent="0.25">
      <c r="B225" s="6"/>
      <c r="D225" s="6"/>
      <c r="E225" s="6"/>
      <c r="F225" s="6"/>
      <c r="G225" s="6"/>
      <c r="H225" s="6"/>
      <c r="I225" s="6"/>
      <c r="J225" s="6"/>
      <c r="K225" s="6"/>
    </row>
    <row r="226" spans="2:11" x14ac:dyDescent="0.25">
      <c r="B226" s="6"/>
      <c r="D226" s="6"/>
      <c r="E226" s="6"/>
      <c r="F226" s="6"/>
      <c r="G226" s="6"/>
      <c r="H226" s="6"/>
      <c r="I226" s="6"/>
      <c r="J226" s="6"/>
      <c r="K226" s="6"/>
    </row>
    <row r="227" spans="2:11" x14ac:dyDescent="0.25">
      <c r="B227" s="6"/>
      <c r="D227" s="6"/>
      <c r="E227" s="6"/>
      <c r="F227" s="6"/>
      <c r="G227" s="6"/>
      <c r="H227" s="6"/>
      <c r="I227" s="6"/>
      <c r="J227" s="6"/>
      <c r="K227" s="6"/>
    </row>
    <row r="228" spans="2:11" x14ac:dyDescent="0.25">
      <c r="B228" s="6"/>
      <c r="D228" s="6"/>
      <c r="E228" s="6"/>
      <c r="F228" s="6"/>
      <c r="G228" s="6"/>
      <c r="H228" s="6"/>
      <c r="I228" s="6"/>
      <c r="J228" s="6"/>
      <c r="K228" s="6"/>
    </row>
    <row r="229" spans="2:11" x14ac:dyDescent="0.25">
      <c r="B229" s="6"/>
      <c r="D229" s="6"/>
      <c r="E229" s="6"/>
      <c r="F229" s="6"/>
      <c r="G229" s="6"/>
      <c r="H229" s="6"/>
      <c r="I229" s="6"/>
      <c r="J229" s="6"/>
      <c r="K229" s="6"/>
    </row>
    <row r="230" spans="2:11" x14ac:dyDescent="0.25">
      <c r="B230" s="6"/>
      <c r="D230" s="6"/>
      <c r="E230" s="6"/>
      <c r="F230" s="6"/>
      <c r="G230" s="6"/>
      <c r="H230" s="6"/>
      <c r="I230" s="6"/>
      <c r="J230" s="6"/>
      <c r="K230" s="6"/>
    </row>
    <row r="231" spans="2:11" x14ac:dyDescent="0.25">
      <c r="B231" s="6"/>
      <c r="D231" s="6"/>
      <c r="E231" s="6"/>
      <c r="F231" s="6"/>
      <c r="G231" s="6"/>
      <c r="H231" s="6"/>
      <c r="I231" s="6"/>
      <c r="J231" s="6"/>
      <c r="K231" s="6"/>
    </row>
    <row r="232" spans="2:11" x14ac:dyDescent="0.25">
      <c r="B232" s="6"/>
      <c r="D232" s="6"/>
      <c r="E232" s="6"/>
      <c r="F232" s="6"/>
      <c r="G232" s="6"/>
      <c r="H232" s="6"/>
      <c r="I232" s="6"/>
      <c r="J232" s="6"/>
      <c r="K232" s="6"/>
    </row>
    <row r="233" spans="2:11" x14ac:dyDescent="0.25">
      <c r="B233" s="6"/>
      <c r="D233" s="6"/>
      <c r="E233" s="6"/>
      <c r="F233" s="6"/>
      <c r="G233" s="6"/>
      <c r="H233" s="6"/>
      <c r="I233" s="6"/>
      <c r="J233" s="6"/>
      <c r="K233" s="6"/>
    </row>
    <row r="234" spans="2:11" x14ac:dyDescent="0.25">
      <c r="B234" s="6"/>
      <c r="D234" s="6"/>
      <c r="E234" s="6"/>
      <c r="F234" s="6"/>
      <c r="G234" s="6"/>
      <c r="H234" s="6"/>
      <c r="I234" s="6"/>
      <c r="J234" s="6"/>
      <c r="K234" s="6"/>
    </row>
    <row r="235" spans="2:11" x14ac:dyDescent="0.25">
      <c r="B235" s="6"/>
      <c r="D235" s="6"/>
      <c r="E235" s="6"/>
      <c r="F235" s="6"/>
      <c r="G235" s="6"/>
      <c r="H235" s="6"/>
      <c r="I235" s="6"/>
      <c r="J235" s="6"/>
      <c r="K235" s="6"/>
    </row>
    <row r="236" spans="2:11" x14ac:dyDescent="0.25">
      <c r="B236" s="6"/>
      <c r="D236" s="6"/>
      <c r="E236" s="6"/>
      <c r="F236" s="6"/>
      <c r="G236" s="6"/>
      <c r="H236" s="6"/>
      <c r="I236" s="6"/>
      <c r="J236" s="6"/>
      <c r="K236" s="6"/>
    </row>
    <row r="237" spans="2:11" x14ac:dyDescent="0.25">
      <c r="B237" s="6"/>
      <c r="D237" s="6"/>
      <c r="E237" s="6"/>
      <c r="F237" s="6"/>
      <c r="G237" s="6"/>
      <c r="H237" s="6"/>
      <c r="I237" s="6"/>
      <c r="J237" s="6"/>
      <c r="K237" s="6"/>
    </row>
    <row r="238" spans="2:11" x14ac:dyDescent="0.25">
      <c r="B238" s="6"/>
      <c r="D238" s="6"/>
      <c r="E238" s="6"/>
      <c r="F238" s="6"/>
      <c r="G238" s="6"/>
      <c r="H238" s="6"/>
      <c r="I238" s="6"/>
      <c r="J238" s="6"/>
      <c r="K238" s="6"/>
    </row>
    <row r="239" spans="2:11" x14ac:dyDescent="0.25">
      <c r="B239" s="6"/>
      <c r="D239" s="6"/>
      <c r="E239" s="6"/>
      <c r="F239" s="6"/>
      <c r="G239" s="6"/>
      <c r="H239" s="6"/>
      <c r="I239" s="6"/>
      <c r="J239" s="6"/>
      <c r="K239" s="6"/>
    </row>
    <row r="240" spans="2:11" x14ac:dyDescent="0.25">
      <c r="B240" s="6"/>
      <c r="D240" s="6"/>
      <c r="E240" s="6"/>
      <c r="F240" s="6"/>
      <c r="G240" s="6"/>
      <c r="H240" s="6"/>
      <c r="I240" s="6"/>
      <c r="J240" s="6"/>
      <c r="K240" s="6"/>
    </row>
    <row r="241" spans="2:11" x14ac:dyDescent="0.25">
      <c r="B241" s="6"/>
      <c r="D241" s="6"/>
      <c r="E241" s="6"/>
      <c r="F241" s="6"/>
      <c r="G241" s="6"/>
      <c r="H241" s="6"/>
      <c r="I241" s="6"/>
      <c r="J241" s="6"/>
      <c r="K241" s="6"/>
    </row>
    <row r="242" spans="2:11" x14ac:dyDescent="0.25">
      <c r="B242" s="6"/>
      <c r="D242" s="6"/>
      <c r="E242" s="6"/>
      <c r="F242" s="6"/>
      <c r="G242" s="6"/>
      <c r="H242" s="6"/>
      <c r="I242" s="6"/>
      <c r="J242" s="6"/>
      <c r="K242" s="6"/>
    </row>
    <row r="243" spans="2:11" x14ac:dyDescent="0.25">
      <c r="B243" s="6"/>
      <c r="D243" s="6"/>
      <c r="E243" s="6"/>
      <c r="F243" s="6"/>
      <c r="G243" s="6"/>
      <c r="H243" s="6"/>
      <c r="I243" s="6"/>
      <c r="J243" s="6"/>
      <c r="K243" s="6"/>
    </row>
    <row r="244" spans="2:11" x14ac:dyDescent="0.25">
      <c r="B244" s="6"/>
      <c r="D244" s="6"/>
      <c r="E244" s="6"/>
      <c r="F244" s="6"/>
      <c r="G244" s="6"/>
      <c r="H244" s="6"/>
      <c r="I244" s="6"/>
      <c r="J244" s="6"/>
      <c r="K244" s="6"/>
    </row>
    <row r="245" spans="2:11" x14ac:dyDescent="0.25">
      <c r="B245" s="6"/>
      <c r="D245" s="6"/>
      <c r="E245" s="6"/>
      <c r="F245" s="6"/>
      <c r="G245" s="6"/>
      <c r="H245" s="6"/>
      <c r="I245" s="6"/>
      <c r="J245" s="6"/>
      <c r="K245" s="6"/>
    </row>
    <row r="246" spans="2:11" x14ac:dyDescent="0.25">
      <c r="B246" s="6"/>
      <c r="D246" s="6"/>
      <c r="E246" s="6"/>
      <c r="F246" s="6"/>
      <c r="G246" s="6"/>
      <c r="H246" s="6"/>
      <c r="I246" s="6"/>
      <c r="J246" s="6"/>
      <c r="K246" s="6"/>
    </row>
    <row r="247" spans="2:11" x14ac:dyDescent="0.25">
      <c r="B247" s="6"/>
      <c r="D247" s="6"/>
      <c r="E247" s="6"/>
      <c r="F247" s="6"/>
      <c r="G247" s="6"/>
      <c r="H247" s="6"/>
      <c r="I247" s="6"/>
      <c r="J247" s="6"/>
      <c r="K247" s="6"/>
    </row>
    <row r="248" spans="2:11" x14ac:dyDescent="0.25">
      <c r="B248" s="6"/>
      <c r="D248" s="6"/>
      <c r="E248" s="6"/>
      <c r="F248" s="6"/>
      <c r="G248" s="6"/>
      <c r="H248" s="6"/>
      <c r="I248" s="6"/>
      <c r="J248" s="6"/>
      <c r="K248" s="6"/>
    </row>
    <row r="249" spans="2:11" x14ac:dyDescent="0.25">
      <c r="B249" s="6"/>
      <c r="D249" s="6"/>
      <c r="E249" s="6"/>
      <c r="F249" s="6"/>
      <c r="G249" s="6"/>
      <c r="H249" s="6"/>
      <c r="I249" s="6"/>
      <c r="J249" s="6"/>
      <c r="K249" s="6"/>
    </row>
    <row r="250" spans="2:11" x14ac:dyDescent="0.25">
      <c r="B250" s="6"/>
      <c r="D250" s="6"/>
      <c r="E250" s="6"/>
      <c r="F250" s="6"/>
      <c r="G250" s="6"/>
      <c r="H250" s="6"/>
      <c r="I250" s="6"/>
      <c r="J250" s="6"/>
      <c r="K250" s="6"/>
    </row>
    <row r="251" spans="2:11" x14ac:dyDescent="0.25">
      <c r="B251" s="6"/>
      <c r="D251" s="6"/>
      <c r="E251" s="6"/>
      <c r="F251" s="6"/>
      <c r="G251" s="6"/>
      <c r="H251" s="6"/>
      <c r="I251" s="6"/>
      <c r="J251" s="6"/>
      <c r="K251" s="6"/>
    </row>
    <row r="252" spans="2:11" x14ac:dyDescent="0.25">
      <c r="B252" s="6"/>
      <c r="D252" s="6"/>
      <c r="E252" s="6"/>
      <c r="F252" s="6"/>
      <c r="G252" s="6"/>
      <c r="H252" s="6"/>
      <c r="I252" s="6"/>
      <c r="J252" s="6"/>
      <c r="K252" s="6"/>
    </row>
    <row r="253" spans="2:11" x14ac:dyDescent="0.25">
      <c r="B253" s="6"/>
      <c r="D253" s="6"/>
      <c r="E253" s="6"/>
      <c r="F253" s="6"/>
      <c r="G253" s="6"/>
      <c r="H253" s="6"/>
      <c r="I253" s="6"/>
      <c r="J253" s="6"/>
      <c r="K253" s="6"/>
    </row>
    <row r="254" spans="2:11" x14ac:dyDescent="0.25">
      <c r="B254" s="6"/>
      <c r="D254" s="6"/>
      <c r="E254" s="6"/>
      <c r="F254" s="6"/>
      <c r="G254" s="6"/>
      <c r="H254" s="6"/>
      <c r="I254" s="6"/>
      <c r="J254" s="6"/>
      <c r="K254" s="6"/>
    </row>
    <row r="255" spans="2:11" x14ac:dyDescent="0.25">
      <c r="B255" s="6"/>
      <c r="D255" s="6"/>
      <c r="E255" s="6"/>
      <c r="F255" s="6"/>
      <c r="G255" s="6"/>
      <c r="H255" s="6"/>
      <c r="I255" s="6"/>
      <c r="J255" s="6"/>
      <c r="K255" s="6"/>
    </row>
    <row r="256" spans="2:11" x14ac:dyDescent="0.25">
      <c r="B256" s="6"/>
      <c r="D256" s="6"/>
      <c r="E256" s="6"/>
      <c r="F256" s="6"/>
      <c r="G256" s="6"/>
      <c r="H256" s="6"/>
      <c r="I256" s="6"/>
      <c r="J256" s="6"/>
      <c r="K256" s="6"/>
    </row>
    <row r="257" spans="2:11" x14ac:dyDescent="0.25">
      <c r="B257" s="6"/>
      <c r="D257" s="6"/>
      <c r="E257" s="6"/>
      <c r="F257" s="6"/>
      <c r="G257" s="6"/>
      <c r="H257" s="6"/>
      <c r="I257" s="6"/>
      <c r="J257" s="6"/>
      <c r="K257" s="6"/>
    </row>
    <row r="258" spans="2:11" x14ac:dyDescent="0.25">
      <c r="B258" s="6"/>
      <c r="D258" s="6"/>
      <c r="E258" s="6"/>
      <c r="F258" s="6"/>
      <c r="G258" s="6"/>
      <c r="H258" s="6"/>
      <c r="I258" s="6"/>
      <c r="J258" s="6"/>
      <c r="K258" s="6"/>
    </row>
    <row r="259" spans="2:11" x14ac:dyDescent="0.25">
      <c r="B259" s="6"/>
      <c r="D259" s="6"/>
      <c r="E259" s="6"/>
      <c r="F259" s="6"/>
      <c r="G259" s="6"/>
      <c r="H259" s="6"/>
      <c r="I259" s="6"/>
      <c r="J259" s="6"/>
      <c r="K259" s="6"/>
    </row>
    <row r="260" spans="2:11" x14ac:dyDescent="0.25">
      <c r="B260" s="6"/>
      <c r="D260" s="6"/>
      <c r="E260" s="6"/>
      <c r="F260" s="6"/>
      <c r="G260" s="6"/>
      <c r="H260" s="6"/>
      <c r="I260" s="6"/>
      <c r="J260" s="6"/>
      <c r="K260" s="6"/>
    </row>
    <row r="261" spans="2:11" x14ac:dyDescent="0.25">
      <c r="B261" s="6"/>
      <c r="D261" s="6"/>
      <c r="E261" s="6"/>
      <c r="F261" s="6"/>
      <c r="G261" s="6"/>
      <c r="H261" s="6"/>
      <c r="I261" s="6"/>
      <c r="J261" s="6"/>
      <c r="K261" s="6"/>
    </row>
    <row r="262" spans="2:11" x14ac:dyDescent="0.25">
      <c r="B262" s="6"/>
      <c r="D262" s="6"/>
      <c r="E262" s="6"/>
      <c r="F262" s="6"/>
      <c r="G262" s="6"/>
      <c r="H262" s="6"/>
      <c r="I262" s="6"/>
      <c r="J262" s="6"/>
      <c r="K262" s="6"/>
    </row>
    <row r="263" spans="2:11" x14ac:dyDescent="0.25">
      <c r="B263" s="6"/>
      <c r="D263" s="6"/>
      <c r="E263" s="6"/>
      <c r="F263" s="6"/>
      <c r="G263" s="6"/>
      <c r="H263" s="6"/>
      <c r="I263" s="6"/>
      <c r="J263" s="6"/>
      <c r="K263" s="6"/>
    </row>
    <row r="264" spans="2:11" x14ac:dyDescent="0.25">
      <c r="B264" s="6"/>
      <c r="D264" s="6"/>
      <c r="E264" s="6"/>
      <c r="F264" s="6"/>
      <c r="G264" s="6"/>
      <c r="H264" s="6"/>
      <c r="I264" s="6"/>
      <c r="J264" s="6"/>
      <c r="K264" s="6"/>
    </row>
    <row r="265" spans="2:11" x14ac:dyDescent="0.25">
      <c r="B265" s="6"/>
      <c r="D265" s="6"/>
      <c r="E265" s="6"/>
      <c r="F265" s="6"/>
      <c r="G265" s="6"/>
      <c r="H265" s="6"/>
      <c r="I265" s="6"/>
      <c r="J265" s="6"/>
      <c r="K265" s="6"/>
    </row>
    <row r="266" spans="2:11" x14ac:dyDescent="0.25">
      <c r="B266" s="6"/>
      <c r="D266" s="6"/>
      <c r="E266" s="6"/>
      <c r="F266" s="6"/>
      <c r="G266" s="6"/>
      <c r="H266" s="6"/>
      <c r="I266" s="6"/>
      <c r="J266" s="6"/>
      <c r="K266" s="6"/>
    </row>
    <row r="267" spans="2:11" x14ac:dyDescent="0.25">
      <c r="B267" s="6"/>
      <c r="D267" s="6"/>
      <c r="E267" s="6"/>
      <c r="F267" s="6"/>
      <c r="G267" s="6"/>
      <c r="H267" s="6"/>
      <c r="I267" s="6"/>
      <c r="J267" s="6"/>
      <c r="K267" s="6"/>
    </row>
    <row r="268" spans="2:11" x14ac:dyDescent="0.25">
      <c r="B268" s="6"/>
      <c r="D268" s="6"/>
      <c r="E268" s="6"/>
      <c r="F268" s="6"/>
      <c r="G268" s="6"/>
      <c r="H268" s="6"/>
      <c r="I268" s="6"/>
      <c r="J268" s="6"/>
      <c r="K268" s="6"/>
    </row>
    <row r="269" spans="2:11" x14ac:dyDescent="0.25">
      <c r="B269" s="6"/>
      <c r="D269" s="6"/>
      <c r="E269" s="6"/>
      <c r="F269" s="6"/>
      <c r="G269" s="6"/>
      <c r="H269" s="6"/>
      <c r="I269" s="6"/>
      <c r="J269" s="6"/>
      <c r="K269" s="6"/>
    </row>
    <row r="270" spans="2:11" x14ac:dyDescent="0.25">
      <c r="B270" s="6"/>
      <c r="D270" s="6"/>
      <c r="E270" s="6"/>
      <c r="F270" s="6"/>
      <c r="G270" s="6"/>
      <c r="H270" s="6"/>
      <c r="I270" s="6"/>
      <c r="J270" s="6"/>
      <c r="K270" s="6"/>
    </row>
    <row r="271" spans="2:11" x14ac:dyDescent="0.25">
      <c r="B271" s="6"/>
      <c r="D271" s="6"/>
      <c r="E271" s="6"/>
      <c r="F271" s="6"/>
      <c r="G271" s="6"/>
      <c r="H271" s="6"/>
      <c r="I271" s="6"/>
      <c r="J271" s="6"/>
      <c r="K271" s="6"/>
    </row>
    <row r="272" spans="2:11" x14ac:dyDescent="0.25">
      <c r="B272" s="6"/>
      <c r="D272" s="6"/>
      <c r="E272" s="6"/>
      <c r="F272" s="6"/>
      <c r="G272" s="6"/>
      <c r="H272" s="6"/>
      <c r="I272" s="6"/>
      <c r="J272" s="6"/>
      <c r="K272" s="6"/>
    </row>
    <row r="273" spans="2:11" x14ac:dyDescent="0.25">
      <c r="B273" s="6"/>
      <c r="D273" s="6"/>
      <c r="E273" s="6"/>
      <c r="F273" s="6"/>
      <c r="G273" s="6"/>
      <c r="H273" s="6"/>
      <c r="I273" s="6"/>
      <c r="J273" s="6"/>
      <c r="K273" s="6"/>
    </row>
    <row r="274" spans="2:11" x14ac:dyDescent="0.25">
      <c r="B274" s="6"/>
      <c r="D274" s="6"/>
      <c r="E274" s="6"/>
      <c r="F274" s="6"/>
      <c r="G274" s="6"/>
      <c r="H274" s="6"/>
      <c r="I274" s="6"/>
      <c r="J274" s="6"/>
      <c r="K274" s="6"/>
    </row>
    <row r="275" spans="2:11" x14ac:dyDescent="0.25">
      <c r="B275" s="6"/>
      <c r="D275" s="6"/>
      <c r="E275" s="6"/>
      <c r="F275" s="6"/>
      <c r="G275" s="6"/>
      <c r="H275" s="6"/>
      <c r="I275" s="6"/>
      <c r="J275" s="6"/>
      <c r="K275" s="6"/>
    </row>
    <row r="276" spans="2:11" x14ac:dyDescent="0.25">
      <c r="B276" s="6"/>
      <c r="D276" s="6"/>
      <c r="E276" s="6"/>
      <c r="F276" s="6"/>
      <c r="G276" s="6"/>
      <c r="H276" s="6"/>
      <c r="I276" s="6"/>
      <c r="J276" s="6"/>
      <c r="K276" s="6"/>
    </row>
    <row r="277" spans="2:11" x14ac:dyDescent="0.25">
      <c r="B277" s="6"/>
      <c r="D277" s="6"/>
      <c r="E277" s="6"/>
      <c r="F277" s="6"/>
      <c r="G277" s="6"/>
      <c r="H277" s="6"/>
      <c r="I277" s="6"/>
      <c r="J277" s="6"/>
      <c r="K277" s="6"/>
    </row>
    <row r="278" spans="2:11" x14ac:dyDescent="0.25">
      <c r="B278" s="6"/>
      <c r="D278" s="6"/>
      <c r="E278" s="6"/>
      <c r="F278" s="6"/>
      <c r="G278" s="6"/>
      <c r="H278" s="6"/>
      <c r="I278" s="6"/>
      <c r="J278" s="6"/>
      <c r="K278" s="6"/>
    </row>
    <row r="279" spans="2:11" x14ac:dyDescent="0.25">
      <c r="B279" s="6"/>
      <c r="D279" s="6"/>
      <c r="E279" s="6"/>
      <c r="F279" s="6"/>
      <c r="G279" s="6"/>
      <c r="H279" s="6"/>
      <c r="I279" s="6"/>
      <c r="J279" s="6"/>
      <c r="K279" s="6"/>
    </row>
    <row r="280" spans="2:11" x14ac:dyDescent="0.25">
      <c r="B280" s="6"/>
      <c r="D280" s="6"/>
      <c r="E280" s="6"/>
      <c r="F280" s="6"/>
      <c r="G280" s="6"/>
      <c r="H280" s="6"/>
      <c r="I280" s="6"/>
      <c r="J280" s="6"/>
      <c r="K280" s="6"/>
    </row>
    <row r="281" spans="2:11" x14ac:dyDescent="0.25">
      <c r="B281" s="6"/>
      <c r="D281" s="6"/>
      <c r="E281" s="6"/>
      <c r="F281" s="6"/>
      <c r="G281" s="6"/>
      <c r="H281" s="6"/>
      <c r="I281" s="6"/>
      <c r="J281" s="6"/>
      <c r="K281" s="6"/>
    </row>
    <row r="282" spans="2:11" x14ac:dyDescent="0.25">
      <c r="B282" s="6"/>
      <c r="D282" s="6"/>
      <c r="E282" s="6"/>
      <c r="F282" s="6"/>
      <c r="G282" s="6"/>
      <c r="H282" s="6"/>
      <c r="I282" s="6"/>
      <c r="J282" s="6"/>
      <c r="K282" s="6"/>
    </row>
    <row r="283" spans="2:11" x14ac:dyDescent="0.25">
      <c r="B283" s="6"/>
      <c r="D283" s="6"/>
      <c r="E283" s="6"/>
      <c r="F283" s="6"/>
      <c r="G283" s="6"/>
      <c r="H283" s="6"/>
      <c r="I283" s="6"/>
      <c r="J283" s="6"/>
      <c r="K283" s="6"/>
    </row>
    <row r="284" spans="2:11" x14ac:dyDescent="0.25">
      <c r="B284" s="6"/>
      <c r="D284" s="6"/>
      <c r="E284" s="6"/>
      <c r="F284" s="6"/>
      <c r="G284" s="6"/>
      <c r="H284" s="6"/>
      <c r="I284" s="6"/>
      <c r="J284" s="6"/>
      <c r="K284" s="6"/>
    </row>
    <row r="285" spans="2:11" x14ac:dyDescent="0.25">
      <c r="B285" s="6"/>
      <c r="D285" s="6"/>
      <c r="E285" s="6"/>
      <c r="F285" s="6"/>
      <c r="G285" s="6"/>
      <c r="H285" s="6"/>
      <c r="I285" s="6"/>
      <c r="J285" s="6"/>
      <c r="K285" s="6"/>
    </row>
    <row r="286" spans="2:11" x14ac:dyDescent="0.25">
      <c r="B286" s="6"/>
      <c r="D286" s="6"/>
      <c r="E286" s="6"/>
      <c r="F286" s="6"/>
      <c r="G286" s="6"/>
      <c r="H286" s="6"/>
      <c r="I286" s="6"/>
      <c r="J286" s="6"/>
      <c r="K286" s="6"/>
    </row>
    <row r="287" spans="2:11" x14ac:dyDescent="0.25">
      <c r="B287" s="6"/>
      <c r="D287" s="6"/>
      <c r="E287" s="6"/>
      <c r="F287" s="6"/>
      <c r="G287" s="6"/>
      <c r="H287" s="6"/>
      <c r="I287" s="6"/>
      <c r="J287" s="6"/>
      <c r="K287" s="6"/>
    </row>
    <row r="288" spans="2:11" x14ac:dyDescent="0.25">
      <c r="B288" s="6"/>
      <c r="D288" s="6"/>
      <c r="E288" s="6"/>
      <c r="F288" s="6"/>
      <c r="G288" s="6"/>
      <c r="H288" s="6"/>
      <c r="I288" s="6"/>
      <c r="J288" s="6"/>
      <c r="K288" s="6"/>
    </row>
    <row r="289" spans="2:11" x14ac:dyDescent="0.25">
      <c r="B289" s="6"/>
      <c r="D289" s="6"/>
      <c r="E289" s="6"/>
      <c r="F289" s="6"/>
      <c r="G289" s="6"/>
      <c r="H289" s="6"/>
      <c r="I289" s="6"/>
      <c r="J289" s="6"/>
      <c r="K289" s="6"/>
    </row>
    <row r="290" spans="2:11" x14ac:dyDescent="0.25">
      <c r="B290" s="6"/>
      <c r="D290" s="6"/>
      <c r="E290" s="6"/>
      <c r="F290" s="6"/>
      <c r="G290" s="6"/>
      <c r="H290" s="6"/>
      <c r="I290" s="6"/>
      <c r="J290" s="6"/>
      <c r="K290" s="6"/>
    </row>
    <row r="291" spans="2:11" x14ac:dyDescent="0.25">
      <c r="B291" s="6"/>
      <c r="D291" s="6"/>
      <c r="E291" s="6"/>
      <c r="F291" s="6"/>
      <c r="G291" s="6"/>
      <c r="H291" s="6"/>
      <c r="I291" s="6"/>
      <c r="J291" s="6"/>
      <c r="K291" s="6"/>
    </row>
    <row r="292" spans="2:11" x14ac:dyDescent="0.25">
      <c r="B292" s="6"/>
      <c r="D292" s="6"/>
      <c r="E292" s="6"/>
      <c r="F292" s="6"/>
      <c r="G292" s="6"/>
      <c r="H292" s="6"/>
      <c r="I292" s="6"/>
      <c r="J292" s="6"/>
      <c r="K292" s="6"/>
    </row>
    <row r="293" spans="2:11" x14ac:dyDescent="0.25">
      <c r="B293" s="6"/>
      <c r="D293" s="6"/>
      <c r="E293" s="6"/>
      <c r="F293" s="6"/>
      <c r="G293" s="6"/>
      <c r="H293" s="6"/>
      <c r="I293" s="6"/>
      <c r="J293" s="6"/>
      <c r="K293" s="6"/>
    </row>
    <row r="294" spans="2:11" x14ac:dyDescent="0.25">
      <c r="B294" s="6"/>
      <c r="D294" s="6"/>
      <c r="E294" s="6"/>
      <c r="F294" s="6"/>
      <c r="G294" s="6"/>
      <c r="H294" s="6"/>
      <c r="I294" s="6"/>
      <c r="J294" s="6"/>
      <c r="K294" s="6"/>
    </row>
    <row r="295" spans="2:11" x14ac:dyDescent="0.25">
      <c r="B295" s="6"/>
      <c r="D295" s="6"/>
      <c r="E295" s="6"/>
      <c r="F295" s="6"/>
      <c r="G295" s="6"/>
      <c r="H295" s="6"/>
      <c r="I295" s="6"/>
      <c r="J295" s="6"/>
      <c r="K295" s="6"/>
    </row>
    <row r="296" spans="2:11" x14ac:dyDescent="0.25">
      <c r="B296" s="6"/>
      <c r="D296" s="6"/>
      <c r="E296" s="6"/>
      <c r="F296" s="6"/>
      <c r="G296" s="6"/>
      <c r="H296" s="6"/>
      <c r="I296" s="6"/>
      <c r="J296" s="6"/>
      <c r="K296" s="6"/>
    </row>
    <row r="297" spans="2:11" x14ac:dyDescent="0.25">
      <c r="B297" s="6"/>
      <c r="D297" s="6"/>
      <c r="E297" s="6"/>
      <c r="F297" s="6"/>
      <c r="G297" s="6"/>
      <c r="H297" s="6"/>
      <c r="I297" s="6"/>
      <c r="J297" s="6"/>
      <c r="K297" s="6"/>
    </row>
  </sheetData>
  <mergeCells count="37">
    <mergeCell ref="B10:D10"/>
    <mergeCell ref="F10:S10"/>
    <mergeCell ref="F11:S11"/>
    <mergeCell ref="E12:R12"/>
    <mergeCell ref="E13:R13"/>
    <mergeCell ref="B15:B24"/>
    <mergeCell ref="L25:L26"/>
    <mergeCell ref="B175:G176"/>
    <mergeCell ref="B194:B205"/>
    <mergeCell ref="B179:D179"/>
    <mergeCell ref="B181:B186"/>
    <mergeCell ref="B187:B188"/>
    <mergeCell ref="D187:D188"/>
    <mergeCell ref="B189:B193"/>
    <mergeCell ref="C25:C26"/>
    <mergeCell ref="D25:D26"/>
    <mergeCell ref="E25:E26"/>
    <mergeCell ref="F25:F26"/>
    <mergeCell ref="G25:G26"/>
    <mergeCell ref="K25:K26"/>
    <mergeCell ref="D15:L15"/>
    <mergeCell ref="D21:L21"/>
    <mergeCell ref="D22:L22"/>
    <mergeCell ref="D23:L23"/>
    <mergeCell ref="D24:L24"/>
    <mergeCell ref="J25:J26"/>
    <mergeCell ref="B162:B168"/>
    <mergeCell ref="D149:L149"/>
    <mergeCell ref="D150:L150"/>
    <mergeCell ref="B152:E152"/>
    <mergeCell ref="B153:B159"/>
    <mergeCell ref="B161:E161"/>
    <mergeCell ref="A1:P1"/>
    <mergeCell ref="A2:P2"/>
    <mergeCell ref="A3:P3"/>
    <mergeCell ref="A4:D4"/>
    <mergeCell ref="A5:P5"/>
  </mergeCells>
  <conditionalFormatting sqref="F10">
    <cfRule type="notContainsBlanks" dxfId="83" priority="4">
      <formula>LEN(TRIM(F10))&gt;0</formula>
    </cfRule>
  </conditionalFormatting>
  <conditionalFormatting sqref="F11:S11">
    <cfRule type="expression" dxfId="82" priority="2">
      <formula>E11="NO SE REPORTA"</formula>
    </cfRule>
    <cfRule type="expression" dxfId="81" priority="3">
      <formula>E10="NO APLICA"</formula>
    </cfRule>
  </conditionalFormatting>
  <conditionalFormatting sqref="E12:R12">
    <cfRule type="expression" dxfId="80"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H144:K147 H135:K135 H27:K103">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157" r:id="rId1"/>
  </hyperlinks>
  <pageMargins left="0.25" right="0.25" top="0.75" bottom="0.75" header="0.3" footer="0.3"/>
  <pageSetup paperSize="178"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U188"/>
  <sheetViews>
    <sheetView showGridLines="0" topLeftCell="C3" zoomScale="70" zoomScaleNormal="70" workbookViewId="0">
      <selection activeCell="E12" sqref="E12:J12"/>
    </sheetView>
  </sheetViews>
  <sheetFormatPr baseColWidth="10" defaultRowHeight="15" x14ac:dyDescent="0.25"/>
  <cols>
    <col min="1" max="1" width="1.85546875" customWidth="1"/>
    <col min="2" max="2" width="10.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480</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1188</v>
      </c>
      <c r="C8" s="222">
        <v>2021</v>
      </c>
      <c r="D8" s="226">
        <f>IF(E10="NO APLICA","NO APLICA",IF(E11="NO SE REPORTA","SIN INFORMACION",+Q22))</f>
        <v>0.4375</v>
      </c>
      <c r="E8" s="223"/>
      <c r="F8" s="6" t="s">
        <v>130</v>
      </c>
      <c r="G8" s="6"/>
      <c r="H8" s="6"/>
      <c r="I8" s="6"/>
      <c r="J8" s="6"/>
      <c r="K8" s="6"/>
    </row>
    <row r="9" spans="1:21" x14ac:dyDescent="0.25">
      <c r="B9" s="497" t="s">
        <v>1189</v>
      </c>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802" t="str">
        <f>+'Anexo 1 Matriz Inf Gestión'!A90</f>
        <v>Proyecto No 3.3. Protección y conservación de la biodiversidad</v>
      </c>
      <c r="F12" s="1802"/>
      <c r="G12" s="1802"/>
      <c r="H12" s="1802"/>
      <c r="I12" s="1802"/>
      <c r="J12" s="1802"/>
      <c r="K12" s="1729" t="str">
        <f>+'Anexo 1 Matriz Inf Gestión'!A75</f>
        <v>Proyecto No 3.2. Ecosistemas marino costeros.</v>
      </c>
      <c r="L12" s="1729"/>
      <c r="M12" s="1729"/>
      <c r="N12" s="1729"/>
      <c r="O12" s="1729"/>
      <c r="P12" s="1729"/>
      <c r="Q12" s="1508"/>
      <c r="R12" s="1508"/>
    </row>
    <row r="13" spans="1:21" s="412" customFormat="1" ht="21.95" customHeight="1" x14ac:dyDescent="0.25">
      <c r="A13" s="245"/>
      <c r="B13" s="497"/>
      <c r="C13" s="304"/>
      <c r="D13" s="502" t="s">
        <v>1246</v>
      </c>
      <c r="E13" s="1723" t="s">
        <v>2835</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6"/>
      <c r="J14" s="6"/>
      <c r="K14" s="6"/>
    </row>
    <row r="15" spans="1:21" ht="15.75" thickBot="1" x14ac:dyDescent="0.3">
      <c r="B15" s="1864" t="s">
        <v>2</v>
      </c>
      <c r="C15" s="102"/>
      <c r="D15" s="1816" t="s">
        <v>336</v>
      </c>
      <c r="E15" s="1817"/>
      <c r="F15" s="1817"/>
      <c r="G15" s="1817"/>
      <c r="H15" s="1817"/>
      <c r="I15" s="1817"/>
      <c r="J15" s="1817"/>
      <c r="K15" s="1817"/>
      <c r="L15" s="1891"/>
      <c r="M15" s="1891"/>
      <c r="N15" s="1891"/>
      <c r="O15" s="1891"/>
      <c r="P15" s="1860"/>
      <c r="Q15" s="1896" t="s">
        <v>151</v>
      </c>
    </row>
    <row r="16" spans="1:21" ht="15.75" thickBot="1" x14ac:dyDescent="0.3">
      <c r="B16" s="1912"/>
      <c r="C16" s="109"/>
      <c r="D16" s="1827" t="s">
        <v>150</v>
      </c>
      <c r="E16" s="1909" t="s">
        <v>504</v>
      </c>
      <c r="F16" s="1910"/>
      <c r="G16" s="1910"/>
      <c r="H16" s="1910"/>
      <c r="I16" s="1910"/>
      <c r="J16" s="1911"/>
      <c r="K16" s="1909" t="s">
        <v>505</v>
      </c>
      <c r="L16" s="1914"/>
      <c r="M16" s="1914"/>
      <c r="N16" s="1914"/>
      <c r="O16" s="1914"/>
      <c r="P16" s="1915"/>
      <c r="Q16" s="1918"/>
    </row>
    <row r="17" spans="2:17" ht="15.75" thickBot="1" x14ac:dyDescent="0.3">
      <c r="B17" s="1912"/>
      <c r="C17" s="109"/>
      <c r="D17" s="1830"/>
      <c r="E17" s="1909" t="s">
        <v>506</v>
      </c>
      <c r="F17" s="1910"/>
      <c r="G17" s="1911"/>
      <c r="H17" s="1909" t="s">
        <v>507</v>
      </c>
      <c r="I17" s="1910"/>
      <c r="J17" s="1911"/>
      <c r="K17" s="1909" t="s">
        <v>506</v>
      </c>
      <c r="L17" s="1914"/>
      <c r="M17" s="1915"/>
      <c r="N17" s="1919" t="s">
        <v>507</v>
      </c>
      <c r="O17" s="1914"/>
      <c r="P17" s="1915"/>
      <c r="Q17" s="1918"/>
    </row>
    <row r="18" spans="2:17" ht="15.75" thickBot="1" x14ac:dyDescent="0.3">
      <c r="B18" s="1912"/>
      <c r="C18" s="109"/>
      <c r="D18" s="1908"/>
      <c r="E18" s="41" t="s">
        <v>508</v>
      </c>
      <c r="F18" s="41" t="s">
        <v>509</v>
      </c>
      <c r="G18" s="41" t="s">
        <v>510</v>
      </c>
      <c r="H18" s="41" t="s">
        <v>508</v>
      </c>
      <c r="I18" s="41" t="s">
        <v>509</v>
      </c>
      <c r="J18" s="41" t="s">
        <v>510</v>
      </c>
      <c r="K18" s="41" t="s">
        <v>508</v>
      </c>
      <c r="L18" s="16" t="s">
        <v>509</v>
      </c>
      <c r="M18" s="16" t="s">
        <v>510</v>
      </c>
      <c r="N18" s="16" t="s">
        <v>508</v>
      </c>
      <c r="O18" s="16" t="s">
        <v>509</v>
      </c>
      <c r="P18" s="16" t="s">
        <v>510</v>
      </c>
      <c r="Q18" s="1897"/>
    </row>
    <row r="19" spans="2:17" ht="24.75" thickBot="1" x14ac:dyDescent="0.3">
      <c r="B19" s="1912"/>
      <c r="C19" s="109"/>
      <c r="D19" s="41" t="s">
        <v>511</v>
      </c>
      <c r="E19" s="7"/>
      <c r="F19" s="7"/>
      <c r="G19" s="7"/>
      <c r="H19" s="1025">
        <v>8</v>
      </c>
      <c r="I19" s="1025">
        <v>8</v>
      </c>
      <c r="J19" s="1025">
        <v>8</v>
      </c>
      <c r="K19" s="7"/>
      <c r="L19" s="7"/>
      <c r="M19" s="7"/>
      <c r="N19" s="1025">
        <v>4</v>
      </c>
      <c r="O19" s="1025">
        <v>2</v>
      </c>
      <c r="P19" s="1025">
        <v>2</v>
      </c>
      <c r="Q19" s="415">
        <f>SUM(E19:P19)</f>
        <v>32</v>
      </c>
    </row>
    <row r="20" spans="2:17" ht="36.75" thickBot="1" x14ac:dyDescent="0.3">
      <c r="B20" s="1912"/>
      <c r="C20" s="109"/>
      <c r="D20" s="41" t="s">
        <v>512</v>
      </c>
      <c r="E20" s="7"/>
      <c r="F20" s="7"/>
      <c r="G20" s="7"/>
      <c r="H20" s="1025">
        <v>8</v>
      </c>
      <c r="I20" s="1025">
        <v>8</v>
      </c>
      <c r="J20" s="1025">
        <v>8</v>
      </c>
      <c r="K20" s="7"/>
      <c r="L20" s="7"/>
      <c r="M20" s="7"/>
      <c r="N20" s="1025">
        <v>4</v>
      </c>
      <c r="O20" s="1025">
        <v>2</v>
      </c>
      <c r="P20" s="1025">
        <v>2</v>
      </c>
      <c r="Q20" s="415">
        <f>SUM(E20:P20)</f>
        <v>32</v>
      </c>
    </row>
    <row r="21" spans="2:17" ht="36.75" thickBot="1" x14ac:dyDescent="0.3">
      <c r="B21" s="1912"/>
      <c r="C21" s="109"/>
      <c r="D21" s="41" t="s">
        <v>513</v>
      </c>
      <c r="E21" s="7"/>
      <c r="F21" s="7"/>
      <c r="G21" s="7"/>
      <c r="H21" s="1025">
        <v>3</v>
      </c>
      <c r="I21" s="1025">
        <v>1</v>
      </c>
      <c r="J21" s="1025">
        <v>2</v>
      </c>
      <c r="K21" s="7"/>
      <c r="L21" s="7"/>
      <c r="M21" s="7"/>
      <c r="N21" s="1026">
        <v>4</v>
      </c>
      <c r="O21" s="1026">
        <v>2</v>
      </c>
      <c r="P21" s="1026">
        <v>2</v>
      </c>
      <c r="Q21" s="415">
        <f>SUM(E21:P21)</f>
        <v>14</v>
      </c>
    </row>
    <row r="22" spans="2:17" ht="36.75" thickBot="1" x14ac:dyDescent="0.3">
      <c r="B22" s="1912"/>
      <c r="C22" s="109"/>
      <c r="D22" s="41" t="s">
        <v>480</v>
      </c>
      <c r="E22" s="144" t="str">
        <f>IFERROR(E21/E20,"N.A.")</f>
        <v>N.A.</v>
      </c>
      <c r="F22" s="144" t="str">
        <f t="shared" ref="F22:P22" si="0">IFERROR(F21/F20,"N.A.")</f>
        <v>N.A.</v>
      </c>
      <c r="G22" s="144" t="str">
        <f t="shared" si="0"/>
        <v>N.A.</v>
      </c>
      <c r="H22" s="144">
        <f t="shared" si="0"/>
        <v>0.375</v>
      </c>
      <c r="I22" s="144">
        <f t="shared" si="0"/>
        <v>0.125</v>
      </c>
      <c r="J22" s="144">
        <f t="shared" si="0"/>
        <v>0.25</v>
      </c>
      <c r="K22" s="144" t="str">
        <f t="shared" si="0"/>
        <v>N.A.</v>
      </c>
      <c r="L22" s="144" t="str">
        <f t="shared" si="0"/>
        <v>N.A.</v>
      </c>
      <c r="M22" s="144" t="str">
        <f t="shared" si="0"/>
        <v>N.A.</v>
      </c>
      <c r="N22" s="144">
        <f t="shared" si="0"/>
        <v>1</v>
      </c>
      <c r="O22" s="144">
        <f t="shared" si="0"/>
        <v>1</v>
      </c>
      <c r="P22" s="144">
        <f t="shared" si="0"/>
        <v>1</v>
      </c>
      <c r="Q22" s="144">
        <f>IFERROR(Q21/Q20,"N.A.")</f>
        <v>0.4375</v>
      </c>
    </row>
    <row r="23" spans="2:17" x14ac:dyDescent="0.25">
      <c r="B23" s="1912"/>
      <c r="C23" s="103"/>
      <c r="D23" s="1825" t="s">
        <v>514</v>
      </c>
      <c r="E23" s="1826"/>
      <c r="F23" s="1826"/>
      <c r="G23" s="1826"/>
      <c r="H23" s="1826"/>
      <c r="I23" s="1826"/>
      <c r="J23" s="1826"/>
      <c r="K23" s="1826"/>
      <c r="L23" s="1913"/>
      <c r="M23" s="1913"/>
      <c r="N23" s="1913"/>
      <c r="O23" s="1913"/>
      <c r="P23" s="1876"/>
    </row>
    <row r="24" spans="2:17" x14ac:dyDescent="0.25">
      <c r="B24" s="1912"/>
      <c r="C24" s="103"/>
      <c r="D24" s="1828" t="s">
        <v>515</v>
      </c>
      <c r="E24" s="1829"/>
      <c r="F24" s="1829"/>
      <c r="G24" s="1829"/>
      <c r="H24" s="1829"/>
      <c r="I24" s="1829"/>
      <c r="J24" s="1829"/>
      <c r="K24" s="1829"/>
      <c r="L24" s="1893"/>
      <c r="M24" s="1893"/>
      <c r="N24" s="1893"/>
      <c r="O24" s="1893"/>
      <c r="P24" s="1861"/>
    </row>
    <row r="25" spans="2:17" x14ac:dyDescent="0.25">
      <c r="B25" s="1912"/>
      <c r="C25" s="103"/>
      <c r="D25" s="1828" t="s">
        <v>516</v>
      </c>
      <c r="E25" s="1829"/>
      <c r="F25" s="1829"/>
      <c r="G25" s="1829"/>
      <c r="H25" s="1829"/>
      <c r="I25" s="1829"/>
      <c r="J25" s="1829"/>
      <c r="K25" s="1829"/>
      <c r="L25" s="1893"/>
      <c r="M25" s="1893"/>
      <c r="N25" s="1893"/>
      <c r="O25" s="1893"/>
      <c r="P25" s="1861"/>
    </row>
    <row r="26" spans="2:17" x14ac:dyDescent="0.25">
      <c r="B26" s="1912"/>
      <c r="C26" s="103"/>
      <c r="D26" s="1810" t="s">
        <v>246</v>
      </c>
      <c r="E26" s="1811"/>
      <c r="F26" s="1811"/>
      <c r="G26" s="1811"/>
      <c r="H26" s="1811"/>
      <c r="I26" s="1811"/>
      <c r="J26" s="1811"/>
      <c r="K26" s="1811"/>
      <c r="L26" s="1892"/>
      <c r="M26" s="1892"/>
      <c r="N26" s="1892"/>
      <c r="O26" s="1892"/>
      <c r="P26" s="1862"/>
    </row>
    <row r="27" spans="2:17" x14ac:dyDescent="0.25">
      <c r="B27" s="1912"/>
      <c r="C27" s="103"/>
      <c r="D27" s="1810" t="s">
        <v>517</v>
      </c>
      <c r="E27" s="1811"/>
      <c r="F27" s="1811"/>
      <c r="G27" s="1811"/>
      <c r="H27" s="1811"/>
      <c r="I27" s="1811"/>
      <c r="J27" s="1811"/>
      <c r="K27" s="1811"/>
      <c r="L27" s="1892"/>
      <c r="M27" s="1892"/>
      <c r="N27" s="1892"/>
      <c r="O27" s="1892"/>
      <c r="P27" s="1862"/>
    </row>
    <row r="28" spans="2:17" ht="15.75" thickBot="1" x14ac:dyDescent="0.3">
      <c r="B28" s="1912"/>
      <c r="C28" s="103"/>
      <c r="D28" s="1828" t="s">
        <v>340</v>
      </c>
      <c r="E28" s="1829"/>
      <c r="F28" s="1829"/>
      <c r="G28" s="1829"/>
      <c r="H28" s="1829"/>
      <c r="I28" s="1829"/>
      <c r="J28" s="1829"/>
      <c r="K28" s="1829"/>
      <c r="L28" s="1893"/>
      <c r="M28" s="1893"/>
      <c r="N28" s="1893"/>
      <c r="O28" s="1893"/>
      <c r="P28" s="1861"/>
    </row>
    <row r="29" spans="2:17" ht="21" customHeight="1" x14ac:dyDescent="0.25">
      <c r="B29" s="1912"/>
      <c r="C29" s="1894" t="s">
        <v>19</v>
      </c>
      <c r="D29" s="1896" t="s">
        <v>270</v>
      </c>
      <c r="E29" s="1896" t="s">
        <v>518</v>
      </c>
      <c r="F29" s="1896" t="s">
        <v>519</v>
      </c>
      <c r="G29" s="1896" t="s">
        <v>520</v>
      </c>
      <c r="H29" s="210" t="s">
        <v>473</v>
      </c>
      <c r="I29" s="210" t="s">
        <v>475</v>
      </c>
      <c r="J29" s="1896" t="s">
        <v>274</v>
      </c>
      <c r="K29" s="1896" t="s">
        <v>275</v>
      </c>
      <c r="L29" s="1896" t="s">
        <v>55</v>
      </c>
      <c r="P29" s="14"/>
    </row>
    <row r="30" spans="2:17" ht="15.75" thickBot="1" x14ac:dyDescent="0.3">
      <c r="B30" s="1912"/>
      <c r="C30" s="1895"/>
      <c r="D30" s="1897"/>
      <c r="E30" s="1897"/>
      <c r="F30" s="1897"/>
      <c r="G30" s="1897"/>
      <c r="H30" s="211" t="s">
        <v>474</v>
      </c>
      <c r="I30" s="211" t="s">
        <v>476</v>
      </c>
      <c r="J30" s="1897"/>
      <c r="K30" s="1897"/>
      <c r="L30" s="1897"/>
      <c r="P30" s="14"/>
    </row>
    <row r="31" spans="2:17" ht="45.75" thickBot="1" x14ac:dyDescent="0.3">
      <c r="B31" s="1912"/>
      <c r="C31" s="380"/>
      <c r="D31" s="1898" t="s">
        <v>2887</v>
      </c>
      <c r="E31" s="1027" t="s">
        <v>2888</v>
      </c>
      <c r="F31" s="1027" t="s">
        <v>2889</v>
      </c>
      <c r="G31" s="1028" t="s">
        <v>2890</v>
      </c>
      <c r="H31" s="1888">
        <v>730317457</v>
      </c>
      <c r="I31" s="197"/>
      <c r="J31" s="197"/>
      <c r="K31" s="197"/>
      <c r="L31" s="1885" t="s">
        <v>3313</v>
      </c>
      <c r="P31" s="14"/>
    </row>
    <row r="32" spans="2:17" ht="34.5" thickBot="1" x14ac:dyDescent="0.3">
      <c r="B32" s="1912"/>
      <c r="C32" s="380"/>
      <c r="D32" s="1899"/>
      <c r="E32" s="1027" t="s">
        <v>2888</v>
      </c>
      <c r="F32" s="1027" t="s">
        <v>2889</v>
      </c>
      <c r="G32" s="1028" t="s">
        <v>2891</v>
      </c>
      <c r="H32" s="1889"/>
      <c r="I32" s="197"/>
      <c r="J32" s="197"/>
      <c r="K32" s="197"/>
      <c r="L32" s="1886"/>
      <c r="P32" s="14"/>
    </row>
    <row r="33" spans="2:16" ht="45.75" thickBot="1" x14ac:dyDescent="0.3">
      <c r="B33" s="1912"/>
      <c r="C33" s="380"/>
      <c r="D33" s="1899"/>
      <c r="E33" s="1027" t="s">
        <v>2888</v>
      </c>
      <c r="F33" s="1027" t="s">
        <v>2889</v>
      </c>
      <c r="G33" s="1028" t="s">
        <v>2892</v>
      </c>
      <c r="H33" s="1889"/>
      <c r="I33" s="197"/>
      <c r="J33" s="197"/>
      <c r="K33" s="197"/>
      <c r="L33" s="1886"/>
      <c r="P33" s="14"/>
    </row>
    <row r="34" spans="2:16" ht="45.75" thickBot="1" x14ac:dyDescent="0.3">
      <c r="B34" s="1912"/>
      <c r="C34" s="380"/>
      <c r="D34" s="1899"/>
      <c r="E34" s="1027" t="s">
        <v>2888</v>
      </c>
      <c r="F34" s="1027" t="s">
        <v>2889</v>
      </c>
      <c r="G34" s="1028" t="s">
        <v>2893</v>
      </c>
      <c r="H34" s="1889"/>
      <c r="I34" s="197"/>
      <c r="J34" s="197"/>
      <c r="K34" s="197"/>
      <c r="L34" s="1886"/>
      <c r="P34" s="14"/>
    </row>
    <row r="35" spans="2:16" ht="34.5" thickBot="1" x14ac:dyDescent="0.3">
      <c r="B35" s="1912"/>
      <c r="C35" s="380"/>
      <c r="D35" s="1899"/>
      <c r="E35" s="1027" t="s">
        <v>2888</v>
      </c>
      <c r="F35" s="1027" t="s">
        <v>2889</v>
      </c>
      <c r="G35" s="1028" t="s">
        <v>2894</v>
      </c>
      <c r="H35" s="1889"/>
      <c r="I35" s="197"/>
      <c r="J35" s="197"/>
      <c r="K35" s="197"/>
      <c r="L35" s="1886"/>
      <c r="P35" s="14"/>
    </row>
    <row r="36" spans="2:16" ht="34.5" thickBot="1" x14ac:dyDescent="0.3">
      <c r="B36" s="1912"/>
      <c r="C36" s="380"/>
      <c r="D36" s="1900"/>
      <c r="E36" s="1027" t="s">
        <v>2888</v>
      </c>
      <c r="F36" s="1027" t="s">
        <v>2889</v>
      </c>
      <c r="G36" s="1029" t="s">
        <v>2895</v>
      </c>
      <c r="H36" s="1890"/>
      <c r="I36" s="197"/>
      <c r="J36" s="197"/>
      <c r="K36" s="197"/>
      <c r="L36" s="1901"/>
      <c r="P36" s="14"/>
    </row>
    <row r="37" spans="2:16" s="774" customFormat="1" ht="156.75" thickBot="1" x14ac:dyDescent="0.3">
      <c r="B37" s="1912"/>
      <c r="C37" s="380"/>
      <c r="D37" s="1018" t="s">
        <v>2896</v>
      </c>
      <c r="E37" s="1027" t="s">
        <v>2888</v>
      </c>
      <c r="F37" s="1027" t="s">
        <v>2889</v>
      </c>
      <c r="G37" s="1029" t="s">
        <v>2897</v>
      </c>
      <c r="H37" s="1902">
        <v>50255928</v>
      </c>
      <c r="I37" s="1902"/>
      <c r="J37" s="1888">
        <v>17043527</v>
      </c>
      <c r="K37" s="1252"/>
      <c r="L37" s="1885" t="s">
        <v>3314</v>
      </c>
      <c r="P37" s="14"/>
    </row>
    <row r="38" spans="2:16" s="774" customFormat="1" ht="72.75" thickBot="1" x14ac:dyDescent="0.3">
      <c r="B38" s="1912"/>
      <c r="C38" s="380"/>
      <c r="D38" s="1018" t="s">
        <v>2898</v>
      </c>
      <c r="E38" s="1027" t="s">
        <v>2888</v>
      </c>
      <c r="F38" s="1027" t="s">
        <v>2889</v>
      </c>
      <c r="G38" s="1029" t="s">
        <v>2899</v>
      </c>
      <c r="H38" s="1903"/>
      <c r="I38" s="1903"/>
      <c r="J38" s="1889"/>
      <c r="K38" s="1253"/>
      <c r="L38" s="1886"/>
      <c r="P38" s="14"/>
    </row>
    <row r="39" spans="2:16" s="774" customFormat="1" ht="79.5" thickBot="1" x14ac:dyDescent="0.3">
      <c r="B39" s="1912"/>
      <c r="C39" s="380"/>
      <c r="D39" s="1018" t="s">
        <v>2900</v>
      </c>
      <c r="E39" s="1027" t="s">
        <v>2888</v>
      </c>
      <c r="F39" s="1027" t="s">
        <v>2889</v>
      </c>
      <c r="G39" s="1030" t="s">
        <v>2901</v>
      </c>
      <c r="H39" s="1903"/>
      <c r="I39" s="1903"/>
      <c r="J39" s="1889"/>
      <c r="K39" s="1253"/>
      <c r="L39" s="1886"/>
      <c r="P39" s="14"/>
    </row>
    <row r="40" spans="2:16" ht="214.5" thickBot="1" x14ac:dyDescent="0.3">
      <c r="B40" s="1912"/>
      <c r="C40" s="380"/>
      <c r="D40" s="1018" t="s">
        <v>2902</v>
      </c>
      <c r="E40" s="1031" t="s">
        <v>2888</v>
      </c>
      <c r="F40" s="1031" t="s">
        <v>2889</v>
      </c>
      <c r="G40" s="1032" t="s">
        <v>2903</v>
      </c>
      <c r="H40" s="1903"/>
      <c r="I40" s="1903"/>
      <c r="J40" s="1889"/>
      <c r="K40" s="1253"/>
      <c r="L40" s="1886"/>
      <c r="P40" s="14"/>
    </row>
    <row r="41" spans="2:16" ht="15.75" thickBot="1" x14ac:dyDescent="0.3">
      <c r="B41" s="1912"/>
      <c r="C41" s="380"/>
      <c r="D41" s="30"/>
      <c r="E41" s="30"/>
      <c r="F41" s="30"/>
      <c r="G41" s="30"/>
      <c r="H41" s="1904"/>
      <c r="I41" s="1904"/>
      <c r="J41" s="1905"/>
      <c r="K41" s="1254"/>
      <c r="L41" s="1887"/>
      <c r="P41" s="14"/>
    </row>
    <row r="42" spans="2:16" s="774" customFormat="1" ht="34.5" customHeight="1" thickBot="1" x14ac:dyDescent="0.3">
      <c r="B42" s="1912"/>
      <c r="C42" s="380"/>
      <c r="D42" s="1880" t="s">
        <v>3521</v>
      </c>
      <c r="E42" s="1354" t="s">
        <v>3323</v>
      </c>
      <c r="F42" s="1354" t="s">
        <v>2889</v>
      </c>
      <c r="G42" s="1355" t="s">
        <v>3522</v>
      </c>
      <c r="H42" s="1877">
        <v>150136487</v>
      </c>
      <c r="I42" s="1877">
        <v>150136487</v>
      </c>
      <c r="J42" s="1877">
        <v>129682006</v>
      </c>
      <c r="K42" s="1877">
        <v>76806140</v>
      </c>
      <c r="L42" s="1877" t="s">
        <v>3523</v>
      </c>
      <c r="P42" s="14"/>
    </row>
    <row r="43" spans="2:16" s="774" customFormat="1" ht="57" thickBot="1" x14ac:dyDescent="0.3">
      <c r="B43" s="1912"/>
      <c r="C43" s="380"/>
      <c r="D43" s="1884"/>
      <c r="E43" s="1036" t="s">
        <v>3323</v>
      </c>
      <c r="F43" s="1036" t="s">
        <v>2889</v>
      </c>
      <c r="G43" s="1356" t="s">
        <v>3524</v>
      </c>
      <c r="H43" s="1878"/>
      <c r="I43" s="1878"/>
      <c r="J43" s="1878"/>
      <c r="K43" s="1878"/>
      <c r="L43" s="1878"/>
      <c r="P43" s="14"/>
    </row>
    <row r="44" spans="2:16" s="774" customFormat="1" ht="34.5" thickBot="1" x14ac:dyDescent="0.3">
      <c r="B44" s="1912"/>
      <c r="C44" s="380"/>
      <c r="D44" s="1884"/>
      <c r="E44" s="1036" t="s">
        <v>3323</v>
      </c>
      <c r="F44" s="1036" t="s">
        <v>2889</v>
      </c>
      <c r="G44" s="1356" t="s">
        <v>3525</v>
      </c>
      <c r="H44" s="1878"/>
      <c r="I44" s="1878"/>
      <c r="J44" s="1878"/>
      <c r="K44" s="1878"/>
      <c r="L44" s="1878"/>
      <c r="P44" s="14"/>
    </row>
    <row r="45" spans="2:16" s="774" customFormat="1" ht="23.25" thickBot="1" x14ac:dyDescent="0.3">
      <c r="B45" s="1912"/>
      <c r="C45" s="380"/>
      <c r="D45" s="1884"/>
      <c r="E45" s="1036" t="s">
        <v>3323</v>
      </c>
      <c r="F45" s="1036" t="s">
        <v>2889</v>
      </c>
      <c r="G45" s="1356" t="s">
        <v>3526</v>
      </c>
      <c r="H45" s="1878"/>
      <c r="I45" s="1878"/>
      <c r="J45" s="1878"/>
      <c r="K45" s="1878"/>
      <c r="L45" s="1878"/>
      <c r="P45" s="14"/>
    </row>
    <row r="46" spans="2:16" s="774" customFormat="1" ht="34.5" thickBot="1" x14ac:dyDescent="0.3">
      <c r="B46" s="1912"/>
      <c r="C46" s="380"/>
      <c r="D46" s="1884"/>
      <c r="E46" s="1036" t="s">
        <v>3323</v>
      </c>
      <c r="F46" s="1036" t="s">
        <v>2889</v>
      </c>
      <c r="G46" s="1356" t="s">
        <v>3527</v>
      </c>
      <c r="H46" s="1878"/>
      <c r="I46" s="1878"/>
      <c r="J46" s="1878"/>
      <c r="K46" s="1878"/>
      <c r="L46" s="1878"/>
      <c r="P46" s="14"/>
    </row>
    <row r="47" spans="2:16" s="774" customFormat="1" ht="15.75" thickBot="1" x14ac:dyDescent="0.3">
      <c r="B47" s="1912"/>
      <c r="C47" s="380"/>
      <c r="D47" s="1884"/>
      <c r="E47" s="1880" t="s">
        <v>3323</v>
      </c>
      <c r="F47" s="1880" t="s">
        <v>2889</v>
      </c>
      <c r="G47" s="1882" t="s">
        <v>3528</v>
      </c>
      <c r="H47" s="1879"/>
      <c r="I47" s="1879"/>
      <c r="J47" s="1879"/>
      <c r="K47" s="1879"/>
      <c r="L47" s="1879"/>
      <c r="P47" s="14"/>
    </row>
    <row r="48" spans="2:16" ht="15.75" customHeight="1" thickBot="1" x14ac:dyDescent="0.3">
      <c r="B48" s="1912"/>
      <c r="C48" s="380"/>
      <c r="D48" s="1881"/>
      <c r="E48" s="1881"/>
      <c r="F48" s="1881"/>
      <c r="G48" s="1883"/>
      <c r="H48" s="1357">
        <v>176965353</v>
      </c>
      <c r="I48" s="1357">
        <v>176965353</v>
      </c>
      <c r="J48" s="1357">
        <v>42949464</v>
      </c>
      <c r="K48" s="1358">
        <v>13560176</v>
      </c>
      <c r="L48" s="197" t="s">
        <v>3529</v>
      </c>
      <c r="P48" s="14"/>
    </row>
    <row r="49" spans="2:16" ht="15.75" thickBot="1" x14ac:dyDescent="0.3">
      <c r="B49" s="1865"/>
      <c r="C49" s="111"/>
      <c r="D49" s="40" t="s">
        <v>151</v>
      </c>
      <c r="E49" s="27"/>
      <c r="F49" s="27"/>
      <c r="G49" s="27"/>
      <c r="H49" s="142">
        <f>SUM(H31:H48)</f>
        <v>1107675225</v>
      </c>
      <c r="I49" s="142">
        <f>SUM(I31:I48)</f>
        <v>327101840</v>
      </c>
      <c r="J49" s="142">
        <f>SUM(J31:J48)</f>
        <v>189674997</v>
      </c>
      <c r="K49" s="142">
        <f>SUM(K31:K48)</f>
        <v>90366316</v>
      </c>
      <c r="L49" s="197"/>
      <c r="M49" s="15"/>
      <c r="N49" s="15"/>
      <c r="P49" s="11"/>
    </row>
    <row r="50" spans="2:16" ht="24" customHeight="1" thickBot="1" x14ac:dyDescent="0.3">
      <c r="B50" s="72" t="s">
        <v>34</v>
      </c>
      <c r="C50" s="108"/>
      <c r="D50" s="1816" t="s">
        <v>521</v>
      </c>
      <c r="E50" s="1817"/>
      <c r="F50" s="1817"/>
      <c r="G50" s="1817"/>
      <c r="H50" s="1817"/>
      <c r="I50" s="1817"/>
      <c r="J50" s="1817"/>
      <c r="K50" s="1817"/>
      <c r="L50" s="1891"/>
      <c r="M50" s="1891"/>
      <c r="N50" s="1891"/>
      <c r="O50" s="1891"/>
      <c r="P50" s="1860"/>
    </row>
    <row r="51" spans="2:16" ht="23.25" thickBot="1" x14ac:dyDescent="0.3">
      <c r="B51" s="72" t="s">
        <v>36</v>
      </c>
      <c r="C51" s="108"/>
      <c r="D51" s="1816" t="s">
        <v>346</v>
      </c>
      <c r="E51" s="1817"/>
      <c r="F51" s="1817"/>
      <c r="G51" s="1817"/>
      <c r="H51" s="1817"/>
      <c r="I51" s="1817"/>
      <c r="J51" s="1817"/>
      <c r="K51" s="1817"/>
      <c r="L51" s="1891"/>
      <c r="M51" s="1891"/>
      <c r="N51" s="1891"/>
      <c r="O51" s="1891"/>
      <c r="P51" s="1860"/>
    </row>
    <row r="52" spans="2:16" ht="15.75" thickBot="1" x14ac:dyDescent="0.3">
      <c r="B52" s="2"/>
      <c r="C52" s="76"/>
      <c r="D52" s="6"/>
      <c r="E52" s="6"/>
      <c r="F52" s="6"/>
      <c r="G52" s="6"/>
      <c r="H52" s="6"/>
      <c r="I52" s="6"/>
      <c r="J52" s="6"/>
      <c r="K52" s="6"/>
    </row>
    <row r="53" spans="2:16" ht="24" customHeight="1" thickBot="1" x14ac:dyDescent="0.3">
      <c r="B53" s="1807" t="s">
        <v>38</v>
      </c>
      <c r="C53" s="1808"/>
      <c r="D53" s="1808"/>
      <c r="E53" s="1809"/>
      <c r="F53" s="6"/>
      <c r="G53" s="6"/>
      <c r="H53" s="6"/>
      <c r="I53" s="6"/>
      <c r="J53" s="6"/>
      <c r="K53" s="6"/>
    </row>
    <row r="54" spans="2:16" ht="15.75" thickBot="1" x14ac:dyDescent="0.3">
      <c r="B54" s="1804">
        <v>1</v>
      </c>
      <c r="C54" s="94"/>
      <c r="D54" s="48" t="s">
        <v>39</v>
      </c>
      <c r="E54" s="31" t="s">
        <v>2854</v>
      </c>
      <c r="F54" s="6"/>
      <c r="G54" s="6"/>
      <c r="H54" s="6"/>
      <c r="I54" s="6"/>
      <c r="J54" s="6"/>
      <c r="K54" s="6"/>
    </row>
    <row r="55" spans="2:16" ht="15.75" thickBot="1" x14ac:dyDescent="0.3">
      <c r="B55" s="1805"/>
      <c r="C55" s="94"/>
      <c r="D55" s="41" t="s">
        <v>40</v>
      </c>
      <c r="E55" s="31" t="s">
        <v>3530</v>
      </c>
      <c r="F55" s="6"/>
      <c r="G55" s="6"/>
      <c r="H55" s="6"/>
      <c r="I55" s="6"/>
      <c r="J55" s="6"/>
      <c r="K55" s="6"/>
    </row>
    <row r="56" spans="2:16" ht="15.75" thickBot="1" x14ac:dyDescent="0.3">
      <c r="B56" s="1805"/>
      <c r="C56" s="94"/>
      <c r="D56" s="41" t="s">
        <v>41</v>
      </c>
      <c r="E56" s="31" t="s">
        <v>3518</v>
      </c>
      <c r="F56" s="6"/>
      <c r="G56" s="6"/>
      <c r="H56" s="6"/>
      <c r="I56" s="6"/>
      <c r="J56" s="6"/>
      <c r="K56" s="6"/>
    </row>
    <row r="57" spans="2:16" ht="15.75" thickBot="1" x14ac:dyDescent="0.3">
      <c r="B57" s="1805"/>
      <c r="C57" s="94"/>
      <c r="D57" s="41" t="s">
        <v>42</v>
      </c>
      <c r="E57" s="31" t="s">
        <v>3261</v>
      </c>
      <c r="F57" s="6"/>
      <c r="G57" s="6"/>
      <c r="H57" s="6"/>
      <c r="I57" s="6"/>
      <c r="J57" s="6"/>
      <c r="K57" s="6"/>
    </row>
    <row r="58" spans="2:16" ht="15.75" thickBot="1" x14ac:dyDescent="0.3">
      <c r="B58" s="1805"/>
      <c r="C58" s="94"/>
      <c r="D58" s="41" t="s">
        <v>43</v>
      </c>
      <c r="E58" s="31" t="s">
        <v>3531</v>
      </c>
      <c r="F58" s="6"/>
      <c r="G58" s="6"/>
      <c r="H58" s="6"/>
      <c r="I58" s="6"/>
      <c r="J58" s="6"/>
      <c r="K58" s="6"/>
    </row>
    <row r="59" spans="2:16" ht="15.75" thickBot="1" x14ac:dyDescent="0.3">
      <c r="B59" s="1805"/>
      <c r="C59" s="94"/>
      <c r="D59" s="41" t="s">
        <v>44</v>
      </c>
      <c r="E59" s="31" t="s">
        <v>2905</v>
      </c>
      <c r="F59" s="6"/>
      <c r="G59" s="6"/>
      <c r="H59" s="6"/>
      <c r="I59" s="6"/>
      <c r="J59" s="6"/>
      <c r="K59" s="6"/>
    </row>
    <row r="60" spans="2:16" ht="15.75" thickBot="1" x14ac:dyDescent="0.3">
      <c r="B60" s="1806"/>
      <c r="C60" s="3"/>
      <c r="D60" s="41" t="s">
        <v>45</v>
      </c>
      <c r="E60" s="31" t="s">
        <v>2857</v>
      </c>
      <c r="F60" s="6"/>
      <c r="G60" s="6"/>
      <c r="H60" s="6"/>
      <c r="I60" s="6"/>
      <c r="J60" s="6"/>
      <c r="K60" s="6"/>
    </row>
    <row r="61" spans="2:16" ht="15.75" thickBot="1" x14ac:dyDescent="0.3">
      <c r="B61" s="2"/>
      <c r="C61" s="76"/>
      <c r="D61" s="6"/>
      <c r="E61" s="6"/>
      <c r="F61" s="6"/>
      <c r="G61" s="6"/>
      <c r="H61" s="6"/>
      <c r="I61" s="6"/>
      <c r="J61" s="6"/>
      <c r="K61" s="6"/>
    </row>
    <row r="62" spans="2:16" ht="15.75" thickBot="1" x14ac:dyDescent="0.3">
      <c r="B62" s="1807" t="s">
        <v>46</v>
      </c>
      <c r="C62" s="1808"/>
      <c r="D62" s="1808"/>
      <c r="E62" s="1809"/>
      <c r="F62" s="6"/>
      <c r="G62" s="6"/>
      <c r="H62" s="6"/>
      <c r="I62" s="6"/>
      <c r="J62" s="6"/>
      <c r="K62" s="6"/>
    </row>
    <row r="63" spans="2:16" ht="15.75" thickBot="1" x14ac:dyDescent="0.3">
      <c r="B63" s="1804">
        <v>1</v>
      </c>
      <c r="C63" s="94"/>
      <c r="D63" s="48" t="s">
        <v>39</v>
      </c>
      <c r="E63" s="444" t="s">
        <v>522</v>
      </c>
      <c r="F63" s="6"/>
      <c r="G63" s="6"/>
      <c r="H63" s="6"/>
      <c r="I63" s="6"/>
      <c r="J63" s="6"/>
      <c r="K63" s="6"/>
    </row>
    <row r="64" spans="2:16" ht="15.75" thickBot="1" x14ac:dyDescent="0.3">
      <c r="B64" s="1805"/>
      <c r="C64" s="94"/>
      <c r="D64" s="41" t="s">
        <v>40</v>
      </c>
      <c r="E64" s="444" t="s">
        <v>48</v>
      </c>
      <c r="F64" s="6"/>
      <c r="G64" s="6"/>
      <c r="H64" s="6"/>
      <c r="I64" s="6"/>
      <c r="J64" s="6"/>
      <c r="K64" s="6"/>
    </row>
    <row r="65" spans="2:11" ht="15.75" thickBot="1" x14ac:dyDescent="0.3">
      <c r="B65" s="1805"/>
      <c r="C65" s="94"/>
      <c r="D65" s="41" t="s">
        <v>41</v>
      </c>
      <c r="E65" s="315"/>
      <c r="F65" s="6"/>
      <c r="G65" s="6"/>
      <c r="H65" s="6"/>
      <c r="I65" s="6"/>
      <c r="J65" s="6"/>
      <c r="K65" s="6"/>
    </row>
    <row r="66" spans="2:11" ht="15.75" thickBot="1" x14ac:dyDescent="0.3">
      <c r="B66" s="1805"/>
      <c r="C66" s="94"/>
      <c r="D66" s="41" t="s">
        <v>42</v>
      </c>
      <c r="E66" s="315"/>
      <c r="F66" s="6"/>
      <c r="G66" s="6"/>
      <c r="H66" s="6"/>
      <c r="I66" s="6"/>
      <c r="J66" s="6"/>
      <c r="K66" s="6"/>
    </row>
    <row r="67" spans="2:11" ht="15.75" thickBot="1" x14ac:dyDescent="0.3">
      <c r="B67" s="1805"/>
      <c r="C67" s="94"/>
      <c r="D67" s="41" t="s">
        <v>43</v>
      </c>
      <c r="E67" s="315"/>
      <c r="F67" s="6"/>
      <c r="G67" s="6"/>
      <c r="H67" s="6"/>
      <c r="I67" s="6"/>
      <c r="J67" s="6"/>
      <c r="K67" s="6"/>
    </row>
    <row r="68" spans="2:11" ht="15.75" thickBot="1" x14ac:dyDescent="0.3">
      <c r="B68" s="1805"/>
      <c r="C68" s="94"/>
      <c r="D68" s="41" t="s">
        <v>44</v>
      </c>
      <c r="E68" s="315"/>
      <c r="F68" s="6"/>
      <c r="G68" s="6"/>
      <c r="H68" s="6"/>
      <c r="I68" s="6"/>
      <c r="J68" s="6"/>
      <c r="K68" s="6"/>
    </row>
    <row r="69" spans="2:11" ht="15.75" thickBot="1" x14ac:dyDescent="0.3">
      <c r="B69" s="1806"/>
      <c r="C69" s="3"/>
      <c r="D69" s="41" t="s">
        <v>45</v>
      </c>
      <c r="E69" s="315"/>
      <c r="F69" s="6"/>
      <c r="G69" s="6"/>
      <c r="H69" s="6"/>
      <c r="I69" s="6"/>
      <c r="J69" s="6"/>
      <c r="K69" s="6"/>
    </row>
    <row r="70" spans="2:11" x14ac:dyDescent="0.25">
      <c r="B70" s="2"/>
      <c r="C70" s="76"/>
      <c r="D70" s="6"/>
      <c r="E70" s="6"/>
      <c r="F70" s="6"/>
      <c r="G70" s="6"/>
      <c r="H70" s="6"/>
      <c r="I70" s="6"/>
      <c r="J70" s="6"/>
      <c r="K70" s="6"/>
    </row>
    <row r="71" spans="2:11" ht="15.75" thickBot="1" x14ac:dyDescent="0.3">
      <c r="B71" s="2"/>
      <c r="C71" s="76"/>
      <c r="D71" s="6"/>
      <c r="E71" s="6"/>
      <c r="F71" s="6"/>
      <c r="G71" s="6"/>
      <c r="H71" s="6"/>
      <c r="I71" s="6"/>
      <c r="J71" s="6"/>
      <c r="K71" s="6"/>
    </row>
    <row r="72" spans="2:11" ht="15.75" thickBot="1" x14ac:dyDescent="0.3">
      <c r="B72" s="1807" t="s">
        <v>49</v>
      </c>
      <c r="C72" s="1808"/>
      <c r="D72" s="1808"/>
      <c r="E72" s="1808"/>
      <c r="F72" s="1809"/>
      <c r="G72" s="6"/>
      <c r="H72" s="6"/>
      <c r="I72" s="6"/>
      <c r="J72" s="6"/>
      <c r="K72" s="6"/>
    </row>
    <row r="73" spans="2:11" ht="24.75" thickBot="1" x14ac:dyDescent="0.3">
      <c r="B73" s="47" t="s">
        <v>50</v>
      </c>
      <c r="C73" s="41" t="s">
        <v>51</v>
      </c>
      <c r="D73" s="41" t="s">
        <v>52</v>
      </c>
      <c r="E73" s="41" t="s">
        <v>53</v>
      </c>
      <c r="F73" s="6"/>
      <c r="G73" s="6"/>
      <c r="H73" s="6"/>
      <c r="I73" s="6"/>
      <c r="J73" s="6"/>
    </row>
    <row r="74" spans="2:11" ht="72.75" thickBot="1" x14ac:dyDescent="0.3">
      <c r="B74" s="49">
        <v>42401</v>
      </c>
      <c r="C74" s="41">
        <v>0.01</v>
      </c>
      <c r="D74" s="50" t="s">
        <v>523</v>
      </c>
      <c r="E74" s="41"/>
      <c r="F74" s="6"/>
      <c r="G74" s="6"/>
      <c r="H74" s="6"/>
      <c r="I74" s="6"/>
      <c r="J74" s="6"/>
    </row>
    <row r="75" spans="2:11" ht="15.75" thickBot="1" x14ac:dyDescent="0.3">
      <c r="B75" s="4"/>
      <c r="C75" s="95"/>
      <c r="D75" s="6"/>
      <c r="E75" s="6"/>
      <c r="F75" s="6"/>
      <c r="G75" s="6"/>
      <c r="H75" s="6"/>
      <c r="I75" s="6"/>
      <c r="J75" s="6"/>
      <c r="K75" s="6"/>
    </row>
    <row r="76" spans="2:11" ht="24.75" thickBot="1" x14ac:dyDescent="0.3">
      <c r="B76" s="5" t="s">
        <v>55</v>
      </c>
      <c r="C76" s="96"/>
      <c r="D76" s="6"/>
      <c r="E76" s="6"/>
      <c r="F76" s="6"/>
      <c r="G76" s="6"/>
      <c r="H76" s="6"/>
      <c r="I76" s="6"/>
      <c r="J76" s="6"/>
      <c r="K76" s="6"/>
    </row>
    <row r="77" spans="2:11" s="138" customFormat="1" x14ac:dyDescent="0.25">
      <c r="B77" s="1916" t="s">
        <v>524</v>
      </c>
      <c r="C77" s="1917"/>
      <c r="D77" s="1917"/>
      <c r="E77" s="1917"/>
      <c r="F77" s="1917"/>
      <c r="G77" s="1917"/>
      <c r="H77" s="137"/>
      <c r="I77" s="137"/>
      <c r="J77" s="137"/>
      <c r="K77" s="137"/>
    </row>
    <row r="78" spans="2:11" s="138" customFormat="1" x14ac:dyDescent="0.25">
      <c r="B78" s="1916" t="s">
        <v>525</v>
      </c>
      <c r="C78" s="1917"/>
      <c r="D78" s="1917"/>
      <c r="E78" s="1917"/>
      <c r="F78" s="1917"/>
      <c r="G78" s="1917"/>
      <c r="H78" s="137"/>
      <c r="I78" s="137"/>
      <c r="J78" s="137"/>
      <c r="K78" s="137"/>
    </row>
    <row r="79" spans="2:11" s="138" customFormat="1" ht="35.450000000000003" customHeight="1" x14ac:dyDescent="0.25">
      <c r="B79" s="1906"/>
      <c r="C79" s="1907"/>
      <c r="D79" s="1907"/>
      <c r="E79" s="1907"/>
      <c r="F79" s="1907"/>
      <c r="G79" s="1907"/>
      <c r="H79" s="137"/>
      <c r="I79" s="137"/>
      <c r="J79" s="137"/>
      <c r="K79" s="137"/>
    </row>
    <row r="80" spans="2:11" ht="15.75" thickBot="1" x14ac:dyDescent="0.3">
      <c r="B80" s="2"/>
      <c r="C80" s="76"/>
      <c r="D80" s="6"/>
      <c r="E80" s="6"/>
      <c r="F80" s="6"/>
      <c r="G80" s="6"/>
      <c r="H80" s="6"/>
      <c r="I80" s="6"/>
      <c r="J80" s="6"/>
      <c r="K80" s="6"/>
    </row>
    <row r="81" spans="2:11" ht="24.75" thickBot="1" x14ac:dyDescent="0.3">
      <c r="B81" s="51" t="s">
        <v>56</v>
      </c>
      <c r="C81" s="97"/>
      <c r="D81" s="6"/>
      <c r="E81" s="6"/>
      <c r="F81" s="6"/>
      <c r="G81" s="6"/>
      <c r="H81" s="6"/>
      <c r="I81" s="6"/>
      <c r="J81" s="6"/>
      <c r="K81" s="6"/>
    </row>
    <row r="82" spans="2:11" ht="15.75" thickBot="1" x14ac:dyDescent="0.3">
      <c r="B82" s="38"/>
      <c r="C82" s="88"/>
      <c r="D82" s="6"/>
      <c r="E82" s="6"/>
      <c r="F82" s="6"/>
      <c r="G82" s="6"/>
      <c r="H82" s="6"/>
      <c r="I82" s="6"/>
      <c r="J82" s="6"/>
      <c r="K82" s="6"/>
    </row>
    <row r="83" spans="2:11" ht="84.75" thickBot="1" x14ac:dyDescent="0.3">
      <c r="B83" s="52" t="s">
        <v>57</v>
      </c>
      <c r="C83" s="98"/>
      <c r="D83" s="43" t="s">
        <v>481</v>
      </c>
      <c r="E83" s="6"/>
      <c r="F83" s="6"/>
      <c r="G83" s="6"/>
      <c r="H83" s="6"/>
      <c r="I83" s="6"/>
      <c r="J83" s="6"/>
      <c r="K83" s="6"/>
    </row>
    <row r="84" spans="2:11" x14ac:dyDescent="0.25">
      <c r="B84" s="1804" t="s">
        <v>59</v>
      </c>
      <c r="C84" s="94"/>
      <c r="D84" s="53" t="s">
        <v>60</v>
      </c>
      <c r="E84" s="6"/>
      <c r="F84" s="6"/>
      <c r="G84" s="6"/>
      <c r="H84" s="6"/>
      <c r="I84" s="6"/>
      <c r="J84" s="6"/>
      <c r="K84" s="6"/>
    </row>
    <row r="85" spans="2:11" ht="120" x14ac:dyDescent="0.25">
      <c r="B85" s="1805"/>
      <c r="C85" s="94"/>
      <c r="D85" s="46" t="s">
        <v>482</v>
      </c>
      <c r="E85" s="6"/>
      <c r="F85" s="6"/>
      <c r="G85" s="6"/>
      <c r="H85" s="6"/>
      <c r="I85" s="6"/>
      <c r="J85" s="6"/>
      <c r="K85" s="6"/>
    </row>
    <row r="86" spans="2:11" x14ac:dyDescent="0.25">
      <c r="B86" s="1805"/>
      <c r="C86" s="94"/>
      <c r="D86" s="53" t="s">
        <v>63</v>
      </c>
      <c r="E86" s="6"/>
      <c r="F86" s="6"/>
      <c r="G86" s="6"/>
      <c r="H86" s="6"/>
      <c r="I86" s="6"/>
      <c r="J86" s="6"/>
      <c r="K86" s="6"/>
    </row>
    <row r="87" spans="2:11" ht="72" x14ac:dyDescent="0.25">
      <c r="B87" s="1805"/>
      <c r="C87" s="94"/>
      <c r="D87" s="46" t="s">
        <v>483</v>
      </c>
      <c r="E87" s="6"/>
      <c r="F87" s="6"/>
      <c r="G87" s="6"/>
      <c r="H87" s="6"/>
      <c r="I87" s="6"/>
      <c r="J87" s="6"/>
      <c r="K87" s="6"/>
    </row>
    <row r="88" spans="2:11" x14ac:dyDescent="0.25">
      <c r="B88" s="1805"/>
      <c r="C88" s="94"/>
      <c r="D88" s="46" t="s">
        <v>65</v>
      </c>
      <c r="E88" s="6"/>
      <c r="F88" s="6"/>
      <c r="G88" s="6"/>
      <c r="H88" s="6"/>
      <c r="I88" s="6"/>
      <c r="J88" s="6"/>
      <c r="K88" s="6"/>
    </row>
    <row r="89" spans="2:11" x14ac:dyDescent="0.25">
      <c r="B89" s="1805"/>
      <c r="C89" s="94"/>
      <c r="D89" s="46" t="s">
        <v>484</v>
      </c>
      <c r="E89" s="6"/>
      <c r="F89" s="6"/>
      <c r="G89" s="6"/>
      <c r="H89" s="6"/>
      <c r="I89" s="6"/>
      <c r="J89" s="6"/>
      <c r="K89" s="6"/>
    </row>
    <row r="90" spans="2:11" x14ac:dyDescent="0.25">
      <c r="B90" s="1805"/>
      <c r="C90" s="94"/>
      <c r="D90" s="46" t="s">
        <v>485</v>
      </c>
      <c r="E90" s="6"/>
      <c r="F90" s="6"/>
      <c r="G90" s="6"/>
      <c r="H90" s="6"/>
      <c r="I90" s="6"/>
      <c r="J90" s="6"/>
      <c r="K90" s="6"/>
    </row>
    <row r="91" spans="2:11" x14ac:dyDescent="0.25">
      <c r="B91" s="1805"/>
      <c r="C91" s="94"/>
      <c r="D91" s="53" t="s">
        <v>288</v>
      </c>
      <c r="E91" s="6"/>
      <c r="F91" s="6"/>
      <c r="G91" s="6"/>
      <c r="H91" s="6"/>
      <c r="I91" s="6"/>
      <c r="J91" s="6"/>
      <c r="K91" s="6"/>
    </row>
    <row r="92" spans="2:11" ht="36.75" thickBot="1" x14ac:dyDescent="0.3">
      <c r="B92" s="1806"/>
      <c r="C92" s="3"/>
      <c r="D92" s="41" t="s">
        <v>453</v>
      </c>
      <c r="E92" s="6"/>
      <c r="F92" s="6"/>
      <c r="G92" s="6"/>
      <c r="H92" s="6"/>
      <c r="I92" s="6"/>
      <c r="J92" s="6"/>
      <c r="K92" s="6"/>
    </row>
    <row r="93" spans="2:11" ht="24.75" thickBot="1" x14ac:dyDescent="0.3">
      <c r="B93" s="47" t="s">
        <v>72</v>
      </c>
      <c r="C93" s="3"/>
      <c r="D93" s="41"/>
      <c r="E93" s="6"/>
      <c r="F93" s="6"/>
      <c r="G93" s="6"/>
      <c r="H93" s="6"/>
      <c r="I93" s="6"/>
      <c r="J93" s="6"/>
      <c r="K93" s="6"/>
    </row>
    <row r="94" spans="2:11" ht="48" x14ac:dyDescent="0.25">
      <c r="B94" s="1804" t="s">
        <v>73</v>
      </c>
      <c r="C94" s="94"/>
      <c r="D94" s="46" t="s">
        <v>486</v>
      </c>
      <c r="E94" s="6"/>
      <c r="F94" s="6"/>
      <c r="G94" s="6"/>
      <c r="H94" s="6"/>
      <c r="I94" s="6"/>
      <c r="J94" s="6"/>
      <c r="K94" s="6"/>
    </row>
    <row r="95" spans="2:11" ht="60" x14ac:dyDescent="0.25">
      <c r="B95" s="1805"/>
      <c r="C95" s="94"/>
      <c r="D95" s="26" t="s">
        <v>487</v>
      </c>
      <c r="E95" s="6"/>
      <c r="F95" s="6"/>
      <c r="G95" s="6"/>
      <c r="H95" s="6"/>
      <c r="I95" s="6"/>
      <c r="J95" s="6"/>
      <c r="K95" s="6"/>
    </row>
    <row r="96" spans="2:11" ht="36" x14ac:dyDescent="0.25">
      <c r="B96" s="1805"/>
      <c r="C96" s="94"/>
      <c r="D96" s="26" t="s">
        <v>488</v>
      </c>
      <c r="E96" s="6"/>
      <c r="F96" s="6"/>
      <c r="G96" s="6"/>
      <c r="H96" s="6"/>
      <c r="I96" s="6"/>
      <c r="J96" s="6"/>
      <c r="K96" s="6"/>
    </row>
    <row r="97" spans="2:11" ht="48" x14ac:dyDescent="0.25">
      <c r="B97" s="1805"/>
      <c r="C97" s="94"/>
      <c r="D97" s="26" t="s">
        <v>489</v>
      </c>
      <c r="E97" s="6"/>
      <c r="F97" s="6"/>
      <c r="G97" s="6"/>
      <c r="H97" s="6"/>
      <c r="I97" s="6"/>
      <c r="J97" s="6"/>
      <c r="K97" s="6"/>
    </row>
    <row r="98" spans="2:11" ht="36" x14ac:dyDescent="0.25">
      <c r="B98" s="1805"/>
      <c r="C98" s="94"/>
      <c r="D98" s="26" t="s">
        <v>490</v>
      </c>
      <c r="E98" s="6"/>
      <c r="F98" s="6"/>
      <c r="G98" s="6"/>
      <c r="H98" s="6"/>
      <c r="I98" s="6"/>
      <c r="J98" s="6"/>
      <c r="K98" s="6"/>
    </row>
    <row r="99" spans="2:11" ht="96" x14ac:dyDescent="0.25">
      <c r="B99" s="1805"/>
      <c r="C99" s="94"/>
      <c r="D99" s="46" t="s">
        <v>491</v>
      </c>
      <c r="E99" s="6"/>
      <c r="F99" s="6"/>
      <c r="G99" s="6"/>
      <c r="H99" s="6"/>
      <c r="I99" s="6"/>
      <c r="J99" s="6"/>
      <c r="K99" s="6"/>
    </row>
    <row r="100" spans="2:11" ht="48" x14ac:dyDescent="0.25">
      <c r="B100" s="1805"/>
      <c r="C100" s="94"/>
      <c r="D100" s="46" t="s">
        <v>492</v>
      </c>
      <c r="E100" s="6"/>
      <c r="F100" s="6"/>
      <c r="G100" s="6"/>
      <c r="H100" s="6"/>
      <c r="I100" s="6"/>
      <c r="J100" s="6"/>
      <c r="K100" s="6"/>
    </row>
    <row r="101" spans="2:11" ht="36" x14ac:dyDescent="0.25">
      <c r="B101" s="1805"/>
      <c r="C101" s="94"/>
      <c r="D101" s="46" t="s">
        <v>493</v>
      </c>
      <c r="E101" s="6"/>
      <c r="F101" s="6"/>
      <c r="G101" s="6"/>
      <c r="H101" s="6"/>
      <c r="I101" s="6"/>
      <c r="J101" s="6"/>
      <c r="K101" s="6"/>
    </row>
    <row r="102" spans="2:11" ht="36" x14ac:dyDescent="0.25">
      <c r="B102" s="1805"/>
      <c r="C102" s="94"/>
      <c r="D102" s="46" t="s">
        <v>494</v>
      </c>
      <c r="E102" s="6"/>
      <c r="F102" s="6"/>
      <c r="G102" s="6"/>
      <c r="H102" s="6"/>
      <c r="I102" s="6"/>
      <c r="J102" s="6"/>
      <c r="K102" s="6"/>
    </row>
    <row r="103" spans="2:11" ht="96.75" thickBot="1" x14ac:dyDescent="0.3">
      <c r="B103" s="1806"/>
      <c r="C103" s="3"/>
      <c r="D103" s="41" t="s">
        <v>495</v>
      </c>
      <c r="E103" s="6"/>
      <c r="F103" s="6"/>
      <c r="G103" s="6"/>
      <c r="H103" s="6"/>
      <c r="I103" s="6"/>
      <c r="J103" s="6"/>
      <c r="K103" s="6"/>
    </row>
    <row r="104" spans="2:11" ht="24" x14ac:dyDescent="0.25">
      <c r="B104" s="1804" t="s">
        <v>90</v>
      </c>
      <c r="C104" s="94"/>
      <c r="D104" s="53" t="s">
        <v>496</v>
      </c>
      <c r="E104" s="6"/>
      <c r="F104" s="6"/>
      <c r="G104" s="6"/>
      <c r="H104" s="6"/>
      <c r="I104" s="6"/>
      <c r="J104" s="6"/>
      <c r="K104" s="6"/>
    </row>
    <row r="105" spans="2:11" x14ac:dyDescent="0.25">
      <c r="B105" s="1805"/>
      <c r="C105" s="94"/>
      <c r="D105" s="46" t="s">
        <v>497</v>
      </c>
      <c r="E105" s="6"/>
      <c r="F105" s="6"/>
      <c r="G105" s="6"/>
      <c r="H105" s="6"/>
      <c r="I105" s="6"/>
      <c r="J105" s="6"/>
      <c r="K105" s="6"/>
    </row>
    <row r="106" spans="2:11" x14ac:dyDescent="0.25">
      <c r="B106" s="1805"/>
      <c r="C106" s="94"/>
      <c r="D106" s="46" t="s">
        <v>91</v>
      </c>
      <c r="E106" s="6"/>
      <c r="F106" s="6"/>
      <c r="G106" s="6"/>
      <c r="H106" s="6"/>
      <c r="I106" s="6"/>
      <c r="J106" s="6"/>
      <c r="K106" s="6"/>
    </row>
    <row r="107" spans="2:11" ht="49.5" x14ac:dyDescent="0.25">
      <c r="B107" s="1805"/>
      <c r="C107" s="94"/>
      <c r="D107" s="46" t="s">
        <v>498</v>
      </c>
      <c r="E107" s="6"/>
      <c r="F107" s="6"/>
      <c r="G107" s="6"/>
      <c r="H107" s="6"/>
      <c r="I107" s="6"/>
      <c r="J107" s="6"/>
      <c r="K107" s="6"/>
    </row>
    <row r="108" spans="2:11" ht="49.5" x14ac:dyDescent="0.25">
      <c r="B108" s="1805"/>
      <c r="C108" s="94"/>
      <c r="D108" s="46" t="s">
        <v>499</v>
      </c>
      <c r="E108" s="6"/>
      <c r="F108" s="6"/>
      <c r="G108" s="6"/>
      <c r="H108" s="6"/>
      <c r="I108" s="6"/>
      <c r="J108" s="6"/>
      <c r="K108" s="6"/>
    </row>
    <row r="109" spans="2:11" ht="49.5" x14ac:dyDescent="0.25">
      <c r="B109" s="1805"/>
      <c r="C109" s="94"/>
      <c r="D109" s="46" t="s">
        <v>500</v>
      </c>
      <c r="E109" s="6"/>
      <c r="F109" s="6"/>
      <c r="G109" s="6"/>
      <c r="H109" s="6"/>
      <c r="I109" s="6"/>
      <c r="J109" s="6"/>
      <c r="K109" s="6"/>
    </row>
    <row r="110" spans="2:11" x14ac:dyDescent="0.25">
      <c r="B110" s="1805"/>
      <c r="C110" s="94"/>
      <c r="D110" s="53" t="s">
        <v>246</v>
      </c>
      <c r="E110" s="6"/>
      <c r="F110" s="6"/>
      <c r="G110" s="6"/>
      <c r="H110" s="6"/>
      <c r="I110" s="6"/>
      <c r="J110" s="6"/>
      <c r="K110" s="6"/>
    </row>
    <row r="111" spans="2:11" ht="36" x14ac:dyDescent="0.25">
      <c r="B111" s="1805"/>
      <c r="C111" s="94"/>
      <c r="D111" s="53" t="s">
        <v>501</v>
      </c>
      <c r="E111" s="6"/>
      <c r="F111" s="6"/>
      <c r="G111" s="6"/>
      <c r="H111" s="6"/>
      <c r="I111" s="6"/>
      <c r="J111" s="6"/>
      <c r="K111" s="6"/>
    </row>
    <row r="112" spans="2:11" x14ac:dyDescent="0.25">
      <c r="B112" s="1805"/>
      <c r="C112" s="94"/>
      <c r="D112" s="17"/>
      <c r="E112" s="6"/>
      <c r="F112" s="6"/>
      <c r="G112" s="6"/>
      <c r="H112" s="6"/>
      <c r="I112" s="6"/>
      <c r="J112" s="6"/>
      <c r="K112" s="6"/>
    </row>
    <row r="113" spans="2:11" x14ac:dyDescent="0.25">
      <c r="B113" s="1805"/>
      <c r="C113" s="94"/>
      <c r="D113" s="46" t="s">
        <v>91</v>
      </c>
      <c r="E113" s="6"/>
      <c r="F113" s="6"/>
      <c r="G113" s="6"/>
      <c r="H113" s="6"/>
      <c r="I113" s="6"/>
      <c r="J113" s="6"/>
      <c r="K113" s="6"/>
    </row>
    <row r="114" spans="2:11" ht="49.5" x14ac:dyDescent="0.25">
      <c r="B114" s="1805"/>
      <c r="C114" s="94"/>
      <c r="D114" s="46" t="s">
        <v>502</v>
      </c>
      <c r="E114" s="6"/>
      <c r="F114" s="6"/>
      <c r="G114" s="6"/>
      <c r="H114" s="6"/>
      <c r="I114" s="6"/>
      <c r="J114" s="6"/>
      <c r="K114" s="6"/>
    </row>
    <row r="115" spans="2:11" ht="50.25" thickBot="1" x14ac:dyDescent="0.3">
      <c r="B115" s="1806"/>
      <c r="C115" s="3"/>
      <c r="D115" s="41" t="s">
        <v>503</v>
      </c>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row r="188" spans="2:11" x14ac:dyDescent="0.25">
      <c r="B188" s="6"/>
      <c r="D188" s="6"/>
      <c r="E188" s="6"/>
      <c r="F188" s="6"/>
      <c r="G188" s="6"/>
      <c r="H188" s="6"/>
      <c r="I188" s="6"/>
      <c r="J188" s="6"/>
      <c r="K188" s="6"/>
    </row>
  </sheetData>
  <mergeCells count="64">
    <mergeCell ref="Q15:Q18"/>
    <mergeCell ref="K17:M17"/>
    <mergeCell ref="N17:P17"/>
    <mergeCell ref="K29:K30"/>
    <mergeCell ref="B10:D10"/>
    <mergeCell ref="F10:S10"/>
    <mergeCell ref="F11:S11"/>
    <mergeCell ref="E13:R13"/>
    <mergeCell ref="B104:B115"/>
    <mergeCell ref="D16:D18"/>
    <mergeCell ref="E16:J16"/>
    <mergeCell ref="E17:G17"/>
    <mergeCell ref="H17:J17"/>
    <mergeCell ref="B15:B49"/>
    <mergeCell ref="D15:P15"/>
    <mergeCell ref="D23:P23"/>
    <mergeCell ref="D24:P24"/>
    <mergeCell ref="D25:P25"/>
    <mergeCell ref="D26:P26"/>
    <mergeCell ref="K16:P16"/>
    <mergeCell ref="B72:F72"/>
    <mergeCell ref="D50:P50"/>
    <mergeCell ref="B77:G77"/>
    <mergeCell ref="B78:G78"/>
    <mergeCell ref="B84:B92"/>
    <mergeCell ref="B94:B103"/>
    <mergeCell ref="B79:G79"/>
    <mergeCell ref="B54:B60"/>
    <mergeCell ref="B62:E62"/>
    <mergeCell ref="B63:B69"/>
    <mergeCell ref="D51:P51"/>
    <mergeCell ref="B53:E53"/>
    <mergeCell ref="D27:P27"/>
    <mergeCell ref="D28:P28"/>
    <mergeCell ref="C29:C30"/>
    <mergeCell ref="D29:D30"/>
    <mergeCell ref="D31:D36"/>
    <mergeCell ref="E29:E30"/>
    <mergeCell ref="F29:F30"/>
    <mergeCell ref="G29:G30"/>
    <mergeCell ref="J29:J30"/>
    <mergeCell ref="L29:L30"/>
    <mergeCell ref="L31:L36"/>
    <mergeCell ref="H37:H41"/>
    <mergeCell ref="I37:I41"/>
    <mergeCell ref="J37:J41"/>
    <mergeCell ref="L37:L41"/>
    <mergeCell ref="H31:H36"/>
    <mergeCell ref="A1:P1"/>
    <mergeCell ref="A2:P2"/>
    <mergeCell ref="A3:P3"/>
    <mergeCell ref="A4:D4"/>
    <mergeCell ref="A5:P5"/>
    <mergeCell ref="E12:J12"/>
    <mergeCell ref="K12:P12"/>
    <mergeCell ref="L42:L47"/>
    <mergeCell ref="E47:E48"/>
    <mergeCell ref="F47:F48"/>
    <mergeCell ref="G47:G48"/>
    <mergeCell ref="D42:D48"/>
    <mergeCell ref="H42:H47"/>
    <mergeCell ref="I42:I47"/>
    <mergeCell ref="J42:J47"/>
    <mergeCell ref="K42:K47"/>
  </mergeCells>
  <conditionalFormatting sqref="F10">
    <cfRule type="notContainsBlanks" dxfId="79" priority="4">
      <formula>LEN(TRIM(F10))&gt;0</formula>
    </cfRule>
  </conditionalFormatting>
  <conditionalFormatting sqref="F11:S11">
    <cfRule type="expression" dxfId="78" priority="2">
      <formula>E11="NO SE REPORTA"</formula>
    </cfRule>
    <cfRule type="expression" dxfId="77" priority="3">
      <formula>E10="NO APLICA"</formula>
    </cfRule>
  </conditionalFormatting>
  <conditionalFormatting sqref="E12 Q12:R12 K12">
    <cfRule type="expression" dxfId="76"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whole" operator="greaterThanOrEqual" allowBlank="1" showInputMessage="1" showErrorMessage="1" errorTitle="ERROR" error="Valor en PESOS (sin centavos)" sqref="H37:I37 I31:K36 H42:K42 H48:K48">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U180"/>
  <sheetViews>
    <sheetView showGridLines="0" topLeftCell="F3" zoomScale="90" zoomScaleNormal="90" workbookViewId="0">
      <selection activeCell="E12" sqref="E12:J12"/>
    </sheetView>
  </sheetViews>
  <sheetFormatPr baseColWidth="10" defaultRowHeight="15" x14ac:dyDescent="0.25"/>
  <cols>
    <col min="1" max="1" width="1.85546875" customWidth="1"/>
    <col min="2" max="2" width="12.140625" customWidth="1"/>
    <col min="3" max="3" width="6.85546875" style="87"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526</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1188</v>
      </c>
      <c r="C8" s="222">
        <v>2021</v>
      </c>
      <c r="D8" s="226">
        <f>IF(E10="NO APLICA","NO APLICA",IF(E11="NO SE REPORTA","SIN INFORMACION",+K21))</f>
        <v>1</v>
      </c>
      <c r="E8" s="223"/>
      <c r="F8" s="6" t="s">
        <v>130</v>
      </c>
      <c r="G8" s="6"/>
      <c r="H8" s="6"/>
      <c r="I8" s="6"/>
      <c r="J8" s="6"/>
      <c r="K8" s="6"/>
    </row>
    <row r="9" spans="1:21" x14ac:dyDescent="0.25">
      <c r="B9" s="497" t="s">
        <v>1189</v>
      </c>
      <c r="C9" s="88"/>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thickBot="1" x14ac:dyDescent="0.3">
      <c r="A11" s="245"/>
      <c r="B11" s="500"/>
      <c r="C11" s="501"/>
      <c r="D11" s="502" t="str">
        <f>IF(E10="SI APLICA","¿El indicador no se reporta por limitaciones de información disponible? ","")</f>
        <v xml:space="preserve">¿El indicador no se reporta por limitaciones de información disponible? </v>
      </c>
      <c r="E11" s="1034" t="s">
        <v>1243</v>
      </c>
      <c r="F11" s="1721"/>
      <c r="G11" s="1722"/>
      <c r="H11" s="1722"/>
      <c r="I11" s="1722"/>
      <c r="J11" s="1722"/>
      <c r="K11" s="1722"/>
      <c r="L11" s="1722"/>
      <c r="M11" s="1722"/>
      <c r="N11" s="1722"/>
      <c r="O11" s="1722"/>
      <c r="P11" s="1722"/>
      <c r="Q11" s="1722"/>
      <c r="R11" s="1722"/>
      <c r="S11" s="1722"/>
    </row>
    <row r="12" spans="1:21" s="412" customFormat="1" ht="23.45" customHeight="1" thickBot="1" x14ac:dyDescent="0.3">
      <c r="A12" s="245"/>
      <c r="B12" s="497"/>
      <c r="C12" s="304"/>
      <c r="D12" s="502" t="str">
        <f>IF(E11="SI SE REPORTA","¿Qué programas o proyectos del Plan de Acción están asociados al indicador? ","")</f>
        <v xml:space="preserve">¿Qué programas o proyectos del Plan de Acción están asociados al indicador? </v>
      </c>
      <c r="E12" s="1931" t="str">
        <f>+'Anexo 1 Matriz Inf Gestión'!A90</f>
        <v>Proyecto No 3.3. Protección y conservación de la biodiversidad</v>
      </c>
      <c r="F12" s="1932"/>
      <c r="G12" s="1932"/>
      <c r="H12" s="1932"/>
      <c r="I12" s="1932"/>
      <c r="J12" s="1933"/>
      <c r="K12" s="1729" t="str">
        <f>+'Anexo 1 Matriz Inf Gestión'!A75</f>
        <v>Proyecto No 3.2. Ecosistemas marino costeros.</v>
      </c>
      <c r="L12" s="1729"/>
      <c r="M12" s="1729"/>
      <c r="N12" s="1729"/>
      <c r="O12" s="1729"/>
      <c r="P12" s="1729"/>
      <c r="Q12" s="1729"/>
      <c r="R12" s="1729"/>
    </row>
    <row r="13" spans="1:21" s="412" customFormat="1" ht="21.95" customHeight="1" x14ac:dyDescent="0.25">
      <c r="A13" s="245"/>
      <c r="B13" s="497"/>
      <c r="C13" s="304"/>
      <c r="D13" s="502" t="s">
        <v>1246</v>
      </c>
      <c r="E13" s="1723" t="s">
        <v>2835</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8"/>
      <c r="D14" s="6"/>
      <c r="E14" s="6"/>
      <c r="F14" s="6"/>
      <c r="G14" s="6"/>
      <c r="H14" s="6"/>
      <c r="I14" s="6"/>
      <c r="J14" s="6"/>
      <c r="K14" s="6"/>
    </row>
    <row r="15" spans="1:21" ht="15.75" thickBot="1" x14ac:dyDescent="0.3">
      <c r="B15" s="1864" t="s">
        <v>2</v>
      </c>
      <c r="C15" s="102"/>
      <c r="D15" s="1825" t="s">
        <v>336</v>
      </c>
      <c r="E15" s="1826"/>
      <c r="F15" s="1826"/>
      <c r="G15" s="1826"/>
      <c r="H15" s="1826"/>
      <c r="I15" s="1826"/>
      <c r="J15" s="1826"/>
      <c r="K15" s="1826"/>
      <c r="L15" s="1876"/>
    </row>
    <row r="16" spans="1:21" ht="15.75" thickBot="1" x14ac:dyDescent="0.3">
      <c r="B16" s="1912"/>
      <c r="C16" s="109"/>
      <c r="D16" s="1827"/>
      <c r="E16" s="1816" t="s">
        <v>546</v>
      </c>
      <c r="F16" s="1817"/>
      <c r="G16" s="1818"/>
      <c r="H16" s="1816" t="s">
        <v>547</v>
      </c>
      <c r="I16" s="1817"/>
      <c r="J16" s="1818"/>
      <c r="K16" s="1804" t="s">
        <v>466</v>
      </c>
      <c r="L16" s="14"/>
    </row>
    <row r="17" spans="2:12" ht="15.75" thickBot="1" x14ac:dyDescent="0.3">
      <c r="B17" s="1912"/>
      <c r="C17" s="109"/>
      <c r="D17" s="1858"/>
      <c r="E17" s="65" t="s">
        <v>506</v>
      </c>
      <c r="F17" s="65" t="s">
        <v>507</v>
      </c>
      <c r="G17" s="65" t="s">
        <v>548</v>
      </c>
      <c r="H17" s="65" t="s">
        <v>506</v>
      </c>
      <c r="I17" s="65" t="s">
        <v>507</v>
      </c>
      <c r="J17" s="65" t="s">
        <v>548</v>
      </c>
      <c r="K17" s="1806"/>
      <c r="L17" s="14"/>
    </row>
    <row r="18" spans="2:12" ht="24.75" thickBot="1" x14ac:dyDescent="0.3">
      <c r="B18" s="1912"/>
      <c r="C18" s="109"/>
      <c r="D18" s="41" t="s">
        <v>549</v>
      </c>
      <c r="E18" s="7"/>
      <c r="F18" s="7">
        <v>2</v>
      </c>
      <c r="G18" s="42">
        <f>+E18+F18</f>
        <v>2</v>
      </c>
      <c r="H18" s="7"/>
      <c r="I18" s="7">
        <v>2</v>
      </c>
      <c r="J18" s="42">
        <f>+H18+I18</f>
        <v>2</v>
      </c>
      <c r="K18" s="42">
        <f>+G18+J18</f>
        <v>4</v>
      </c>
      <c r="L18" s="14"/>
    </row>
    <row r="19" spans="2:12" ht="36.75" thickBot="1" x14ac:dyDescent="0.3">
      <c r="B19" s="1912"/>
      <c r="C19" s="109"/>
      <c r="D19" s="41" t="s">
        <v>550</v>
      </c>
      <c r="E19" s="7"/>
      <c r="F19" s="7">
        <v>2</v>
      </c>
      <c r="G19" s="42">
        <f>+E19+F19</f>
        <v>2</v>
      </c>
      <c r="H19" s="7"/>
      <c r="I19" s="7">
        <v>2</v>
      </c>
      <c r="J19" s="42">
        <f>+H19+I19</f>
        <v>2</v>
      </c>
      <c r="K19" s="42">
        <f>+G19+J19</f>
        <v>4</v>
      </c>
      <c r="L19" s="14"/>
    </row>
    <row r="20" spans="2:12" ht="36.75" thickBot="1" x14ac:dyDescent="0.3">
      <c r="B20" s="1912"/>
      <c r="C20" s="109"/>
      <c r="D20" s="41" t="s">
        <v>551</v>
      </c>
      <c r="E20" s="7"/>
      <c r="F20" s="7">
        <v>2</v>
      </c>
      <c r="G20" s="42">
        <f>+E20+F20</f>
        <v>2</v>
      </c>
      <c r="H20" s="7"/>
      <c r="I20" s="1033">
        <v>2</v>
      </c>
      <c r="J20" s="42">
        <f>+H20+I20</f>
        <v>2</v>
      </c>
      <c r="K20" s="42">
        <f>+G20+J20</f>
        <v>4</v>
      </c>
      <c r="L20" s="14"/>
    </row>
    <row r="21" spans="2:12" ht="36.75" thickBot="1" x14ac:dyDescent="0.3">
      <c r="B21" s="1912"/>
      <c r="C21" s="109"/>
      <c r="D21" s="41" t="s">
        <v>526</v>
      </c>
      <c r="E21" s="196" t="str">
        <f>IFERROR(E20/E19,"N.A.")</f>
        <v>N.A.</v>
      </c>
      <c r="F21" s="196">
        <f t="shared" ref="F21:K21" si="0">IFERROR(F20/F19,"N.A.")</f>
        <v>1</v>
      </c>
      <c r="G21" s="196">
        <f t="shared" si="0"/>
        <v>1</v>
      </c>
      <c r="H21" s="196" t="str">
        <f t="shared" si="0"/>
        <v>N.A.</v>
      </c>
      <c r="I21" s="196">
        <f t="shared" si="0"/>
        <v>1</v>
      </c>
      <c r="J21" s="144">
        <f t="shared" si="0"/>
        <v>1</v>
      </c>
      <c r="K21" s="144">
        <f t="shared" si="0"/>
        <v>1</v>
      </c>
      <c r="L21" s="14"/>
    </row>
    <row r="22" spans="2:12" x14ac:dyDescent="0.25">
      <c r="B22" s="1912"/>
      <c r="C22" s="103"/>
      <c r="D22" s="1828"/>
      <c r="E22" s="1829"/>
      <c r="F22" s="1829"/>
      <c r="G22" s="1829"/>
      <c r="H22" s="1829"/>
      <c r="I22" s="1829"/>
      <c r="J22" s="1829"/>
      <c r="K22" s="1829"/>
      <c r="L22" s="1861"/>
    </row>
    <row r="23" spans="2:12" x14ac:dyDescent="0.25">
      <c r="B23" s="1912"/>
      <c r="C23" s="103"/>
      <c r="D23" s="1810" t="s">
        <v>246</v>
      </c>
      <c r="E23" s="1811"/>
      <c r="F23" s="1811"/>
      <c r="G23" s="1811"/>
      <c r="H23" s="1811"/>
      <c r="I23" s="1811"/>
      <c r="J23" s="1811"/>
      <c r="K23" s="1811"/>
      <c r="L23" s="1862"/>
    </row>
    <row r="24" spans="2:12" x14ac:dyDescent="0.25">
      <c r="B24" s="1912"/>
      <c r="C24" s="103"/>
      <c r="D24" s="1810" t="s">
        <v>552</v>
      </c>
      <c r="E24" s="1811"/>
      <c r="F24" s="1811"/>
      <c r="G24" s="1811"/>
      <c r="H24" s="1811"/>
      <c r="I24" s="1811"/>
      <c r="J24" s="1811"/>
      <c r="K24" s="1811"/>
      <c r="L24" s="1862"/>
    </row>
    <row r="25" spans="2:12" ht="15.75" thickBot="1" x14ac:dyDescent="0.3">
      <c r="B25" s="1912"/>
      <c r="C25" s="103"/>
      <c r="D25" s="1856" t="s">
        <v>340</v>
      </c>
      <c r="E25" s="1857"/>
      <c r="F25" s="1857"/>
      <c r="G25" s="1857"/>
      <c r="H25" s="1857"/>
      <c r="I25" s="1857"/>
      <c r="J25" s="1857"/>
      <c r="K25" s="1857"/>
      <c r="L25" s="1863"/>
    </row>
    <row r="26" spans="2:12" ht="21" customHeight="1" x14ac:dyDescent="0.25">
      <c r="B26" s="1912"/>
      <c r="C26" s="1894" t="s">
        <v>19</v>
      </c>
      <c r="D26" s="1896" t="s">
        <v>270</v>
      </c>
      <c r="E26" s="1923" t="s">
        <v>518</v>
      </c>
      <c r="F26" s="1923" t="s">
        <v>519</v>
      </c>
      <c r="G26" s="1923" t="s">
        <v>520</v>
      </c>
      <c r="H26" s="212" t="s">
        <v>473</v>
      </c>
      <c r="I26" s="212" t="s">
        <v>475</v>
      </c>
      <c r="J26" s="1923" t="s">
        <v>274</v>
      </c>
      <c r="K26" s="1923" t="s">
        <v>275</v>
      </c>
      <c r="L26" s="1923" t="s">
        <v>55</v>
      </c>
    </row>
    <row r="27" spans="2:12" ht="15.75" thickBot="1" x14ac:dyDescent="0.3">
      <c r="B27" s="1912"/>
      <c r="C27" s="1895"/>
      <c r="D27" s="1897"/>
      <c r="E27" s="1924"/>
      <c r="F27" s="1924"/>
      <c r="G27" s="1924"/>
      <c r="H27" s="213" t="s">
        <v>474</v>
      </c>
      <c r="I27" s="213" t="s">
        <v>476</v>
      </c>
      <c r="J27" s="1924"/>
      <c r="K27" s="1924"/>
      <c r="L27" s="1924"/>
    </row>
    <row r="28" spans="2:12" ht="409.6" thickBot="1" x14ac:dyDescent="0.3">
      <c r="B28" s="1912"/>
      <c r="C28" s="379"/>
      <c r="D28" s="1035" t="s">
        <v>2906</v>
      </c>
      <c r="E28" s="31" t="s">
        <v>2888</v>
      </c>
      <c r="F28" s="31" t="s">
        <v>2889</v>
      </c>
      <c r="G28" s="1002" t="s">
        <v>2907</v>
      </c>
      <c r="H28" s="1920">
        <v>40204742</v>
      </c>
      <c r="I28" s="1920"/>
      <c r="J28" s="1920">
        <v>13634821</v>
      </c>
      <c r="K28" s="1920"/>
      <c r="L28" s="1877" t="s">
        <v>2904</v>
      </c>
    </row>
    <row r="29" spans="2:12" ht="84.75" thickBot="1" x14ac:dyDescent="0.3">
      <c r="B29" s="1912"/>
      <c r="C29" s="379"/>
      <c r="D29" s="1036" t="s">
        <v>2908</v>
      </c>
      <c r="E29" s="1037" t="s">
        <v>2888</v>
      </c>
      <c r="F29" s="1037" t="s">
        <v>2889</v>
      </c>
      <c r="G29" s="30" t="s">
        <v>2909</v>
      </c>
      <c r="H29" s="1921"/>
      <c r="I29" s="1921"/>
      <c r="J29" s="1921"/>
      <c r="K29" s="1921"/>
      <c r="L29" s="1878"/>
    </row>
    <row r="30" spans="2:12" ht="72.75" thickBot="1" x14ac:dyDescent="0.3">
      <c r="B30" s="1912"/>
      <c r="C30" s="379"/>
      <c r="D30" s="1036" t="s">
        <v>2910</v>
      </c>
      <c r="E30" s="1037" t="s">
        <v>2888</v>
      </c>
      <c r="F30" s="1037" t="s">
        <v>2889</v>
      </c>
      <c r="G30" s="30" t="s">
        <v>2911</v>
      </c>
      <c r="H30" s="1922"/>
      <c r="I30" s="1922"/>
      <c r="J30" s="1922"/>
      <c r="K30" s="1922"/>
      <c r="L30" s="1879"/>
    </row>
    <row r="31" spans="2:12" ht="60.75" thickBot="1" x14ac:dyDescent="0.3">
      <c r="B31" s="1912"/>
      <c r="C31" s="379"/>
      <c r="D31" s="1036" t="s">
        <v>3511</v>
      </c>
      <c r="E31" s="1037" t="s">
        <v>3323</v>
      </c>
      <c r="F31" s="1037" t="s">
        <v>2889</v>
      </c>
      <c r="G31" s="479" t="s">
        <v>3512</v>
      </c>
      <c r="H31" s="1352">
        <v>35393070.5</v>
      </c>
      <c r="I31" s="1352">
        <v>35393070.5</v>
      </c>
      <c r="J31" s="1001">
        <v>8589893</v>
      </c>
      <c r="K31" s="1001">
        <v>6780088</v>
      </c>
      <c r="L31" s="1279" t="s">
        <v>3513</v>
      </c>
    </row>
    <row r="32" spans="2:12" ht="48.75" thickBot="1" x14ac:dyDescent="0.3">
      <c r="B32" s="1912"/>
      <c r="C32" s="379"/>
      <c r="D32" s="1036" t="s">
        <v>3514</v>
      </c>
      <c r="E32" s="1037" t="s">
        <v>3323</v>
      </c>
      <c r="F32" s="1037" t="s">
        <v>2889</v>
      </c>
      <c r="G32" s="1353" t="s">
        <v>3515</v>
      </c>
      <c r="H32" s="1352">
        <v>35393070.5</v>
      </c>
      <c r="I32" s="1352">
        <v>35393070.5</v>
      </c>
      <c r="J32" s="1001">
        <v>8589893</v>
      </c>
      <c r="K32" s="1001">
        <v>6780088</v>
      </c>
      <c r="L32" s="1279" t="s">
        <v>3516</v>
      </c>
    </row>
    <row r="33" spans="2:12" ht="15.75" thickBot="1" x14ac:dyDescent="0.3">
      <c r="B33" s="1912"/>
      <c r="C33" s="379"/>
      <c r="D33" s="31"/>
      <c r="E33" s="31"/>
      <c r="F33" s="31"/>
      <c r="G33" s="31"/>
      <c r="H33" s="218"/>
      <c r="I33" s="218"/>
      <c r="J33" s="218"/>
      <c r="K33" s="218"/>
      <c r="L33" s="218"/>
    </row>
    <row r="34" spans="2:12" ht="15.75" thickBot="1" x14ac:dyDescent="0.3">
      <c r="B34" s="1912"/>
      <c r="C34" s="379"/>
      <c r="D34" s="31"/>
      <c r="E34" s="31"/>
      <c r="F34" s="31"/>
      <c r="G34" s="31"/>
      <c r="H34" s="218"/>
      <c r="I34" s="218"/>
      <c r="J34" s="218"/>
      <c r="K34" s="218"/>
      <c r="L34" s="218"/>
    </row>
    <row r="35" spans="2:12" ht="15.75" thickBot="1" x14ac:dyDescent="0.3">
      <c r="B35" s="1912"/>
      <c r="C35" s="379"/>
      <c r="D35" s="31"/>
      <c r="E35" s="31"/>
      <c r="F35" s="31"/>
      <c r="G35" s="31"/>
      <c r="H35" s="218"/>
      <c r="I35" s="218"/>
      <c r="J35" s="218"/>
      <c r="K35" s="218"/>
      <c r="L35" s="218"/>
    </row>
    <row r="36" spans="2:12" ht="15.75" thickBot="1" x14ac:dyDescent="0.3">
      <c r="B36" s="1912"/>
      <c r="C36" s="379"/>
      <c r="D36" s="31"/>
      <c r="E36" s="31"/>
      <c r="F36" s="31"/>
      <c r="G36" s="31"/>
      <c r="H36" s="218"/>
      <c r="I36" s="218"/>
      <c r="J36" s="218"/>
      <c r="K36" s="218"/>
      <c r="L36" s="218"/>
    </row>
    <row r="37" spans="2:12" ht="15.75" thickBot="1" x14ac:dyDescent="0.3">
      <c r="B37" s="1865"/>
      <c r="C37" s="110"/>
      <c r="D37" s="27"/>
      <c r="E37" s="40" t="s">
        <v>151</v>
      </c>
      <c r="F37" s="27"/>
      <c r="G37" s="27"/>
      <c r="H37" s="201">
        <f>SUM(H28:H36)</f>
        <v>110990883</v>
      </c>
      <c r="I37" s="201">
        <f>SUM(I28:I36)</f>
        <v>70786141</v>
      </c>
      <c r="J37" s="201">
        <f>SUM(J28:J36)</f>
        <v>30814607</v>
      </c>
      <c r="K37" s="201">
        <f>SUM(K28:K36)</f>
        <v>13560176</v>
      </c>
      <c r="L37" s="218"/>
    </row>
    <row r="38" spans="2:12" ht="36" customHeight="1" thickBot="1" x14ac:dyDescent="0.3">
      <c r="B38" s="72" t="s">
        <v>34</v>
      </c>
      <c r="C38" s="108"/>
      <c r="D38" s="1816" t="s">
        <v>553</v>
      </c>
      <c r="E38" s="1817"/>
      <c r="F38" s="1817"/>
      <c r="G38" s="1817"/>
      <c r="H38" s="1817"/>
      <c r="I38" s="1817"/>
      <c r="J38" s="1817"/>
      <c r="K38" s="1817"/>
      <c r="L38" s="1860"/>
    </row>
    <row r="39" spans="2:12" ht="24" customHeight="1" thickBot="1" x14ac:dyDescent="0.3">
      <c r="B39" s="72" t="s">
        <v>36</v>
      </c>
      <c r="C39" s="108"/>
      <c r="D39" s="1816" t="s">
        <v>554</v>
      </c>
      <c r="E39" s="1817"/>
      <c r="F39" s="1817"/>
      <c r="G39" s="1817"/>
      <c r="H39" s="1817"/>
      <c r="I39" s="1817"/>
      <c r="J39" s="1817"/>
      <c r="K39" s="1817"/>
      <c r="L39" s="1860"/>
    </row>
    <row r="40" spans="2:12" ht="15.75" thickBot="1" x14ac:dyDescent="0.3">
      <c r="B40" s="2"/>
      <c r="C40" s="76"/>
      <c r="D40" s="6"/>
      <c r="E40" s="6"/>
      <c r="F40" s="6"/>
      <c r="G40" s="6"/>
      <c r="H40" s="6"/>
      <c r="I40" s="6"/>
      <c r="J40" s="6"/>
      <c r="K40" s="6"/>
    </row>
    <row r="41" spans="2:12" ht="24" customHeight="1" thickBot="1" x14ac:dyDescent="0.3">
      <c r="B41" s="1807" t="s">
        <v>38</v>
      </c>
      <c r="C41" s="1808"/>
      <c r="D41" s="1808"/>
      <c r="E41" s="1809"/>
      <c r="F41" s="6"/>
      <c r="G41" s="6"/>
      <c r="H41" s="6"/>
      <c r="I41" s="6"/>
      <c r="J41" s="6"/>
      <c r="K41" s="6"/>
    </row>
    <row r="42" spans="2:12" ht="15.75" thickBot="1" x14ac:dyDescent="0.3">
      <c r="B42" s="1804">
        <v>1</v>
      </c>
      <c r="C42" s="94"/>
      <c r="D42" s="48" t="s">
        <v>39</v>
      </c>
      <c r="E42" s="31" t="s">
        <v>2854</v>
      </c>
      <c r="F42" s="6"/>
      <c r="G42" s="6"/>
      <c r="H42" s="6"/>
      <c r="I42" s="6"/>
      <c r="J42" s="6"/>
      <c r="K42" s="6"/>
    </row>
    <row r="43" spans="2:12" ht="15.75" thickBot="1" x14ac:dyDescent="0.3">
      <c r="B43" s="1805"/>
      <c r="C43" s="94"/>
      <c r="D43" s="41" t="s">
        <v>40</v>
      </c>
      <c r="E43" s="31" t="s">
        <v>3517</v>
      </c>
      <c r="F43" s="6"/>
      <c r="G43" s="6"/>
      <c r="H43" s="6"/>
      <c r="I43" s="6"/>
      <c r="J43" s="6"/>
      <c r="K43" s="6"/>
    </row>
    <row r="44" spans="2:12" ht="15.75" thickBot="1" x14ac:dyDescent="0.3">
      <c r="B44" s="1805"/>
      <c r="C44" s="94"/>
      <c r="D44" s="41" t="s">
        <v>41</v>
      </c>
      <c r="E44" s="31" t="s">
        <v>3518</v>
      </c>
      <c r="F44" s="6"/>
      <c r="G44" s="6"/>
      <c r="H44" s="6"/>
      <c r="I44" s="6"/>
      <c r="J44" s="6"/>
      <c r="K44" s="6"/>
    </row>
    <row r="45" spans="2:12" ht="15.75" thickBot="1" x14ac:dyDescent="0.3">
      <c r="B45" s="1805"/>
      <c r="C45" s="94"/>
      <c r="D45" s="41" t="s">
        <v>42</v>
      </c>
      <c r="E45" s="31" t="s">
        <v>3519</v>
      </c>
      <c r="F45" s="6"/>
      <c r="G45" s="6"/>
      <c r="H45" s="6"/>
      <c r="I45" s="6"/>
      <c r="J45" s="6"/>
      <c r="K45" s="6"/>
    </row>
    <row r="46" spans="2:12" ht="15.75" thickBot="1" x14ac:dyDescent="0.3">
      <c r="B46" s="1805"/>
      <c r="C46" s="94"/>
      <c r="D46" s="41" t="s">
        <v>43</v>
      </c>
      <c r="E46" s="1284" t="s">
        <v>3520</v>
      </c>
      <c r="F46" s="6"/>
      <c r="G46" s="6"/>
      <c r="H46" s="6"/>
      <c r="I46" s="6"/>
      <c r="J46" s="6"/>
      <c r="K46" s="6"/>
    </row>
    <row r="47" spans="2:12" ht="15.75" thickBot="1" x14ac:dyDescent="0.3">
      <c r="B47" s="1805"/>
      <c r="C47" s="94"/>
      <c r="D47" s="41" t="s">
        <v>44</v>
      </c>
      <c r="E47" s="31" t="s">
        <v>2912</v>
      </c>
      <c r="F47" s="6"/>
      <c r="G47" s="6"/>
      <c r="H47" s="6"/>
      <c r="I47" s="6"/>
      <c r="J47" s="6"/>
      <c r="K47" s="6"/>
    </row>
    <row r="48" spans="2:12" ht="15.75" thickBot="1" x14ac:dyDescent="0.3">
      <c r="B48" s="1806"/>
      <c r="C48" s="3"/>
      <c r="D48" s="41" t="s">
        <v>45</v>
      </c>
      <c r="E48" s="31" t="s">
        <v>2886</v>
      </c>
      <c r="F48" s="6"/>
      <c r="G48" s="6"/>
      <c r="H48" s="6"/>
      <c r="I48" s="6"/>
      <c r="J48" s="6"/>
      <c r="K48" s="6"/>
    </row>
    <row r="49" spans="2:11" ht="15.75" thickBot="1" x14ac:dyDescent="0.3">
      <c r="B49" s="2"/>
      <c r="C49" s="76"/>
      <c r="D49" s="6"/>
      <c r="E49" s="6"/>
      <c r="F49" s="6"/>
      <c r="G49" s="6"/>
      <c r="H49" s="6"/>
      <c r="I49" s="6"/>
      <c r="J49" s="6"/>
      <c r="K49" s="6"/>
    </row>
    <row r="50" spans="2:11" ht="15.75" thickBot="1" x14ac:dyDescent="0.3">
      <c r="B50" s="1807" t="s">
        <v>46</v>
      </c>
      <c r="C50" s="1808"/>
      <c r="D50" s="1808"/>
      <c r="E50" s="1809"/>
      <c r="F50" s="6"/>
      <c r="G50" s="6"/>
      <c r="H50" s="6"/>
      <c r="I50" s="6"/>
      <c r="J50" s="6"/>
      <c r="K50" s="6"/>
    </row>
    <row r="51" spans="2:11" ht="15.75" thickBot="1" x14ac:dyDescent="0.3">
      <c r="B51" s="1804">
        <v>1</v>
      </c>
      <c r="C51" s="94"/>
      <c r="D51" s="48" t="s">
        <v>39</v>
      </c>
      <c r="E51" s="496" t="s">
        <v>47</v>
      </c>
      <c r="F51" s="6"/>
      <c r="G51" s="6"/>
      <c r="H51" s="6"/>
      <c r="I51" s="6"/>
      <c r="J51" s="6"/>
      <c r="K51" s="6"/>
    </row>
    <row r="52" spans="2:11" ht="15.75" thickBot="1" x14ac:dyDescent="0.3">
      <c r="B52" s="1805"/>
      <c r="C52" s="94"/>
      <c r="D52" s="41" t="s">
        <v>40</v>
      </c>
      <c r="E52" s="496" t="s">
        <v>48</v>
      </c>
      <c r="F52" s="6"/>
      <c r="G52" s="6"/>
      <c r="H52" s="6"/>
      <c r="I52" s="6"/>
      <c r="J52" s="6"/>
      <c r="K52" s="6"/>
    </row>
    <row r="53" spans="2:11" ht="15.75" thickBot="1" x14ac:dyDescent="0.3">
      <c r="B53" s="1805"/>
      <c r="C53" s="94"/>
      <c r="D53" s="41" t="s">
        <v>41</v>
      </c>
      <c r="E53" s="315"/>
      <c r="F53" s="6"/>
      <c r="G53" s="6"/>
      <c r="H53" s="6"/>
      <c r="I53" s="6"/>
      <c r="J53" s="6"/>
      <c r="K53" s="6"/>
    </row>
    <row r="54" spans="2:11" ht="15.75" thickBot="1" x14ac:dyDescent="0.3">
      <c r="B54" s="1805"/>
      <c r="C54" s="94"/>
      <c r="D54" s="41" t="s">
        <v>42</v>
      </c>
      <c r="E54" s="315"/>
      <c r="F54" s="6"/>
      <c r="G54" s="6"/>
      <c r="H54" s="6"/>
      <c r="I54" s="6"/>
      <c r="J54" s="6"/>
      <c r="K54" s="6"/>
    </row>
    <row r="55" spans="2:11" ht="15.75" thickBot="1" x14ac:dyDescent="0.3">
      <c r="B55" s="1805"/>
      <c r="C55" s="94"/>
      <c r="D55" s="41" t="s">
        <v>43</v>
      </c>
      <c r="E55" s="315"/>
      <c r="F55" s="6"/>
      <c r="G55" s="6"/>
      <c r="H55" s="6"/>
      <c r="I55" s="6"/>
      <c r="J55" s="6"/>
      <c r="K55" s="6"/>
    </row>
    <row r="56" spans="2:11" ht="15.75" thickBot="1" x14ac:dyDescent="0.3">
      <c r="B56" s="1805"/>
      <c r="C56" s="94"/>
      <c r="D56" s="41" t="s">
        <v>44</v>
      </c>
      <c r="E56" s="315"/>
      <c r="F56" s="6"/>
      <c r="G56" s="6"/>
      <c r="H56" s="6"/>
      <c r="I56" s="6"/>
      <c r="J56" s="6"/>
      <c r="K56" s="6"/>
    </row>
    <row r="57" spans="2:11" ht="15.75" thickBot="1" x14ac:dyDescent="0.3">
      <c r="B57" s="1806"/>
      <c r="C57" s="3"/>
      <c r="D57" s="41" t="s">
        <v>45</v>
      </c>
      <c r="E57" s="315"/>
      <c r="F57" s="6"/>
      <c r="G57" s="6"/>
      <c r="H57" s="6"/>
      <c r="I57" s="6"/>
      <c r="J57" s="6"/>
      <c r="K57" s="6"/>
    </row>
    <row r="58" spans="2:11" ht="15.75" thickBot="1" x14ac:dyDescent="0.3">
      <c r="B58" s="2"/>
      <c r="C58" s="76"/>
      <c r="D58" s="6"/>
      <c r="E58" s="6"/>
      <c r="F58" s="6"/>
      <c r="G58" s="6"/>
      <c r="H58" s="6"/>
      <c r="I58" s="6"/>
      <c r="J58" s="6"/>
      <c r="K58" s="6"/>
    </row>
    <row r="59" spans="2:11" ht="15" customHeight="1" thickBot="1" x14ac:dyDescent="0.3">
      <c r="B59" s="121" t="s">
        <v>49</v>
      </c>
      <c r="C59" s="122"/>
      <c r="D59" s="122"/>
      <c r="E59" s="123"/>
      <c r="G59" s="6"/>
      <c r="H59" s="6"/>
      <c r="I59" s="6"/>
      <c r="J59" s="6"/>
      <c r="K59" s="6"/>
    </row>
    <row r="60" spans="2:11" ht="24.75" thickBot="1" x14ac:dyDescent="0.3">
      <c r="B60" s="47" t="s">
        <v>50</v>
      </c>
      <c r="C60" s="41" t="s">
        <v>51</v>
      </c>
      <c r="D60" s="41" t="s">
        <v>52</v>
      </c>
      <c r="E60" s="41" t="s">
        <v>53</v>
      </c>
      <c r="F60" s="6"/>
      <c r="G60" s="6"/>
      <c r="H60" s="6"/>
      <c r="I60" s="6"/>
      <c r="J60" s="6"/>
    </row>
    <row r="61" spans="2:11" ht="72.75" thickBot="1" x14ac:dyDescent="0.3">
      <c r="B61" s="49">
        <v>42401</v>
      </c>
      <c r="C61" s="41">
        <v>0.01</v>
      </c>
      <c r="D61" s="50" t="s">
        <v>555</v>
      </c>
      <c r="E61" s="41"/>
      <c r="F61" s="6"/>
      <c r="G61" s="6"/>
      <c r="H61" s="6"/>
      <c r="I61" s="6"/>
      <c r="J61" s="6"/>
    </row>
    <row r="62" spans="2:11" ht="15.75" thickBot="1" x14ac:dyDescent="0.3">
      <c r="B62" s="4"/>
      <c r="C62" s="95"/>
      <c r="D62" s="6"/>
      <c r="E62" s="6"/>
      <c r="F62" s="6"/>
      <c r="G62" s="6"/>
      <c r="H62" s="6"/>
      <c r="I62" s="6"/>
      <c r="J62" s="6"/>
      <c r="K62" s="6"/>
    </row>
    <row r="63" spans="2:11" x14ac:dyDescent="0.25">
      <c r="B63" s="135" t="s">
        <v>55</v>
      </c>
      <c r="C63" s="96"/>
      <c r="D63" s="6"/>
      <c r="E63" s="6"/>
      <c r="F63" s="6"/>
      <c r="G63" s="6"/>
      <c r="H63" s="6"/>
      <c r="I63" s="6"/>
      <c r="J63" s="6"/>
      <c r="K63" s="6"/>
    </row>
    <row r="64" spans="2:11" ht="81" customHeight="1" x14ac:dyDescent="0.25">
      <c r="B64" s="1925" t="s">
        <v>556</v>
      </c>
      <c r="C64" s="1926"/>
      <c r="D64" s="1927"/>
      <c r="E64" s="6"/>
      <c r="F64" s="6"/>
      <c r="G64" s="6"/>
      <c r="H64" s="6"/>
      <c r="I64" s="6"/>
      <c r="J64" s="6"/>
      <c r="K64" s="6"/>
    </row>
    <row r="65" spans="2:11" x14ac:dyDescent="0.25">
      <c r="B65" s="1928"/>
      <c r="C65" s="1929"/>
      <c r="D65" s="1930"/>
      <c r="E65" s="6"/>
      <c r="F65" s="6"/>
      <c r="G65" s="6"/>
      <c r="H65" s="6"/>
      <c r="I65" s="6"/>
      <c r="J65" s="6"/>
      <c r="K65" s="6"/>
    </row>
    <row r="66" spans="2:11" x14ac:dyDescent="0.25">
      <c r="B66" s="2"/>
      <c r="C66" s="76"/>
      <c r="D66" s="6"/>
      <c r="E66" s="6"/>
      <c r="F66" s="6"/>
      <c r="G66" s="6"/>
      <c r="H66" s="6"/>
      <c r="I66" s="6"/>
      <c r="J66" s="6"/>
      <c r="K66" s="6"/>
    </row>
    <row r="67" spans="2:11" ht="15.75" thickBot="1" x14ac:dyDescent="0.3">
      <c r="B67" s="6"/>
      <c r="D67" s="6"/>
      <c r="E67" s="6"/>
      <c r="F67" s="6"/>
      <c r="G67" s="6"/>
      <c r="H67" s="6"/>
      <c r="I67" s="6"/>
      <c r="J67" s="6"/>
      <c r="K67" s="6"/>
    </row>
    <row r="68" spans="2:11" ht="24.75" thickBot="1" x14ac:dyDescent="0.3">
      <c r="B68" s="51" t="s">
        <v>450</v>
      </c>
      <c r="C68" s="97"/>
      <c r="D68" s="6"/>
      <c r="E68" s="6"/>
      <c r="F68" s="6"/>
      <c r="G68" s="6"/>
      <c r="H68" s="6"/>
      <c r="I68" s="6"/>
      <c r="J68" s="6"/>
      <c r="K68" s="6"/>
    </row>
    <row r="69" spans="2:11" ht="15.75" thickBot="1" x14ac:dyDescent="0.3">
      <c r="B69" s="38"/>
      <c r="C69" s="88"/>
      <c r="D69" s="6"/>
      <c r="E69" s="6"/>
      <c r="F69" s="6"/>
      <c r="G69" s="6"/>
      <c r="H69" s="6"/>
      <c r="I69" s="6"/>
      <c r="J69" s="6"/>
      <c r="K69" s="6"/>
    </row>
    <row r="70" spans="2:11" ht="84.75" thickBot="1" x14ac:dyDescent="0.3">
      <c r="B70" s="52" t="s">
        <v>57</v>
      </c>
      <c r="C70" s="98"/>
      <c r="D70" s="43" t="s">
        <v>527</v>
      </c>
      <c r="E70" s="6"/>
      <c r="F70" s="6"/>
      <c r="G70" s="6"/>
      <c r="H70" s="6"/>
      <c r="I70" s="6"/>
      <c r="J70" s="6"/>
      <c r="K70" s="6"/>
    </row>
    <row r="71" spans="2:11" x14ac:dyDescent="0.25">
      <c r="B71" s="1804" t="s">
        <v>59</v>
      </c>
      <c r="C71" s="94"/>
      <c r="D71" s="53" t="s">
        <v>60</v>
      </c>
      <c r="E71" s="6"/>
      <c r="F71" s="6"/>
      <c r="G71" s="6"/>
      <c r="H71" s="6"/>
      <c r="I71" s="6"/>
      <c r="J71" s="6"/>
      <c r="K71" s="6"/>
    </row>
    <row r="72" spans="2:11" ht="120" x14ac:dyDescent="0.25">
      <c r="B72" s="1805"/>
      <c r="C72" s="94"/>
      <c r="D72" s="46" t="s">
        <v>528</v>
      </c>
      <c r="E72" s="6"/>
      <c r="F72" s="6"/>
      <c r="G72" s="6"/>
      <c r="H72" s="6"/>
      <c r="I72" s="6"/>
      <c r="J72" s="6"/>
      <c r="K72" s="6"/>
    </row>
    <row r="73" spans="2:11" x14ac:dyDescent="0.25">
      <c r="B73" s="1805"/>
      <c r="C73" s="94"/>
      <c r="D73" s="53" t="s">
        <v>63</v>
      </c>
      <c r="E73" s="6"/>
      <c r="F73" s="6"/>
      <c r="G73" s="6"/>
      <c r="H73" s="6"/>
      <c r="I73" s="6"/>
      <c r="J73" s="6"/>
      <c r="K73" s="6"/>
    </row>
    <row r="74" spans="2:11" x14ac:dyDescent="0.25">
      <c r="B74" s="1805"/>
      <c r="C74" s="94"/>
      <c r="D74" s="46" t="s">
        <v>165</v>
      </c>
      <c r="E74" s="6"/>
      <c r="F74" s="6"/>
      <c r="G74" s="6"/>
      <c r="H74" s="6"/>
      <c r="I74" s="6"/>
      <c r="J74" s="6"/>
      <c r="K74" s="6"/>
    </row>
    <row r="75" spans="2:11" ht="24" x14ac:dyDescent="0.25">
      <c r="B75" s="1805"/>
      <c r="C75" s="94"/>
      <c r="D75" s="46" t="s">
        <v>529</v>
      </c>
      <c r="E75" s="6"/>
      <c r="F75" s="6"/>
      <c r="G75" s="6"/>
      <c r="H75" s="6"/>
      <c r="I75" s="6"/>
      <c r="J75" s="6"/>
      <c r="K75" s="6"/>
    </row>
    <row r="76" spans="2:11" x14ac:dyDescent="0.25">
      <c r="B76" s="1805"/>
      <c r="C76" s="94"/>
      <c r="D76" s="46" t="s">
        <v>530</v>
      </c>
      <c r="E76" s="6"/>
      <c r="F76" s="6"/>
      <c r="G76" s="6"/>
      <c r="H76" s="6"/>
      <c r="I76" s="6"/>
      <c r="J76" s="6"/>
      <c r="K76" s="6"/>
    </row>
    <row r="77" spans="2:11" ht="24" x14ac:dyDescent="0.25">
      <c r="B77" s="1805"/>
      <c r="C77" s="94"/>
      <c r="D77" s="46" t="s">
        <v>531</v>
      </c>
      <c r="E77" s="6"/>
      <c r="F77" s="6"/>
      <c r="G77" s="6"/>
      <c r="H77" s="6"/>
      <c r="I77" s="6"/>
      <c r="J77" s="6"/>
      <c r="K77" s="6"/>
    </row>
    <row r="78" spans="2:11" ht="24" x14ac:dyDescent="0.25">
      <c r="B78" s="1805"/>
      <c r="C78" s="94"/>
      <c r="D78" s="46" t="s">
        <v>532</v>
      </c>
      <c r="E78" s="6"/>
      <c r="F78" s="6"/>
      <c r="G78" s="6"/>
      <c r="H78" s="6"/>
      <c r="I78" s="6"/>
      <c r="J78" s="6"/>
      <c r="K78" s="6"/>
    </row>
    <row r="79" spans="2:11" ht="24" x14ac:dyDescent="0.25">
      <c r="B79" s="1805"/>
      <c r="C79" s="94"/>
      <c r="D79" s="46" t="s">
        <v>533</v>
      </c>
      <c r="E79" s="6"/>
      <c r="F79" s="6"/>
      <c r="G79" s="6"/>
      <c r="H79" s="6"/>
      <c r="I79" s="6"/>
      <c r="J79" s="6"/>
      <c r="K79" s="6"/>
    </row>
    <row r="80" spans="2:11" x14ac:dyDescent="0.25">
      <c r="B80" s="1805"/>
      <c r="C80" s="94"/>
      <c r="D80" s="53" t="s">
        <v>288</v>
      </c>
      <c r="E80" s="6"/>
      <c r="F80" s="6"/>
      <c r="G80" s="6"/>
      <c r="H80" s="6"/>
      <c r="I80" s="6"/>
      <c r="J80" s="6"/>
      <c r="K80" s="6"/>
    </row>
    <row r="81" spans="2:11" ht="36" x14ac:dyDescent="0.25">
      <c r="B81" s="1805"/>
      <c r="C81" s="94"/>
      <c r="D81" s="46" t="s">
        <v>353</v>
      </c>
      <c r="E81" s="6"/>
      <c r="F81" s="6"/>
      <c r="G81" s="6"/>
      <c r="H81" s="6"/>
      <c r="I81" s="6"/>
      <c r="J81" s="6"/>
      <c r="K81" s="6"/>
    </row>
    <row r="82" spans="2:11" ht="36" x14ac:dyDescent="0.25">
      <c r="B82" s="1805"/>
      <c r="C82" s="94"/>
      <c r="D82" s="46" t="s">
        <v>534</v>
      </c>
      <c r="E82" s="6"/>
      <c r="F82" s="6"/>
      <c r="G82" s="6"/>
      <c r="H82" s="6"/>
      <c r="I82" s="6"/>
      <c r="J82" s="6"/>
      <c r="K82" s="6"/>
    </row>
    <row r="83" spans="2:11" ht="84.75" thickBot="1" x14ac:dyDescent="0.3">
      <c r="B83" s="1806"/>
      <c r="C83" s="3"/>
      <c r="D83" s="41" t="s">
        <v>535</v>
      </c>
      <c r="E83" s="6"/>
      <c r="F83" s="6"/>
      <c r="G83" s="6"/>
      <c r="H83" s="6"/>
      <c r="I83" s="6"/>
      <c r="J83" s="6"/>
      <c r="K83" s="6"/>
    </row>
    <row r="84" spans="2:11" ht="24.75" thickBot="1" x14ac:dyDescent="0.3">
      <c r="B84" s="47" t="s">
        <v>72</v>
      </c>
      <c r="C84" s="3"/>
      <c r="D84" s="41"/>
      <c r="E84" s="6"/>
      <c r="F84" s="6"/>
      <c r="G84" s="6"/>
      <c r="H84" s="6"/>
      <c r="I84" s="6"/>
      <c r="J84" s="6"/>
      <c r="K84" s="6"/>
    </row>
    <row r="85" spans="2:11" ht="84" x14ac:dyDescent="0.25">
      <c r="B85" s="1804" t="s">
        <v>73</v>
      </c>
      <c r="C85" s="94"/>
      <c r="D85" s="46" t="s">
        <v>536</v>
      </c>
      <c r="E85" s="6"/>
      <c r="F85" s="6"/>
      <c r="G85" s="6"/>
      <c r="H85" s="6"/>
      <c r="I85" s="6"/>
      <c r="J85" s="6"/>
      <c r="K85" s="6"/>
    </row>
    <row r="86" spans="2:11" ht="96" x14ac:dyDescent="0.25">
      <c r="B86" s="1805"/>
      <c r="C86" s="94"/>
      <c r="D86" s="46" t="s">
        <v>537</v>
      </c>
      <c r="E86" s="6"/>
      <c r="F86" s="6"/>
      <c r="G86" s="6"/>
      <c r="H86" s="6"/>
      <c r="I86" s="6"/>
      <c r="J86" s="6"/>
      <c r="K86" s="6"/>
    </row>
    <row r="87" spans="2:11" ht="132" x14ac:dyDescent="0.25">
      <c r="B87" s="1805"/>
      <c r="C87" s="94"/>
      <c r="D87" s="46" t="s">
        <v>538</v>
      </c>
      <c r="E87" s="6"/>
      <c r="F87" s="6"/>
      <c r="G87" s="6"/>
      <c r="H87" s="6"/>
      <c r="I87" s="6"/>
      <c r="J87" s="6"/>
      <c r="K87" s="6"/>
    </row>
    <row r="88" spans="2:11" ht="144.75" thickBot="1" x14ac:dyDescent="0.3">
      <c r="B88" s="1806"/>
      <c r="C88" s="3"/>
      <c r="D88" s="41" t="s">
        <v>539</v>
      </c>
      <c r="E88" s="6"/>
      <c r="F88" s="6"/>
      <c r="G88" s="6"/>
      <c r="H88" s="6"/>
      <c r="I88" s="6"/>
      <c r="J88" s="6"/>
      <c r="K88" s="6"/>
    </row>
    <row r="89" spans="2:11" ht="24" x14ac:dyDescent="0.25">
      <c r="B89" s="1804" t="s">
        <v>90</v>
      </c>
      <c r="C89" s="94"/>
      <c r="D89" s="53" t="s">
        <v>526</v>
      </c>
      <c r="E89" s="6"/>
      <c r="F89" s="6"/>
      <c r="G89" s="6"/>
      <c r="H89" s="6"/>
      <c r="I89" s="6"/>
      <c r="J89" s="6"/>
      <c r="K89" s="6"/>
    </row>
    <row r="90" spans="2:11" x14ac:dyDescent="0.25">
      <c r="B90" s="1805"/>
      <c r="C90" s="94"/>
      <c r="D90" s="46" t="s">
        <v>497</v>
      </c>
      <c r="E90" s="6"/>
      <c r="F90" s="6"/>
      <c r="G90" s="6"/>
      <c r="H90" s="6"/>
      <c r="I90" s="6"/>
      <c r="J90" s="6"/>
      <c r="K90" s="6"/>
    </row>
    <row r="91" spans="2:11" x14ac:dyDescent="0.25">
      <c r="B91" s="1805"/>
      <c r="C91" s="94"/>
      <c r="D91" s="46" t="s">
        <v>91</v>
      </c>
      <c r="E91" s="6"/>
      <c r="F91" s="6"/>
      <c r="G91" s="6"/>
      <c r="H91" s="6"/>
      <c r="I91" s="6"/>
      <c r="J91" s="6"/>
      <c r="K91" s="6"/>
    </row>
    <row r="92" spans="2:11" ht="37.5" x14ac:dyDescent="0.25">
      <c r="B92" s="1805"/>
      <c r="C92" s="94"/>
      <c r="D92" s="46" t="s">
        <v>540</v>
      </c>
      <c r="E92" s="6"/>
      <c r="F92" s="6"/>
      <c r="G92" s="6"/>
      <c r="H92" s="6"/>
      <c r="I92" s="6"/>
      <c r="J92" s="6"/>
      <c r="K92" s="6"/>
    </row>
    <row r="93" spans="2:11" ht="37.5" x14ac:dyDescent="0.25">
      <c r="B93" s="1805"/>
      <c r="C93" s="94"/>
      <c r="D93" s="46" t="s">
        <v>541</v>
      </c>
      <c r="E93" s="6"/>
      <c r="F93" s="6"/>
      <c r="G93" s="6"/>
      <c r="H93" s="6"/>
      <c r="I93" s="6"/>
      <c r="J93" s="6"/>
      <c r="K93" s="6"/>
    </row>
    <row r="94" spans="2:11" ht="37.5" x14ac:dyDescent="0.25">
      <c r="B94" s="1805"/>
      <c r="C94" s="94"/>
      <c r="D94" s="46" t="s">
        <v>542</v>
      </c>
      <c r="E94" s="6"/>
      <c r="F94" s="6"/>
      <c r="G94" s="6"/>
      <c r="H94" s="6"/>
      <c r="I94" s="6"/>
      <c r="J94" s="6"/>
      <c r="K94" s="6"/>
    </row>
    <row r="95" spans="2:11" ht="84" x14ac:dyDescent="0.25">
      <c r="B95" s="1805"/>
      <c r="C95" s="94"/>
      <c r="D95" s="54" t="s">
        <v>235</v>
      </c>
      <c r="E95" s="6"/>
      <c r="F95" s="6"/>
      <c r="G95" s="6"/>
      <c r="H95" s="6"/>
      <c r="I95" s="6"/>
      <c r="J95" s="6"/>
      <c r="K95" s="6"/>
    </row>
    <row r="96" spans="2:11" x14ac:dyDescent="0.25">
      <c r="B96" s="1805"/>
      <c r="C96" s="94"/>
      <c r="D96" s="53" t="s">
        <v>246</v>
      </c>
      <c r="E96" s="6"/>
      <c r="F96" s="6"/>
      <c r="G96" s="6"/>
      <c r="H96" s="6"/>
      <c r="I96" s="6"/>
      <c r="J96" s="6"/>
      <c r="K96" s="6"/>
    </row>
    <row r="97" spans="2:11" ht="24" x14ac:dyDescent="0.25">
      <c r="B97" s="1805"/>
      <c r="C97" s="94"/>
      <c r="D97" s="53" t="s">
        <v>543</v>
      </c>
      <c r="E97" s="6"/>
      <c r="F97" s="6"/>
      <c r="G97" s="6"/>
      <c r="H97" s="6"/>
      <c r="I97" s="6"/>
      <c r="J97" s="6"/>
      <c r="K97" s="6"/>
    </row>
    <row r="98" spans="2:11" x14ac:dyDescent="0.25">
      <c r="B98" s="1805"/>
      <c r="C98" s="94"/>
      <c r="D98" s="17"/>
      <c r="E98" s="6"/>
      <c r="F98" s="6"/>
      <c r="G98" s="6"/>
      <c r="H98" s="6"/>
      <c r="I98" s="6"/>
      <c r="J98" s="6"/>
      <c r="K98" s="6"/>
    </row>
    <row r="99" spans="2:11" x14ac:dyDescent="0.25">
      <c r="B99" s="1805"/>
      <c r="C99" s="94"/>
      <c r="D99" s="46" t="s">
        <v>91</v>
      </c>
      <c r="E99" s="6"/>
      <c r="F99" s="6"/>
      <c r="G99" s="6"/>
      <c r="H99" s="6"/>
      <c r="I99" s="6"/>
      <c r="J99" s="6"/>
      <c r="K99" s="6"/>
    </row>
    <row r="100" spans="2:11" ht="49.5" x14ac:dyDescent="0.25">
      <c r="B100" s="1805"/>
      <c r="C100" s="94"/>
      <c r="D100" s="46" t="s">
        <v>544</v>
      </c>
      <c r="E100" s="6"/>
      <c r="F100" s="6"/>
      <c r="G100" s="6"/>
      <c r="H100" s="6"/>
      <c r="I100" s="6"/>
      <c r="J100" s="6"/>
      <c r="K100" s="6"/>
    </row>
    <row r="101" spans="2:11" ht="50.25" thickBot="1" x14ac:dyDescent="0.3">
      <c r="B101" s="1806"/>
      <c r="C101" s="3"/>
      <c r="D101" s="41" t="s">
        <v>545</v>
      </c>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sheetData>
  <sheetProtection insertRows="0"/>
  <mergeCells count="44">
    <mergeCell ref="B10:D10"/>
    <mergeCell ref="F10:S10"/>
    <mergeCell ref="F11:S11"/>
    <mergeCell ref="E13:R13"/>
    <mergeCell ref="E12:J12"/>
    <mergeCell ref="K12:R12"/>
    <mergeCell ref="B71:B83"/>
    <mergeCell ref="B85:B88"/>
    <mergeCell ref="B89:B101"/>
    <mergeCell ref="D16:D17"/>
    <mergeCell ref="E16:G16"/>
    <mergeCell ref="D38:L38"/>
    <mergeCell ref="D39:L39"/>
    <mergeCell ref="B41:E41"/>
    <mergeCell ref="B42:B48"/>
    <mergeCell ref="B50:E50"/>
    <mergeCell ref="B51:B57"/>
    <mergeCell ref="B64:D65"/>
    <mergeCell ref="K26:K27"/>
    <mergeCell ref="B15:B37"/>
    <mergeCell ref="D15:L15"/>
    <mergeCell ref="D22:L22"/>
    <mergeCell ref="D23:L23"/>
    <mergeCell ref="D24:L24"/>
    <mergeCell ref="D25:L25"/>
    <mergeCell ref="K16:K17"/>
    <mergeCell ref="C26:C27"/>
    <mergeCell ref="D26:D27"/>
    <mergeCell ref="E26:E27"/>
    <mergeCell ref="F26:F27"/>
    <mergeCell ref="G26:G27"/>
    <mergeCell ref="J26:J27"/>
    <mergeCell ref="H16:J16"/>
    <mergeCell ref="L26:L27"/>
    <mergeCell ref="A1:P1"/>
    <mergeCell ref="A2:P2"/>
    <mergeCell ref="A3:P3"/>
    <mergeCell ref="A4:D4"/>
    <mergeCell ref="A5:P5"/>
    <mergeCell ref="H28:H30"/>
    <mergeCell ref="I28:I30"/>
    <mergeCell ref="J28:J30"/>
    <mergeCell ref="K28:K30"/>
    <mergeCell ref="L28:L30"/>
  </mergeCells>
  <conditionalFormatting sqref="F10">
    <cfRule type="notContainsBlanks" dxfId="75" priority="5">
      <formula>LEN(TRIM(F10))&gt;0</formula>
    </cfRule>
  </conditionalFormatting>
  <conditionalFormatting sqref="F11:S11">
    <cfRule type="expression" dxfId="74" priority="3">
      <formula>E11="NO SE REPORTA"</formula>
    </cfRule>
    <cfRule type="expression" dxfId="73" priority="4">
      <formula>E10="NO APLICA"</formula>
    </cfRule>
  </conditionalFormatting>
  <conditionalFormatting sqref="E12">
    <cfRule type="expression" dxfId="72" priority="2">
      <formula>E11="SI SE REPORTA"</formula>
    </cfRule>
  </conditionalFormatting>
  <conditionalFormatting sqref="K12">
    <cfRule type="expression" dxfId="71" priority="1">
      <formula>K11="SI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H18:I20 E18:F20">
      <formula1>0</formula1>
    </dataValidation>
    <dataValidation type="whole" operator="greaterThanOrEqual" allowBlank="1" showInputMessage="1" showErrorMessage="1" errorTitle="ERROR" error="Valor en PESOS (sin centavos)" sqref="J28:K28 H33:K36 J31:J3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6" r:id="rId1"/>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U179"/>
  <sheetViews>
    <sheetView showGridLines="0" topLeftCell="D25" zoomScale="90" zoomScaleNormal="90"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7" max="7" width="17.140625" customWidth="1"/>
    <col min="8" max="8" width="18.42578125" customWidth="1"/>
    <col min="9" max="9" width="14.140625" customWidth="1"/>
    <col min="10" max="10" width="13.710937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557</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107"/>
      <c r="D7" s="6"/>
      <c r="E7" s="18"/>
      <c r="F7" s="6" t="s">
        <v>129</v>
      </c>
      <c r="G7" s="6"/>
      <c r="H7" s="6"/>
      <c r="I7" s="6"/>
      <c r="J7" s="6"/>
      <c r="K7" s="6"/>
    </row>
    <row r="8" spans="1:21" ht="15.75" thickBot="1" x14ac:dyDescent="0.3">
      <c r="B8" s="179" t="s">
        <v>1188</v>
      </c>
      <c r="C8" s="222">
        <v>2021</v>
      </c>
      <c r="D8" s="418">
        <f>IF(E10="NO APLICA","NO APLICA",IF(E11="NO SE REPORTA","SIN INFORMACION",+F22))</f>
        <v>0.73769338959212372</v>
      </c>
      <c r="E8" s="223"/>
      <c r="F8" s="6" t="s">
        <v>130</v>
      </c>
      <c r="G8" s="6"/>
      <c r="H8" s="6"/>
      <c r="I8" s="6"/>
      <c r="J8" s="6"/>
      <c r="K8" s="6"/>
    </row>
    <row r="9" spans="1:21" x14ac:dyDescent="0.25">
      <c r="B9" s="497" t="s">
        <v>1189</v>
      </c>
      <c r="C9" s="88"/>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Gestión'!A90</f>
        <v>Proyecto No 3.3. Protección y conservación de la biodiversidad</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2835</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8"/>
      <c r="D14" s="6"/>
      <c r="E14" s="6"/>
      <c r="F14" s="6"/>
      <c r="G14" s="6"/>
      <c r="H14" s="6"/>
      <c r="I14" s="6"/>
      <c r="J14" s="6"/>
      <c r="K14" s="6"/>
    </row>
    <row r="15" spans="1:21" ht="15.6" customHeight="1" thickTop="1" thickBot="1" x14ac:dyDescent="0.3">
      <c r="B15" s="1866" t="s">
        <v>2</v>
      </c>
      <c r="C15" s="89"/>
      <c r="D15" s="1825" t="s">
        <v>336</v>
      </c>
      <c r="E15" s="1826"/>
      <c r="F15" s="1826"/>
      <c r="G15" s="1826"/>
      <c r="H15" s="1826"/>
      <c r="I15" s="1826"/>
      <c r="J15" s="1826"/>
      <c r="K15" s="1827"/>
    </row>
    <row r="16" spans="1:21" ht="15.75" thickBot="1" x14ac:dyDescent="0.3">
      <c r="B16" s="1867"/>
      <c r="C16" s="94"/>
      <c r="D16" s="43" t="s">
        <v>150</v>
      </c>
      <c r="E16" s="66" t="s">
        <v>20</v>
      </c>
      <c r="F16" s="66" t="s">
        <v>21</v>
      </c>
      <c r="G16" s="66" t="s">
        <v>22</v>
      </c>
      <c r="H16" s="417" t="s">
        <v>23</v>
      </c>
      <c r="I16" s="416"/>
      <c r="J16" s="6"/>
      <c r="K16" s="22"/>
    </row>
    <row r="17" spans="2:11" ht="36.75" thickBot="1" x14ac:dyDescent="0.3">
      <c r="B17" s="1867"/>
      <c r="C17" s="94"/>
      <c r="D17" s="41" t="s">
        <v>576</v>
      </c>
      <c r="E17" s="1279">
        <v>1333</v>
      </c>
      <c r="F17" s="1279">
        <v>1422</v>
      </c>
      <c r="G17" s="1279">
        <v>89</v>
      </c>
      <c r="H17" s="1279">
        <v>118</v>
      </c>
      <c r="I17" s="416"/>
      <c r="J17" s="6"/>
      <c r="K17" s="22"/>
    </row>
    <row r="18" spans="2:11" ht="24.75" thickBot="1" x14ac:dyDescent="0.3">
      <c r="B18" s="1867"/>
      <c r="C18" s="94"/>
      <c r="D18" s="41" t="s">
        <v>577</v>
      </c>
      <c r="E18" s="1279">
        <f>927+919+17+8</f>
        <v>1871</v>
      </c>
      <c r="F18" s="1279">
        <v>1049</v>
      </c>
      <c r="G18" s="1279">
        <v>0</v>
      </c>
      <c r="H18" s="1156">
        <v>0</v>
      </c>
      <c r="I18" s="416"/>
      <c r="J18" s="6"/>
      <c r="K18" s="22"/>
    </row>
    <row r="19" spans="2:11" ht="15.75" thickBot="1" x14ac:dyDescent="0.3">
      <c r="B19" s="1867"/>
      <c r="C19" s="94"/>
      <c r="D19" s="41" t="s">
        <v>578</v>
      </c>
      <c r="E19" s="197">
        <v>0</v>
      </c>
      <c r="F19" s="197">
        <v>0</v>
      </c>
      <c r="G19" s="197">
        <v>0</v>
      </c>
      <c r="H19" s="477">
        <v>0</v>
      </c>
      <c r="I19" s="416"/>
      <c r="J19" s="6"/>
      <c r="K19" s="22"/>
    </row>
    <row r="20" spans="2:11" ht="15.75" thickBot="1" x14ac:dyDescent="0.3">
      <c r="B20" s="1867"/>
      <c r="C20" s="94"/>
      <c r="D20" s="41" t="s">
        <v>579</v>
      </c>
      <c r="E20" s="197">
        <v>0</v>
      </c>
      <c r="F20" s="197">
        <v>0</v>
      </c>
      <c r="G20" s="197">
        <v>0</v>
      </c>
      <c r="H20" s="477">
        <v>0</v>
      </c>
      <c r="I20" s="416"/>
      <c r="J20" s="6"/>
      <c r="K20" s="22"/>
    </row>
    <row r="21" spans="2:11" ht="15.75" thickBot="1" x14ac:dyDescent="0.3">
      <c r="B21" s="1867"/>
      <c r="C21" s="94"/>
      <c r="D21" s="41" t="s">
        <v>151</v>
      </c>
      <c r="E21" s="146">
        <f>SUM(E18:E20)</f>
        <v>1871</v>
      </c>
      <c r="F21" s="146">
        <f>SUM(F18:F20)</f>
        <v>1049</v>
      </c>
      <c r="G21" s="146">
        <f>SUM(G18:G20)</f>
        <v>0</v>
      </c>
      <c r="H21" s="146">
        <f>SUM(H18:H20)</f>
        <v>0</v>
      </c>
      <c r="I21" s="416"/>
      <c r="J21" s="6"/>
      <c r="K21" s="22"/>
    </row>
    <row r="22" spans="2:11" s="412" customFormat="1" ht="36.75" thickBot="1" x14ac:dyDescent="0.3">
      <c r="B22" s="1867"/>
      <c r="C22" s="131"/>
      <c r="D22" s="52" t="s">
        <v>557</v>
      </c>
      <c r="E22" s="147">
        <f>+E21/E17</f>
        <v>1.4036009002250562</v>
      </c>
      <c r="F22" s="147">
        <f>+F21/F17</f>
        <v>0.73769338959212372</v>
      </c>
      <c r="G22" s="147">
        <f>+G21/G17</f>
        <v>0</v>
      </c>
      <c r="H22" s="147">
        <f>+H21/H17</f>
        <v>0</v>
      </c>
      <c r="I22" s="416"/>
      <c r="J22" s="6"/>
      <c r="K22" s="22"/>
    </row>
    <row r="23" spans="2:11" x14ac:dyDescent="0.25">
      <c r="B23" s="1867"/>
      <c r="C23" s="92"/>
      <c r="D23" s="1810" t="s">
        <v>246</v>
      </c>
      <c r="E23" s="1811"/>
      <c r="F23" s="1811"/>
      <c r="G23" s="1811"/>
      <c r="H23" s="1811"/>
      <c r="I23" s="1811"/>
      <c r="J23" s="1811"/>
      <c r="K23" s="1812"/>
    </row>
    <row r="24" spans="2:11" x14ac:dyDescent="0.25">
      <c r="B24" s="1867"/>
      <c r="C24" s="92"/>
      <c r="D24" s="1810" t="s">
        <v>580</v>
      </c>
      <c r="E24" s="1811"/>
      <c r="F24" s="1811"/>
      <c r="G24" s="1811"/>
      <c r="H24" s="1811"/>
      <c r="I24" s="1811"/>
      <c r="J24" s="1811"/>
      <c r="K24" s="1812"/>
    </row>
    <row r="25" spans="2:11" ht="15.75" thickBot="1" x14ac:dyDescent="0.3">
      <c r="B25" s="1867"/>
      <c r="C25" s="92"/>
      <c r="D25" s="1856" t="s">
        <v>340</v>
      </c>
      <c r="E25" s="1857"/>
      <c r="F25" s="1857"/>
      <c r="G25" s="1857"/>
      <c r="H25" s="1857"/>
      <c r="I25" s="1857"/>
      <c r="J25" s="1857"/>
      <c r="K25" s="1858"/>
    </row>
    <row r="26" spans="2:11" ht="57" thickBot="1" x14ac:dyDescent="0.3">
      <c r="B26" s="436"/>
      <c r="C26" s="98" t="s">
        <v>19</v>
      </c>
      <c r="D26" s="66" t="s">
        <v>270</v>
      </c>
      <c r="E26" s="66" t="s">
        <v>581</v>
      </c>
      <c r="F26" s="66" t="s">
        <v>582</v>
      </c>
      <c r="G26" s="66" t="s">
        <v>343</v>
      </c>
      <c r="H26" s="66" t="s">
        <v>344</v>
      </c>
      <c r="I26" s="66" t="s">
        <v>274</v>
      </c>
      <c r="J26" s="66" t="s">
        <v>275</v>
      </c>
      <c r="K26" s="442" t="s">
        <v>55</v>
      </c>
    </row>
    <row r="27" spans="2:11" ht="15.75" customHeight="1" thickBot="1" x14ac:dyDescent="0.3">
      <c r="B27" s="436"/>
      <c r="C27" s="3">
        <v>1</v>
      </c>
      <c r="D27" s="1362" t="s">
        <v>3347</v>
      </c>
      <c r="E27" s="1363" t="s">
        <v>3348</v>
      </c>
      <c r="F27" s="1364">
        <v>1048</v>
      </c>
      <c r="G27" s="1359">
        <v>1265611410.5</v>
      </c>
      <c r="H27" s="1359">
        <v>1265611410.5</v>
      </c>
      <c r="I27" s="1359">
        <v>1263345629</v>
      </c>
      <c r="J27" s="1359">
        <v>0</v>
      </c>
      <c r="K27" s="1360" t="s">
        <v>3330</v>
      </c>
    </row>
    <row r="28" spans="2:11" ht="72.75" thickBot="1" x14ac:dyDescent="0.3">
      <c r="B28" s="436"/>
      <c r="C28" s="3">
        <v>2</v>
      </c>
      <c r="D28" s="1365" t="s">
        <v>3349</v>
      </c>
      <c r="E28" s="1366" t="s">
        <v>3348</v>
      </c>
      <c r="F28" s="1367">
        <v>1</v>
      </c>
      <c r="G28" s="1361">
        <v>300171729</v>
      </c>
      <c r="H28" s="1361">
        <v>300171729</v>
      </c>
      <c r="I28" s="1361">
        <v>299979214</v>
      </c>
      <c r="J28" s="1359">
        <v>133531546</v>
      </c>
      <c r="K28" s="1360" t="s">
        <v>3331</v>
      </c>
    </row>
    <row r="29" spans="2:11" ht="15.75" customHeight="1" thickBot="1" x14ac:dyDescent="0.3">
      <c r="B29" s="436"/>
      <c r="C29" s="3">
        <v>3</v>
      </c>
      <c r="D29" s="1368"/>
      <c r="E29" s="1370"/>
      <c r="F29" s="1372"/>
      <c r="G29" s="1372"/>
      <c r="H29" s="1372"/>
      <c r="I29" s="1372"/>
      <c r="J29" s="1372"/>
      <c r="K29" s="1373"/>
    </row>
    <row r="30" spans="2:11" ht="15.75" thickBot="1" x14ac:dyDescent="0.3">
      <c r="B30" s="436"/>
      <c r="C30" s="3">
        <v>4</v>
      </c>
      <c r="D30" s="1369"/>
      <c r="E30" s="1371"/>
      <c r="F30" s="1374"/>
      <c r="G30" s="1374"/>
      <c r="H30" s="1374"/>
      <c r="I30" s="1374"/>
      <c r="J30" s="1374"/>
      <c r="K30" s="1375"/>
    </row>
    <row r="31" spans="2:11" ht="15.75" thickBot="1" x14ac:dyDescent="0.3">
      <c r="B31" s="436"/>
      <c r="C31" s="3">
        <v>5</v>
      </c>
      <c r="D31" s="31"/>
      <c r="E31" s="31"/>
      <c r="F31" s="218"/>
      <c r="G31" s="218"/>
      <c r="H31" s="218"/>
      <c r="I31" s="218"/>
      <c r="J31" s="218"/>
      <c r="K31" s="218"/>
    </row>
    <row r="32" spans="2:11" ht="15.75" thickBot="1" x14ac:dyDescent="0.3">
      <c r="B32" s="436"/>
      <c r="C32" s="3">
        <v>6</v>
      </c>
      <c r="D32" s="31"/>
      <c r="E32" s="31"/>
      <c r="F32" s="218"/>
      <c r="G32" s="218"/>
      <c r="H32" s="218"/>
      <c r="I32" s="218"/>
      <c r="J32" s="218"/>
      <c r="K32" s="218"/>
    </row>
    <row r="33" spans="2:11" ht="15.75" thickBot="1" x14ac:dyDescent="0.3">
      <c r="B33" s="437"/>
      <c r="C33" s="3"/>
      <c r="D33" s="41" t="s">
        <v>151</v>
      </c>
      <c r="E33" s="41"/>
      <c r="F33" s="142">
        <f>SUM(F27:F32)</f>
        <v>1049</v>
      </c>
      <c r="G33" s="142">
        <f>SUM(G27:G32)</f>
        <v>1565783139.5</v>
      </c>
      <c r="H33" s="142">
        <f>SUM(H27:H32)</f>
        <v>1565783139.5</v>
      </c>
      <c r="I33" s="142">
        <f>SUM(I27:I32)</f>
        <v>1563324843</v>
      </c>
      <c r="J33" s="142">
        <f>SUM(J27:J32)</f>
        <v>133531546</v>
      </c>
      <c r="K33" s="218"/>
    </row>
    <row r="34" spans="2:11" ht="24" customHeight="1" thickBot="1" x14ac:dyDescent="0.3">
      <c r="B34" s="72" t="s">
        <v>34</v>
      </c>
      <c r="C34" s="108"/>
      <c r="D34" s="1816" t="s">
        <v>583</v>
      </c>
      <c r="E34" s="1817"/>
      <c r="F34" s="1817"/>
      <c r="G34" s="1817"/>
      <c r="H34" s="1817"/>
      <c r="I34" s="1817"/>
      <c r="J34" s="1817"/>
      <c r="K34" s="1818"/>
    </row>
    <row r="35" spans="2:11" ht="24" customHeight="1" thickBot="1" x14ac:dyDescent="0.3">
      <c r="B35" s="72" t="s">
        <v>36</v>
      </c>
      <c r="C35" s="108"/>
      <c r="D35" s="1816" t="s">
        <v>346</v>
      </c>
      <c r="E35" s="1817"/>
      <c r="F35" s="1817"/>
      <c r="G35" s="1817"/>
      <c r="H35" s="1817"/>
      <c r="I35" s="1817"/>
      <c r="J35" s="1817"/>
      <c r="K35" s="1818"/>
    </row>
    <row r="36" spans="2:11" ht="15.75" thickBot="1" x14ac:dyDescent="0.3">
      <c r="B36" s="2"/>
      <c r="C36" s="76"/>
      <c r="D36" s="6"/>
      <c r="E36" s="6"/>
      <c r="F36" s="6"/>
      <c r="G36" s="6"/>
      <c r="H36" s="6"/>
      <c r="I36" s="6"/>
      <c r="J36" s="6"/>
      <c r="K36" s="6"/>
    </row>
    <row r="37" spans="2:11" ht="24" customHeight="1" thickBot="1" x14ac:dyDescent="0.3">
      <c r="B37" s="1807" t="s">
        <v>38</v>
      </c>
      <c r="C37" s="1808"/>
      <c r="D37" s="1808"/>
      <c r="E37" s="1809"/>
      <c r="F37" s="6"/>
      <c r="G37" s="6"/>
      <c r="H37" s="6"/>
      <c r="I37" s="6"/>
      <c r="J37" s="6"/>
      <c r="K37" s="6"/>
    </row>
    <row r="38" spans="2:11" ht="15.75" thickBot="1" x14ac:dyDescent="0.3">
      <c r="B38" s="1804">
        <v>1</v>
      </c>
      <c r="C38" s="94"/>
      <c r="D38" s="48" t="s">
        <v>39</v>
      </c>
      <c r="E38" s="31" t="s">
        <v>2854</v>
      </c>
      <c r="F38" s="6"/>
      <c r="G38" s="6"/>
      <c r="H38" s="6"/>
      <c r="I38" s="6"/>
      <c r="J38" s="6"/>
      <c r="K38" s="6"/>
    </row>
    <row r="39" spans="2:11" ht="15.75" thickBot="1" x14ac:dyDescent="0.3">
      <c r="B39" s="1805"/>
      <c r="C39" s="94"/>
      <c r="D39" s="41" t="s">
        <v>40</v>
      </c>
      <c r="E39" s="31" t="s">
        <v>3350</v>
      </c>
      <c r="F39" s="6"/>
      <c r="G39" s="6"/>
      <c r="H39" s="6"/>
      <c r="I39" s="6"/>
      <c r="J39" s="6"/>
      <c r="K39" s="6"/>
    </row>
    <row r="40" spans="2:11" ht="15.75" thickBot="1" x14ac:dyDescent="0.3">
      <c r="B40" s="1805"/>
      <c r="C40" s="94"/>
      <c r="D40" s="41" t="s">
        <v>41</v>
      </c>
      <c r="E40" s="31" t="s">
        <v>3532</v>
      </c>
      <c r="F40" s="6"/>
      <c r="G40" s="6"/>
      <c r="H40" s="6"/>
      <c r="I40" s="6"/>
      <c r="J40" s="6"/>
      <c r="K40" s="6"/>
    </row>
    <row r="41" spans="2:11" ht="15.75" thickBot="1" x14ac:dyDescent="0.3">
      <c r="B41" s="1805"/>
      <c r="C41" s="94"/>
      <c r="D41" s="41" t="s">
        <v>42</v>
      </c>
      <c r="E41" s="31" t="s">
        <v>3261</v>
      </c>
      <c r="F41" s="6"/>
      <c r="G41" s="6"/>
      <c r="H41" s="6"/>
      <c r="I41" s="6"/>
      <c r="J41" s="6"/>
      <c r="K41" s="6"/>
    </row>
    <row r="42" spans="2:11" ht="15.75" thickBot="1" x14ac:dyDescent="0.3">
      <c r="B42" s="1805"/>
      <c r="C42" s="94"/>
      <c r="D42" s="41" t="s">
        <v>43</v>
      </c>
      <c r="E42" s="1284" t="s">
        <v>3394</v>
      </c>
      <c r="F42" s="6"/>
      <c r="G42" s="6"/>
      <c r="H42" s="6"/>
      <c r="I42" s="6"/>
      <c r="J42" s="6"/>
      <c r="K42" s="6"/>
    </row>
    <row r="43" spans="2:11" ht="15.75" thickBot="1" x14ac:dyDescent="0.3">
      <c r="B43" s="1805"/>
      <c r="C43" s="94"/>
      <c r="D43" s="41" t="s">
        <v>44</v>
      </c>
      <c r="E43" s="31" t="s">
        <v>3351</v>
      </c>
      <c r="F43" s="6"/>
      <c r="G43" s="6"/>
      <c r="H43" s="6"/>
      <c r="I43" s="6"/>
      <c r="J43" s="6"/>
      <c r="K43" s="6"/>
    </row>
    <row r="44" spans="2:11" ht="15.75" thickBot="1" x14ac:dyDescent="0.3">
      <c r="B44" s="1806"/>
      <c r="C44" s="3"/>
      <c r="D44" s="41" t="s">
        <v>45</v>
      </c>
      <c r="E44" s="31" t="s">
        <v>2886</v>
      </c>
      <c r="F44" s="6"/>
      <c r="G44" s="6"/>
      <c r="H44" s="6"/>
      <c r="I44" s="6"/>
      <c r="J44" s="6"/>
      <c r="K44" s="6"/>
    </row>
    <row r="45" spans="2:11" ht="15.75" thickBot="1" x14ac:dyDescent="0.3">
      <c r="B45" s="2"/>
      <c r="C45" s="76"/>
      <c r="D45" s="6"/>
      <c r="E45" s="6"/>
      <c r="F45" s="6"/>
      <c r="G45" s="6"/>
      <c r="H45" s="6"/>
      <c r="I45" s="6"/>
      <c r="J45" s="6"/>
      <c r="K45" s="6"/>
    </row>
    <row r="46" spans="2:11" ht="15.75" thickBot="1" x14ac:dyDescent="0.3">
      <c r="B46" s="1807" t="s">
        <v>46</v>
      </c>
      <c r="C46" s="1808"/>
      <c r="D46" s="1808"/>
      <c r="E46" s="1809"/>
      <c r="F46" s="6"/>
      <c r="G46" s="6"/>
      <c r="H46" s="6"/>
      <c r="I46" s="6"/>
      <c r="J46" s="6"/>
      <c r="K46" s="6"/>
    </row>
    <row r="47" spans="2:11" ht="15.75" thickBot="1" x14ac:dyDescent="0.3">
      <c r="B47" s="1804">
        <v>1</v>
      </c>
      <c r="C47" s="94"/>
      <c r="D47" s="48" t="s">
        <v>39</v>
      </c>
      <c r="E47" s="444" t="s">
        <v>47</v>
      </c>
      <c r="F47" s="6"/>
      <c r="G47" s="6"/>
      <c r="H47" s="6"/>
      <c r="I47" s="6"/>
      <c r="J47" s="6"/>
      <c r="K47" s="6"/>
    </row>
    <row r="48" spans="2:11" ht="15.75" thickBot="1" x14ac:dyDescent="0.3">
      <c r="B48" s="1805"/>
      <c r="C48" s="94"/>
      <c r="D48" s="41" t="s">
        <v>40</v>
      </c>
      <c r="E48" s="444" t="s">
        <v>160</v>
      </c>
      <c r="F48" s="6"/>
      <c r="G48" s="6"/>
      <c r="H48" s="6"/>
      <c r="I48" s="6"/>
      <c r="J48" s="6"/>
      <c r="K48" s="6"/>
    </row>
    <row r="49" spans="2:11" ht="15.75" thickBot="1" x14ac:dyDescent="0.3">
      <c r="B49" s="1805"/>
      <c r="C49" s="94"/>
      <c r="D49" s="41" t="s">
        <v>41</v>
      </c>
      <c r="E49" s="315"/>
      <c r="F49" s="6"/>
      <c r="G49" s="6"/>
      <c r="H49" s="6"/>
      <c r="I49" s="6"/>
      <c r="J49" s="6"/>
      <c r="K49" s="6"/>
    </row>
    <row r="50" spans="2:11" ht="15.75" thickBot="1" x14ac:dyDescent="0.3">
      <c r="B50" s="1805"/>
      <c r="C50" s="94"/>
      <c r="D50" s="41" t="s">
        <v>42</v>
      </c>
      <c r="E50" s="315"/>
      <c r="F50" s="6"/>
      <c r="G50" s="6"/>
      <c r="H50" s="6"/>
      <c r="I50" s="6"/>
      <c r="J50" s="6"/>
      <c r="K50" s="6"/>
    </row>
    <row r="51" spans="2:11" ht="15.75" thickBot="1" x14ac:dyDescent="0.3">
      <c r="B51" s="1805"/>
      <c r="C51" s="94"/>
      <c r="D51" s="41" t="s">
        <v>43</v>
      </c>
      <c r="E51" s="315"/>
      <c r="F51" s="6"/>
      <c r="G51" s="6"/>
      <c r="H51" s="6"/>
      <c r="I51" s="6"/>
      <c r="J51" s="6"/>
      <c r="K51" s="6"/>
    </row>
    <row r="52" spans="2:11" ht="15.75" thickBot="1" x14ac:dyDescent="0.3">
      <c r="B52" s="1805"/>
      <c r="C52" s="94"/>
      <c r="D52" s="41" t="s">
        <v>44</v>
      </c>
      <c r="E52" s="315"/>
      <c r="F52" s="6"/>
      <c r="G52" s="6"/>
      <c r="H52" s="6"/>
      <c r="I52" s="6"/>
      <c r="J52" s="6"/>
      <c r="K52" s="6"/>
    </row>
    <row r="53" spans="2:11" ht="15.75" thickBot="1" x14ac:dyDescent="0.3">
      <c r="B53" s="1806"/>
      <c r="C53" s="3"/>
      <c r="D53" s="41" t="s">
        <v>45</v>
      </c>
      <c r="E53" s="315"/>
      <c r="F53" s="6"/>
      <c r="G53" s="6"/>
      <c r="H53" s="6"/>
      <c r="I53" s="6"/>
      <c r="J53" s="6"/>
      <c r="K53" s="6"/>
    </row>
    <row r="54" spans="2:11" ht="15.75" thickBot="1" x14ac:dyDescent="0.3">
      <c r="B54" s="2"/>
      <c r="C54" s="76"/>
      <c r="D54" s="6"/>
      <c r="E54" s="6"/>
      <c r="F54" s="6"/>
      <c r="G54" s="6"/>
      <c r="H54" s="6"/>
      <c r="I54" s="6"/>
      <c r="J54" s="6"/>
      <c r="K54" s="6"/>
    </row>
    <row r="55" spans="2:11" ht="15" customHeight="1" thickBot="1" x14ac:dyDescent="0.3">
      <c r="B55" s="125" t="s">
        <v>49</v>
      </c>
      <c r="C55" s="126"/>
      <c r="D55" s="126"/>
      <c r="E55" s="127"/>
      <c r="F55" s="6"/>
      <c r="G55" s="6"/>
      <c r="H55" s="6"/>
      <c r="I55" s="6"/>
      <c r="J55" s="6"/>
      <c r="K55" s="6"/>
    </row>
    <row r="56" spans="2:11" ht="24.75" thickBot="1" x14ac:dyDescent="0.3">
      <c r="B56" s="47" t="s">
        <v>50</v>
      </c>
      <c r="C56" s="41" t="s">
        <v>51</v>
      </c>
      <c r="D56" s="41" t="s">
        <v>52</v>
      </c>
      <c r="E56" s="41" t="s">
        <v>53</v>
      </c>
      <c r="F56" s="6"/>
      <c r="G56" s="6"/>
      <c r="H56" s="6"/>
      <c r="I56" s="6"/>
      <c r="J56" s="6"/>
    </row>
    <row r="57" spans="2:11" ht="72.75" thickBot="1" x14ac:dyDescent="0.3">
      <c r="B57" s="49">
        <v>42401</v>
      </c>
      <c r="C57" s="41">
        <v>0.01</v>
      </c>
      <c r="D57" s="50" t="s">
        <v>584</v>
      </c>
      <c r="E57" s="41"/>
      <c r="F57" s="6"/>
      <c r="G57" s="6"/>
      <c r="H57" s="6"/>
      <c r="I57" s="6"/>
      <c r="J57" s="6"/>
    </row>
    <row r="58" spans="2:11" ht="15.75" thickBot="1" x14ac:dyDescent="0.3">
      <c r="B58" s="4"/>
      <c r="C58" s="95"/>
      <c r="D58" s="6"/>
      <c r="E58" s="6"/>
      <c r="F58" s="6"/>
      <c r="G58" s="6"/>
      <c r="H58" s="6"/>
      <c r="I58" s="6"/>
      <c r="J58" s="6"/>
      <c r="K58" s="6"/>
    </row>
    <row r="59" spans="2:11" x14ac:dyDescent="0.25">
      <c r="B59" s="135" t="s">
        <v>55</v>
      </c>
      <c r="C59" s="96"/>
      <c r="D59" s="6"/>
      <c r="E59" s="6"/>
      <c r="F59" s="6"/>
      <c r="G59" s="6"/>
      <c r="H59" s="6"/>
      <c r="I59" s="6"/>
      <c r="J59" s="6"/>
      <c r="K59" s="6"/>
    </row>
    <row r="60" spans="2:11" x14ac:dyDescent="0.25">
      <c r="B60" s="1785"/>
      <c r="C60" s="1786"/>
      <c r="D60" s="1786"/>
      <c r="E60" s="1787"/>
      <c r="F60" s="6"/>
      <c r="G60" s="6"/>
      <c r="H60" s="6"/>
      <c r="I60" s="6"/>
      <c r="J60" s="6"/>
      <c r="K60" s="6"/>
    </row>
    <row r="61" spans="2:11" x14ac:dyDescent="0.25">
      <c r="B61" s="1788"/>
      <c r="C61" s="1789"/>
      <c r="D61" s="1789"/>
      <c r="E61" s="1790"/>
      <c r="F61" s="6"/>
      <c r="G61" s="6"/>
      <c r="H61" s="6"/>
      <c r="I61" s="6"/>
      <c r="J61" s="6"/>
      <c r="K61" s="6"/>
    </row>
    <row r="62" spans="2:11" x14ac:dyDescent="0.25">
      <c r="B62" s="2"/>
      <c r="C62" s="76"/>
      <c r="D62" s="6"/>
      <c r="E62" s="6"/>
      <c r="F62" s="6"/>
      <c r="G62" s="6"/>
      <c r="H62" s="6"/>
      <c r="I62" s="6"/>
      <c r="J62" s="6"/>
      <c r="K62" s="6"/>
    </row>
    <row r="63" spans="2:11" ht="15.75" thickBot="1" x14ac:dyDescent="0.3">
      <c r="B63" s="6"/>
      <c r="D63" s="6"/>
      <c r="E63" s="6"/>
      <c r="F63" s="6"/>
      <c r="G63" s="6"/>
      <c r="H63" s="6"/>
      <c r="I63" s="6"/>
      <c r="J63" s="6"/>
      <c r="K63" s="6"/>
    </row>
    <row r="64" spans="2:11" ht="24.75" thickBot="1" x14ac:dyDescent="0.3">
      <c r="B64" s="51" t="s">
        <v>450</v>
      </c>
      <c r="C64" s="97"/>
      <c r="D64" s="6"/>
      <c r="E64" s="6"/>
      <c r="F64" s="6"/>
      <c r="G64" s="6"/>
      <c r="H64" s="6"/>
      <c r="I64" s="6"/>
      <c r="J64" s="6"/>
      <c r="K64" s="6"/>
    </row>
    <row r="65" spans="2:11" ht="15.75" thickBot="1" x14ac:dyDescent="0.3">
      <c r="B65" s="38"/>
      <c r="C65" s="88"/>
      <c r="D65" s="6"/>
      <c r="E65" s="6"/>
      <c r="F65" s="6"/>
      <c r="G65" s="6"/>
      <c r="H65" s="6"/>
      <c r="I65" s="6"/>
      <c r="J65" s="6"/>
      <c r="K65" s="6"/>
    </row>
    <row r="66" spans="2:11" ht="72.75" thickBot="1" x14ac:dyDescent="0.3">
      <c r="B66" s="52" t="s">
        <v>57</v>
      </c>
      <c r="C66" s="98"/>
      <c r="D66" s="43" t="s">
        <v>558</v>
      </c>
      <c r="E66" s="6"/>
      <c r="F66" s="6"/>
      <c r="G66" s="6"/>
      <c r="H66" s="6"/>
      <c r="I66" s="6"/>
      <c r="J66" s="6"/>
      <c r="K66" s="6"/>
    </row>
    <row r="67" spans="2:11" x14ac:dyDescent="0.25">
      <c r="B67" s="1804" t="s">
        <v>59</v>
      </c>
      <c r="C67" s="94"/>
      <c r="D67" s="53" t="s">
        <v>60</v>
      </c>
      <c r="E67" s="6"/>
      <c r="F67" s="6"/>
      <c r="G67" s="6"/>
      <c r="H67" s="6"/>
      <c r="I67" s="6"/>
      <c r="J67" s="6"/>
      <c r="K67" s="6"/>
    </row>
    <row r="68" spans="2:11" ht="96" x14ac:dyDescent="0.25">
      <c r="B68" s="1805"/>
      <c r="C68" s="94"/>
      <c r="D68" s="46" t="s">
        <v>559</v>
      </c>
      <c r="E68" s="6"/>
      <c r="F68" s="6"/>
      <c r="G68" s="6"/>
      <c r="H68" s="6"/>
      <c r="I68" s="6"/>
      <c r="J68" s="6"/>
      <c r="K68" s="6"/>
    </row>
    <row r="69" spans="2:11" ht="36" x14ac:dyDescent="0.25">
      <c r="B69" s="1805"/>
      <c r="C69" s="94"/>
      <c r="D69" s="46" t="s">
        <v>560</v>
      </c>
      <c r="E69" s="6"/>
      <c r="F69" s="6"/>
      <c r="G69" s="6"/>
      <c r="H69" s="6"/>
      <c r="I69" s="6"/>
      <c r="J69" s="6"/>
      <c r="K69" s="6"/>
    </row>
    <row r="70" spans="2:11" x14ac:dyDescent="0.25">
      <c r="B70" s="1805"/>
      <c r="C70" s="94"/>
      <c r="D70" s="53" t="s">
        <v>63</v>
      </c>
      <c r="E70" s="6"/>
      <c r="F70" s="6"/>
      <c r="G70" s="6"/>
      <c r="H70" s="6"/>
      <c r="I70" s="6"/>
      <c r="J70" s="6"/>
      <c r="K70" s="6"/>
    </row>
    <row r="71" spans="2:11" x14ac:dyDescent="0.25">
      <c r="B71" s="1805"/>
      <c r="C71" s="94"/>
      <c r="D71" s="46" t="s">
        <v>65</v>
      </c>
      <c r="E71" s="6"/>
      <c r="F71" s="6"/>
      <c r="G71" s="6"/>
      <c r="H71" s="6"/>
      <c r="I71" s="6"/>
      <c r="J71" s="6"/>
      <c r="K71" s="6"/>
    </row>
    <row r="72" spans="2:11" x14ac:dyDescent="0.25">
      <c r="B72" s="1805"/>
      <c r="C72" s="94"/>
      <c r="D72" s="53" t="s">
        <v>288</v>
      </c>
      <c r="E72" s="6"/>
      <c r="F72" s="6"/>
      <c r="G72" s="6"/>
      <c r="H72" s="6"/>
      <c r="I72" s="6"/>
      <c r="J72" s="6"/>
      <c r="K72" s="6"/>
    </row>
    <row r="73" spans="2:11" ht="36" x14ac:dyDescent="0.25">
      <c r="B73" s="1805"/>
      <c r="C73" s="94"/>
      <c r="D73" s="46" t="s">
        <v>453</v>
      </c>
      <c r="E73" s="6"/>
      <c r="F73" s="6"/>
      <c r="G73" s="6"/>
      <c r="H73" s="6"/>
      <c r="I73" s="6"/>
      <c r="J73" s="6"/>
      <c r="K73" s="6"/>
    </row>
    <row r="74" spans="2:11" x14ac:dyDescent="0.25">
      <c r="B74" s="1805"/>
      <c r="C74" s="94"/>
      <c r="D74" s="46" t="s">
        <v>561</v>
      </c>
      <c r="E74" s="6"/>
      <c r="F74" s="6"/>
      <c r="G74" s="6"/>
      <c r="H74" s="6"/>
      <c r="I74" s="6"/>
      <c r="J74" s="6"/>
      <c r="K74" s="6"/>
    </row>
    <row r="75" spans="2:11" ht="15.75" thickBot="1" x14ac:dyDescent="0.3">
      <c r="B75" s="1806"/>
      <c r="C75" s="3"/>
      <c r="D75" s="68"/>
      <c r="E75" s="6"/>
      <c r="F75" s="6"/>
      <c r="G75" s="6"/>
      <c r="H75" s="6"/>
      <c r="I75" s="6"/>
      <c r="J75" s="6"/>
      <c r="K75" s="6"/>
    </row>
    <row r="76" spans="2:11" ht="24.75" thickBot="1" x14ac:dyDescent="0.3">
      <c r="B76" s="47" t="s">
        <v>72</v>
      </c>
      <c r="C76" s="3"/>
      <c r="D76" s="41"/>
      <c r="E76" s="6"/>
      <c r="F76" s="6"/>
      <c r="G76" s="6"/>
      <c r="H76" s="6"/>
      <c r="I76" s="6"/>
      <c r="J76" s="6"/>
      <c r="K76" s="6"/>
    </row>
    <row r="77" spans="2:11" ht="72" x14ac:dyDescent="0.25">
      <c r="B77" s="1804" t="s">
        <v>73</v>
      </c>
      <c r="C77" s="94"/>
      <c r="D77" s="46" t="s">
        <v>562</v>
      </c>
      <c r="E77" s="6"/>
      <c r="F77" s="6"/>
      <c r="G77" s="6"/>
      <c r="H77" s="6"/>
      <c r="I77" s="6"/>
      <c r="J77" s="6"/>
      <c r="K77" s="6"/>
    </row>
    <row r="78" spans="2:11" ht="132" x14ac:dyDescent="0.25">
      <c r="B78" s="1805"/>
      <c r="C78" s="94"/>
      <c r="D78" s="46" t="s">
        <v>563</v>
      </c>
      <c r="E78" s="6"/>
      <c r="F78" s="6"/>
      <c r="G78" s="6"/>
      <c r="H78" s="6"/>
      <c r="I78" s="6"/>
      <c r="J78" s="6"/>
      <c r="K78" s="6"/>
    </row>
    <row r="79" spans="2:11" ht="108" x14ac:dyDescent="0.25">
      <c r="B79" s="1805"/>
      <c r="C79" s="94"/>
      <c r="D79" s="46" t="s">
        <v>564</v>
      </c>
      <c r="E79" s="6"/>
      <c r="F79" s="6"/>
      <c r="G79" s="6"/>
      <c r="H79" s="6"/>
      <c r="I79" s="6"/>
      <c r="J79" s="6"/>
      <c r="K79" s="6"/>
    </row>
    <row r="80" spans="2:11" ht="84" x14ac:dyDescent="0.25">
      <c r="B80" s="1805"/>
      <c r="C80" s="94"/>
      <c r="D80" s="46" t="s">
        <v>565</v>
      </c>
      <c r="E80" s="6"/>
      <c r="F80" s="6"/>
      <c r="G80" s="6"/>
      <c r="H80" s="6"/>
      <c r="I80" s="6"/>
      <c r="J80" s="6"/>
      <c r="K80" s="6"/>
    </row>
    <row r="81" spans="2:11" ht="108" x14ac:dyDescent="0.25">
      <c r="B81" s="1805"/>
      <c r="C81" s="94"/>
      <c r="D81" s="46" t="s">
        <v>566</v>
      </c>
      <c r="E81" s="6"/>
      <c r="F81" s="6"/>
      <c r="G81" s="6"/>
      <c r="H81" s="6"/>
      <c r="I81" s="6"/>
      <c r="J81" s="6"/>
      <c r="K81" s="6"/>
    </row>
    <row r="82" spans="2:11" ht="60" x14ac:dyDescent="0.25">
      <c r="B82" s="1805"/>
      <c r="C82" s="94"/>
      <c r="D82" s="46" t="s">
        <v>567</v>
      </c>
      <c r="E82" s="6"/>
      <c r="F82" s="6"/>
      <c r="G82" s="6"/>
      <c r="H82" s="6"/>
      <c r="I82" s="6"/>
      <c r="J82" s="6"/>
      <c r="K82" s="6"/>
    </row>
    <row r="83" spans="2:11" ht="84.75" thickBot="1" x14ac:dyDescent="0.3">
      <c r="B83" s="1806"/>
      <c r="C83" s="3"/>
      <c r="D83" s="41" t="s">
        <v>568</v>
      </c>
      <c r="E83" s="6"/>
      <c r="F83" s="6"/>
      <c r="G83" s="6"/>
      <c r="H83" s="6"/>
      <c r="I83" s="6"/>
      <c r="J83" s="6"/>
      <c r="K83" s="6"/>
    </row>
    <row r="84" spans="2:11" ht="24" x14ac:dyDescent="0.25">
      <c r="B84" s="1804" t="s">
        <v>90</v>
      </c>
      <c r="C84" s="94"/>
      <c r="D84" s="53" t="s">
        <v>557</v>
      </c>
      <c r="E84" s="6"/>
      <c r="F84" s="6"/>
      <c r="G84" s="6"/>
      <c r="H84" s="6"/>
      <c r="I84" s="6"/>
      <c r="J84" s="6"/>
      <c r="K84" s="6"/>
    </row>
    <row r="85" spans="2:11" x14ac:dyDescent="0.25">
      <c r="B85" s="1805"/>
      <c r="C85" s="94"/>
      <c r="D85" s="17"/>
      <c r="E85" s="6"/>
      <c r="F85" s="6"/>
      <c r="G85" s="6"/>
      <c r="H85" s="6"/>
      <c r="I85" s="6"/>
      <c r="J85" s="6"/>
      <c r="K85" s="6"/>
    </row>
    <row r="86" spans="2:11" x14ac:dyDescent="0.25">
      <c r="B86" s="1805"/>
      <c r="C86" s="94"/>
      <c r="D86" s="46" t="s">
        <v>91</v>
      </c>
      <c r="E86" s="6"/>
      <c r="F86" s="6"/>
      <c r="G86" s="6"/>
      <c r="H86" s="6"/>
      <c r="I86" s="6"/>
      <c r="J86" s="6"/>
      <c r="K86" s="6"/>
    </row>
    <row r="87" spans="2:11" ht="49.5" x14ac:dyDescent="0.25">
      <c r="B87" s="1805"/>
      <c r="C87" s="94"/>
      <c r="D87" s="46" t="s">
        <v>569</v>
      </c>
      <c r="E87" s="6"/>
      <c r="F87" s="6"/>
      <c r="G87" s="6"/>
      <c r="H87" s="6"/>
      <c r="I87" s="6"/>
      <c r="J87" s="6"/>
      <c r="K87" s="6"/>
    </row>
    <row r="88" spans="2:11" ht="37.5" x14ac:dyDescent="0.25">
      <c r="B88" s="1805"/>
      <c r="C88" s="94"/>
      <c r="D88" s="46" t="s">
        <v>570</v>
      </c>
      <c r="E88" s="6"/>
      <c r="F88" s="6"/>
      <c r="G88" s="6"/>
      <c r="H88" s="6"/>
      <c r="I88" s="6"/>
      <c r="J88" s="6"/>
      <c r="K88" s="6"/>
    </row>
    <row r="89" spans="2:11" ht="37.5" x14ac:dyDescent="0.25">
      <c r="B89" s="1805"/>
      <c r="C89" s="94"/>
      <c r="D89" s="46" t="s">
        <v>571</v>
      </c>
      <c r="E89" s="6"/>
      <c r="F89" s="6"/>
      <c r="G89" s="6"/>
      <c r="H89" s="6"/>
      <c r="I89" s="6"/>
      <c r="J89" s="6"/>
      <c r="K89" s="6"/>
    </row>
    <row r="90" spans="2:11" ht="84" x14ac:dyDescent="0.25">
      <c r="B90" s="1805"/>
      <c r="C90" s="94"/>
      <c r="D90" s="54" t="s">
        <v>235</v>
      </c>
      <c r="E90" s="6"/>
      <c r="F90" s="6"/>
      <c r="G90" s="6"/>
      <c r="H90" s="6"/>
      <c r="I90" s="6"/>
      <c r="J90" s="6"/>
      <c r="K90" s="6"/>
    </row>
    <row r="91" spans="2:11" x14ac:dyDescent="0.25">
      <c r="B91" s="1805"/>
      <c r="C91" s="94"/>
      <c r="D91" s="53" t="s">
        <v>246</v>
      </c>
      <c r="E91" s="6"/>
      <c r="F91" s="6"/>
      <c r="G91" s="6"/>
      <c r="H91" s="6"/>
      <c r="I91" s="6"/>
      <c r="J91" s="6"/>
      <c r="K91" s="6"/>
    </row>
    <row r="92" spans="2:11" ht="36" x14ac:dyDescent="0.25">
      <c r="B92" s="1805"/>
      <c r="C92" s="94"/>
      <c r="D92" s="53" t="s">
        <v>572</v>
      </c>
      <c r="E92" s="6"/>
      <c r="F92" s="6"/>
      <c r="G92" s="6"/>
      <c r="H92" s="6"/>
      <c r="I92" s="6"/>
      <c r="J92" s="6"/>
      <c r="K92" s="6"/>
    </row>
    <row r="93" spans="2:11" x14ac:dyDescent="0.25">
      <c r="B93" s="1805"/>
      <c r="C93" s="94"/>
      <c r="D93" s="53" t="s">
        <v>573</v>
      </c>
      <c r="E93" s="6"/>
      <c r="F93" s="6"/>
      <c r="G93" s="6"/>
      <c r="H93" s="6"/>
      <c r="I93" s="6"/>
      <c r="J93" s="6"/>
      <c r="K93" s="6"/>
    </row>
    <row r="94" spans="2:11" x14ac:dyDescent="0.25">
      <c r="B94" s="1805"/>
      <c r="C94" s="94"/>
      <c r="D94" s="17"/>
      <c r="E94" s="6"/>
      <c r="F94" s="6"/>
      <c r="G94" s="6"/>
      <c r="H94" s="6"/>
      <c r="I94" s="6"/>
      <c r="J94" s="6"/>
      <c r="K94" s="6"/>
    </row>
    <row r="95" spans="2:11" x14ac:dyDescent="0.25">
      <c r="B95" s="1805"/>
      <c r="C95" s="94"/>
      <c r="D95" s="46" t="s">
        <v>91</v>
      </c>
      <c r="E95" s="6"/>
      <c r="F95" s="6"/>
      <c r="G95" s="6"/>
      <c r="H95" s="6"/>
      <c r="I95" s="6"/>
      <c r="J95" s="6"/>
      <c r="K95" s="6"/>
    </row>
    <row r="96" spans="2:11" ht="37.5" x14ac:dyDescent="0.25">
      <c r="B96" s="1805"/>
      <c r="C96" s="94"/>
      <c r="D96" s="46" t="s">
        <v>574</v>
      </c>
      <c r="E96" s="6"/>
      <c r="F96" s="6"/>
      <c r="G96" s="6"/>
      <c r="H96" s="6"/>
      <c r="I96" s="6"/>
      <c r="J96" s="6"/>
      <c r="K96" s="6"/>
    </row>
    <row r="97" spans="2:11" ht="62.25" thickBot="1" x14ac:dyDescent="0.3">
      <c r="B97" s="1806"/>
      <c r="C97" s="3"/>
      <c r="D97" s="41" t="s">
        <v>575</v>
      </c>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sheetData>
  <sheetProtection insertRows="0"/>
  <mergeCells count="25">
    <mergeCell ref="B10:D10"/>
    <mergeCell ref="F10:S10"/>
    <mergeCell ref="F11:S11"/>
    <mergeCell ref="E12:R12"/>
    <mergeCell ref="E13:R13"/>
    <mergeCell ref="B60:E61"/>
    <mergeCell ref="B67:B75"/>
    <mergeCell ref="B77:B83"/>
    <mergeCell ref="B84:B97"/>
    <mergeCell ref="D15:K15"/>
    <mergeCell ref="D23:K23"/>
    <mergeCell ref="D24:K24"/>
    <mergeCell ref="D25:K25"/>
    <mergeCell ref="D34:K34"/>
    <mergeCell ref="D35:K35"/>
    <mergeCell ref="B37:E37"/>
    <mergeCell ref="B38:B44"/>
    <mergeCell ref="B46:E46"/>
    <mergeCell ref="B47:B53"/>
    <mergeCell ref="B15:B25"/>
    <mergeCell ref="A1:P1"/>
    <mergeCell ref="A2:P2"/>
    <mergeCell ref="A3:P3"/>
    <mergeCell ref="A4:D4"/>
    <mergeCell ref="A5:P5"/>
  </mergeCells>
  <conditionalFormatting sqref="F10">
    <cfRule type="notContainsBlanks" dxfId="70" priority="4">
      <formula>LEN(TRIM(F10))&gt;0</formula>
    </cfRule>
  </conditionalFormatting>
  <conditionalFormatting sqref="F11:S11">
    <cfRule type="expression" dxfId="69" priority="2">
      <formula>E11="NO SE REPORTA"</formula>
    </cfRule>
    <cfRule type="expression" dxfId="68" priority="3">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G31:J32 G27:J29">
      <formula1>0</formula1>
    </dataValidation>
    <dataValidation type="whole" operator="greaterThanOrEqual" allowBlank="1" showInputMessage="1" showErrorMessage="1" errorTitle="ERROR" error="Valor en HECTAREAS (sin decimales)" sqref="E17:H20 F31:F32 F27:F29">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2" r:id="rId1"/>
  </hyperlinks>
  <pageMargins left="0.25" right="0.25" top="0.75" bottom="0.75" header="0.3" footer="0.3"/>
  <pageSetup paperSize="178"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U187"/>
  <sheetViews>
    <sheetView showGridLines="0" topLeftCell="B7" zoomScale="90" zoomScaleNormal="90" workbookViewId="0">
      <selection activeCell="E14" sqref="E14"/>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5" customWidth="1"/>
    <col min="10" max="10" width="33.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585</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1188</v>
      </c>
      <c r="C8" s="222">
        <v>2021</v>
      </c>
      <c r="D8" s="226">
        <f>IF(E10="NO APLICA","NO APLICA",IF(E11="NO SE REPORTA","SIN INFORMACION",+I39))</f>
        <v>0.34250000000000003</v>
      </c>
      <c r="E8" s="223"/>
      <c r="F8" s="6" t="s">
        <v>130</v>
      </c>
      <c r="G8" s="6"/>
      <c r="H8" s="6"/>
      <c r="I8" s="6"/>
      <c r="J8" s="6"/>
      <c r="K8" s="6"/>
    </row>
    <row r="9" spans="1:21" x14ac:dyDescent="0.25">
      <c r="B9" s="497" t="s">
        <v>1189</v>
      </c>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Gestión'!A75</f>
        <v>Proyecto No 3.2. Ecosistemas marino costeros.</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6"/>
      <c r="J14" s="6"/>
      <c r="K14" s="6"/>
    </row>
    <row r="15" spans="1:21" ht="15" customHeight="1" thickTop="1" x14ac:dyDescent="0.25">
      <c r="B15" s="1823" t="s">
        <v>2</v>
      </c>
      <c r="C15" s="89"/>
      <c r="D15" s="1825" t="s">
        <v>336</v>
      </c>
      <c r="E15" s="1826"/>
      <c r="F15" s="1826"/>
      <c r="G15" s="1826"/>
      <c r="H15" s="1826"/>
      <c r="I15" s="1826"/>
      <c r="J15" s="1826"/>
      <c r="K15" s="1827"/>
    </row>
    <row r="16" spans="1:21" ht="15.75" thickBot="1" x14ac:dyDescent="0.3">
      <c r="B16" s="1824"/>
      <c r="C16" s="92"/>
      <c r="D16" s="1940" t="s">
        <v>616</v>
      </c>
      <c r="E16" s="1941"/>
      <c r="F16" s="1941"/>
      <c r="G16" s="1941"/>
      <c r="H16" s="1941"/>
      <c r="I16" s="1941"/>
      <c r="J16" s="1941"/>
      <c r="K16" s="1942"/>
    </row>
    <row r="17" spans="2:11" ht="15.75" thickBot="1" x14ac:dyDescent="0.3">
      <c r="B17" s="1824"/>
      <c r="C17" s="90" t="s">
        <v>19</v>
      </c>
      <c r="D17" s="39" t="s">
        <v>253</v>
      </c>
      <c r="E17" s="39" t="s">
        <v>20</v>
      </c>
      <c r="F17" s="39" t="s">
        <v>21</v>
      </c>
      <c r="G17" s="39" t="s">
        <v>22</v>
      </c>
      <c r="H17" s="39" t="s">
        <v>23</v>
      </c>
      <c r="I17" s="39" t="s">
        <v>254</v>
      </c>
      <c r="K17" s="22"/>
    </row>
    <row r="18" spans="2:11" ht="24.75" thickBot="1" x14ac:dyDescent="0.3">
      <c r="B18" s="1824"/>
      <c r="C18" s="91" t="s">
        <v>152</v>
      </c>
      <c r="D18" s="41" t="s">
        <v>617</v>
      </c>
      <c r="E18" s="7">
        <v>20</v>
      </c>
      <c r="F18" s="7">
        <v>40</v>
      </c>
      <c r="G18" s="7">
        <v>60</v>
      </c>
      <c r="H18" s="7">
        <v>80</v>
      </c>
      <c r="I18" s="42">
        <f>SUM(E18:H18)</f>
        <v>200</v>
      </c>
      <c r="K18" s="22"/>
    </row>
    <row r="19" spans="2:11" ht="15.75" thickBot="1" x14ac:dyDescent="0.3">
      <c r="B19" s="1824"/>
      <c r="C19" s="92"/>
      <c r="D19" s="1856" t="s">
        <v>618</v>
      </c>
      <c r="E19" s="1857"/>
      <c r="F19" s="1857"/>
      <c r="G19" s="1857"/>
      <c r="H19" s="1857"/>
      <c r="I19" s="1857"/>
      <c r="J19" s="1857"/>
      <c r="K19" s="1858"/>
    </row>
    <row r="20" spans="2:11" ht="15" customHeight="1" thickBot="1" x14ac:dyDescent="0.3">
      <c r="B20" s="436"/>
      <c r="C20" s="1894" t="s">
        <v>19</v>
      </c>
      <c r="D20" s="1804" t="s">
        <v>270</v>
      </c>
      <c r="E20" s="1804" t="s">
        <v>619</v>
      </c>
      <c r="F20" s="1816" t="s">
        <v>620</v>
      </c>
      <c r="G20" s="1817"/>
      <c r="H20" s="1817"/>
      <c r="I20" s="1817"/>
      <c r="J20" s="1818"/>
      <c r="K20" s="116"/>
    </row>
    <row r="21" spans="2:11" ht="34.5" thickBot="1" x14ac:dyDescent="0.3">
      <c r="B21" s="436"/>
      <c r="C21" s="1895"/>
      <c r="D21" s="1806"/>
      <c r="E21" s="1806"/>
      <c r="F21" s="65" t="s">
        <v>621</v>
      </c>
      <c r="G21" s="65" t="s">
        <v>622</v>
      </c>
      <c r="H21" s="65" t="s">
        <v>623</v>
      </c>
      <c r="I21" s="65" t="s">
        <v>624</v>
      </c>
      <c r="J21" s="65" t="s">
        <v>55</v>
      </c>
      <c r="K21" s="117"/>
    </row>
    <row r="22" spans="2:11" ht="157.5" customHeight="1" thickBot="1" x14ac:dyDescent="0.3">
      <c r="B22" s="436"/>
      <c r="C22" s="31"/>
      <c r="D22" s="30" t="s">
        <v>2858</v>
      </c>
      <c r="E22" s="478" t="s">
        <v>625</v>
      </c>
      <c r="F22" s="32"/>
      <c r="G22" s="32">
        <v>0.4</v>
      </c>
      <c r="H22" s="32">
        <v>0.2</v>
      </c>
      <c r="I22" s="147">
        <f>+G22*H22</f>
        <v>8.0000000000000016E-2</v>
      </c>
      <c r="J22" s="479" t="s">
        <v>3534</v>
      </c>
      <c r="K22" s="117"/>
    </row>
    <row r="23" spans="2:11" ht="60.75" thickBot="1" x14ac:dyDescent="0.3">
      <c r="B23" s="436"/>
      <c r="C23" s="379"/>
      <c r="D23" s="1006" t="s">
        <v>2859</v>
      </c>
      <c r="E23" s="478"/>
      <c r="F23" s="32">
        <v>0</v>
      </c>
      <c r="G23" s="32">
        <v>0</v>
      </c>
      <c r="H23" s="32">
        <v>0</v>
      </c>
      <c r="I23" s="147">
        <f t="shared" ref="I23:I38" si="0">+G23*H23</f>
        <v>0</v>
      </c>
      <c r="J23" s="1007" t="s">
        <v>2861</v>
      </c>
      <c r="K23" s="117"/>
    </row>
    <row r="24" spans="2:11" ht="348.75" thickBot="1" x14ac:dyDescent="0.3">
      <c r="B24" s="436"/>
      <c r="C24" s="379"/>
      <c r="D24" s="1006" t="s">
        <v>2860</v>
      </c>
      <c r="E24" s="478"/>
      <c r="F24" s="32"/>
      <c r="G24" s="1005">
        <v>0.3</v>
      </c>
      <c r="H24" s="32">
        <v>0.03</v>
      </c>
      <c r="I24" s="147">
        <f t="shared" si="0"/>
        <v>8.9999999999999993E-3</v>
      </c>
      <c r="J24" s="1008" t="s">
        <v>2862</v>
      </c>
      <c r="K24" s="117"/>
    </row>
    <row r="25" spans="2:11" ht="240.75" thickBot="1" x14ac:dyDescent="0.3">
      <c r="B25" s="436"/>
      <c r="C25" s="379"/>
      <c r="D25" s="1009" t="s">
        <v>2863</v>
      </c>
      <c r="E25" s="478" t="s">
        <v>626</v>
      </c>
      <c r="F25" s="32"/>
      <c r="G25" s="1010">
        <v>0.5</v>
      </c>
      <c r="H25" s="32">
        <v>0.03</v>
      </c>
      <c r="I25" s="147">
        <f t="shared" si="0"/>
        <v>1.4999999999999999E-2</v>
      </c>
      <c r="J25" s="1016" t="s">
        <v>2867</v>
      </c>
      <c r="K25" s="117"/>
    </row>
    <row r="26" spans="2:11" ht="36.75" thickBot="1" x14ac:dyDescent="0.3">
      <c r="B26" s="436"/>
      <c r="C26" s="379"/>
      <c r="D26" s="31"/>
      <c r="E26" s="32"/>
      <c r="F26" s="32"/>
      <c r="G26" s="1011">
        <v>0</v>
      </c>
      <c r="H26" s="32">
        <v>0</v>
      </c>
      <c r="I26" s="147">
        <f t="shared" si="0"/>
        <v>0</v>
      </c>
      <c r="J26" s="1013" t="s">
        <v>2864</v>
      </c>
      <c r="K26" s="117"/>
    </row>
    <row r="27" spans="2:11" s="774" customFormat="1" ht="60.75" thickBot="1" x14ac:dyDescent="0.3">
      <c r="B27" s="997"/>
      <c r="C27" s="379"/>
      <c r="D27" s="31"/>
      <c r="E27" s="478" t="s">
        <v>627</v>
      </c>
      <c r="F27" s="32"/>
      <c r="G27" s="1012">
        <v>0.33</v>
      </c>
      <c r="H27" s="32">
        <v>0.2</v>
      </c>
      <c r="I27" s="147">
        <f t="shared" si="0"/>
        <v>6.6000000000000003E-2</v>
      </c>
      <c r="J27" s="1014" t="s">
        <v>2865</v>
      </c>
      <c r="K27" s="117"/>
    </row>
    <row r="28" spans="2:11" s="774" customFormat="1" ht="72.75" thickBot="1" x14ac:dyDescent="0.3">
      <c r="B28" s="997"/>
      <c r="C28" s="379"/>
      <c r="D28" s="31"/>
      <c r="E28" s="478" t="s">
        <v>628</v>
      </c>
      <c r="F28" s="32"/>
      <c r="G28" s="1011">
        <v>0.33</v>
      </c>
      <c r="H28" s="32">
        <v>0.05</v>
      </c>
      <c r="I28" s="147">
        <f t="shared" si="0"/>
        <v>1.6500000000000001E-2</v>
      </c>
      <c r="J28" s="1015" t="s">
        <v>2866</v>
      </c>
      <c r="K28" s="117"/>
    </row>
    <row r="29" spans="2:11" s="774" customFormat="1" ht="36.75" customHeight="1" thickBot="1" x14ac:dyDescent="0.3">
      <c r="B29" s="997"/>
      <c r="C29" s="379"/>
      <c r="D29" s="1020" t="s">
        <v>2874</v>
      </c>
      <c r="E29" s="1943" t="s">
        <v>629</v>
      </c>
      <c r="F29" s="32"/>
      <c r="G29" s="32"/>
      <c r="H29" s="32"/>
      <c r="I29" s="147"/>
      <c r="J29" s="1017" t="s">
        <v>2868</v>
      </c>
      <c r="K29" s="117"/>
    </row>
    <row r="30" spans="2:11" s="774" customFormat="1" ht="18.75" thickBot="1" x14ac:dyDescent="0.3">
      <c r="B30" s="997"/>
      <c r="C30" s="379"/>
      <c r="D30" s="1020" t="s">
        <v>2875</v>
      </c>
      <c r="E30" s="1944"/>
      <c r="F30" s="32"/>
      <c r="G30" s="32"/>
      <c r="H30" s="32"/>
      <c r="I30" s="147"/>
      <c r="J30" s="1017" t="s">
        <v>2869</v>
      </c>
      <c r="K30" s="117"/>
    </row>
    <row r="31" spans="2:11" s="774" customFormat="1" ht="54.75" thickBot="1" x14ac:dyDescent="0.3">
      <c r="B31" s="997"/>
      <c r="C31" s="379"/>
      <c r="D31" s="1020" t="s">
        <v>2876</v>
      </c>
      <c r="E31" s="1945"/>
      <c r="F31" s="32"/>
      <c r="G31" s="32"/>
      <c r="H31" s="32"/>
      <c r="I31" s="147"/>
      <c r="J31" s="1017" t="s">
        <v>2870</v>
      </c>
      <c r="K31" s="117"/>
    </row>
    <row r="32" spans="2:11" s="774" customFormat="1" ht="264.75" thickBot="1" x14ac:dyDescent="0.3">
      <c r="B32" s="997"/>
      <c r="C32" s="379"/>
      <c r="D32" s="1023" t="s">
        <v>2877</v>
      </c>
      <c r="E32" s="478"/>
      <c r="F32" s="32"/>
      <c r="G32" s="1011">
        <v>1</v>
      </c>
      <c r="H32" s="32">
        <v>0.02</v>
      </c>
      <c r="I32" s="147"/>
      <c r="J32" s="1018" t="s">
        <v>2871</v>
      </c>
      <c r="K32" s="117"/>
    </row>
    <row r="33" spans="2:11" ht="276.75" thickBot="1" x14ac:dyDescent="0.3">
      <c r="B33" s="436"/>
      <c r="C33" s="379"/>
      <c r="D33" s="1024" t="s">
        <v>2878</v>
      </c>
      <c r="E33" s="31"/>
      <c r="F33" s="32"/>
      <c r="G33" s="1011">
        <v>0.3</v>
      </c>
      <c r="H33" s="32">
        <v>0.12</v>
      </c>
      <c r="I33" s="147">
        <f t="shared" si="0"/>
        <v>3.5999999999999997E-2</v>
      </c>
      <c r="J33" s="1019" t="s">
        <v>2872</v>
      </c>
      <c r="K33" s="117"/>
    </row>
    <row r="34" spans="2:11" ht="312.75" thickBot="1" x14ac:dyDescent="0.3">
      <c r="B34" s="436"/>
      <c r="C34" s="379"/>
      <c r="D34" s="1021" t="s">
        <v>2879</v>
      </c>
      <c r="E34" s="1022" t="s">
        <v>2880</v>
      </c>
      <c r="F34" s="32"/>
      <c r="G34" s="1011">
        <v>1</v>
      </c>
      <c r="H34" s="32">
        <v>0.12</v>
      </c>
      <c r="I34" s="147">
        <f t="shared" si="0"/>
        <v>0.12</v>
      </c>
      <c r="J34" s="1018" t="s">
        <v>2873</v>
      </c>
      <c r="K34" s="117"/>
    </row>
    <row r="35" spans="2:11" s="774" customFormat="1" ht="48.75" thickBot="1" x14ac:dyDescent="0.3">
      <c r="B35" s="1155"/>
      <c r="C35" s="379"/>
      <c r="D35" s="1165" t="s">
        <v>2988</v>
      </c>
      <c r="E35" s="1255"/>
      <c r="F35" s="1256">
        <f ca="1">SUM(F36:F37)</f>
        <v>0</v>
      </c>
      <c r="G35" s="409"/>
      <c r="H35" s="1257">
        <v>0.05</v>
      </c>
      <c r="I35" s="147"/>
      <c r="J35" s="1018" t="s">
        <v>3315</v>
      </c>
      <c r="K35" s="117"/>
    </row>
    <row r="36" spans="2:11" s="774" customFormat="1" ht="48.75" thickBot="1" x14ac:dyDescent="0.3">
      <c r="B36" s="1155"/>
      <c r="C36" s="379"/>
      <c r="D36" s="30" t="s">
        <v>480</v>
      </c>
      <c r="E36" s="1258"/>
      <c r="F36" s="1011">
        <f ca="1">SUM(F37:F37)</f>
        <v>0</v>
      </c>
      <c r="G36" s="1011"/>
      <c r="H36" s="1259">
        <v>0.1</v>
      </c>
      <c r="I36" s="147"/>
      <c r="J36" s="1014" t="s">
        <v>3315</v>
      </c>
      <c r="K36" s="117"/>
    </row>
    <row r="37" spans="2:11" s="774" customFormat="1" ht="48.75" thickBot="1" x14ac:dyDescent="0.3">
      <c r="B37" s="1155"/>
      <c r="C37" s="379"/>
      <c r="D37" s="1260" t="s">
        <v>526</v>
      </c>
      <c r="E37" s="1261"/>
      <c r="F37" s="1011">
        <f ca="1">SUM(F37:F38)</f>
        <v>0</v>
      </c>
      <c r="G37" s="1011"/>
      <c r="H37" s="1259">
        <v>0.08</v>
      </c>
      <c r="I37" s="147"/>
      <c r="J37" s="1014" t="s">
        <v>3315</v>
      </c>
      <c r="K37" s="117"/>
    </row>
    <row r="38" spans="2:11" ht="15.75" thickBot="1" x14ac:dyDescent="0.3">
      <c r="B38" s="436"/>
      <c r="C38" s="379"/>
      <c r="D38" s="31"/>
      <c r="E38" s="31"/>
      <c r="F38" s="32"/>
      <c r="G38" s="32"/>
      <c r="H38" s="32"/>
      <c r="I38" s="147">
        <f t="shared" si="0"/>
        <v>0</v>
      </c>
      <c r="J38" s="30"/>
      <c r="K38" s="117"/>
    </row>
    <row r="39" spans="2:11" ht="15.75" thickBot="1" x14ac:dyDescent="0.3">
      <c r="B39" s="436"/>
      <c r="C39" s="91"/>
      <c r="D39" s="40" t="s">
        <v>151</v>
      </c>
      <c r="E39" s="40"/>
      <c r="F39" s="40"/>
      <c r="G39" s="40"/>
      <c r="H39" s="207">
        <f>Formulas!D20</f>
        <v>1</v>
      </c>
      <c r="I39" s="147">
        <f>Formulas!E20</f>
        <v>0.34250000000000003</v>
      </c>
      <c r="J39" s="41"/>
      <c r="K39" s="118"/>
    </row>
    <row r="40" spans="2:11" ht="15.75" thickBot="1" x14ac:dyDescent="0.3">
      <c r="B40" s="437"/>
      <c r="C40" s="93"/>
      <c r="D40" s="1816" t="s">
        <v>630</v>
      </c>
      <c r="E40" s="1817"/>
      <c r="F40" s="1817"/>
      <c r="G40" s="1817"/>
      <c r="H40" s="1817"/>
      <c r="I40" s="1817"/>
      <c r="J40" s="1817"/>
      <c r="K40" s="1818"/>
    </row>
    <row r="41" spans="2:11" ht="24" customHeight="1" thickBot="1" x14ac:dyDescent="0.3">
      <c r="B41" s="47" t="s">
        <v>34</v>
      </c>
      <c r="C41" s="93"/>
      <c r="D41" s="1816" t="s">
        <v>631</v>
      </c>
      <c r="E41" s="1817"/>
      <c r="F41" s="1817"/>
      <c r="G41" s="1817"/>
      <c r="H41" s="1817"/>
      <c r="I41" s="1817"/>
      <c r="J41" s="1817"/>
      <c r="K41" s="1818"/>
    </row>
    <row r="42" spans="2:11" ht="36" customHeight="1" thickBot="1" x14ac:dyDescent="0.3">
      <c r="B42" s="47" t="s">
        <v>36</v>
      </c>
      <c r="C42" s="93"/>
      <c r="D42" s="1816" t="s">
        <v>632</v>
      </c>
      <c r="E42" s="1817"/>
      <c r="F42" s="1817"/>
      <c r="G42" s="1817"/>
      <c r="H42" s="1817"/>
      <c r="I42" s="1817"/>
      <c r="J42" s="1817"/>
      <c r="K42" s="1818"/>
    </row>
    <row r="43" spans="2:11" ht="15.75" thickBot="1" x14ac:dyDescent="0.3">
      <c r="B43" s="2"/>
      <c r="C43" s="76"/>
      <c r="D43" s="6"/>
      <c r="E43" s="6"/>
      <c r="F43" s="6"/>
      <c r="G43" s="6"/>
      <c r="H43" s="6"/>
      <c r="I43" s="6"/>
      <c r="J43" s="6"/>
      <c r="K43" s="6"/>
    </row>
    <row r="44" spans="2:11" ht="24" customHeight="1" thickBot="1" x14ac:dyDescent="0.3">
      <c r="B44" s="1807" t="s">
        <v>38</v>
      </c>
      <c r="C44" s="1808"/>
      <c r="D44" s="1808"/>
      <c r="E44" s="1809"/>
      <c r="F44" s="6"/>
      <c r="G44" s="6"/>
      <c r="H44" s="6"/>
      <c r="I44" s="6"/>
      <c r="J44" s="6"/>
      <c r="K44" s="6"/>
    </row>
    <row r="45" spans="2:11" ht="15.75" thickBot="1" x14ac:dyDescent="0.3">
      <c r="B45" s="1804">
        <v>1</v>
      </c>
      <c r="C45" s="94"/>
      <c r="D45" s="48" t="s">
        <v>39</v>
      </c>
      <c r="E45" s="31" t="s">
        <v>2854</v>
      </c>
      <c r="F45" s="6"/>
      <c r="G45" s="6"/>
      <c r="H45" s="6"/>
      <c r="I45" s="6"/>
      <c r="J45" s="6"/>
      <c r="K45" s="6"/>
    </row>
    <row r="46" spans="2:11" ht="15.75" thickBot="1" x14ac:dyDescent="0.3">
      <c r="B46" s="1805"/>
      <c r="C46" s="94"/>
      <c r="D46" s="41" t="s">
        <v>40</v>
      </c>
      <c r="E46" s="31" t="s">
        <v>2881</v>
      </c>
      <c r="F46" s="6"/>
      <c r="G46" s="6"/>
      <c r="H46" s="6"/>
      <c r="I46" s="6"/>
      <c r="J46" s="6"/>
      <c r="K46" s="6"/>
    </row>
    <row r="47" spans="2:11" ht="15.75" thickBot="1" x14ac:dyDescent="0.3">
      <c r="B47" s="1805"/>
      <c r="C47" s="94"/>
      <c r="D47" s="41" t="s">
        <v>41</v>
      </c>
      <c r="E47" s="31" t="s">
        <v>2882</v>
      </c>
      <c r="F47" s="6"/>
      <c r="G47" s="6"/>
      <c r="H47" s="6"/>
      <c r="I47" s="6"/>
      <c r="J47" s="6"/>
      <c r="K47" s="6"/>
    </row>
    <row r="48" spans="2:11" ht="15.75" thickBot="1" x14ac:dyDescent="0.3">
      <c r="B48" s="1805"/>
      <c r="C48" s="94"/>
      <c r="D48" s="41" t="s">
        <v>42</v>
      </c>
      <c r="E48" s="31" t="s">
        <v>2883</v>
      </c>
      <c r="F48" s="6"/>
      <c r="G48" s="6"/>
      <c r="H48" s="6"/>
      <c r="I48" s="6"/>
      <c r="J48" s="6"/>
      <c r="K48" s="6"/>
    </row>
    <row r="49" spans="2:11" ht="15.75" thickBot="1" x14ac:dyDescent="0.3">
      <c r="B49" s="1805"/>
      <c r="C49" s="94"/>
      <c r="D49" s="41" t="s">
        <v>43</v>
      </c>
      <c r="E49" s="1004" t="s">
        <v>2884</v>
      </c>
      <c r="F49" s="6"/>
      <c r="G49" s="6"/>
      <c r="H49" s="6"/>
      <c r="I49" s="6"/>
      <c r="J49" s="6"/>
      <c r="K49" s="6"/>
    </row>
    <row r="50" spans="2:11" ht="15.75" thickBot="1" x14ac:dyDescent="0.3">
      <c r="B50" s="1805"/>
      <c r="C50" s="94"/>
      <c r="D50" s="41" t="s">
        <v>44</v>
      </c>
      <c r="E50" s="31" t="s">
        <v>2885</v>
      </c>
      <c r="F50" s="6"/>
      <c r="G50" s="6"/>
      <c r="H50" s="6"/>
      <c r="I50" s="6"/>
      <c r="J50" s="6"/>
      <c r="K50" s="6"/>
    </row>
    <row r="51" spans="2:11" ht="15.75" thickBot="1" x14ac:dyDescent="0.3">
      <c r="B51" s="1806"/>
      <c r="C51" s="3"/>
      <c r="D51" s="41" t="s">
        <v>45</v>
      </c>
      <c r="E51" s="31" t="s">
        <v>2886</v>
      </c>
      <c r="F51" s="6"/>
      <c r="G51" s="6"/>
      <c r="H51" s="6"/>
      <c r="I51" s="6"/>
      <c r="J51" s="6"/>
      <c r="K51" s="6"/>
    </row>
    <row r="52" spans="2:11" ht="15.75" thickBot="1" x14ac:dyDescent="0.3">
      <c r="B52" s="2"/>
      <c r="C52" s="76"/>
      <c r="D52" s="6"/>
      <c r="E52" s="6"/>
      <c r="F52" s="6"/>
      <c r="G52" s="6"/>
      <c r="H52" s="6"/>
      <c r="I52" s="6"/>
      <c r="J52" s="6"/>
      <c r="K52" s="6"/>
    </row>
    <row r="53" spans="2:11" ht="15.75" thickBot="1" x14ac:dyDescent="0.3">
      <c r="B53" s="1807" t="s">
        <v>46</v>
      </c>
      <c r="C53" s="1808"/>
      <c r="D53" s="1808"/>
      <c r="E53" s="1809"/>
      <c r="F53" s="6"/>
      <c r="G53" s="6"/>
      <c r="H53" s="6"/>
      <c r="I53" s="6"/>
      <c r="J53" s="6"/>
      <c r="K53" s="6"/>
    </row>
    <row r="54" spans="2:11" ht="15.75" thickBot="1" x14ac:dyDescent="0.3">
      <c r="B54" s="1804">
        <v>1</v>
      </c>
      <c r="C54" s="94"/>
      <c r="D54" s="48" t="s">
        <v>39</v>
      </c>
      <c r="E54" s="444" t="s">
        <v>47</v>
      </c>
      <c r="F54" s="6"/>
      <c r="G54" s="6"/>
      <c r="H54" s="6"/>
      <c r="I54" s="6"/>
      <c r="J54" s="6"/>
      <c r="K54" s="6"/>
    </row>
    <row r="55" spans="2:11" ht="15.75" thickBot="1" x14ac:dyDescent="0.3">
      <c r="B55" s="1805"/>
      <c r="C55" s="94"/>
      <c r="D55" s="41" t="s">
        <v>40</v>
      </c>
      <c r="E55" s="444" t="s">
        <v>48</v>
      </c>
      <c r="F55" s="6"/>
      <c r="G55" s="6"/>
      <c r="H55" s="6"/>
      <c r="I55" s="6"/>
      <c r="J55" s="6"/>
      <c r="K55" s="6"/>
    </row>
    <row r="56" spans="2:11" ht="15.75" thickBot="1" x14ac:dyDescent="0.3">
      <c r="B56" s="1805"/>
      <c r="C56" s="94"/>
      <c r="D56" s="41" t="s">
        <v>41</v>
      </c>
      <c r="E56" s="315"/>
      <c r="F56" s="6"/>
      <c r="G56" s="6"/>
      <c r="H56" s="6"/>
      <c r="I56" s="6"/>
      <c r="J56" s="6"/>
      <c r="K56" s="6"/>
    </row>
    <row r="57" spans="2:11" ht="15.75" thickBot="1" x14ac:dyDescent="0.3">
      <c r="B57" s="1805"/>
      <c r="C57" s="94"/>
      <c r="D57" s="41" t="s">
        <v>42</v>
      </c>
      <c r="E57" s="315"/>
      <c r="F57" s="6"/>
      <c r="G57" s="6"/>
      <c r="H57" s="6"/>
      <c r="I57" s="6"/>
      <c r="J57" s="6"/>
      <c r="K57" s="6"/>
    </row>
    <row r="58" spans="2:11" ht="15.75" thickBot="1" x14ac:dyDescent="0.3">
      <c r="B58" s="1805"/>
      <c r="C58" s="94"/>
      <c r="D58" s="41" t="s">
        <v>43</v>
      </c>
      <c r="E58" s="315"/>
      <c r="F58" s="6"/>
      <c r="G58" s="6"/>
      <c r="H58" s="6"/>
      <c r="I58" s="6"/>
      <c r="J58" s="6"/>
      <c r="K58" s="6"/>
    </row>
    <row r="59" spans="2:11" ht="15.75" thickBot="1" x14ac:dyDescent="0.3">
      <c r="B59" s="1805"/>
      <c r="C59" s="94"/>
      <c r="D59" s="41" t="s">
        <v>44</v>
      </c>
      <c r="E59" s="315"/>
      <c r="F59" s="6"/>
      <c r="G59" s="6"/>
      <c r="H59" s="6"/>
      <c r="I59" s="6"/>
      <c r="J59" s="6"/>
      <c r="K59" s="6"/>
    </row>
    <row r="60" spans="2:11" ht="15.75" thickBot="1" x14ac:dyDescent="0.3">
      <c r="B60" s="1806"/>
      <c r="C60" s="3"/>
      <c r="D60" s="41" t="s">
        <v>45</v>
      </c>
      <c r="E60" s="315"/>
      <c r="F60" s="6"/>
      <c r="G60" s="6"/>
      <c r="H60" s="6"/>
      <c r="I60" s="6"/>
      <c r="J60" s="6"/>
      <c r="K60" s="6"/>
    </row>
    <row r="61" spans="2:11" ht="15.75" thickBot="1" x14ac:dyDescent="0.3">
      <c r="B61" s="2"/>
      <c r="C61" s="76"/>
      <c r="D61" s="6"/>
      <c r="E61" s="6"/>
      <c r="F61" s="6"/>
      <c r="G61" s="6"/>
      <c r="H61" s="6"/>
      <c r="I61" s="6"/>
      <c r="J61" s="6"/>
      <c r="K61" s="6"/>
    </row>
    <row r="62" spans="2:11" ht="15" customHeight="1" thickBot="1" x14ac:dyDescent="0.3">
      <c r="B62" s="125" t="s">
        <v>49</v>
      </c>
      <c r="C62" s="126"/>
      <c r="D62" s="126"/>
      <c r="E62" s="127"/>
      <c r="G62" s="6"/>
      <c r="H62" s="6"/>
      <c r="I62" s="6"/>
      <c r="J62" s="6"/>
      <c r="K62" s="6"/>
    </row>
    <row r="63" spans="2:11" ht="24.75" thickBot="1" x14ac:dyDescent="0.3">
      <c r="B63" s="47" t="s">
        <v>50</v>
      </c>
      <c r="C63" s="41" t="s">
        <v>51</v>
      </c>
      <c r="D63" s="41" t="s">
        <v>52</v>
      </c>
      <c r="E63" s="41" t="s">
        <v>53</v>
      </c>
      <c r="F63" s="6"/>
      <c r="G63" s="6"/>
      <c r="H63" s="6"/>
      <c r="I63" s="6"/>
      <c r="J63" s="6"/>
    </row>
    <row r="64" spans="2:11" ht="72.75" thickBot="1" x14ac:dyDescent="0.3">
      <c r="B64" s="49">
        <v>42401</v>
      </c>
      <c r="C64" s="41">
        <v>0.01</v>
      </c>
      <c r="D64" s="41" t="s">
        <v>633</v>
      </c>
      <c r="E64" s="41"/>
      <c r="F64" s="6"/>
      <c r="G64" s="6"/>
      <c r="H64" s="6"/>
      <c r="I64" s="6"/>
      <c r="J64" s="6"/>
    </row>
    <row r="65" spans="2:11" ht="15.75" thickBot="1" x14ac:dyDescent="0.3">
      <c r="B65" s="2"/>
      <c r="C65" s="76"/>
      <c r="D65" s="6"/>
      <c r="E65" s="6"/>
      <c r="F65" s="6"/>
      <c r="G65" s="6"/>
      <c r="H65" s="6"/>
      <c r="I65" s="6"/>
      <c r="J65" s="6"/>
      <c r="K65" s="6"/>
    </row>
    <row r="66" spans="2:11" ht="15.75" thickBot="1" x14ac:dyDescent="0.3">
      <c r="B66" s="443" t="s">
        <v>55</v>
      </c>
      <c r="C66" s="96"/>
      <c r="D66" s="6"/>
      <c r="E66" s="6"/>
      <c r="F66" s="6"/>
      <c r="G66" s="6"/>
      <c r="H66" s="6"/>
      <c r="I66" s="6"/>
      <c r="J66" s="6"/>
      <c r="K66" s="6"/>
    </row>
    <row r="67" spans="2:11" x14ac:dyDescent="0.25">
      <c r="B67" s="1934"/>
      <c r="C67" s="1935"/>
      <c r="D67" s="1935"/>
      <c r="E67" s="1936"/>
      <c r="F67" s="6"/>
      <c r="G67" s="6"/>
      <c r="H67" s="6"/>
      <c r="I67" s="6"/>
      <c r="J67" s="6"/>
      <c r="K67" s="6"/>
    </row>
    <row r="68" spans="2:11" ht="15.75" thickBot="1" x14ac:dyDescent="0.3">
      <c r="B68" s="1937"/>
      <c r="C68" s="1938"/>
      <c r="D68" s="1938"/>
      <c r="E68" s="1939"/>
      <c r="F68" s="6"/>
      <c r="G68" s="6"/>
      <c r="H68" s="6"/>
      <c r="I68" s="6"/>
      <c r="J68" s="6"/>
      <c r="K68" s="6"/>
    </row>
    <row r="69" spans="2:11" ht="15.75" thickBot="1" x14ac:dyDescent="0.3">
      <c r="B69" s="6"/>
      <c r="D69" s="6"/>
      <c r="E69" s="6"/>
      <c r="F69" s="6"/>
      <c r="G69" s="6"/>
      <c r="H69" s="6"/>
      <c r="I69" s="6"/>
      <c r="J69" s="6"/>
      <c r="K69" s="6"/>
    </row>
    <row r="70" spans="2:11" ht="15.75" thickBot="1" x14ac:dyDescent="0.3">
      <c r="B70" s="1807" t="s">
        <v>450</v>
      </c>
      <c r="C70" s="1808"/>
      <c r="D70" s="1809"/>
      <c r="E70" s="6"/>
      <c r="F70" s="6"/>
      <c r="G70" s="6"/>
      <c r="H70" s="6"/>
      <c r="I70" s="6"/>
      <c r="J70" s="6"/>
      <c r="K70" s="6"/>
    </row>
    <row r="71" spans="2:11" ht="72.75" thickBot="1" x14ac:dyDescent="0.3">
      <c r="B71" s="47" t="s">
        <v>57</v>
      </c>
      <c r="C71" s="3"/>
      <c r="D71" s="41" t="s">
        <v>586</v>
      </c>
      <c r="E71" s="6"/>
      <c r="F71" s="6"/>
      <c r="G71" s="6"/>
      <c r="H71" s="6"/>
      <c r="I71" s="6"/>
      <c r="J71" s="6"/>
      <c r="K71" s="6"/>
    </row>
    <row r="72" spans="2:11" x14ac:dyDescent="0.25">
      <c r="B72" s="1804" t="s">
        <v>59</v>
      </c>
      <c r="C72" s="94"/>
      <c r="D72" s="53" t="s">
        <v>60</v>
      </c>
      <c r="E72" s="6"/>
      <c r="F72" s="6"/>
      <c r="G72" s="6"/>
      <c r="H72" s="6"/>
      <c r="I72" s="6"/>
      <c r="J72" s="6"/>
      <c r="K72" s="6"/>
    </row>
    <row r="73" spans="2:11" ht="132" x14ac:dyDescent="0.25">
      <c r="B73" s="1805"/>
      <c r="C73" s="94"/>
      <c r="D73" s="46" t="s">
        <v>587</v>
      </c>
      <c r="E73" s="6"/>
      <c r="F73" s="6"/>
      <c r="G73" s="6"/>
      <c r="H73" s="6"/>
      <c r="I73" s="6"/>
      <c r="J73" s="6"/>
      <c r="K73" s="6"/>
    </row>
    <row r="74" spans="2:11" x14ac:dyDescent="0.25">
      <c r="B74" s="1805"/>
      <c r="C74" s="94"/>
      <c r="D74" s="53" t="s">
        <v>63</v>
      </c>
      <c r="E74" s="6"/>
      <c r="F74" s="6"/>
      <c r="G74" s="6"/>
      <c r="H74" s="6"/>
      <c r="I74" s="6"/>
      <c r="J74" s="6"/>
      <c r="K74" s="6"/>
    </row>
    <row r="75" spans="2:11" ht="24" x14ac:dyDescent="0.25">
      <c r="B75" s="1805"/>
      <c r="C75" s="94"/>
      <c r="D75" s="46" t="s">
        <v>588</v>
      </c>
      <c r="E75" s="6"/>
      <c r="F75" s="6"/>
      <c r="G75" s="6"/>
      <c r="H75" s="6"/>
      <c r="I75" s="6"/>
      <c r="J75" s="6"/>
      <c r="K75" s="6"/>
    </row>
    <row r="76" spans="2:11" ht="24" x14ac:dyDescent="0.25">
      <c r="B76" s="1805"/>
      <c r="C76" s="94"/>
      <c r="D76" s="46" t="s">
        <v>589</v>
      </c>
      <c r="E76" s="6"/>
      <c r="F76" s="6"/>
      <c r="G76" s="6"/>
      <c r="H76" s="6"/>
      <c r="I76" s="6"/>
      <c r="J76" s="6"/>
      <c r="K76" s="6"/>
    </row>
    <row r="77" spans="2:11" ht="24" x14ac:dyDescent="0.25">
      <c r="B77" s="1805"/>
      <c r="C77" s="94"/>
      <c r="D77" s="46" t="s">
        <v>590</v>
      </c>
      <c r="E77" s="6"/>
      <c r="F77" s="6"/>
      <c r="G77" s="6"/>
      <c r="H77" s="6"/>
      <c r="I77" s="6"/>
      <c r="J77" s="6"/>
      <c r="K77" s="6"/>
    </row>
    <row r="78" spans="2:11" x14ac:dyDescent="0.25">
      <c r="B78" s="1805"/>
      <c r="C78" s="94"/>
      <c r="D78" s="46" t="s">
        <v>591</v>
      </c>
      <c r="E78" s="6"/>
      <c r="F78" s="6"/>
      <c r="G78" s="6"/>
      <c r="H78" s="6"/>
      <c r="I78" s="6"/>
      <c r="J78" s="6"/>
      <c r="K78" s="6"/>
    </row>
    <row r="79" spans="2:11" x14ac:dyDescent="0.25">
      <c r="B79" s="1805"/>
      <c r="C79" s="94"/>
      <c r="D79" s="46" t="s">
        <v>592</v>
      </c>
      <c r="E79" s="6"/>
      <c r="F79" s="6"/>
      <c r="G79" s="6"/>
      <c r="H79" s="6"/>
      <c r="I79" s="6"/>
      <c r="J79" s="6"/>
      <c r="K79" s="6"/>
    </row>
    <row r="80" spans="2:11" x14ac:dyDescent="0.25">
      <c r="B80" s="1805"/>
      <c r="C80" s="94"/>
      <c r="D80" s="46" t="s">
        <v>593</v>
      </c>
      <c r="E80" s="6"/>
      <c r="F80" s="6"/>
      <c r="G80" s="6"/>
      <c r="H80" s="6"/>
      <c r="I80" s="6"/>
      <c r="J80" s="6"/>
      <c r="K80" s="6"/>
    </row>
    <row r="81" spans="2:11" x14ac:dyDescent="0.25">
      <c r="B81" s="1805"/>
      <c r="C81" s="94"/>
      <c r="D81" s="53" t="s">
        <v>288</v>
      </c>
      <c r="E81" s="6"/>
      <c r="F81" s="6"/>
      <c r="G81" s="6"/>
      <c r="H81" s="6"/>
      <c r="I81" s="6"/>
      <c r="J81" s="6"/>
      <c r="K81" s="6"/>
    </row>
    <row r="82" spans="2:11" ht="48" x14ac:dyDescent="0.25">
      <c r="B82" s="1805"/>
      <c r="C82" s="94"/>
      <c r="D82" s="46" t="s">
        <v>594</v>
      </c>
      <c r="E82" s="6"/>
      <c r="F82" s="6"/>
      <c r="G82" s="6"/>
      <c r="H82" s="6"/>
      <c r="I82" s="6"/>
      <c r="J82" s="6"/>
      <c r="K82" s="6"/>
    </row>
    <row r="83" spans="2:11" ht="15.75" thickBot="1" x14ac:dyDescent="0.3">
      <c r="B83" s="1806"/>
      <c r="C83" s="3"/>
      <c r="D83" s="68"/>
      <c r="E83" s="6"/>
      <c r="F83" s="6"/>
      <c r="G83" s="6"/>
      <c r="H83" s="6"/>
      <c r="I83" s="6"/>
      <c r="J83" s="6"/>
      <c r="K83" s="6"/>
    </row>
    <row r="84" spans="2:11" x14ac:dyDescent="0.25">
      <c r="B84" s="1804" t="s">
        <v>72</v>
      </c>
      <c r="C84" s="99"/>
      <c r="D84" s="1804"/>
      <c r="E84" s="6"/>
      <c r="F84" s="6"/>
      <c r="G84" s="6"/>
      <c r="H84" s="6"/>
      <c r="I84" s="6"/>
      <c r="J84" s="6"/>
      <c r="K84" s="6"/>
    </row>
    <row r="85" spans="2:11" ht="15.75" thickBot="1" x14ac:dyDescent="0.3">
      <c r="B85" s="1806"/>
      <c r="C85" s="100"/>
      <c r="D85" s="1806"/>
      <c r="E85" s="6"/>
      <c r="F85" s="6"/>
      <c r="G85" s="6"/>
      <c r="H85" s="6"/>
      <c r="I85" s="6"/>
      <c r="J85" s="6"/>
      <c r="K85" s="6"/>
    </row>
    <row r="86" spans="2:11" ht="15.75" thickBot="1" x14ac:dyDescent="0.3">
      <c r="B86" s="38"/>
      <c r="C86" s="88"/>
      <c r="D86" s="6"/>
      <c r="E86" s="6"/>
      <c r="F86" s="6"/>
      <c r="G86" s="6"/>
      <c r="H86" s="6"/>
      <c r="I86" s="6"/>
      <c r="J86" s="6"/>
      <c r="K86" s="6"/>
    </row>
    <row r="87" spans="2:11" ht="180" x14ac:dyDescent="0.25">
      <c r="B87" s="1804" t="s">
        <v>73</v>
      </c>
      <c r="C87" s="105"/>
      <c r="D87" s="63" t="s">
        <v>595</v>
      </c>
      <c r="E87" s="6"/>
      <c r="F87" s="6"/>
      <c r="G87" s="6"/>
      <c r="H87" s="6"/>
      <c r="I87" s="6"/>
      <c r="J87" s="6"/>
      <c r="K87" s="6"/>
    </row>
    <row r="88" spans="2:11" ht="204" x14ac:dyDescent="0.25">
      <c r="B88" s="1805"/>
      <c r="C88" s="94"/>
      <c r="D88" s="46" t="s">
        <v>596</v>
      </c>
      <c r="E88" s="6"/>
      <c r="F88" s="6"/>
      <c r="G88" s="6"/>
      <c r="H88" s="6"/>
      <c r="I88" s="6"/>
      <c r="J88" s="6"/>
      <c r="K88" s="6"/>
    </row>
    <row r="89" spans="2:11" ht="48" x14ac:dyDescent="0.25">
      <c r="B89" s="1805"/>
      <c r="C89" s="94"/>
      <c r="D89" s="46" t="s">
        <v>597</v>
      </c>
      <c r="E89" s="6"/>
      <c r="F89" s="6"/>
      <c r="G89" s="6"/>
      <c r="H89" s="6"/>
      <c r="I89" s="6"/>
      <c r="J89" s="6"/>
      <c r="K89" s="6"/>
    </row>
    <row r="90" spans="2:11" ht="24" x14ac:dyDescent="0.25">
      <c r="B90" s="1805"/>
      <c r="C90" s="94"/>
      <c r="D90" s="46" t="s">
        <v>598</v>
      </c>
      <c r="E90" s="6"/>
      <c r="F90" s="6"/>
      <c r="G90" s="6"/>
      <c r="H90" s="6"/>
      <c r="I90" s="6"/>
      <c r="J90" s="6"/>
      <c r="K90" s="6"/>
    </row>
    <row r="91" spans="2:11" ht="60" x14ac:dyDescent="0.25">
      <c r="B91" s="1805"/>
      <c r="C91" s="94"/>
      <c r="D91" s="46" t="s">
        <v>599</v>
      </c>
      <c r="E91" s="6"/>
      <c r="F91" s="6"/>
      <c r="G91" s="6"/>
      <c r="H91" s="6"/>
      <c r="I91" s="6"/>
      <c r="J91" s="6"/>
      <c r="K91" s="6"/>
    </row>
    <row r="92" spans="2:11" ht="24" x14ac:dyDescent="0.25">
      <c r="B92" s="1805"/>
      <c r="C92" s="94"/>
      <c r="D92" s="46" t="s">
        <v>600</v>
      </c>
      <c r="E92" s="6"/>
      <c r="F92" s="6"/>
      <c r="G92" s="6"/>
      <c r="H92" s="6"/>
      <c r="I92" s="6"/>
      <c r="J92" s="6"/>
      <c r="K92" s="6"/>
    </row>
    <row r="93" spans="2:11" ht="24" x14ac:dyDescent="0.25">
      <c r="B93" s="1805"/>
      <c r="C93" s="94"/>
      <c r="D93" s="46" t="s">
        <v>601</v>
      </c>
      <c r="E93" s="6"/>
      <c r="F93" s="6"/>
      <c r="G93" s="6"/>
      <c r="H93" s="6"/>
      <c r="I93" s="6"/>
      <c r="J93" s="6"/>
      <c r="K93" s="6"/>
    </row>
    <row r="94" spans="2:11" ht="36" x14ac:dyDescent="0.25">
      <c r="B94" s="1805"/>
      <c r="C94" s="94"/>
      <c r="D94" s="46" t="s">
        <v>602</v>
      </c>
      <c r="E94" s="6"/>
      <c r="F94" s="6"/>
      <c r="G94" s="6"/>
      <c r="H94" s="6"/>
      <c r="I94" s="6"/>
      <c r="J94" s="6"/>
      <c r="K94" s="6"/>
    </row>
    <row r="95" spans="2:11" ht="24" x14ac:dyDescent="0.25">
      <c r="B95" s="1805"/>
      <c r="C95" s="94"/>
      <c r="D95" s="46" t="s">
        <v>603</v>
      </c>
      <c r="E95" s="6"/>
      <c r="F95" s="6"/>
      <c r="G95" s="6"/>
      <c r="H95" s="6"/>
      <c r="I95" s="6"/>
      <c r="J95" s="6"/>
      <c r="K95" s="6"/>
    </row>
    <row r="96" spans="2:11" ht="24" x14ac:dyDescent="0.25">
      <c r="B96" s="1805"/>
      <c r="C96" s="94"/>
      <c r="D96" s="46" t="s">
        <v>604</v>
      </c>
      <c r="E96" s="6"/>
      <c r="F96" s="6"/>
      <c r="G96" s="6"/>
      <c r="H96" s="6"/>
      <c r="I96" s="6"/>
      <c r="J96" s="6"/>
      <c r="K96" s="6"/>
    </row>
    <row r="97" spans="2:11" ht="24" x14ac:dyDescent="0.25">
      <c r="B97" s="1805"/>
      <c r="C97" s="94"/>
      <c r="D97" s="46" t="s">
        <v>605</v>
      </c>
      <c r="E97" s="6"/>
      <c r="F97" s="6"/>
      <c r="G97" s="6"/>
      <c r="H97" s="6"/>
      <c r="I97" s="6"/>
      <c r="J97" s="6"/>
      <c r="K97" s="6"/>
    </row>
    <row r="98" spans="2:11" ht="36" x14ac:dyDescent="0.25">
      <c r="B98" s="1805"/>
      <c r="C98" s="94"/>
      <c r="D98" s="46" t="s">
        <v>606</v>
      </c>
      <c r="E98" s="6"/>
      <c r="F98" s="6"/>
      <c r="G98" s="6"/>
      <c r="H98" s="6"/>
      <c r="I98" s="6"/>
      <c r="J98" s="6"/>
      <c r="K98" s="6"/>
    </row>
    <row r="99" spans="2:11" ht="24" x14ac:dyDescent="0.25">
      <c r="B99" s="1805"/>
      <c r="C99" s="94"/>
      <c r="D99" s="46" t="s">
        <v>607</v>
      </c>
      <c r="E99" s="6"/>
      <c r="F99" s="6"/>
      <c r="G99" s="6"/>
      <c r="H99" s="6"/>
      <c r="I99" s="6"/>
      <c r="J99" s="6"/>
      <c r="K99" s="6"/>
    </row>
    <row r="100" spans="2:11" ht="60.75" thickBot="1" x14ac:dyDescent="0.3">
      <c r="B100" s="1806"/>
      <c r="C100" s="3"/>
      <c r="D100" s="41" t="s">
        <v>608</v>
      </c>
      <c r="E100" s="6"/>
      <c r="F100" s="6"/>
      <c r="G100" s="6"/>
      <c r="H100" s="6"/>
      <c r="I100" s="6"/>
      <c r="J100" s="6"/>
      <c r="K100" s="6"/>
    </row>
    <row r="101" spans="2:11" ht="36" x14ac:dyDescent="0.25">
      <c r="B101" s="1804" t="s">
        <v>90</v>
      </c>
      <c r="C101" s="94"/>
      <c r="D101" s="53" t="s">
        <v>609</v>
      </c>
      <c r="E101" s="6"/>
      <c r="F101" s="6"/>
      <c r="G101" s="6"/>
      <c r="H101" s="6"/>
      <c r="I101" s="6"/>
      <c r="J101" s="6"/>
      <c r="K101" s="6"/>
    </row>
    <row r="102" spans="2:11" ht="36" x14ac:dyDescent="0.25">
      <c r="B102" s="1805"/>
      <c r="C102" s="94"/>
      <c r="D102" s="46" t="s">
        <v>610</v>
      </c>
      <c r="E102" s="6"/>
      <c r="F102" s="6"/>
      <c r="G102" s="6"/>
      <c r="H102" s="6"/>
      <c r="I102" s="6"/>
      <c r="J102" s="6"/>
      <c r="K102" s="6"/>
    </row>
    <row r="103" spans="2:11" x14ac:dyDescent="0.25">
      <c r="B103" s="1805"/>
      <c r="C103" s="94"/>
      <c r="D103" s="17"/>
      <c r="E103" s="6"/>
      <c r="F103" s="6"/>
      <c r="G103" s="6"/>
      <c r="H103" s="6"/>
      <c r="I103" s="6"/>
      <c r="J103" s="6"/>
      <c r="K103" s="6"/>
    </row>
    <row r="104" spans="2:11" x14ac:dyDescent="0.25">
      <c r="B104" s="1805"/>
      <c r="C104" s="94"/>
      <c r="D104" s="46" t="s">
        <v>91</v>
      </c>
      <c r="E104" s="6"/>
      <c r="F104" s="6"/>
      <c r="G104" s="6"/>
      <c r="H104" s="6"/>
      <c r="I104" s="6"/>
      <c r="J104" s="6"/>
      <c r="K104" s="6"/>
    </row>
    <row r="105" spans="2:11" ht="37.5" x14ac:dyDescent="0.25">
      <c r="B105" s="1805"/>
      <c r="C105" s="94"/>
      <c r="D105" s="46" t="s">
        <v>611</v>
      </c>
      <c r="E105" s="6"/>
      <c r="F105" s="6"/>
      <c r="G105" s="6"/>
      <c r="H105" s="6"/>
      <c r="I105" s="6"/>
      <c r="J105" s="6"/>
      <c r="K105" s="6"/>
    </row>
    <row r="106" spans="2:11" ht="49.5" x14ac:dyDescent="0.25">
      <c r="B106" s="1805"/>
      <c r="C106" s="94"/>
      <c r="D106" s="46" t="s">
        <v>612</v>
      </c>
      <c r="E106" s="6"/>
      <c r="F106" s="6"/>
      <c r="G106" s="6"/>
      <c r="H106" s="6"/>
      <c r="I106" s="6"/>
      <c r="J106" s="6"/>
      <c r="K106" s="6"/>
    </row>
    <row r="107" spans="2:11" ht="25.5" x14ac:dyDescent="0.25">
      <c r="B107" s="1805"/>
      <c r="C107" s="94"/>
      <c r="D107" s="46" t="s">
        <v>613</v>
      </c>
      <c r="E107" s="6"/>
      <c r="F107" s="6"/>
      <c r="G107" s="6"/>
      <c r="H107" s="6"/>
      <c r="I107" s="6"/>
      <c r="J107" s="6"/>
      <c r="K107" s="6"/>
    </row>
    <row r="108" spans="2:11" x14ac:dyDescent="0.25">
      <c r="B108" s="1805"/>
      <c r="C108" s="94"/>
      <c r="D108" s="46" t="s">
        <v>614</v>
      </c>
      <c r="E108" s="6"/>
      <c r="F108" s="6"/>
      <c r="G108" s="6"/>
      <c r="H108" s="6"/>
      <c r="I108" s="6"/>
      <c r="J108" s="6"/>
      <c r="K108" s="6"/>
    </row>
    <row r="109" spans="2:11" ht="48.75" thickBot="1" x14ac:dyDescent="0.3">
      <c r="B109" s="1806"/>
      <c r="C109" s="3"/>
      <c r="D109" s="71" t="s">
        <v>615</v>
      </c>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sheetData>
  <mergeCells count="33">
    <mergeCell ref="B87:B100"/>
    <mergeCell ref="B101:B109"/>
    <mergeCell ref="B70:D70"/>
    <mergeCell ref="B72:B83"/>
    <mergeCell ref="B84:B85"/>
    <mergeCell ref="D84:D85"/>
    <mergeCell ref="B54:B60"/>
    <mergeCell ref="B67:E68"/>
    <mergeCell ref="D15:K15"/>
    <mergeCell ref="D16:K16"/>
    <mergeCell ref="D19:K19"/>
    <mergeCell ref="D40:K40"/>
    <mergeCell ref="C20:C21"/>
    <mergeCell ref="D20:D21"/>
    <mergeCell ref="E20:E21"/>
    <mergeCell ref="F20:J20"/>
    <mergeCell ref="D41:K41"/>
    <mergeCell ref="D42:K42"/>
    <mergeCell ref="B44:E44"/>
    <mergeCell ref="B45:B51"/>
    <mergeCell ref="B53:E53"/>
    <mergeCell ref="E29:E31"/>
    <mergeCell ref="A1:P1"/>
    <mergeCell ref="A2:P2"/>
    <mergeCell ref="A3:P3"/>
    <mergeCell ref="A4:D4"/>
    <mergeCell ref="A5:P5"/>
    <mergeCell ref="B15:B19"/>
    <mergeCell ref="B10:D10"/>
    <mergeCell ref="F10:S10"/>
    <mergeCell ref="F11:S11"/>
    <mergeCell ref="E12:R12"/>
    <mergeCell ref="E13:R13"/>
  </mergeCells>
  <conditionalFormatting sqref="H39">
    <cfRule type="containsText" dxfId="66" priority="5" operator="containsText" text="ERROR">
      <formula>NOT(ISERROR(SEARCH("ERROR",H39)))</formula>
    </cfRule>
  </conditionalFormatting>
  <conditionalFormatting sqref="F10">
    <cfRule type="notContainsBlanks" dxfId="65" priority="4">
      <formula>LEN(TRIM(F10))&gt;0</formula>
    </cfRule>
  </conditionalFormatting>
  <conditionalFormatting sqref="F11:S11">
    <cfRule type="expression" dxfId="64" priority="2">
      <formula>E11="NO SE REPORTA"</formula>
    </cfRule>
    <cfRule type="expression" dxfId="63" priority="3">
      <formula>E10="NO APLICA"</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G22:G23 E26 G25:G38 H22:H38 F22:F38">
      <formula1>0</formula1>
      <formula2>1</formula2>
    </dataValidation>
    <dataValidation allowBlank="1" showInputMessage="1" showErrorMessage="1" sqref="H39 I22:I3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9" r:id="rId1"/>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U179"/>
  <sheetViews>
    <sheetView showGridLines="0" topLeftCell="A5" zoomScale="98" zoomScaleNormal="98"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634</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1188</v>
      </c>
      <c r="C8" s="222">
        <v>2021</v>
      </c>
      <c r="D8" s="226">
        <f>IF(E10="NO APLICA","NO APLICA",IF(E11="NO SE REPORTA","SIN INFORMACION",+F22))</f>
        <v>0.73333333333333328</v>
      </c>
      <c r="E8" s="223"/>
      <c r="F8" s="6" t="s">
        <v>130</v>
      </c>
      <c r="G8" s="6"/>
      <c r="H8" s="6"/>
      <c r="I8" s="6"/>
      <c r="J8" s="6"/>
      <c r="K8" s="6"/>
    </row>
    <row r="9" spans="1:21" x14ac:dyDescent="0.25">
      <c r="B9" s="497" t="s">
        <v>1189</v>
      </c>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Gestión'!A180</f>
        <v>Proyecto 6.1. Evaluación, Seguimiento, Monitoreo y Control de la calidad de los recursos naturales y la biodiversidad.</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2835</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6"/>
      <c r="J14" s="6"/>
      <c r="K14" s="6"/>
    </row>
    <row r="15" spans="1:21" ht="15.75" thickBot="1" x14ac:dyDescent="0.3">
      <c r="B15" s="1804" t="s">
        <v>2</v>
      </c>
      <c r="C15" s="89"/>
      <c r="D15" s="1825" t="s">
        <v>3</v>
      </c>
      <c r="E15" s="1826"/>
      <c r="F15" s="1826"/>
      <c r="G15" s="1826"/>
      <c r="H15" s="1826"/>
      <c r="I15" s="1827"/>
      <c r="J15" s="6"/>
      <c r="K15" s="6"/>
    </row>
    <row r="16" spans="1:21" ht="36.75" thickBot="1" x14ac:dyDescent="0.3">
      <c r="B16" s="1805"/>
      <c r="C16" s="94"/>
      <c r="D16" s="43" t="s">
        <v>648</v>
      </c>
      <c r="E16" s="7">
        <v>15</v>
      </c>
      <c r="F16" s="6"/>
      <c r="G16" s="6"/>
      <c r="H16" s="6"/>
      <c r="I16" s="22"/>
      <c r="J16" s="6"/>
      <c r="K16" s="6"/>
    </row>
    <row r="17" spans="2:11" ht="72.75" thickBot="1" x14ac:dyDescent="0.3">
      <c r="B17" s="1805"/>
      <c r="C17" s="94"/>
      <c r="D17" s="41" t="s">
        <v>649</v>
      </c>
      <c r="E17" s="7">
        <v>15</v>
      </c>
      <c r="F17" s="6"/>
      <c r="G17" s="6"/>
      <c r="H17" s="6"/>
      <c r="I17" s="22"/>
      <c r="J17" s="6"/>
      <c r="K17" s="6"/>
    </row>
    <row r="18" spans="2:11" ht="15.75" thickBot="1" x14ac:dyDescent="0.3">
      <c r="B18" s="1805"/>
      <c r="C18" s="92"/>
      <c r="D18" s="1856"/>
      <c r="E18" s="1857"/>
      <c r="F18" s="1857"/>
      <c r="G18" s="1857"/>
      <c r="H18" s="1857"/>
      <c r="I18" s="1858"/>
      <c r="J18" s="6"/>
      <c r="K18" s="6"/>
    </row>
    <row r="19" spans="2:11" ht="15.75" thickBot="1" x14ac:dyDescent="0.3">
      <c r="B19" s="1805"/>
      <c r="C19" s="94"/>
      <c r="D19" s="43" t="s">
        <v>150</v>
      </c>
      <c r="E19" s="39" t="s">
        <v>20</v>
      </c>
      <c r="F19" s="39" t="s">
        <v>21</v>
      </c>
      <c r="G19" s="39" t="s">
        <v>22</v>
      </c>
      <c r="H19" s="39" t="s">
        <v>23</v>
      </c>
      <c r="I19" s="39" t="s">
        <v>151</v>
      </c>
      <c r="J19" s="6"/>
      <c r="K19" s="6"/>
    </row>
    <row r="20" spans="2:11" ht="48.75" thickBot="1" x14ac:dyDescent="0.3">
      <c r="B20" s="1805"/>
      <c r="C20" s="94"/>
      <c r="D20" s="129" t="s">
        <v>650</v>
      </c>
      <c r="E20" s="7">
        <v>15</v>
      </c>
      <c r="F20" s="7">
        <v>15</v>
      </c>
      <c r="G20" s="7"/>
      <c r="H20" s="7"/>
      <c r="I20" s="42">
        <f>SUM(E20:H20)</f>
        <v>30</v>
      </c>
      <c r="J20" s="6"/>
      <c r="K20" s="6"/>
    </row>
    <row r="21" spans="2:11" ht="36.75" thickBot="1" x14ac:dyDescent="0.3">
      <c r="B21" s="1805"/>
      <c r="C21" s="94"/>
      <c r="D21" s="129" t="s">
        <v>651</v>
      </c>
      <c r="E21" s="7">
        <v>15</v>
      </c>
      <c r="F21" s="7">
        <v>11</v>
      </c>
      <c r="G21" s="7"/>
      <c r="H21" s="7"/>
      <c r="I21" s="42">
        <f>SUM(E21:H21)</f>
        <v>26</v>
      </c>
      <c r="J21" s="6"/>
      <c r="K21" s="6"/>
    </row>
    <row r="22" spans="2:11" ht="48.75" thickBot="1" x14ac:dyDescent="0.3">
      <c r="B22" s="1806"/>
      <c r="C22" s="3"/>
      <c r="D22" s="129" t="s">
        <v>652</v>
      </c>
      <c r="E22" s="144">
        <f>IFERROR(E21/E20,0)</f>
        <v>1</v>
      </c>
      <c r="F22" s="144">
        <f>IFERROR(F21/F20,0)</f>
        <v>0.73333333333333328</v>
      </c>
      <c r="G22" s="144">
        <f>IFERROR(G21/G20,0)</f>
        <v>0</v>
      </c>
      <c r="H22" s="144">
        <f>IFERROR(H21/H20,0)</f>
        <v>0</v>
      </c>
      <c r="I22" s="144">
        <f>IFERROR(I21/I20,0)</f>
        <v>0.8666666666666667</v>
      </c>
      <c r="J22" s="6"/>
      <c r="K22" s="6"/>
    </row>
    <row r="23" spans="2:11" ht="36" customHeight="1" thickBot="1" x14ac:dyDescent="0.3">
      <c r="B23" s="47" t="s">
        <v>34</v>
      </c>
      <c r="C23" s="93"/>
      <c r="D23" s="1816" t="s">
        <v>653</v>
      </c>
      <c r="E23" s="1817"/>
      <c r="F23" s="1817"/>
      <c r="G23" s="1817"/>
      <c r="H23" s="1817"/>
      <c r="I23" s="1818"/>
      <c r="J23" s="6"/>
      <c r="K23" s="6"/>
    </row>
    <row r="24" spans="2:11" ht="36" customHeight="1" thickBot="1" x14ac:dyDescent="0.3">
      <c r="B24" s="47" t="s">
        <v>36</v>
      </c>
      <c r="C24" s="93"/>
      <c r="D24" s="1816" t="s">
        <v>159</v>
      </c>
      <c r="E24" s="1817"/>
      <c r="F24" s="1817"/>
      <c r="G24" s="1817"/>
      <c r="H24" s="1817"/>
      <c r="I24" s="1818"/>
      <c r="J24" s="6"/>
      <c r="K24" s="6"/>
    </row>
    <row r="25" spans="2:11" ht="15.75" thickBot="1" x14ac:dyDescent="0.3">
      <c r="B25" s="38"/>
      <c r="C25" s="88"/>
      <c r="D25" s="6"/>
      <c r="E25" s="6"/>
      <c r="F25" s="6"/>
      <c r="G25" s="6"/>
      <c r="H25" s="6"/>
      <c r="I25" s="6"/>
      <c r="J25" s="6"/>
      <c r="K25" s="6"/>
    </row>
    <row r="26" spans="2:11" ht="24" customHeight="1" thickBot="1" x14ac:dyDescent="0.3">
      <c r="B26" s="1807" t="s">
        <v>38</v>
      </c>
      <c r="C26" s="1808"/>
      <c r="D26" s="1808"/>
      <c r="E26" s="1809"/>
      <c r="F26" s="6"/>
      <c r="G26" s="6"/>
      <c r="H26" s="6"/>
      <c r="I26" s="6"/>
      <c r="J26" s="6"/>
      <c r="K26" s="6"/>
    </row>
    <row r="27" spans="2:11" ht="15.75" thickBot="1" x14ac:dyDescent="0.3">
      <c r="B27" s="1804">
        <v>1</v>
      </c>
      <c r="C27" s="94"/>
      <c r="D27" s="48" t="s">
        <v>39</v>
      </c>
      <c r="E27" s="31" t="s">
        <v>2921</v>
      </c>
      <c r="F27" s="6"/>
      <c r="G27" s="6"/>
      <c r="H27" s="6"/>
      <c r="I27" s="6"/>
      <c r="J27" s="6"/>
      <c r="K27" s="6"/>
    </row>
    <row r="28" spans="2:11" ht="15.75" thickBot="1" x14ac:dyDescent="0.3">
      <c r="B28" s="1805"/>
      <c r="C28" s="94"/>
      <c r="D28" s="41" t="s">
        <v>40</v>
      </c>
      <c r="E28" s="167" t="s">
        <v>2922</v>
      </c>
      <c r="F28" s="6"/>
      <c r="G28" s="6"/>
      <c r="H28" s="6"/>
      <c r="I28" s="6"/>
      <c r="J28" s="6"/>
      <c r="K28" s="6"/>
    </row>
    <row r="29" spans="2:11" ht="15.75" thickBot="1" x14ac:dyDescent="0.3">
      <c r="B29" s="1805"/>
      <c r="C29" s="94"/>
      <c r="D29" s="41" t="s">
        <v>41</v>
      </c>
      <c r="E29" s="167" t="s">
        <v>2914</v>
      </c>
      <c r="F29" s="6"/>
      <c r="G29" s="6"/>
      <c r="H29" s="6"/>
      <c r="I29" s="6"/>
      <c r="J29" s="6"/>
      <c r="K29" s="6"/>
    </row>
    <row r="30" spans="2:11" ht="15.75" thickBot="1" x14ac:dyDescent="0.3">
      <c r="B30" s="1805"/>
      <c r="C30" s="94"/>
      <c r="D30" s="41" t="s">
        <v>42</v>
      </c>
      <c r="E30" s="167" t="s">
        <v>2923</v>
      </c>
      <c r="F30" s="6"/>
      <c r="G30" s="6"/>
      <c r="H30" s="6"/>
      <c r="I30" s="6"/>
      <c r="J30" s="6"/>
      <c r="K30" s="6"/>
    </row>
    <row r="31" spans="2:11" ht="15.75" thickBot="1" x14ac:dyDescent="0.3">
      <c r="B31" s="1805"/>
      <c r="C31" s="94"/>
      <c r="D31" s="41" t="s">
        <v>43</v>
      </c>
      <c r="E31" s="167" t="s">
        <v>2915</v>
      </c>
      <c r="F31" s="6"/>
      <c r="G31" s="6"/>
      <c r="H31" s="6"/>
      <c r="I31" s="6"/>
      <c r="J31" s="6"/>
      <c r="K31" s="6"/>
    </row>
    <row r="32" spans="2:11" ht="15.75" thickBot="1" x14ac:dyDescent="0.3">
      <c r="B32" s="1805"/>
      <c r="C32" s="94"/>
      <c r="D32" s="41" t="s">
        <v>44</v>
      </c>
      <c r="E32" s="167" t="s">
        <v>2924</v>
      </c>
      <c r="F32" s="6"/>
      <c r="G32" s="6"/>
      <c r="H32" s="6"/>
      <c r="I32" s="6"/>
      <c r="J32" s="6"/>
      <c r="K32" s="6"/>
    </row>
    <row r="33" spans="2:11" ht="15.75" thickBot="1" x14ac:dyDescent="0.3">
      <c r="B33" s="1806"/>
      <c r="C33" s="3"/>
      <c r="D33" s="41" t="s">
        <v>45</v>
      </c>
      <c r="E33" s="167" t="s">
        <v>2925</v>
      </c>
      <c r="F33" s="6"/>
      <c r="G33" s="6"/>
      <c r="H33" s="6"/>
      <c r="I33" s="6"/>
      <c r="J33" s="6"/>
      <c r="K33" s="6"/>
    </row>
    <row r="34" spans="2:11" ht="15.75" thickBot="1" x14ac:dyDescent="0.3">
      <c r="B34" s="2"/>
      <c r="C34" s="76"/>
      <c r="D34" s="6"/>
      <c r="E34" s="6"/>
      <c r="F34" s="6"/>
      <c r="G34" s="6"/>
      <c r="H34" s="6"/>
      <c r="I34" s="6"/>
      <c r="J34" s="6"/>
      <c r="K34" s="6"/>
    </row>
    <row r="35" spans="2:11" ht="15.75" thickBot="1" x14ac:dyDescent="0.3">
      <c r="B35" s="1807" t="s">
        <v>46</v>
      </c>
      <c r="C35" s="1808"/>
      <c r="D35" s="1808"/>
      <c r="E35" s="1809"/>
      <c r="F35" s="6"/>
      <c r="G35" s="6"/>
      <c r="H35" s="6"/>
      <c r="I35" s="6"/>
      <c r="J35" s="6"/>
      <c r="K35" s="6"/>
    </row>
    <row r="36" spans="2:11" ht="15.75" thickBot="1" x14ac:dyDescent="0.3">
      <c r="B36" s="1804">
        <v>1</v>
      </c>
      <c r="C36" s="94"/>
      <c r="D36" s="48" t="s">
        <v>39</v>
      </c>
      <c r="E36" s="444" t="s">
        <v>47</v>
      </c>
      <c r="F36" s="6"/>
      <c r="G36" s="6"/>
      <c r="H36" s="6"/>
      <c r="I36" s="6"/>
      <c r="J36" s="6"/>
      <c r="K36" s="6"/>
    </row>
    <row r="37" spans="2:11" ht="15.75" thickBot="1" x14ac:dyDescent="0.3">
      <c r="B37" s="1805"/>
      <c r="C37" s="94"/>
      <c r="D37" s="41" t="s">
        <v>40</v>
      </c>
      <c r="E37" s="444" t="s">
        <v>160</v>
      </c>
      <c r="F37" s="6"/>
      <c r="G37" s="6"/>
      <c r="H37" s="6"/>
      <c r="I37" s="6"/>
      <c r="J37" s="6"/>
      <c r="K37" s="6"/>
    </row>
    <row r="38" spans="2:11" ht="15.75" thickBot="1" x14ac:dyDescent="0.3">
      <c r="B38" s="1805"/>
      <c r="C38" s="94"/>
      <c r="D38" s="41" t="s">
        <v>41</v>
      </c>
      <c r="E38" s="315"/>
      <c r="F38" s="6"/>
      <c r="G38" s="6"/>
      <c r="H38" s="6"/>
      <c r="I38" s="6"/>
      <c r="J38" s="6"/>
      <c r="K38" s="6"/>
    </row>
    <row r="39" spans="2:11" ht="15.75" thickBot="1" x14ac:dyDescent="0.3">
      <c r="B39" s="1805"/>
      <c r="C39" s="94"/>
      <c r="D39" s="41" t="s">
        <v>42</v>
      </c>
      <c r="E39" s="315"/>
      <c r="F39" s="6"/>
      <c r="G39" s="6"/>
      <c r="H39" s="6"/>
      <c r="I39" s="6"/>
      <c r="J39" s="6"/>
      <c r="K39" s="6"/>
    </row>
    <row r="40" spans="2:11" ht="15.75" thickBot="1" x14ac:dyDescent="0.3">
      <c r="B40" s="1805"/>
      <c r="C40" s="94"/>
      <c r="D40" s="41" t="s">
        <v>43</v>
      </c>
      <c r="E40" s="315"/>
      <c r="F40" s="6"/>
      <c r="G40" s="6"/>
      <c r="H40" s="6"/>
      <c r="I40" s="6"/>
      <c r="J40" s="6"/>
      <c r="K40" s="6"/>
    </row>
    <row r="41" spans="2:11" ht="15.75" thickBot="1" x14ac:dyDescent="0.3">
      <c r="B41" s="1805"/>
      <c r="C41" s="94"/>
      <c r="D41" s="41" t="s">
        <v>44</v>
      </c>
      <c r="E41" s="315"/>
      <c r="F41" s="6"/>
      <c r="G41" s="6"/>
      <c r="H41" s="6"/>
      <c r="I41" s="6"/>
      <c r="J41" s="6"/>
      <c r="K41" s="6"/>
    </row>
    <row r="42" spans="2:11" ht="15.75" thickBot="1" x14ac:dyDescent="0.3">
      <c r="B42" s="1806"/>
      <c r="C42" s="3"/>
      <c r="D42" s="41" t="s">
        <v>45</v>
      </c>
      <c r="E42" s="315"/>
      <c r="F42" s="6"/>
      <c r="G42" s="6"/>
      <c r="H42" s="6"/>
      <c r="I42" s="6"/>
      <c r="J42" s="6"/>
      <c r="K42" s="6"/>
    </row>
    <row r="43" spans="2:11" ht="15.75" thickBot="1" x14ac:dyDescent="0.3">
      <c r="B43" s="38"/>
      <c r="C43" s="88"/>
      <c r="D43" s="6"/>
      <c r="E43" s="6"/>
      <c r="F43" s="6"/>
      <c r="G43" s="6"/>
      <c r="H43" s="6"/>
      <c r="I43" s="6"/>
      <c r="J43" s="6"/>
      <c r="K43" s="6"/>
    </row>
    <row r="44" spans="2:11" ht="15" customHeight="1" thickBot="1" x14ac:dyDescent="0.3">
      <c r="B44" s="121" t="s">
        <v>49</v>
      </c>
      <c r="C44" s="122"/>
      <c r="D44" s="122"/>
      <c r="E44" s="123"/>
      <c r="G44" s="6"/>
      <c r="H44" s="6"/>
      <c r="I44" s="6"/>
      <c r="J44" s="6"/>
      <c r="K44" s="6"/>
    </row>
    <row r="45" spans="2:11" ht="24.75" thickBot="1" x14ac:dyDescent="0.3">
      <c r="B45" s="47" t="s">
        <v>50</v>
      </c>
      <c r="C45" s="41" t="s">
        <v>51</v>
      </c>
      <c r="D45" s="41" t="s">
        <v>52</v>
      </c>
      <c r="E45" s="41" t="s">
        <v>53</v>
      </c>
      <c r="F45" s="6"/>
      <c r="G45" s="6"/>
      <c r="H45" s="6"/>
      <c r="I45" s="6"/>
      <c r="J45" s="6"/>
    </row>
    <row r="46" spans="2:11" ht="72.75" thickBot="1" x14ac:dyDescent="0.3">
      <c r="B46" s="49">
        <v>42401</v>
      </c>
      <c r="C46" s="41">
        <v>0.01</v>
      </c>
      <c r="D46" s="50" t="s">
        <v>654</v>
      </c>
      <c r="E46" s="41"/>
      <c r="F46" s="6"/>
      <c r="G46" s="6"/>
      <c r="H46" s="6"/>
      <c r="I46" s="6"/>
      <c r="J46" s="6"/>
    </row>
    <row r="47" spans="2:11" ht="15.75" thickBot="1" x14ac:dyDescent="0.3">
      <c r="B47" s="4"/>
      <c r="C47" s="95"/>
      <c r="D47" s="6"/>
      <c r="E47" s="6"/>
      <c r="F47" s="6"/>
      <c r="G47" s="6"/>
      <c r="H47" s="6"/>
      <c r="I47" s="6"/>
      <c r="J47" s="6"/>
      <c r="K47" s="6"/>
    </row>
    <row r="48" spans="2:11" ht="15.75" thickBot="1" x14ac:dyDescent="0.3">
      <c r="B48" s="443" t="s">
        <v>55</v>
      </c>
      <c r="C48" s="96"/>
      <c r="D48" s="6"/>
      <c r="E48" s="6"/>
      <c r="F48" s="6"/>
      <c r="G48" s="6"/>
      <c r="H48" s="6"/>
      <c r="I48" s="6"/>
      <c r="J48" s="6"/>
      <c r="K48" s="6"/>
    </row>
    <row r="49" spans="2:11" x14ac:dyDescent="0.25">
      <c r="B49" s="1934"/>
      <c r="C49" s="1935"/>
      <c r="D49" s="1935"/>
      <c r="E49" s="1936"/>
      <c r="F49" s="6"/>
      <c r="G49" s="6"/>
      <c r="H49" s="6"/>
      <c r="I49" s="6"/>
      <c r="J49" s="6"/>
      <c r="K49" s="6"/>
    </row>
    <row r="50" spans="2:11" ht="15.75" thickBot="1" x14ac:dyDescent="0.3">
      <c r="B50" s="1937"/>
      <c r="C50" s="1938"/>
      <c r="D50" s="1938"/>
      <c r="E50" s="1939"/>
      <c r="F50" s="6"/>
      <c r="G50" s="6"/>
      <c r="H50" s="6"/>
      <c r="I50" s="6"/>
      <c r="J50" s="6"/>
      <c r="K50" s="6"/>
    </row>
    <row r="51" spans="2:11" ht="15.75" thickBot="1" x14ac:dyDescent="0.3">
      <c r="B51" s="6"/>
      <c r="D51" s="6"/>
      <c r="E51" s="6"/>
      <c r="F51" s="6"/>
      <c r="G51" s="6"/>
      <c r="H51" s="6"/>
      <c r="I51" s="6"/>
      <c r="J51" s="6"/>
      <c r="K51" s="6"/>
    </row>
    <row r="52" spans="2:11" ht="24.75" thickBot="1" x14ac:dyDescent="0.3">
      <c r="B52" s="51" t="s">
        <v>56</v>
      </c>
      <c r="C52" s="97"/>
      <c r="D52" s="6"/>
      <c r="E52" s="6"/>
      <c r="F52" s="6"/>
      <c r="G52" s="6"/>
      <c r="H52" s="6"/>
      <c r="I52" s="6"/>
      <c r="J52" s="6"/>
      <c r="K52" s="6"/>
    </row>
    <row r="53" spans="2:11" ht="15.75" thickBot="1" x14ac:dyDescent="0.3">
      <c r="B53" s="2"/>
      <c r="C53" s="76"/>
      <c r="D53" s="6"/>
      <c r="E53" s="6"/>
      <c r="F53" s="6"/>
      <c r="G53" s="6"/>
      <c r="H53" s="6"/>
      <c r="I53" s="6"/>
      <c r="J53" s="6"/>
      <c r="K53" s="6"/>
    </row>
    <row r="54" spans="2:11" ht="84.75" thickBot="1" x14ac:dyDescent="0.3">
      <c r="B54" s="52" t="s">
        <v>57</v>
      </c>
      <c r="C54" s="98"/>
      <c r="D54" s="43" t="s">
        <v>635</v>
      </c>
      <c r="E54" s="6"/>
      <c r="F54" s="6"/>
      <c r="G54" s="6"/>
      <c r="H54" s="6"/>
      <c r="I54" s="6"/>
      <c r="J54" s="6"/>
      <c r="K54" s="6"/>
    </row>
    <row r="55" spans="2:11" x14ac:dyDescent="0.25">
      <c r="B55" s="1804" t="s">
        <v>59</v>
      </c>
      <c r="C55" s="94"/>
      <c r="D55" s="53" t="s">
        <v>60</v>
      </c>
      <c r="E55" s="6"/>
      <c r="F55" s="6"/>
      <c r="G55" s="6"/>
      <c r="H55" s="6"/>
      <c r="I55" s="6"/>
      <c r="J55" s="6"/>
      <c r="K55" s="6"/>
    </row>
    <row r="56" spans="2:11" ht="84" x14ac:dyDescent="0.25">
      <c r="B56" s="1805"/>
      <c r="C56" s="94"/>
      <c r="D56" s="46" t="s">
        <v>636</v>
      </c>
      <c r="E56" s="6"/>
      <c r="F56" s="6"/>
      <c r="G56" s="6"/>
      <c r="H56" s="6"/>
      <c r="I56" s="6"/>
      <c r="J56" s="6"/>
      <c r="K56" s="6"/>
    </row>
    <row r="57" spans="2:11" x14ac:dyDescent="0.25">
      <c r="B57" s="1805"/>
      <c r="C57" s="94"/>
      <c r="D57" s="53" t="s">
        <v>134</v>
      </c>
      <c r="E57" s="6"/>
      <c r="F57" s="6"/>
      <c r="G57" s="6"/>
      <c r="H57" s="6"/>
      <c r="I57" s="6"/>
      <c r="J57" s="6"/>
      <c r="K57" s="6"/>
    </row>
    <row r="58" spans="2:11" x14ac:dyDescent="0.25">
      <c r="B58" s="1805"/>
      <c r="C58" s="94"/>
      <c r="D58" s="46" t="s">
        <v>64</v>
      </c>
      <c r="E58" s="6"/>
      <c r="F58" s="6"/>
      <c r="G58" s="6"/>
      <c r="H58" s="6"/>
      <c r="I58" s="6"/>
      <c r="J58" s="6"/>
      <c r="K58" s="6"/>
    </row>
    <row r="59" spans="2:11" ht="36" x14ac:dyDescent="0.25">
      <c r="B59" s="1805"/>
      <c r="C59" s="94"/>
      <c r="D59" s="46" t="s">
        <v>637</v>
      </c>
      <c r="E59" s="6"/>
      <c r="F59" s="6"/>
      <c r="G59" s="6"/>
      <c r="H59" s="6"/>
      <c r="I59" s="6"/>
      <c r="J59" s="6"/>
      <c r="K59" s="6"/>
    </row>
    <row r="60" spans="2:11" ht="24" x14ac:dyDescent="0.25">
      <c r="B60" s="1805"/>
      <c r="C60" s="94"/>
      <c r="D60" s="46" t="s">
        <v>638</v>
      </c>
      <c r="E60" s="6"/>
      <c r="F60" s="6"/>
      <c r="G60" s="6"/>
      <c r="H60" s="6"/>
      <c r="I60" s="6"/>
      <c r="J60" s="6"/>
      <c r="K60" s="6"/>
    </row>
    <row r="61" spans="2:11" x14ac:dyDescent="0.25">
      <c r="B61" s="1805"/>
      <c r="C61" s="94"/>
      <c r="D61" s="46" t="s">
        <v>639</v>
      </c>
      <c r="E61" s="6"/>
      <c r="F61" s="6"/>
      <c r="G61" s="6"/>
      <c r="H61" s="6"/>
      <c r="I61" s="6"/>
      <c r="J61" s="6"/>
      <c r="K61" s="6"/>
    </row>
    <row r="62" spans="2:11" x14ac:dyDescent="0.25">
      <c r="B62" s="1805"/>
      <c r="C62" s="94"/>
      <c r="D62" s="53" t="s">
        <v>141</v>
      </c>
      <c r="E62" s="6"/>
      <c r="F62" s="6"/>
      <c r="G62" s="6"/>
      <c r="H62" s="6"/>
      <c r="I62" s="6"/>
      <c r="J62" s="6"/>
      <c r="K62" s="6"/>
    </row>
    <row r="63" spans="2:11" ht="60.75" thickBot="1" x14ac:dyDescent="0.3">
      <c r="B63" s="1806"/>
      <c r="C63" s="3"/>
      <c r="D63" s="41" t="s">
        <v>640</v>
      </c>
      <c r="E63" s="6"/>
      <c r="F63" s="6"/>
      <c r="G63" s="6"/>
      <c r="H63" s="6"/>
      <c r="I63" s="6"/>
      <c r="J63" s="6"/>
      <c r="K63" s="6"/>
    </row>
    <row r="64" spans="2:11" ht="24.75" thickBot="1" x14ac:dyDescent="0.3">
      <c r="B64" s="47" t="s">
        <v>72</v>
      </c>
      <c r="C64" s="3"/>
      <c r="D64" s="41"/>
      <c r="E64" s="6"/>
      <c r="F64" s="6"/>
      <c r="G64" s="6"/>
      <c r="H64" s="6"/>
      <c r="I64" s="6"/>
      <c r="J64" s="6"/>
      <c r="K64" s="6"/>
    </row>
    <row r="65" spans="2:11" ht="276" x14ac:dyDescent="0.25">
      <c r="B65" s="1804" t="s">
        <v>73</v>
      </c>
      <c r="C65" s="94"/>
      <c r="D65" s="46" t="s">
        <v>641</v>
      </c>
      <c r="E65" s="6"/>
      <c r="F65" s="6"/>
      <c r="G65" s="6"/>
      <c r="H65" s="6"/>
      <c r="I65" s="6"/>
      <c r="J65" s="6"/>
      <c r="K65" s="6"/>
    </row>
    <row r="66" spans="2:11" ht="132" x14ac:dyDescent="0.25">
      <c r="B66" s="1805"/>
      <c r="C66" s="94"/>
      <c r="D66" s="46" t="s">
        <v>642</v>
      </c>
      <c r="E66" s="6"/>
      <c r="F66" s="6"/>
      <c r="G66" s="6"/>
      <c r="H66" s="6"/>
      <c r="I66" s="6"/>
      <c r="J66" s="6"/>
      <c r="K66" s="6"/>
    </row>
    <row r="67" spans="2:11" ht="72.75" thickBot="1" x14ac:dyDescent="0.3">
      <c r="B67" s="1806"/>
      <c r="C67" s="3"/>
      <c r="D67" s="41" t="s">
        <v>643</v>
      </c>
      <c r="E67" s="6"/>
      <c r="F67" s="6"/>
      <c r="G67" s="6"/>
      <c r="H67" s="6"/>
      <c r="I67" s="6"/>
      <c r="J67" s="6"/>
      <c r="K67" s="6"/>
    </row>
    <row r="68" spans="2:11" x14ac:dyDescent="0.25">
      <c r="B68" s="1804" t="s">
        <v>90</v>
      </c>
      <c r="C68" s="94"/>
      <c r="D68" s="46"/>
      <c r="E68" s="6"/>
      <c r="F68" s="6"/>
      <c r="G68" s="6"/>
      <c r="H68" s="6"/>
      <c r="I68" s="6"/>
      <c r="J68" s="6"/>
      <c r="K68" s="6"/>
    </row>
    <row r="69" spans="2:11" x14ac:dyDescent="0.25">
      <c r="B69" s="1805"/>
      <c r="C69" s="94"/>
      <c r="D69" s="17"/>
      <c r="E69" s="6"/>
      <c r="F69" s="6"/>
      <c r="G69" s="6"/>
      <c r="H69" s="6"/>
      <c r="I69" s="6"/>
      <c r="J69" s="6"/>
      <c r="K69" s="6"/>
    </row>
    <row r="70" spans="2:11" x14ac:dyDescent="0.25">
      <c r="B70" s="1805"/>
      <c r="C70" s="94"/>
      <c r="D70" s="46" t="s">
        <v>91</v>
      </c>
      <c r="E70" s="6"/>
      <c r="F70" s="6"/>
      <c r="G70" s="6"/>
      <c r="H70" s="6"/>
      <c r="I70" s="6"/>
      <c r="J70" s="6"/>
      <c r="K70" s="6"/>
    </row>
    <row r="71" spans="2:11" ht="61.5" x14ac:dyDescent="0.25">
      <c r="B71" s="1805"/>
      <c r="C71" s="94"/>
      <c r="D71" s="46" t="s">
        <v>644</v>
      </c>
      <c r="E71" s="6"/>
      <c r="F71" s="6"/>
      <c r="G71" s="6"/>
      <c r="H71" s="6"/>
      <c r="I71" s="6"/>
      <c r="J71" s="6"/>
      <c r="K71" s="6"/>
    </row>
    <row r="72" spans="2:11" ht="49.5" x14ac:dyDescent="0.25">
      <c r="B72" s="1805"/>
      <c r="C72" s="94"/>
      <c r="D72" s="46" t="s">
        <v>645</v>
      </c>
      <c r="E72" s="6"/>
      <c r="F72" s="6"/>
      <c r="G72" s="6"/>
      <c r="H72" s="6"/>
      <c r="I72" s="6"/>
      <c r="J72" s="6"/>
      <c r="K72" s="6"/>
    </row>
    <row r="73" spans="2:11" ht="49.5" x14ac:dyDescent="0.25">
      <c r="B73" s="1805"/>
      <c r="C73" s="94"/>
      <c r="D73" s="46" t="s">
        <v>646</v>
      </c>
      <c r="E73" s="6"/>
      <c r="F73" s="6"/>
      <c r="G73" s="6"/>
      <c r="H73" s="6"/>
      <c r="I73" s="6"/>
      <c r="J73" s="6"/>
      <c r="K73" s="6"/>
    </row>
    <row r="74" spans="2:11" ht="72.75" thickBot="1" x14ac:dyDescent="0.3">
      <c r="B74" s="1806"/>
      <c r="C74" s="3"/>
      <c r="D74" s="41" t="s">
        <v>647</v>
      </c>
      <c r="E74" s="6"/>
      <c r="F74" s="6"/>
      <c r="G74" s="6"/>
      <c r="H74" s="6"/>
      <c r="I74" s="6"/>
      <c r="J74" s="6"/>
      <c r="K74" s="6"/>
    </row>
    <row r="75" spans="2:11" x14ac:dyDescent="0.25">
      <c r="B75" s="6"/>
      <c r="D75" s="6"/>
      <c r="E75" s="6"/>
      <c r="F75" s="6"/>
      <c r="G75" s="6"/>
      <c r="H75" s="6"/>
      <c r="I75" s="6"/>
      <c r="J75" s="6"/>
      <c r="K75" s="6"/>
    </row>
    <row r="76" spans="2:11" x14ac:dyDescent="0.25">
      <c r="B76" s="6"/>
      <c r="D76" s="6"/>
      <c r="E76" s="6"/>
      <c r="F76" s="6"/>
      <c r="G76" s="6"/>
      <c r="H76" s="6"/>
      <c r="I76" s="6"/>
      <c r="J76" s="6"/>
      <c r="K76" s="6"/>
    </row>
    <row r="77" spans="2:11" x14ac:dyDescent="0.25">
      <c r="B77" s="6"/>
      <c r="D77" s="6"/>
      <c r="E77" s="6"/>
      <c r="F77" s="6"/>
      <c r="G77" s="6"/>
      <c r="H77" s="6"/>
      <c r="I77" s="6"/>
      <c r="J77" s="6"/>
      <c r="K77" s="6"/>
    </row>
    <row r="78" spans="2:11" x14ac:dyDescent="0.25">
      <c r="B78" s="6"/>
      <c r="D78" s="6"/>
      <c r="E78" s="6"/>
      <c r="F78" s="6"/>
      <c r="G78" s="6"/>
      <c r="H78" s="6"/>
      <c r="I78" s="6"/>
      <c r="J78" s="6"/>
      <c r="K78" s="6"/>
    </row>
    <row r="79" spans="2:11" x14ac:dyDescent="0.25">
      <c r="B79" s="6"/>
      <c r="D79" s="6"/>
      <c r="E79" s="6"/>
      <c r="F79" s="6"/>
      <c r="G79" s="6"/>
      <c r="H79" s="6"/>
      <c r="I79" s="6"/>
      <c r="J79" s="6"/>
      <c r="K79" s="6"/>
    </row>
    <row r="80" spans="2:11" x14ac:dyDescent="0.25">
      <c r="B80" s="6"/>
      <c r="D80" s="6"/>
      <c r="E80" s="6"/>
      <c r="F80" s="6"/>
      <c r="G80" s="6"/>
      <c r="H80" s="6"/>
      <c r="I80" s="6"/>
      <c r="J80" s="6"/>
      <c r="K80" s="6"/>
    </row>
    <row r="81" spans="2:11" x14ac:dyDescent="0.25">
      <c r="B81" s="6"/>
      <c r="D81" s="6"/>
      <c r="E81" s="6"/>
      <c r="F81" s="6"/>
      <c r="G81" s="6"/>
      <c r="H81" s="6"/>
      <c r="I81" s="6"/>
      <c r="J81" s="6"/>
      <c r="K81" s="6"/>
    </row>
    <row r="82" spans="2:11" x14ac:dyDescent="0.25">
      <c r="B82" s="6"/>
      <c r="D82" s="6"/>
      <c r="E82" s="6"/>
      <c r="F82" s="6"/>
      <c r="G82" s="6"/>
      <c r="H82" s="6"/>
      <c r="I82" s="6"/>
      <c r="J82" s="6"/>
      <c r="K82" s="6"/>
    </row>
    <row r="83" spans="2:11" x14ac:dyDescent="0.25">
      <c r="B83" s="6"/>
      <c r="D83" s="6"/>
      <c r="E83" s="6"/>
      <c r="F83" s="6"/>
      <c r="G83" s="6"/>
      <c r="H83" s="6"/>
      <c r="I83" s="6"/>
      <c r="J83" s="6"/>
      <c r="K83" s="6"/>
    </row>
    <row r="84" spans="2:11" x14ac:dyDescent="0.25">
      <c r="B84" s="6"/>
      <c r="D84" s="6"/>
      <c r="E84" s="6"/>
      <c r="F84" s="6"/>
      <c r="G84" s="6"/>
      <c r="H84" s="6"/>
      <c r="I84" s="6"/>
      <c r="J84" s="6"/>
      <c r="K84" s="6"/>
    </row>
    <row r="85" spans="2:11" x14ac:dyDescent="0.25">
      <c r="B85" s="6"/>
      <c r="D85" s="6"/>
      <c r="E85" s="6"/>
      <c r="F85" s="6"/>
      <c r="G85" s="6"/>
      <c r="H85" s="6"/>
      <c r="I85" s="6"/>
      <c r="J85" s="6"/>
      <c r="K85" s="6"/>
    </row>
    <row r="86" spans="2:11" x14ac:dyDescent="0.25">
      <c r="B86" s="6"/>
      <c r="D86" s="6"/>
      <c r="E86" s="6"/>
      <c r="F86" s="6"/>
      <c r="G86" s="6"/>
      <c r="H86" s="6"/>
      <c r="I86" s="6"/>
      <c r="J86" s="6"/>
      <c r="K86" s="6"/>
    </row>
    <row r="87" spans="2:11" x14ac:dyDescent="0.25">
      <c r="B87" s="6"/>
      <c r="D87" s="6"/>
      <c r="E87" s="6"/>
      <c r="F87" s="6"/>
      <c r="G87" s="6"/>
      <c r="H87" s="6"/>
      <c r="I87" s="6"/>
      <c r="J87" s="6"/>
      <c r="K87" s="6"/>
    </row>
    <row r="88" spans="2:11" x14ac:dyDescent="0.25">
      <c r="B88" s="6"/>
      <c r="D88" s="6"/>
      <c r="E88" s="6"/>
      <c r="F88" s="6"/>
      <c r="G88" s="6"/>
      <c r="H88" s="6"/>
      <c r="I88" s="6"/>
      <c r="J88" s="6"/>
      <c r="K88" s="6"/>
    </row>
    <row r="89" spans="2:11" x14ac:dyDescent="0.25">
      <c r="B89" s="6"/>
      <c r="D89" s="6"/>
      <c r="E89" s="6"/>
      <c r="F89" s="6"/>
      <c r="G89" s="6"/>
      <c r="H89" s="6"/>
      <c r="I89" s="6"/>
      <c r="J89" s="6"/>
      <c r="K89" s="6"/>
    </row>
    <row r="90" spans="2:11" x14ac:dyDescent="0.25">
      <c r="B90" s="6"/>
      <c r="D90" s="6"/>
      <c r="E90" s="6"/>
      <c r="F90" s="6"/>
      <c r="G90" s="6"/>
      <c r="H90" s="6"/>
      <c r="I90" s="6"/>
      <c r="J90" s="6"/>
      <c r="K90" s="6"/>
    </row>
    <row r="91" spans="2:11" x14ac:dyDescent="0.25">
      <c r="B91" s="6"/>
      <c r="D91" s="6"/>
      <c r="E91" s="6"/>
      <c r="F91" s="6"/>
      <c r="G91" s="6"/>
      <c r="H91" s="6"/>
      <c r="I91" s="6"/>
      <c r="J91" s="6"/>
      <c r="K91" s="6"/>
    </row>
    <row r="92" spans="2:11" x14ac:dyDescent="0.25">
      <c r="B92" s="6"/>
      <c r="D92" s="6"/>
      <c r="E92" s="6"/>
      <c r="F92" s="6"/>
      <c r="G92" s="6"/>
      <c r="H92" s="6"/>
      <c r="I92" s="6"/>
      <c r="J92" s="6"/>
      <c r="K92" s="6"/>
    </row>
    <row r="93" spans="2:11" x14ac:dyDescent="0.25">
      <c r="B93" s="6"/>
      <c r="D93" s="6"/>
      <c r="E93" s="6"/>
      <c r="F93" s="6"/>
      <c r="G93" s="6"/>
      <c r="H93" s="6"/>
      <c r="I93" s="6"/>
      <c r="J93" s="6"/>
      <c r="K93" s="6"/>
    </row>
    <row r="94" spans="2:11" x14ac:dyDescent="0.25">
      <c r="B94" s="6"/>
      <c r="D94" s="6"/>
      <c r="E94" s="6"/>
      <c r="F94" s="6"/>
      <c r="G94" s="6"/>
      <c r="H94" s="6"/>
      <c r="I94" s="6"/>
      <c r="J94" s="6"/>
      <c r="K94" s="6"/>
    </row>
    <row r="95" spans="2:11" x14ac:dyDescent="0.25">
      <c r="B95" s="6"/>
      <c r="D95" s="6"/>
      <c r="E95" s="6"/>
      <c r="F95" s="6"/>
      <c r="G95" s="6"/>
      <c r="H95" s="6"/>
      <c r="I95" s="6"/>
      <c r="J95" s="6"/>
      <c r="K95" s="6"/>
    </row>
    <row r="96" spans="2:11" x14ac:dyDescent="0.25">
      <c r="B96" s="6"/>
      <c r="D96" s="6"/>
      <c r="E96" s="6"/>
      <c r="F96" s="6"/>
      <c r="G96" s="6"/>
      <c r="H96" s="6"/>
      <c r="I96" s="6"/>
      <c r="J96" s="6"/>
      <c r="K96" s="6"/>
    </row>
    <row r="97" spans="2:11" x14ac:dyDescent="0.25">
      <c r="B97" s="6"/>
      <c r="D97" s="6"/>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sheetData>
  <mergeCells count="23">
    <mergeCell ref="B10:D10"/>
    <mergeCell ref="F10:S10"/>
    <mergeCell ref="F11:S11"/>
    <mergeCell ref="E12:R12"/>
    <mergeCell ref="E13:R13"/>
    <mergeCell ref="B55:B63"/>
    <mergeCell ref="B65:B67"/>
    <mergeCell ref="B68:B74"/>
    <mergeCell ref="B15:B22"/>
    <mergeCell ref="D15:I15"/>
    <mergeCell ref="D18:I18"/>
    <mergeCell ref="D23:I23"/>
    <mergeCell ref="D24:I24"/>
    <mergeCell ref="B26:E26"/>
    <mergeCell ref="B27:B33"/>
    <mergeCell ref="B35:E35"/>
    <mergeCell ref="B36:B42"/>
    <mergeCell ref="B49:E50"/>
    <mergeCell ref="A1:P1"/>
    <mergeCell ref="A2:P2"/>
    <mergeCell ref="A3:P3"/>
    <mergeCell ref="A4:D4"/>
    <mergeCell ref="A5:P5"/>
  </mergeCells>
  <conditionalFormatting sqref="F10">
    <cfRule type="notContainsBlanks" dxfId="61" priority="4">
      <formula>LEN(TRIM(F10))&gt;0</formula>
    </cfRule>
  </conditionalFormatting>
  <conditionalFormatting sqref="F11:S11">
    <cfRule type="expression" dxfId="60" priority="2">
      <formula>E11="NO SE REPORTA"</formula>
    </cfRule>
    <cfRule type="expression" dxfId="59" priority="3">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FF0000"/>
  </sheetPr>
  <dimension ref="A1:U188"/>
  <sheetViews>
    <sheetView showGridLines="0" zoomScale="70" zoomScaleNormal="70"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7" width="25" customWidth="1"/>
    <col min="8" max="8" width="15.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655</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28"/>
      <c r="C7" s="77"/>
      <c r="D7" s="6"/>
      <c r="E7" s="18"/>
      <c r="F7" s="6" t="s">
        <v>129</v>
      </c>
      <c r="G7" s="6"/>
      <c r="H7" s="6"/>
      <c r="I7" s="6"/>
      <c r="J7" s="6"/>
      <c r="K7" s="6"/>
    </row>
    <row r="8" spans="1:21" ht="15.75" thickBot="1" x14ac:dyDescent="0.3">
      <c r="B8" s="177" t="s">
        <v>1188</v>
      </c>
      <c r="C8" s="222">
        <v>2021</v>
      </c>
      <c r="D8" s="226">
        <f>IF(E10="NO APLICA","NO APLICA",IF(E11="NO SE REPORTA","SIN INFORMACION",+F20))</f>
        <v>1</v>
      </c>
      <c r="E8" s="223"/>
      <c r="F8" s="6" t="s">
        <v>130</v>
      </c>
      <c r="G8" s="6"/>
      <c r="H8" s="6"/>
      <c r="I8" s="6"/>
      <c r="J8" s="6"/>
      <c r="K8" s="6"/>
    </row>
    <row r="9" spans="1:21" x14ac:dyDescent="0.25">
      <c r="B9" s="497" t="s">
        <v>1189</v>
      </c>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Gestión'!A131</f>
        <v>Proyecto No 4.2. Gestión Ambiental Sectorial</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2835</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6"/>
      <c r="J14" s="6"/>
      <c r="K14" s="6"/>
    </row>
    <row r="15" spans="1:21" ht="15" customHeight="1" thickTop="1" x14ac:dyDescent="0.25">
      <c r="B15" s="1823" t="s">
        <v>2</v>
      </c>
      <c r="C15" s="89"/>
      <c r="D15" s="1825" t="s">
        <v>336</v>
      </c>
      <c r="E15" s="1826"/>
      <c r="F15" s="1826"/>
      <c r="G15" s="1826"/>
      <c r="H15" s="1826"/>
      <c r="I15" s="1826"/>
      <c r="J15" s="1826"/>
      <c r="K15" s="1827"/>
    </row>
    <row r="16" spans="1:21" ht="15.75" thickBot="1" x14ac:dyDescent="0.3">
      <c r="B16" s="1824"/>
      <c r="C16" s="92"/>
      <c r="D16" s="1940" t="s">
        <v>655</v>
      </c>
      <c r="E16" s="1941"/>
      <c r="F16" s="1941"/>
      <c r="G16" s="1941"/>
      <c r="H16" s="1941"/>
      <c r="I16" s="1941"/>
      <c r="J16" s="1941"/>
      <c r="K16" s="1942"/>
    </row>
    <row r="17" spans="2:12" ht="15.75" thickBot="1" x14ac:dyDescent="0.3">
      <c r="B17" s="1824"/>
      <c r="C17" s="90" t="s">
        <v>19</v>
      </c>
      <c r="D17" s="39" t="s">
        <v>253</v>
      </c>
      <c r="E17" s="39" t="s">
        <v>20</v>
      </c>
      <c r="F17" s="39" t="s">
        <v>21</v>
      </c>
      <c r="G17" s="39" t="s">
        <v>22</v>
      </c>
      <c r="H17" s="39" t="s">
        <v>23</v>
      </c>
      <c r="I17" s="39" t="s">
        <v>254</v>
      </c>
      <c r="K17" s="22"/>
    </row>
    <row r="18" spans="2:12" ht="36.75" thickBot="1" x14ac:dyDescent="0.3">
      <c r="B18" s="1824"/>
      <c r="C18" s="91" t="s">
        <v>152</v>
      </c>
      <c r="D18" s="41" t="s">
        <v>690</v>
      </c>
      <c r="E18" s="1029">
        <v>2</v>
      </c>
      <c r="F18" s="1029">
        <v>4</v>
      </c>
      <c r="G18" s="1029">
        <v>4</v>
      </c>
      <c r="H18" s="1029">
        <v>4</v>
      </c>
      <c r="I18" s="42">
        <f>SUM(E18:H18)</f>
        <v>14</v>
      </c>
      <c r="K18" s="22"/>
    </row>
    <row r="19" spans="2:12" ht="36.75" thickBot="1" x14ac:dyDescent="0.3">
      <c r="B19" s="1824"/>
      <c r="C19" s="91" t="s">
        <v>154</v>
      </c>
      <c r="D19" s="41" t="s">
        <v>1181</v>
      </c>
      <c r="E19" s="1029">
        <v>2</v>
      </c>
      <c r="F19" s="1029">
        <v>4</v>
      </c>
      <c r="G19" s="1029"/>
      <c r="H19" s="1029"/>
      <c r="I19" s="42">
        <f>SUM(E19:H19)</f>
        <v>6</v>
      </c>
      <c r="K19" s="22"/>
    </row>
    <row r="20" spans="2:12" ht="48.75" thickBot="1" x14ac:dyDescent="0.3">
      <c r="B20" s="1824"/>
      <c r="C20" s="91" t="s">
        <v>156</v>
      </c>
      <c r="D20" s="41" t="s">
        <v>1180</v>
      </c>
      <c r="E20" s="144">
        <f>IFERROR(E19/E18,0)</f>
        <v>1</v>
      </c>
      <c r="F20" s="144">
        <f>IFERROR(F19/F18,0)</f>
        <v>1</v>
      </c>
      <c r="G20" s="144">
        <f>IFERROR(G19/G18,0)</f>
        <v>0</v>
      </c>
      <c r="H20" s="144">
        <f>IFERROR(H19/H18,0)</f>
        <v>0</v>
      </c>
      <c r="I20" s="144">
        <f>IFERROR(I19/I18,0)</f>
        <v>0.42857142857142855</v>
      </c>
      <c r="K20" s="22"/>
    </row>
    <row r="21" spans="2:12" x14ac:dyDescent="0.25">
      <c r="B21" s="436"/>
      <c r="C21" s="92"/>
      <c r="D21" s="1828"/>
      <c r="E21" s="1829"/>
      <c r="F21" s="1829"/>
      <c r="G21" s="1829"/>
      <c r="H21" s="1829"/>
      <c r="I21" s="1829"/>
      <c r="J21" s="1829"/>
      <c r="K21" s="1830"/>
    </row>
    <row r="22" spans="2:12" x14ac:dyDescent="0.25">
      <c r="B22" s="436"/>
      <c r="C22" s="92"/>
      <c r="D22" s="1940" t="s">
        <v>691</v>
      </c>
      <c r="E22" s="1941"/>
      <c r="F22" s="1941"/>
      <c r="G22" s="1941"/>
      <c r="H22" s="1941"/>
      <c r="I22" s="1941"/>
      <c r="J22" s="1941"/>
      <c r="K22" s="1942"/>
    </row>
    <row r="23" spans="2:12" ht="24" customHeight="1" thickBot="1" x14ac:dyDescent="0.3">
      <c r="B23" s="436"/>
      <c r="C23" s="92"/>
      <c r="D23" s="1952" t="s">
        <v>686</v>
      </c>
      <c r="E23" s="1953"/>
      <c r="F23" s="1953"/>
      <c r="G23" s="1953"/>
      <c r="H23" s="1953"/>
      <c r="I23" s="1953"/>
      <c r="J23" s="1953"/>
      <c r="K23" s="1954"/>
    </row>
    <row r="24" spans="2:12" ht="15.75" thickBot="1" x14ac:dyDescent="0.3">
      <c r="B24" s="436"/>
      <c r="C24" s="1827" t="s">
        <v>19</v>
      </c>
      <c r="D24" s="1804" t="s">
        <v>270</v>
      </c>
      <c r="E24" s="1804" t="s">
        <v>619</v>
      </c>
      <c r="F24" s="1864" t="s">
        <v>692</v>
      </c>
      <c r="G24" s="1955" t="s">
        <v>693</v>
      </c>
      <c r="H24" s="1956"/>
      <c r="I24" s="1956"/>
      <c r="J24" s="1957"/>
      <c r="K24" s="119"/>
    </row>
    <row r="25" spans="2:12" x14ac:dyDescent="0.25">
      <c r="B25" s="436"/>
      <c r="C25" s="1830"/>
      <c r="D25" s="1805"/>
      <c r="E25" s="1805"/>
      <c r="F25" s="1912"/>
      <c r="G25" s="69" t="s">
        <v>473</v>
      </c>
      <c r="H25" s="1864" t="s">
        <v>695</v>
      </c>
      <c r="I25" s="1864" t="s">
        <v>274</v>
      </c>
      <c r="J25" s="1864" t="s">
        <v>275</v>
      </c>
      <c r="K25" s="12"/>
    </row>
    <row r="26" spans="2:12" ht="15.75" thickBot="1" x14ac:dyDescent="0.3">
      <c r="B26" s="436"/>
      <c r="C26" s="1858"/>
      <c r="D26" s="1806"/>
      <c r="E26" s="1806"/>
      <c r="F26" s="1865"/>
      <c r="G26" s="65" t="s">
        <v>694</v>
      </c>
      <c r="H26" s="1865"/>
      <c r="I26" s="1865"/>
      <c r="J26" s="1865"/>
      <c r="K26" s="12"/>
    </row>
    <row r="27" spans="2:12" ht="45.75" thickBot="1" x14ac:dyDescent="0.3">
      <c r="B27" s="436"/>
      <c r="C27" s="31">
        <v>1</v>
      </c>
      <c r="D27" s="1171" t="s">
        <v>3149</v>
      </c>
      <c r="E27" s="1029" t="s">
        <v>3150</v>
      </c>
      <c r="F27" s="1029" t="s">
        <v>3151</v>
      </c>
      <c r="G27" s="1172">
        <v>18907057</v>
      </c>
      <c r="H27" s="1172">
        <v>97907957</v>
      </c>
      <c r="I27" s="1172">
        <v>31090401</v>
      </c>
      <c r="J27" s="1172">
        <v>3143876</v>
      </c>
      <c r="K27" s="12"/>
      <c r="L27" s="225"/>
    </row>
    <row r="28" spans="2:12" ht="34.5" thickBot="1" x14ac:dyDescent="0.3">
      <c r="B28" s="436"/>
      <c r="C28" s="31">
        <v>2</v>
      </c>
      <c r="D28" s="1171" t="s">
        <v>3152</v>
      </c>
      <c r="E28" s="1029" t="s">
        <v>3150</v>
      </c>
      <c r="F28" s="1173" t="s">
        <v>3153</v>
      </c>
      <c r="G28" s="1172">
        <v>18907057</v>
      </c>
      <c r="H28" s="1172">
        <v>97907957</v>
      </c>
      <c r="I28" s="1172">
        <v>31090401</v>
      </c>
      <c r="J28" s="1172">
        <v>3143876</v>
      </c>
      <c r="K28" s="12"/>
      <c r="L28" s="225"/>
    </row>
    <row r="29" spans="2:12" s="774" customFormat="1" ht="45.75" thickBot="1" x14ac:dyDescent="0.3">
      <c r="B29" s="1152"/>
      <c r="C29" s="31">
        <v>3</v>
      </c>
      <c r="D29" s="1171" t="s">
        <v>3154</v>
      </c>
      <c r="E29" s="1029" t="s">
        <v>3150</v>
      </c>
      <c r="F29" s="1173" t="s">
        <v>3155</v>
      </c>
      <c r="G29" s="1172">
        <v>18907057</v>
      </c>
      <c r="H29" s="1172">
        <v>97907957</v>
      </c>
      <c r="I29" s="1172">
        <v>31090401</v>
      </c>
      <c r="J29" s="1172">
        <v>3143876</v>
      </c>
      <c r="K29" s="12"/>
      <c r="L29" s="225"/>
    </row>
    <row r="30" spans="2:12" s="774" customFormat="1" ht="45.75" thickBot="1" x14ac:dyDescent="0.3">
      <c r="B30" s="1152"/>
      <c r="C30" s="31">
        <v>4</v>
      </c>
      <c r="D30" s="1174" t="s">
        <v>3156</v>
      </c>
      <c r="E30" s="1175" t="s">
        <v>3150</v>
      </c>
      <c r="F30" s="1175" t="s">
        <v>3157</v>
      </c>
      <c r="G30" s="1172">
        <v>18907057</v>
      </c>
      <c r="H30" s="1172">
        <v>97907957</v>
      </c>
      <c r="I30" s="1172">
        <v>31090401</v>
      </c>
      <c r="J30" s="1172">
        <v>3143876</v>
      </c>
      <c r="K30" s="12"/>
      <c r="L30" s="225"/>
    </row>
    <row r="31" spans="2:12" s="774" customFormat="1" ht="34.5" thickBot="1" x14ac:dyDescent="0.3">
      <c r="B31" s="1152"/>
      <c r="C31" s="31">
        <v>5</v>
      </c>
      <c r="D31" s="1174" t="s">
        <v>2762</v>
      </c>
      <c r="E31" s="1175" t="s">
        <v>3150</v>
      </c>
      <c r="F31" s="1175" t="s">
        <v>3158</v>
      </c>
      <c r="G31" s="1172">
        <v>18907057</v>
      </c>
      <c r="H31" s="1172">
        <v>97907957</v>
      </c>
      <c r="I31" s="1172">
        <v>31090401</v>
      </c>
      <c r="J31" s="1172">
        <v>3143876</v>
      </c>
      <c r="K31" s="12"/>
      <c r="L31" s="225"/>
    </row>
    <row r="32" spans="2:12" s="774" customFormat="1" ht="45.75" thickBot="1" x14ac:dyDescent="0.3">
      <c r="B32" s="1152"/>
      <c r="C32" s="31">
        <v>6</v>
      </c>
      <c r="D32" s="1171" t="s">
        <v>2763</v>
      </c>
      <c r="E32" s="1029" t="s">
        <v>3150</v>
      </c>
      <c r="F32" s="1173" t="s">
        <v>3153</v>
      </c>
      <c r="G32" s="1172">
        <v>18907057</v>
      </c>
      <c r="H32" s="1172">
        <v>97907957</v>
      </c>
      <c r="I32" s="1172">
        <v>31090401</v>
      </c>
      <c r="J32" s="1172">
        <v>3143876</v>
      </c>
      <c r="K32" s="12"/>
      <c r="L32" s="225"/>
    </row>
    <row r="33" spans="2:12" ht="57" thickBot="1" x14ac:dyDescent="0.3">
      <c r="B33" s="436"/>
      <c r="C33" s="31">
        <v>7</v>
      </c>
      <c r="D33" s="1171" t="s">
        <v>3159</v>
      </c>
      <c r="E33" s="1029" t="s">
        <v>3160</v>
      </c>
      <c r="F33" s="1029" t="s">
        <v>3161</v>
      </c>
      <c r="G33" s="1172">
        <v>18907057</v>
      </c>
      <c r="H33" s="1172">
        <v>97907957</v>
      </c>
      <c r="I33" s="1172">
        <v>31090401</v>
      </c>
      <c r="J33" s="1172">
        <v>3143876</v>
      </c>
      <c r="K33" s="12"/>
      <c r="L33" s="225"/>
    </row>
    <row r="34" spans="2:12" ht="68.25" thickBot="1" x14ac:dyDescent="0.3">
      <c r="B34" s="436"/>
      <c r="C34" s="31">
        <v>8</v>
      </c>
      <c r="D34" s="1174" t="s">
        <v>3162</v>
      </c>
      <c r="E34" s="1175" t="s">
        <v>3163</v>
      </c>
      <c r="F34" s="1175" t="s">
        <v>3164</v>
      </c>
      <c r="G34" s="1172">
        <v>18907057</v>
      </c>
      <c r="H34" s="1172">
        <v>97907957</v>
      </c>
      <c r="I34" s="1172">
        <v>31090401</v>
      </c>
      <c r="J34" s="1172">
        <v>3143876</v>
      </c>
      <c r="K34" s="12"/>
      <c r="L34" s="225"/>
    </row>
    <row r="35" spans="2:12" ht="34.5" thickBot="1" x14ac:dyDescent="0.3">
      <c r="B35" s="436"/>
      <c r="C35" s="31">
        <v>9</v>
      </c>
      <c r="D35" s="1174" t="s">
        <v>3165</v>
      </c>
      <c r="E35" s="1175" t="s">
        <v>3166</v>
      </c>
      <c r="F35" s="1175" t="s">
        <v>3151</v>
      </c>
      <c r="G35" s="1172">
        <v>18907057</v>
      </c>
      <c r="H35" s="1172">
        <v>97907957</v>
      </c>
      <c r="I35" s="1172">
        <v>31090401</v>
      </c>
      <c r="J35" s="1172">
        <v>3143876</v>
      </c>
      <c r="K35" s="12"/>
      <c r="L35" s="225"/>
    </row>
    <row r="36" spans="2:12" ht="45.75" thickBot="1" x14ac:dyDescent="0.3">
      <c r="B36" s="436"/>
      <c r="C36" s="31">
        <v>10</v>
      </c>
      <c r="D36" s="1174" t="s">
        <v>3167</v>
      </c>
      <c r="E36" s="1175" t="s">
        <v>3168</v>
      </c>
      <c r="F36" s="1175" t="s">
        <v>3169</v>
      </c>
      <c r="G36" s="1172">
        <v>18907057</v>
      </c>
      <c r="H36" s="1172">
        <v>97907957</v>
      </c>
      <c r="I36" s="1172">
        <v>31090401</v>
      </c>
      <c r="J36" s="1172">
        <v>3143876</v>
      </c>
      <c r="K36" s="12"/>
      <c r="L36" s="225"/>
    </row>
    <row r="37" spans="2:12" ht="15.75" thickBot="1" x14ac:dyDescent="0.3">
      <c r="B37" s="436"/>
      <c r="C37" s="40"/>
      <c r="D37" s="40" t="s">
        <v>151</v>
      </c>
      <c r="E37" s="40"/>
      <c r="F37" s="41"/>
      <c r="G37" s="142">
        <f>SUM(G27:G36)</f>
        <v>189070570</v>
      </c>
      <c r="H37" s="142">
        <f>SUM(H27:H36)</f>
        <v>979079570</v>
      </c>
      <c r="I37" s="142">
        <f>SUM(I27:I36)</f>
        <v>310904010</v>
      </c>
      <c r="J37" s="142">
        <f>SUM(J27:J36)</f>
        <v>31438760</v>
      </c>
      <c r="K37" s="13"/>
    </row>
    <row r="38" spans="2:12" x14ac:dyDescent="0.25">
      <c r="B38" s="436"/>
      <c r="C38" s="92"/>
      <c r="D38" s="1825" t="s">
        <v>630</v>
      </c>
      <c r="E38" s="1826"/>
      <c r="F38" s="1826"/>
      <c r="G38" s="1826"/>
      <c r="H38" s="1826"/>
      <c r="I38" s="1826"/>
      <c r="J38" s="1826"/>
      <c r="K38" s="1827"/>
    </row>
    <row r="39" spans="2:12" ht="24" customHeight="1" thickBot="1" x14ac:dyDescent="0.3">
      <c r="B39" s="436"/>
      <c r="C39" s="92"/>
      <c r="D39" s="1828" t="s">
        <v>696</v>
      </c>
      <c r="E39" s="1829"/>
      <c r="F39" s="1829"/>
      <c r="G39" s="1829"/>
      <c r="H39" s="1829"/>
      <c r="I39" s="1829"/>
      <c r="J39" s="1829"/>
      <c r="K39" s="1830"/>
    </row>
    <row r="40" spans="2:12" ht="15.75" thickBot="1" x14ac:dyDescent="0.3">
      <c r="B40" s="436"/>
      <c r="C40" s="1958" t="s">
        <v>19</v>
      </c>
      <c r="D40" s="1959" t="s">
        <v>697</v>
      </c>
      <c r="E40" s="1962" t="s">
        <v>698</v>
      </c>
      <c r="F40" s="1963"/>
      <c r="G40" s="70"/>
      <c r="H40" s="6"/>
      <c r="I40" s="6"/>
      <c r="K40" s="22"/>
    </row>
    <row r="41" spans="2:12" x14ac:dyDescent="0.25">
      <c r="B41" s="436"/>
      <c r="C41" s="1812"/>
      <c r="D41" s="1960"/>
      <c r="E41" s="1804" t="s">
        <v>699</v>
      </c>
      <c r="F41" s="46" t="s">
        <v>700</v>
      </c>
      <c r="G41" s="1804" t="s">
        <v>55</v>
      </c>
      <c r="H41" s="6"/>
      <c r="I41" s="6"/>
      <c r="K41" s="22"/>
    </row>
    <row r="42" spans="2:12" ht="15.75" thickBot="1" x14ac:dyDescent="0.3">
      <c r="B42" s="436"/>
      <c r="C42" s="1815"/>
      <c r="D42" s="1961"/>
      <c r="E42" s="1806"/>
      <c r="F42" s="753" t="s">
        <v>695</v>
      </c>
      <c r="G42" s="1806"/>
      <c r="H42" s="6"/>
      <c r="I42" s="6"/>
      <c r="K42" s="22"/>
    </row>
    <row r="43" spans="2:12" ht="15.75" thickBot="1" x14ac:dyDescent="0.3">
      <c r="B43" s="436"/>
      <c r="C43" s="480">
        <v>1</v>
      </c>
      <c r="D43" s="1176">
        <v>0.15</v>
      </c>
      <c r="E43" s="148">
        <f>IFERROR(I27/H27,0)</f>
        <v>0.31754723469513313</v>
      </c>
      <c r="F43" s="148">
        <f>IFERROR(J27/I27,0)</f>
        <v>0.10112047123483547</v>
      </c>
      <c r="G43" s="478"/>
      <c r="H43" s="6"/>
      <c r="I43" s="6"/>
      <c r="K43" s="22"/>
    </row>
    <row r="44" spans="2:12" ht="15.75" thickBot="1" x14ac:dyDescent="0.3">
      <c r="B44" s="436"/>
      <c r="C44" s="480">
        <v>2</v>
      </c>
      <c r="D44" s="1176">
        <v>0.1</v>
      </c>
      <c r="E44" s="148">
        <f>IFERROR(I28/H28,0)</f>
        <v>0.31754723469513313</v>
      </c>
      <c r="F44" s="148">
        <f>IFERROR(J28/I28,0)</f>
        <v>0.10112047123483547</v>
      </c>
      <c r="G44" s="478"/>
      <c r="H44" s="6"/>
      <c r="I44" s="6"/>
      <c r="K44" s="22"/>
    </row>
    <row r="45" spans="2:12" s="774" customFormat="1" ht="15.75" thickBot="1" x14ac:dyDescent="0.3">
      <c r="B45" s="1152"/>
      <c r="C45" s="480">
        <v>3</v>
      </c>
      <c r="D45" s="1176">
        <v>0.06</v>
      </c>
      <c r="E45" s="148">
        <v>0.32</v>
      </c>
      <c r="F45" s="148">
        <f t="shared" ref="F45:F53" si="0">IFERROR(J29/I29,0)</f>
        <v>0.10112047123483547</v>
      </c>
      <c r="G45" s="478"/>
      <c r="H45" s="6"/>
      <c r="I45" s="6"/>
      <c r="K45" s="22"/>
    </row>
    <row r="46" spans="2:12" s="774" customFormat="1" ht="15.75" thickBot="1" x14ac:dyDescent="0.3">
      <c r="B46" s="1152"/>
      <c r="C46" s="480">
        <v>4</v>
      </c>
      <c r="D46" s="1177">
        <v>0.12</v>
      </c>
      <c r="E46" s="148">
        <v>0.32</v>
      </c>
      <c r="F46" s="148">
        <f t="shared" si="0"/>
        <v>0.10112047123483547</v>
      </c>
      <c r="G46" s="478"/>
      <c r="H46" s="6"/>
      <c r="I46" s="6"/>
      <c r="K46" s="22"/>
    </row>
    <row r="47" spans="2:12" s="774" customFormat="1" ht="15.75" thickBot="1" x14ac:dyDescent="0.3">
      <c r="B47" s="1152"/>
      <c r="C47" s="480">
        <v>5</v>
      </c>
      <c r="D47" s="1177">
        <v>7.0000000000000007E-2</v>
      </c>
      <c r="E47" s="148">
        <v>0.32</v>
      </c>
      <c r="F47" s="148">
        <f t="shared" si="0"/>
        <v>0.10112047123483547</v>
      </c>
      <c r="G47" s="478"/>
      <c r="H47" s="6"/>
      <c r="I47" s="6"/>
      <c r="K47" s="22"/>
    </row>
    <row r="48" spans="2:12" s="774" customFormat="1" ht="15.75" thickBot="1" x14ac:dyDescent="0.3">
      <c r="B48" s="1152"/>
      <c r="C48" s="480">
        <v>6</v>
      </c>
      <c r="D48" s="1176">
        <v>0.12</v>
      </c>
      <c r="E48" s="148">
        <v>0.32</v>
      </c>
      <c r="F48" s="148">
        <f t="shared" si="0"/>
        <v>0.10112047123483547</v>
      </c>
      <c r="G48" s="478"/>
      <c r="H48" s="6"/>
      <c r="I48" s="6"/>
      <c r="K48" s="22"/>
    </row>
    <row r="49" spans="2:11" ht="15.75" thickBot="1" x14ac:dyDescent="0.3">
      <c r="B49" s="436"/>
      <c r="C49" s="480">
        <v>7</v>
      </c>
      <c r="D49" s="1176">
        <v>0.12</v>
      </c>
      <c r="E49" s="148">
        <f>IFERROR(I33/H33,0)</f>
        <v>0.31754723469513313</v>
      </c>
      <c r="F49" s="148">
        <f t="shared" si="0"/>
        <v>0.10112047123483547</v>
      </c>
      <c r="G49" s="478"/>
      <c r="H49" s="6"/>
      <c r="I49" s="6"/>
      <c r="K49" s="22"/>
    </row>
    <row r="50" spans="2:11" ht="15.75" thickBot="1" x14ac:dyDescent="0.3">
      <c r="B50" s="436"/>
      <c r="C50" s="480">
        <v>8</v>
      </c>
      <c r="D50" s="1177">
        <v>0.08</v>
      </c>
      <c r="E50" s="148">
        <f>IFERROR(I34/H34,0)</f>
        <v>0.31754723469513313</v>
      </c>
      <c r="F50" s="148">
        <f t="shared" si="0"/>
        <v>0.10112047123483547</v>
      </c>
      <c r="G50" s="478"/>
      <c r="H50" s="6"/>
      <c r="I50" s="6"/>
      <c r="K50" s="22"/>
    </row>
    <row r="51" spans="2:11" ht="15.75" thickBot="1" x14ac:dyDescent="0.3">
      <c r="B51" s="436"/>
      <c r="C51" s="480">
        <v>9</v>
      </c>
      <c r="D51" s="1177">
        <v>0.1</v>
      </c>
      <c r="E51" s="148">
        <f>IFERROR(I35/H35,0)</f>
        <v>0.31754723469513313</v>
      </c>
      <c r="F51" s="148">
        <f t="shared" si="0"/>
        <v>0.10112047123483547</v>
      </c>
      <c r="G51" s="478"/>
      <c r="H51" s="6"/>
      <c r="I51" s="6"/>
      <c r="K51" s="22"/>
    </row>
    <row r="52" spans="2:11" ht="15.75" thickBot="1" x14ac:dyDescent="0.3">
      <c r="B52" s="436"/>
      <c r="C52" s="480">
        <v>10</v>
      </c>
      <c r="D52" s="1177">
        <v>0.08</v>
      </c>
      <c r="E52" s="148">
        <f>IFERROR(I36/H36,0)</f>
        <v>0.31754723469513313</v>
      </c>
      <c r="F52" s="148">
        <f t="shared" si="0"/>
        <v>0.10112047123483547</v>
      </c>
      <c r="G52" s="478"/>
      <c r="H52" s="6"/>
      <c r="I52" s="6"/>
      <c r="K52" s="22"/>
    </row>
    <row r="53" spans="2:11" ht="15.75" thickBot="1" x14ac:dyDescent="0.3">
      <c r="B53" s="437"/>
      <c r="C53" s="68"/>
      <c r="D53" s="165">
        <f>Formulas!$D$22</f>
        <v>0.99999999999999989</v>
      </c>
      <c r="E53" s="149">
        <f>+$D43*E43+$D44*E44+$D49*E49+$D50*E50+$D51*E51+$D52*E52</f>
        <v>0.20005475785793389</v>
      </c>
      <c r="F53" s="148">
        <f t="shared" si="0"/>
        <v>0.10112047123483547</v>
      </c>
      <c r="G53" s="41"/>
      <c r="H53" s="23"/>
      <c r="I53" s="23"/>
      <c r="J53" s="23"/>
      <c r="K53" s="24"/>
    </row>
    <row r="54" spans="2:11" ht="15.75" thickBot="1" x14ac:dyDescent="0.3">
      <c r="B54" s="38"/>
      <c r="C54" s="88"/>
      <c r="D54" s="6"/>
      <c r="E54" s="6"/>
      <c r="F54" s="6"/>
      <c r="G54" s="6"/>
      <c r="H54" s="6"/>
      <c r="I54" s="6"/>
      <c r="J54" s="6"/>
      <c r="K54" s="6"/>
    </row>
    <row r="55" spans="2:11" ht="84.75" thickBot="1" x14ac:dyDescent="0.3">
      <c r="B55" s="52" t="s">
        <v>34</v>
      </c>
      <c r="C55" s="98"/>
      <c r="D55" s="43" t="s">
        <v>701</v>
      </c>
      <c r="E55" s="6"/>
      <c r="F55" s="6"/>
      <c r="G55" s="6"/>
      <c r="H55" s="6"/>
      <c r="I55" s="6"/>
      <c r="J55" s="6"/>
      <c r="K55" s="6"/>
    </row>
    <row r="56" spans="2:11" ht="60.75" thickBot="1" x14ac:dyDescent="0.3">
      <c r="B56" s="47" t="s">
        <v>36</v>
      </c>
      <c r="C56" s="3"/>
      <c r="D56" s="41" t="s">
        <v>346</v>
      </c>
      <c r="E56" s="6"/>
      <c r="F56" s="6"/>
      <c r="G56" s="6"/>
      <c r="H56" s="6"/>
      <c r="I56" s="6"/>
      <c r="J56" s="6"/>
      <c r="K56" s="6"/>
    </row>
    <row r="57" spans="2:11" ht="15.75" thickBot="1" x14ac:dyDescent="0.3">
      <c r="B57" s="2"/>
      <c r="C57" s="76"/>
      <c r="D57" s="6"/>
      <c r="E57" s="6"/>
      <c r="F57" s="6"/>
      <c r="G57" s="6"/>
      <c r="H57" s="6"/>
      <c r="I57" s="6"/>
      <c r="J57" s="6"/>
      <c r="K57" s="6"/>
    </row>
    <row r="58" spans="2:11" ht="24" customHeight="1" thickBot="1" x14ac:dyDescent="0.3">
      <c r="B58" s="1807" t="s">
        <v>38</v>
      </c>
      <c r="C58" s="1808"/>
      <c r="D58" s="1808"/>
      <c r="E58" s="1809"/>
      <c r="F58" s="6"/>
      <c r="G58" s="6"/>
      <c r="H58" s="6"/>
      <c r="I58" s="6"/>
      <c r="J58" s="6"/>
      <c r="K58" s="6"/>
    </row>
    <row r="59" spans="2:11" ht="15.75" thickBot="1" x14ac:dyDescent="0.3">
      <c r="B59" s="1804">
        <v>1</v>
      </c>
      <c r="C59" s="94"/>
      <c r="D59" s="48" t="s">
        <v>39</v>
      </c>
      <c r="E59" s="1178" t="s">
        <v>3106</v>
      </c>
      <c r="F59" s="6"/>
      <c r="G59" s="6"/>
      <c r="H59" s="6"/>
      <c r="I59" s="6"/>
      <c r="J59" s="6"/>
      <c r="K59" s="6"/>
    </row>
    <row r="60" spans="2:11" ht="15.75" thickBot="1" x14ac:dyDescent="0.3">
      <c r="B60" s="1805"/>
      <c r="C60" s="94"/>
      <c r="D60" s="41" t="s">
        <v>40</v>
      </c>
      <c r="E60" s="1178" t="s">
        <v>3170</v>
      </c>
      <c r="F60" s="6"/>
      <c r="G60" s="6"/>
      <c r="H60" s="6"/>
      <c r="I60" s="6"/>
      <c r="J60" s="6"/>
      <c r="K60" s="6"/>
    </row>
    <row r="61" spans="2:11" ht="15.75" thickBot="1" x14ac:dyDescent="0.3">
      <c r="B61" s="1805"/>
      <c r="C61" s="94"/>
      <c r="D61" s="41" t="s">
        <v>41</v>
      </c>
      <c r="E61" s="1178" t="s">
        <v>3171</v>
      </c>
      <c r="F61" s="6"/>
      <c r="G61" s="6"/>
      <c r="H61" s="6"/>
      <c r="I61" s="6"/>
      <c r="J61" s="6"/>
      <c r="K61" s="6"/>
    </row>
    <row r="62" spans="2:11" ht="24.75" thickBot="1" x14ac:dyDescent="0.3">
      <c r="B62" s="1805"/>
      <c r="C62" s="94"/>
      <c r="D62" s="41" t="s">
        <v>42</v>
      </c>
      <c r="E62" s="1178" t="s">
        <v>3172</v>
      </c>
      <c r="F62" s="6"/>
      <c r="G62" s="6"/>
      <c r="H62" s="6"/>
      <c r="I62" s="6"/>
      <c r="J62" s="6"/>
      <c r="K62" s="6"/>
    </row>
    <row r="63" spans="2:11" ht="15.75" thickBot="1" x14ac:dyDescent="0.3">
      <c r="B63" s="1805"/>
      <c r="C63" s="94"/>
      <c r="D63" s="41" t="s">
        <v>43</v>
      </c>
      <c r="E63" s="1179" t="s">
        <v>3173</v>
      </c>
      <c r="F63" s="6"/>
      <c r="G63" s="6"/>
      <c r="H63" s="6"/>
      <c r="I63" s="6"/>
      <c r="J63" s="6"/>
      <c r="K63" s="6"/>
    </row>
    <row r="64" spans="2:11" ht="15.75" thickBot="1" x14ac:dyDescent="0.3">
      <c r="B64" s="1805"/>
      <c r="C64" s="94"/>
      <c r="D64" s="41" t="s">
        <v>44</v>
      </c>
      <c r="E64" s="1178"/>
      <c r="F64" s="6"/>
      <c r="G64" s="6"/>
      <c r="H64" s="6"/>
      <c r="I64" s="6"/>
      <c r="J64" s="6"/>
      <c r="K64" s="6"/>
    </row>
    <row r="65" spans="2:11" ht="15.75" thickBot="1" x14ac:dyDescent="0.3">
      <c r="B65" s="1806"/>
      <c r="C65" s="3"/>
      <c r="D65" s="41" t="s">
        <v>45</v>
      </c>
      <c r="E65" s="1178" t="s">
        <v>3174</v>
      </c>
      <c r="F65" s="6"/>
      <c r="G65" s="6"/>
      <c r="H65" s="6"/>
      <c r="I65" s="6"/>
      <c r="J65" s="6"/>
      <c r="K65" s="6"/>
    </row>
    <row r="66" spans="2:11" ht="15.75" thickBot="1" x14ac:dyDescent="0.3">
      <c r="B66" s="2"/>
      <c r="C66" s="76"/>
      <c r="D66" s="6"/>
      <c r="E66" s="6"/>
      <c r="F66" s="6"/>
      <c r="G66" s="6"/>
      <c r="H66" s="6"/>
      <c r="I66" s="6"/>
      <c r="J66" s="6"/>
      <c r="K66" s="6"/>
    </row>
    <row r="67" spans="2:11" ht="15.75" thickBot="1" x14ac:dyDescent="0.3">
      <c r="B67" s="1807" t="s">
        <v>46</v>
      </c>
      <c r="C67" s="1808"/>
      <c r="D67" s="1808"/>
      <c r="E67" s="1809"/>
      <c r="F67" s="6"/>
      <c r="G67" s="6"/>
      <c r="H67" s="6"/>
      <c r="I67" s="6"/>
      <c r="J67" s="6"/>
      <c r="K67" s="6"/>
    </row>
    <row r="68" spans="2:11" ht="15.75" thickBot="1" x14ac:dyDescent="0.3">
      <c r="B68" s="1804">
        <v>1</v>
      </c>
      <c r="C68" s="94"/>
      <c r="D68" s="48" t="s">
        <v>39</v>
      </c>
      <c r="E68" s="132" t="s">
        <v>47</v>
      </c>
      <c r="F68" s="6"/>
      <c r="G68" s="6"/>
      <c r="H68" s="6"/>
      <c r="I68" s="6"/>
      <c r="J68" s="6"/>
      <c r="K68" s="6"/>
    </row>
    <row r="69" spans="2:11" ht="15.75" thickBot="1" x14ac:dyDescent="0.3">
      <c r="B69" s="1805"/>
      <c r="C69" s="94"/>
      <c r="D69" s="41" t="s">
        <v>40</v>
      </c>
      <c r="E69" s="132" t="s">
        <v>48</v>
      </c>
      <c r="F69" s="6"/>
      <c r="G69" s="6"/>
      <c r="H69" s="6"/>
      <c r="I69" s="6"/>
      <c r="J69" s="6"/>
      <c r="K69" s="6"/>
    </row>
    <row r="70" spans="2:11" ht="15.75" thickBot="1" x14ac:dyDescent="0.3">
      <c r="B70" s="1805"/>
      <c r="C70" s="94"/>
      <c r="D70" s="41" t="s">
        <v>41</v>
      </c>
      <c r="E70" s="173"/>
      <c r="F70" s="6"/>
      <c r="G70" s="6"/>
      <c r="H70" s="6"/>
      <c r="I70" s="6"/>
      <c r="J70" s="6"/>
      <c r="K70" s="6"/>
    </row>
    <row r="71" spans="2:11" ht="15.75" thickBot="1" x14ac:dyDescent="0.3">
      <c r="B71" s="1805"/>
      <c r="C71" s="94"/>
      <c r="D71" s="41" t="s">
        <v>42</v>
      </c>
      <c r="E71" s="173"/>
      <c r="F71" s="6"/>
      <c r="G71" s="6"/>
      <c r="H71" s="6"/>
      <c r="I71" s="6"/>
      <c r="J71" s="6"/>
      <c r="K71" s="6"/>
    </row>
    <row r="72" spans="2:11" ht="15.75" thickBot="1" x14ac:dyDescent="0.3">
      <c r="B72" s="1805"/>
      <c r="C72" s="94"/>
      <c r="D72" s="41" t="s">
        <v>43</v>
      </c>
      <c r="E72" s="173"/>
      <c r="F72" s="6"/>
      <c r="G72" s="6"/>
      <c r="H72" s="6"/>
      <c r="I72" s="6"/>
      <c r="J72" s="6"/>
      <c r="K72" s="6"/>
    </row>
    <row r="73" spans="2:11" ht="15.75" thickBot="1" x14ac:dyDescent="0.3">
      <c r="B73" s="1805"/>
      <c r="C73" s="94"/>
      <c r="D73" s="41" t="s">
        <v>44</v>
      </c>
      <c r="E73" s="173"/>
      <c r="F73" s="6"/>
      <c r="G73" s="6"/>
      <c r="H73" s="6"/>
      <c r="I73" s="6"/>
      <c r="J73" s="6"/>
      <c r="K73" s="6"/>
    </row>
    <row r="74" spans="2:11" ht="15.75" thickBot="1" x14ac:dyDescent="0.3">
      <c r="B74" s="1806"/>
      <c r="C74" s="3"/>
      <c r="D74" s="41" t="s">
        <v>45</v>
      </c>
      <c r="E74" s="173"/>
      <c r="F74" s="6"/>
      <c r="G74" s="6"/>
      <c r="H74" s="6"/>
      <c r="I74" s="6"/>
      <c r="J74" s="6"/>
      <c r="K74" s="6"/>
    </row>
    <row r="75" spans="2:11" ht="15.75" thickBot="1" x14ac:dyDescent="0.3">
      <c r="B75" s="2"/>
      <c r="C75" s="76"/>
      <c r="D75" s="6"/>
      <c r="E75" s="6"/>
      <c r="F75" s="6"/>
      <c r="G75" s="6"/>
      <c r="H75" s="6"/>
      <c r="I75" s="6"/>
      <c r="J75" s="6"/>
      <c r="K75" s="6"/>
    </row>
    <row r="76" spans="2:11" ht="15.75" thickBot="1" x14ac:dyDescent="0.3">
      <c r="B76" s="1807" t="s">
        <v>49</v>
      </c>
      <c r="C76" s="1808"/>
      <c r="D76" s="1808"/>
      <c r="E76" s="1808"/>
      <c r="F76" s="1809"/>
      <c r="G76" s="6"/>
      <c r="H76" s="6"/>
      <c r="I76" s="6"/>
      <c r="J76" s="6"/>
      <c r="K76" s="6"/>
    </row>
    <row r="77" spans="2:11" ht="24.75" thickBot="1" x14ac:dyDescent="0.3">
      <c r="B77" s="47" t="s">
        <v>50</v>
      </c>
      <c r="C77" s="41" t="s">
        <v>51</v>
      </c>
      <c r="D77" s="41" t="s">
        <v>52</v>
      </c>
      <c r="E77" s="41" t="s">
        <v>53</v>
      </c>
      <c r="F77" s="6"/>
      <c r="G77" s="6"/>
      <c r="H77" s="6"/>
      <c r="I77" s="6"/>
      <c r="J77" s="6"/>
    </row>
    <row r="78" spans="2:11" ht="84.75" thickBot="1" x14ac:dyDescent="0.3">
      <c r="B78" s="49">
        <v>42401</v>
      </c>
      <c r="C78" s="41">
        <v>0.01</v>
      </c>
      <c r="D78" s="50" t="s">
        <v>702</v>
      </c>
      <c r="E78" s="41"/>
      <c r="F78" s="6"/>
      <c r="G78" s="6"/>
      <c r="H78" s="6"/>
      <c r="I78" s="6"/>
      <c r="J78" s="6"/>
    </row>
    <row r="79" spans="2:11" ht="15.75" thickBot="1" x14ac:dyDescent="0.3">
      <c r="B79" s="4"/>
      <c r="C79" s="95"/>
      <c r="D79" s="6"/>
      <c r="E79" s="6"/>
      <c r="F79" s="6"/>
      <c r="G79" s="6"/>
      <c r="H79" s="6"/>
      <c r="I79" s="6"/>
      <c r="J79" s="6"/>
      <c r="K79" s="6"/>
    </row>
    <row r="80" spans="2:11" x14ac:dyDescent="0.25">
      <c r="B80" s="135" t="s">
        <v>55</v>
      </c>
      <c r="C80" s="96"/>
      <c r="D80" s="6"/>
      <c r="E80" s="6"/>
      <c r="F80" s="6"/>
      <c r="G80" s="6"/>
      <c r="H80" s="6"/>
      <c r="I80" s="6"/>
      <c r="J80" s="6"/>
      <c r="K80" s="6"/>
    </row>
    <row r="81" spans="2:11" x14ac:dyDescent="0.25">
      <c r="B81" s="1946"/>
      <c r="C81" s="1947"/>
      <c r="D81" s="1947"/>
      <c r="E81" s="1947"/>
      <c r="F81" s="1948"/>
      <c r="G81" s="6"/>
      <c r="H81" s="6"/>
      <c r="I81" s="6"/>
      <c r="J81" s="6"/>
      <c r="K81" s="6"/>
    </row>
    <row r="82" spans="2:11" x14ac:dyDescent="0.25">
      <c r="B82" s="1949"/>
      <c r="C82" s="1950"/>
      <c r="D82" s="1950"/>
      <c r="E82" s="1950"/>
      <c r="F82" s="1951"/>
      <c r="G82" s="6"/>
      <c r="H82" s="6"/>
      <c r="I82" s="6"/>
      <c r="J82" s="6"/>
      <c r="K82" s="6"/>
    </row>
    <row r="83" spans="2:11" x14ac:dyDescent="0.25">
      <c r="B83" s="2"/>
      <c r="C83" s="76"/>
      <c r="D83" s="6"/>
      <c r="E83" s="6"/>
      <c r="F83" s="6"/>
      <c r="G83" s="6"/>
      <c r="H83" s="6"/>
      <c r="I83" s="6"/>
      <c r="J83" s="6"/>
      <c r="K83" s="6"/>
    </row>
    <row r="84" spans="2:11" ht="15.75" thickBot="1" x14ac:dyDescent="0.3">
      <c r="B84" s="6"/>
      <c r="D84" s="6"/>
      <c r="E84" s="6"/>
      <c r="F84" s="6"/>
      <c r="G84" s="6"/>
      <c r="H84" s="6"/>
      <c r="I84" s="6"/>
      <c r="J84" s="6"/>
      <c r="K84" s="6"/>
    </row>
    <row r="85" spans="2:11" ht="24.75" thickBot="1" x14ac:dyDescent="0.3">
      <c r="B85" s="51" t="s">
        <v>56</v>
      </c>
      <c r="C85" s="97"/>
      <c r="D85" s="6"/>
      <c r="E85" s="6"/>
      <c r="F85" s="6"/>
      <c r="G85" s="6"/>
      <c r="H85" s="6"/>
      <c r="I85" s="6"/>
      <c r="J85" s="6"/>
      <c r="K85" s="6"/>
    </row>
    <row r="86" spans="2:11" ht="15.75" thickBot="1" x14ac:dyDescent="0.3">
      <c r="B86" s="38"/>
      <c r="C86" s="88"/>
      <c r="D86" s="6"/>
      <c r="E86" s="6"/>
      <c r="F86" s="6"/>
      <c r="G86" s="6"/>
      <c r="H86" s="6"/>
      <c r="I86" s="6"/>
      <c r="J86" s="6"/>
      <c r="K86" s="6"/>
    </row>
    <row r="87" spans="2:11" ht="84.75" thickBot="1" x14ac:dyDescent="0.3">
      <c r="B87" s="52" t="s">
        <v>57</v>
      </c>
      <c r="C87" s="98"/>
      <c r="D87" s="43" t="s">
        <v>656</v>
      </c>
      <c r="E87" s="6"/>
      <c r="F87" s="6"/>
      <c r="G87" s="6"/>
      <c r="H87" s="6"/>
      <c r="I87" s="6"/>
      <c r="J87" s="6"/>
      <c r="K87" s="6"/>
    </row>
    <row r="88" spans="2:11" x14ac:dyDescent="0.25">
      <c r="B88" s="1804" t="s">
        <v>59</v>
      </c>
      <c r="C88" s="94"/>
      <c r="D88" s="53" t="s">
        <v>60</v>
      </c>
      <c r="E88" s="6"/>
      <c r="F88" s="6"/>
      <c r="G88" s="6"/>
      <c r="H88" s="6"/>
      <c r="I88" s="6"/>
      <c r="J88" s="6"/>
      <c r="K88" s="6"/>
    </row>
    <row r="89" spans="2:11" ht="120" x14ac:dyDescent="0.25">
      <c r="B89" s="1805"/>
      <c r="C89" s="94"/>
      <c r="D89" s="46" t="s">
        <v>657</v>
      </c>
      <c r="E89" s="6"/>
      <c r="F89" s="6"/>
      <c r="G89" s="6"/>
      <c r="H89" s="6"/>
      <c r="I89" s="6"/>
      <c r="J89" s="6"/>
      <c r="K89" s="6"/>
    </row>
    <row r="90" spans="2:11" x14ac:dyDescent="0.25">
      <c r="B90" s="1805"/>
      <c r="C90" s="94"/>
      <c r="D90" s="53" t="s">
        <v>63</v>
      </c>
      <c r="E90" s="6"/>
      <c r="F90" s="6"/>
      <c r="G90" s="6"/>
      <c r="H90" s="6"/>
      <c r="I90" s="6"/>
      <c r="J90" s="6"/>
      <c r="K90" s="6"/>
    </row>
    <row r="91" spans="2:11" x14ac:dyDescent="0.25">
      <c r="B91" s="1805"/>
      <c r="C91" s="94"/>
      <c r="D91" s="46" t="s">
        <v>658</v>
      </c>
      <c r="E91" s="6"/>
      <c r="F91" s="6"/>
      <c r="G91" s="6"/>
      <c r="H91" s="6"/>
      <c r="I91" s="6"/>
      <c r="J91" s="6"/>
      <c r="K91" s="6"/>
    </row>
    <row r="92" spans="2:11" ht="24" x14ac:dyDescent="0.25">
      <c r="B92" s="1805"/>
      <c r="C92" s="94"/>
      <c r="D92" s="46" t="s">
        <v>659</v>
      </c>
      <c r="E92" s="6"/>
      <c r="F92" s="6"/>
      <c r="G92" s="6"/>
      <c r="H92" s="6"/>
      <c r="I92" s="6"/>
      <c r="J92" s="6"/>
      <c r="K92" s="6"/>
    </row>
    <row r="93" spans="2:11" x14ac:dyDescent="0.25">
      <c r="B93" s="1805"/>
      <c r="C93" s="94"/>
      <c r="D93" s="53" t="s">
        <v>288</v>
      </c>
      <c r="E93" s="6"/>
      <c r="F93" s="6"/>
      <c r="G93" s="6"/>
      <c r="H93" s="6"/>
      <c r="I93" s="6"/>
      <c r="J93" s="6"/>
      <c r="K93" s="6"/>
    </row>
    <row r="94" spans="2:11" ht="24" x14ac:dyDescent="0.25">
      <c r="B94" s="1805"/>
      <c r="C94" s="94"/>
      <c r="D94" s="46" t="s">
        <v>660</v>
      </c>
      <c r="E94" s="6"/>
      <c r="F94" s="6"/>
      <c r="G94" s="6"/>
      <c r="H94" s="6"/>
      <c r="I94" s="6"/>
      <c r="J94" s="6"/>
      <c r="K94" s="6"/>
    </row>
    <row r="95" spans="2:11" ht="24.75" thickBot="1" x14ac:dyDescent="0.3">
      <c r="B95" s="1806"/>
      <c r="C95" s="3"/>
      <c r="D95" s="41" t="s">
        <v>661</v>
      </c>
      <c r="E95" s="6"/>
      <c r="F95" s="6"/>
      <c r="G95" s="6"/>
      <c r="H95" s="6"/>
      <c r="I95" s="6"/>
      <c r="J95" s="6"/>
      <c r="K95" s="6"/>
    </row>
    <row r="96" spans="2:11" ht="24.75" thickBot="1" x14ac:dyDescent="0.3">
      <c r="B96" s="47" t="s">
        <v>72</v>
      </c>
      <c r="C96" s="3"/>
      <c r="D96" s="41"/>
      <c r="E96" s="6"/>
      <c r="F96" s="6"/>
      <c r="G96" s="6"/>
      <c r="H96" s="6"/>
      <c r="I96" s="6"/>
      <c r="J96" s="6"/>
      <c r="K96" s="6"/>
    </row>
    <row r="97" spans="2:11" ht="108" x14ac:dyDescent="0.25">
      <c r="B97" s="1804" t="s">
        <v>73</v>
      </c>
      <c r="C97" s="94"/>
      <c r="D97" s="46" t="s">
        <v>662</v>
      </c>
      <c r="E97" s="6"/>
      <c r="F97" s="6"/>
      <c r="G97" s="6"/>
      <c r="H97" s="6"/>
      <c r="I97" s="6"/>
      <c r="J97" s="6"/>
      <c r="K97" s="6"/>
    </row>
    <row r="98" spans="2:11" x14ac:dyDescent="0.25">
      <c r="B98" s="1805"/>
      <c r="C98" s="94"/>
      <c r="D98" s="46" t="s">
        <v>663</v>
      </c>
      <c r="E98" s="6"/>
      <c r="F98" s="6"/>
      <c r="G98" s="6"/>
      <c r="H98" s="6"/>
      <c r="I98" s="6"/>
      <c r="J98" s="6"/>
      <c r="K98" s="6"/>
    </row>
    <row r="99" spans="2:11" ht="108" x14ac:dyDescent="0.25">
      <c r="B99" s="1805"/>
      <c r="C99" s="94"/>
      <c r="D99" s="46" t="s">
        <v>664</v>
      </c>
      <c r="E99" s="6"/>
      <c r="F99" s="6"/>
      <c r="G99" s="6"/>
      <c r="H99" s="6"/>
      <c r="I99" s="6"/>
      <c r="J99" s="6"/>
      <c r="K99" s="6"/>
    </row>
    <row r="100" spans="2:11" ht="108" x14ac:dyDescent="0.25">
      <c r="B100" s="1805"/>
      <c r="C100" s="94"/>
      <c r="D100" s="46" t="s">
        <v>665</v>
      </c>
      <c r="E100" s="6"/>
      <c r="F100" s="6"/>
      <c r="G100" s="6"/>
      <c r="H100" s="6"/>
      <c r="I100" s="6"/>
      <c r="J100" s="6"/>
      <c r="K100" s="6"/>
    </row>
    <row r="101" spans="2:11" ht="108" x14ac:dyDescent="0.25">
      <c r="B101" s="1805"/>
      <c r="C101" s="94"/>
      <c r="D101" s="46" t="s">
        <v>666</v>
      </c>
      <c r="E101" s="6"/>
      <c r="F101" s="6"/>
      <c r="G101" s="6"/>
      <c r="H101" s="6"/>
      <c r="I101" s="6"/>
      <c r="J101" s="6"/>
      <c r="K101" s="6"/>
    </row>
    <row r="102" spans="2:11" ht="84" x14ac:dyDescent="0.25">
      <c r="B102" s="1805"/>
      <c r="C102" s="94"/>
      <c r="D102" s="46" t="s">
        <v>667</v>
      </c>
      <c r="E102" s="6"/>
      <c r="F102" s="6"/>
      <c r="G102" s="6"/>
      <c r="H102" s="6"/>
      <c r="I102" s="6"/>
      <c r="J102" s="6"/>
      <c r="K102" s="6"/>
    </row>
    <row r="103" spans="2:11" ht="84" x14ac:dyDescent="0.25">
      <c r="B103" s="1805"/>
      <c r="C103" s="94"/>
      <c r="D103" s="46" t="s">
        <v>668</v>
      </c>
      <c r="E103" s="6"/>
      <c r="F103" s="6"/>
      <c r="G103" s="6"/>
      <c r="H103" s="6"/>
      <c r="I103" s="6"/>
      <c r="J103" s="6"/>
      <c r="K103" s="6"/>
    </row>
    <row r="104" spans="2:11" ht="216" x14ac:dyDescent="0.25">
      <c r="B104" s="1805"/>
      <c r="C104" s="94"/>
      <c r="D104" s="46" t="s">
        <v>669</v>
      </c>
      <c r="E104" s="6"/>
      <c r="F104" s="6"/>
      <c r="G104" s="6"/>
      <c r="H104" s="6"/>
      <c r="I104" s="6"/>
      <c r="J104" s="6"/>
      <c r="K104" s="6"/>
    </row>
    <row r="105" spans="2:11" ht="168" x14ac:dyDescent="0.25">
      <c r="B105" s="1805"/>
      <c r="C105" s="94"/>
      <c r="D105" s="46" t="s">
        <v>670</v>
      </c>
      <c r="E105" s="6"/>
      <c r="F105" s="6"/>
      <c r="G105" s="6"/>
      <c r="H105" s="6"/>
      <c r="I105" s="6"/>
      <c r="J105" s="6"/>
      <c r="K105" s="6"/>
    </row>
    <row r="106" spans="2:11" ht="24" x14ac:dyDescent="0.25">
      <c r="B106" s="1805"/>
      <c r="C106" s="94"/>
      <c r="D106" s="46" t="s">
        <v>671</v>
      </c>
      <c r="E106" s="6"/>
      <c r="F106" s="6"/>
      <c r="G106" s="6"/>
      <c r="H106" s="6"/>
      <c r="I106" s="6"/>
      <c r="J106" s="6"/>
      <c r="K106" s="6"/>
    </row>
    <row r="107" spans="2:11" ht="24" x14ac:dyDescent="0.25">
      <c r="B107" s="1805"/>
      <c r="C107" s="94"/>
      <c r="D107" s="26" t="s">
        <v>672</v>
      </c>
      <c r="E107" s="6"/>
      <c r="F107" s="6"/>
      <c r="G107" s="6"/>
      <c r="H107" s="6"/>
      <c r="I107" s="6"/>
      <c r="J107" s="6"/>
      <c r="K107" s="6"/>
    </row>
    <row r="108" spans="2:11" ht="36" x14ac:dyDescent="0.25">
      <c r="B108" s="1805"/>
      <c r="C108" s="94"/>
      <c r="D108" s="26" t="s">
        <v>673</v>
      </c>
      <c r="E108" s="6"/>
      <c r="F108" s="6"/>
      <c r="G108" s="6"/>
      <c r="H108" s="6"/>
      <c r="I108" s="6"/>
      <c r="J108" s="6"/>
      <c r="K108" s="6"/>
    </row>
    <row r="109" spans="2:11" ht="48" x14ac:dyDescent="0.25">
      <c r="B109" s="1805"/>
      <c r="C109" s="94"/>
      <c r="D109" s="26" t="s">
        <v>674</v>
      </c>
      <c r="E109" s="6"/>
      <c r="F109" s="6"/>
      <c r="G109" s="6"/>
      <c r="H109" s="6"/>
      <c r="I109" s="6"/>
      <c r="J109" s="6"/>
      <c r="K109" s="6"/>
    </row>
    <row r="110" spans="2:11" ht="144" x14ac:dyDescent="0.25">
      <c r="B110" s="1805"/>
      <c r="C110" s="94"/>
      <c r="D110" s="46" t="s">
        <v>675</v>
      </c>
      <c r="E110" s="6"/>
      <c r="F110" s="6"/>
      <c r="G110" s="6"/>
      <c r="H110" s="6"/>
      <c r="I110" s="6"/>
      <c r="J110" s="6"/>
      <c r="K110" s="6"/>
    </row>
    <row r="111" spans="2:11" ht="60" x14ac:dyDescent="0.25">
      <c r="B111" s="1805"/>
      <c r="C111" s="94"/>
      <c r="D111" s="46" t="s">
        <v>676</v>
      </c>
      <c r="E111" s="6"/>
      <c r="F111" s="6"/>
      <c r="G111" s="6"/>
      <c r="H111" s="6"/>
      <c r="I111" s="6"/>
      <c r="J111" s="6"/>
      <c r="K111" s="6"/>
    </row>
    <row r="112" spans="2:11" ht="36" x14ac:dyDescent="0.25">
      <c r="B112" s="1805"/>
      <c r="C112" s="94"/>
      <c r="D112" s="46" t="s">
        <v>677</v>
      </c>
      <c r="E112" s="6"/>
      <c r="F112" s="6"/>
      <c r="G112" s="6"/>
      <c r="H112" s="6"/>
      <c r="I112" s="6"/>
      <c r="J112" s="6"/>
      <c r="K112" s="6"/>
    </row>
    <row r="113" spans="2:11" ht="60" x14ac:dyDescent="0.25">
      <c r="B113" s="1805"/>
      <c r="C113" s="94"/>
      <c r="D113" s="61" t="s">
        <v>678</v>
      </c>
      <c r="E113" s="6"/>
      <c r="F113" s="6"/>
      <c r="G113" s="6"/>
      <c r="H113" s="6"/>
      <c r="I113" s="6"/>
      <c r="J113" s="6"/>
      <c r="K113" s="6"/>
    </row>
    <row r="114" spans="2:11" ht="24" x14ac:dyDescent="0.25">
      <c r="B114" s="1805"/>
      <c r="C114" s="94"/>
      <c r="D114" s="61" t="s">
        <v>679</v>
      </c>
      <c r="E114" s="6"/>
      <c r="F114" s="6"/>
      <c r="G114" s="6"/>
      <c r="H114" s="6"/>
      <c r="I114" s="6"/>
      <c r="J114" s="6"/>
      <c r="K114" s="6"/>
    </row>
    <row r="115" spans="2:11" ht="24" x14ac:dyDescent="0.25">
      <c r="B115" s="1805"/>
      <c r="C115" s="94"/>
      <c r="D115" s="61" t="s">
        <v>680</v>
      </c>
      <c r="E115" s="6"/>
      <c r="F115" s="6"/>
      <c r="G115" s="6"/>
      <c r="H115" s="6"/>
      <c r="I115" s="6"/>
      <c r="J115" s="6"/>
      <c r="K115" s="6"/>
    </row>
    <row r="116" spans="2:11" ht="36.75" thickBot="1" x14ac:dyDescent="0.3">
      <c r="B116" s="1806"/>
      <c r="C116" s="3"/>
      <c r="D116" s="62" t="s">
        <v>681</v>
      </c>
      <c r="E116" s="6"/>
      <c r="F116" s="6"/>
      <c r="G116" s="6"/>
      <c r="H116" s="6"/>
      <c r="I116" s="6"/>
      <c r="J116" s="6"/>
      <c r="K116" s="6"/>
    </row>
    <row r="117" spans="2:11" ht="36" x14ac:dyDescent="0.25">
      <c r="B117" s="1804" t="s">
        <v>90</v>
      </c>
      <c r="C117" s="94"/>
      <c r="D117" s="53" t="s">
        <v>682</v>
      </c>
      <c r="E117" s="6"/>
      <c r="F117" s="6"/>
      <c r="G117" s="6"/>
      <c r="H117" s="6"/>
      <c r="I117" s="6"/>
      <c r="J117" s="6"/>
      <c r="K117" s="6"/>
    </row>
    <row r="118" spans="2:11" x14ac:dyDescent="0.25">
      <c r="B118" s="1805"/>
      <c r="C118" s="94"/>
      <c r="D118" s="17"/>
      <c r="E118" s="6"/>
      <c r="F118" s="6"/>
      <c r="G118" s="6"/>
      <c r="H118" s="6"/>
      <c r="I118" s="6"/>
      <c r="J118" s="6"/>
      <c r="K118" s="6"/>
    </row>
    <row r="119" spans="2:11" x14ac:dyDescent="0.25">
      <c r="B119" s="1805"/>
      <c r="C119" s="94"/>
      <c r="D119" s="46" t="s">
        <v>91</v>
      </c>
      <c r="E119" s="6"/>
      <c r="F119" s="6"/>
      <c r="G119" s="6"/>
      <c r="H119" s="6"/>
      <c r="I119" s="6"/>
      <c r="J119" s="6"/>
      <c r="K119" s="6"/>
    </row>
    <row r="120" spans="2:11" ht="49.5" x14ac:dyDescent="0.25">
      <c r="B120" s="1805"/>
      <c r="C120" s="94"/>
      <c r="D120" s="46" t="s">
        <v>683</v>
      </c>
      <c r="E120" s="6"/>
      <c r="F120" s="6"/>
      <c r="G120" s="6"/>
      <c r="H120" s="6"/>
      <c r="I120" s="6"/>
      <c r="J120" s="6"/>
      <c r="K120" s="6"/>
    </row>
    <row r="121" spans="2:11" ht="37.5" x14ac:dyDescent="0.25">
      <c r="B121" s="1805"/>
      <c r="C121" s="94"/>
      <c r="D121" s="46" t="s">
        <v>684</v>
      </c>
      <c r="E121" s="6"/>
      <c r="F121" s="6"/>
      <c r="G121" s="6"/>
      <c r="H121" s="6"/>
      <c r="I121" s="6"/>
      <c r="J121" s="6"/>
      <c r="K121" s="6"/>
    </row>
    <row r="122" spans="2:11" ht="49.5" x14ac:dyDescent="0.25">
      <c r="B122" s="1805"/>
      <c r="C122" s="94"/>
      <c r="D122" s="46" t="s">
        <v>685</v>
      </c>
      <c r="E122" s="6"/>
      <c r="F122" s="6"/>
      <c r="G122" s="6"/>
      <c r="H122" s="6"/>
      <c r="I122" s="6"/>
      <c r="J122" s="6"/>
      <c r="K122" s="6"/>
    </row>
    <row r="123" spans="2:11" x14ac:dyDescent="0.25">
      <c r="B123" s="1805"/>
      <c r="C123" s="94"/>
      <c r="D123" s="53" t="s">
        <v>246</v>
      </c>
      <c r="E123" s="6"/>
      <c r="F123" s="6"/>
      <c r="G123" s="6"/>
      <c r="H123" s="6"/>
      <c r="I123" s="6"/>
      <c r="J123" s="6"/>
      <c r="K123" s="6"/>
    </row>
    <row r="124" spans="2:11" ht="48" x14ac:dyDescent="0.25">
      <c r="B124" s="1805"/>
      <c r="C124" s="94"/>
      <c r="D124" s="53" t="s">
        <v>686</v>
      </c>
      <c r="E124" s="6"/>
      <c r="F124" s="6"/>
      <c r="G124" s="6"/>
      <c r="H124" s="6"/>
      <c r="I124" s="6"/>
      <c r="J124" s="6"/>
      <c r="K124" s="6"/>
    </row>
    <row r="125" spans="2:11" x14ac:dyDescent="0.25">
      <c r="B125" s="1805"/>
      <c r="C125" s="94"/>
      <c r="D125" s="17"/>
      <c r="E125" s="6"/>
      <c r="F125" s="6"/>
      <c r="G125" s="6"/>
      <c r="H125" s="6"/>
      <c r="I125" s="6"/>
      <c r="J125" s="6"/>
      <c r="K125" s="6"/>
    </row>
    <row r="126" spans="2:11" x14ac:dyDescent="0.25">
      <c r="B126" s="1805"/>
      <c r="C126" s="94"/>
      <c r="D126" s="46" t="s">
        <v>91</v>
      </c>
      <c r="E126" s="6"/>
      <c r="F126" s="6"/>
      <c r="G126" s="6"/>
      <c r="H126" s="6"/>
      <c r="I126" s="6"/>
      <c r="J126" s="6"/>
      <c r="K126" s="6"/>
    </row>
    <row r="127" spans="2:11" ht="61.5" x14ac:dyDescent="0.25">
      <c r="B127" s="1805"/>
      <c r="C127" s="94"/>
      <c r="D127" s="46" t="s">
        <v>687</v>
      </c>
      <c r="E127" s="6"/>
      <c r="F127" s="6"/>
      <c r="G127" s="6"/>
      <c r="H127" s="6"/>
      <c r="I127" s="6"/>
      <c r="J127" s="6"/>
      <c r="K127" s="6"/>
    </row>
    <row r="128" spans="2:11" ht="61.5" x14ac:dyDescent="0.25">
      <c r="B128" s="1805"/>
      <c r="C128" s="94"/>
      <c r="D128" s="46" t="s">
        <v>688</v>
      </c>
      <c r="E128" s="6"/>
      <c r="F128" s="6"/>
      <c r="G128" s="6"/>
      <c r="H128" s="6"/>
      <c r="I128" s="6"/>
      <c r="J128" s="6"/>
      <c r="K128" s="6"/>
    </row>
    <row r="129" spans="2:11" ht="62.25" thickBot="1" x14ac:dyDescent="0.3">
      <c r="B129" s="1806"/>
      <c r="C129" s="3"/>
      <c r="D129" s="41" t="s">
        <v>689</v>
      </c>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row r="188" spans="2:11" x14ac:dyDescent="0.25">
      <c r="B188" s="6"/>
      <c r="D188" s="6"/>
      <c r="E188" s="6"/>
      <c r="F188" s="6"/>
      <c r="G188" s="6"/>
      <c r="H188" s="6"/>
      <c r="I188" s="6"/>
      <c r="J188" s="6"/>
      <c r="K188" s="6"/>
    </row>
  </sheetData>
  <sheetProtection insertRows="0"/>
  <mergeCells count="40">
    <mergeCell ref="B10:D10"/>
    <mergeCell ref="F10:S10"/>
    <mergeCell ref="F11:S11"/>
    <mergeCell ref="E12:R12"/>
    <mergeCell ref="E13:R13"/>
    <mergeCell ref="D16:K16"/>
    <mergeCell ref="D21:K21"/>
    <mergeCell ref="D40:D42"/>
    <mergeCell ref="E40:F40"/>
    <mergeCell ref="E41:E42"/>
    <mergeCell ref="G41:G42"/>
    <mergeCell ref="B97:B116"/>
    <mergeCell ref="B117:B129"/>
    <mergeCell ref="C24:C26"/>
    <mergeCell ref="D24:D26"/>
    <mergeCell ref="E24:E26"/>
    <mergeCell ref="B88:B95"/>
    <mergeCell ref="B67:E67"/>
    <mergeCell ref="B68:B74"/>
    <mergeCell ref="B15:B20"/>
    <mergeCell ref="B81:F82"/>
    <mergeCell ref="B76:F76"/>
    <mergeCell ref="D22:K22"/>
    <mergeCell ref="D23:K23"/>
    <mergeCell ref="D38:K38"/>
    <mergeCell ref="D39:K39"/>
    <mergeCell ref="B58:E58"/>
    <mergeCell ref="B59:B65"/>
    <mergeCell ref="F24:F26"/>
    <mergeCell ref="G24:J24"/>
    <mergeCell ref="H25:H26"/>
    <mergeCell ref="I25:I26"/>
    <mergeCell ref="J25:J26"/>
    <mergeCell ref="C40:C42"/>
    <mergeCell ref="D15:K15"/>
    <mergeCell ref="A1:P1"/>
    <mergeCell ref="A2:P2"/>
    <mergeCell ref="A3:P3"/>
    <mergeCell ref="A4:D4"/>
    <mergeCell ref="A5:P5"/>
  </mergeCells>
  <conditionalFormatting sqref="D53">
    <cfRule type="containsText" dxfId="57" priority="5" operator="containsText" text="ERROR">
      <formula>NOT(ISERROR(SEARCH("ERROR",D53)))</formula>
    </cfRule>
  </conditionalFormatting>
  <conditionalFormatting sqref="F10">
    <cfRule type="notContainsBlanks" dxfId="56" priority="4">
      <formula>LEN(TRIM(F10))&gt;0</formula>
    </cfRule>
  </conditionalFormatting>
  <conditionalFormatting sqref="F11:S11">
    <cfRule type="expression" dxfId="55" priority="2">
      <formula>E11="NO SE REPORTA"</formula>
    </cfRule>
    <cfRule type="expression" dxfId="54" priority="3">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36">
      <formula1>0</formula1>
    </dataValidation>
    <dataValidation type="decimal" allowBlank="1" showInputMessage="1" showErrorMessage="1" errorTitle="ERROR" error="Escriba un valor entre 0% y 100%" sqref="D43:D52">
      <formula1>0</formula1>
      <formula2>1</formula2>
    </dataValidation>
    <dataValidation allowBlank="1" showInputMessage="1" showErrorMessage="1" sqref="D53 I18:I19 G37:J37 E43:F53"/>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3" r:id="rId1"/>
  </hyperlinks>
  <pageMargins left="0.25" right="0.25" top="0.75" bottom="0.75" header="0.3" footer="0.3"/>
  <pageSetup paperSize="178"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28"/>
  <sheetViews>
    <sheetView workbookViewId="0">
      <selection sqref="A1:XFD1048576"/>
    </sheetView>
  </sheetViews>
  <sheetFormatPr baseColWidth="10" defaultRowHeight="12.75" x14ac:dyDescent="0.2"/>
  <cols>
    <col min="1" max="16384" width="11.42578125" style="722"/>
  </cols>
  <sheetData>
    <row r="1" spans="1:2" x14ac:dyDescent="0.2">
      <c r="A1" s="722" t="s">
        <v>1840</v>
      </c>
      <c r="B1" s="723" t="s">
        <v>1152</v>
      </c>
    </row>
    <row r="2" spans="1:2" x14ac:dyDescent="0.2">
      <c r="A2" s="722" t="s">
        <v>1841</v>
      </c>
      <c r="B2" s="723" t="s">
        <v>131</v>
      </c>
    </row>
    <row r="3" spans="1:2" x14ac:dyDescent="0.2">
      <c r="A3" s="722" t="s">
        <v>1842</v>
      </c>
      <c r="B3" s="723" t="s">
        <v>162</v>
      </c>
    </row>
    <row r="4" spans="1:2" x14ac:dyDescent="0.2">
      <c r="A4" s="722" t="s">
        <v>1843</v>
      </c>
      <c r="B4" s="723" t="s">
        <v>183</v>
      </c>
    </row>
    <row r="5" spans="1:2" x14ac:dyDescent="0.2">
      <c r="A5" s="722" t="s">
        <v>1844</v>
      </c>
      <c r="B5" s="723" t="s">
        <v>200</v>
      </c>
    </row>
    <row r="6" spans="1:2" x14ac:dyDescent="0.2">
      <c r="A6" s="722" t="s">
        <v>1845</v>
      </c>
      <c r="B6" s="723" t="s">
        <v>220</v>
      </c>
    </row>
    <row r="7" spans="1:2" x14ac:dyDescent="0.2">
      <c r="A7" s="722" t="s">
        <v>1846</v>
      </c>
      <c r="B7" s="723" t="s">
        <v>280</v>
      </c>
    </row>
    <row r="8" spans="1:2" x14ac:dyDescent="0.2">
      <c r="A8" s="722" t="s">
        <v>1847</v>
      </c>
      <c r="B8" s="723" t="s">
        <v>314</v>
      </c>
    </row>
    <row r="9" spans="1:2" x14ac:dyDescent="0.2">
      <c r="A9" s="722" t="s">
        <v>1848</v>
      </c>
      <c r="B9" s="723" t="s">
        <v>348</v>
      </c>
    </row>
    <row r="10" spans="1:2" x14ac:dyDescent="0.2">
      <c r="A10" s="722" t="s">
        <v>1849</v>
      </c>
      <c r="B10" s="723" t="s">
        <v>396</v>
      </c>
    </row>
    <row r="11" spans="1:2" x14ac:dyDescent="0.2">
      <c r="B11" s="723" t="s">
        <v>418</v>
      </c>
    </row>
    <row r="12" spans="1:2" x14ac:dyDescent="0.2">
      <c r="B12" s="723" t="s">
        <v>449</v>
      </c>
    </row>
    <row r="13" spans="1:2" x14ac:dyDescent="0.2">
      <c r="B13" s="723" t="s">
        <v>480</v>
      </c>
    </row>
    <row r="14" spans="1:2" x14ac:dyDescent="0.2">
      <c r="B14" s="723" t="s">
        <v>526</v>
      </c>
    </row>
    <row r="15" spans="1:2" x14ac:dyDescent="0.2">
      <c r="B15" s="723" t="s">
        <v>557</v>
      </c>
    </row>
    <row r="16" spans="1:2" x14ac:dyDescent="0.2">
      <c r="B16" s="723" t="s">
        <v>585</v>
      </c>
    </row>
    <row r="17" spans="2:2" x14ac:dyDescent="0.2">
      <c r="B17" s="723" t="s">
        <v>634</v>
      </c>
    </row>
    <row r="18" spans="2:2" x14ac:dyDescent="0.2">
      <c r="B18" s="723" t="s">
        <v>655</v>
      </c>
    </row>
    <row r="19" spans="2:2" x14ac:dyDescent="0.2">
      <c r="B19" s="723" t="s">
        <v>703</v>
      </c>
    </row>
    <row r="20" spans="2:2" x14ac:dyDescent="0.2">
      <c r="B20" s="723" t="s">
        <v>773</v>
      </c>
    </row>
    <row r="21" spans="2:2" x14ac:dyDescent="0.2">
      <c r="B21" s="723" t="s">
        <v>835</v>
      </c>
    </row>
    <row r="22" spans="2:2" x14ac:dyDescent="0.2">
      <c r="B22" s="723" t="s">
        <v>883</v>
      </c>
    </row>
    <row r="23" spans="2:2" x14ac:dyDescent="0.2">
      <c r="B23" s="723" t="s">
        <v>947</v>
      </c>
    </row>
    <row r="24" spans="2:2" x14ac:dyDescent="0.2">
      <c r="B24" s="723" t="s">
        <v>968</v>
      </c>
    </row>
    <row r="25" spans="2:2" x14ac:dyDescent="0.2">
      <c r="B25" s="723" t="s">
        <v>997</v>
      </c>
    </row>
    <row r="26" spans="2:2" x14ac:dyDescent="0.2">
      <c r="B26" s="723" t="s">
        <v>1070</v>
      </c>
    </row>
    <row r="27" spans="2:2" x14ac:dyDescent="0.2">
      <c r="B27" s="723" t="s">
        <v>1117</v>
      </c>
    </row>
    <row r="28" spans="2:2" x14ac:dyDescent="0.2">
      <c r="B28" s="722" t="s">
        <v>1849</v>
      </c>
    </row>
  </sheetData>
  <hyperlinks>
    <hyperlink ref="B1" location="'1POMCAS'!A1" display="Porcentaje de avance en la formulación y/o ajuste de los Planes de Ordenación y Manejo de Cuencas (POMCAS), Planes de Manejo de Acuíferos (PMA) y Planes de Manejo de Microcuencas (PMM)"/>
    <hyperlink ref="B2" location="'2PORH'!A1" display="Porcentaje de cuerpos de agua con planes de ordenamiento del recurso hídrico (PORH) adoptados"/>
    <hyperlink ref="B3" location="'3PSMV'!_Toc467769470" display="Porcentaje de Planes de Saneamiento y Manejo de Vertimientos (PSMV) con seguimiento"/>
    <hyperlink ref="B4" location="'4UsoAguas'!_Toc467769471" display="Porcentaje de cuerpos de agua con reglamentación del uso de las aguas"/>
    <hyperlink ref="B5" location="'5PUEAA'!_Toc467769472" display="Porcentaje de Programas de Uso Eficiente y Ahorro del Agua (PUEAA) con seguimiento"/>
    <hyperlink ref="B6" location="'6POMCASejec'!_Toc467769473" display="Porcentaje de Planes de Ordenación y Manejo de Cuencas (POMCAS), Planes de Manejo de Acuíferos (PMA) y Planes de Manejo de Microcuencas (PMM) en ejecución"/>
    <hyperlink ref="B7" location="'7Clima'!_Toc467769474" display="Porcentaje de entes territoriales asesorados en la incorporación, planificación y ejecución de acciones relacionadas con cambio climático en el marco de los instrumentos de planificación territorial"/>
    <hyperlink ref="B8" location="'8Suelo'!_Toc467769475" display="Porcentaje de suelos degradados en recuperación o rehabilitación"/>
    <hyperlink ref="B9" location="'9RUNAP'!_Toc467769476" display="Porcentaje de la superficie de áreas protegidas regionales declaradas, homologadas o recategorizadas, inscritas en el RUNAP"/>
    <hyperlink ref="B10" location="'10Paramos'!_Toc467769477" display="Porcentaje de páramos delimitados por el MADS, con zonificación y régimen de usos adoptados por la CAR"/>
    <hyperlink ref="B11" location="'11Forest'!_Toc467769478" display="Porcentaje de avance en la formulación del Plan de Ordenación Forestal"/>
    <hyperlink ref="B12" location="'12PlanesAP'!_Toc467769479" display="Porcentaje de áreas protegidas con planes de manejo en ejecución"/>
    <hyperlink ref="B13" location="'13Amenaz'!_Toc467769480" display="Porcentaje de especies amenazadas con medidas de conservación y manejo en ejecución"/>
    <hyperlink ref="B14" location="'14Invasor'!_Toc467769481" display="Porcentaje de especies invasoras con medidas de prevención, control y manejo en ejecución"/>
    <hyperlink ref="B15" location="'15Restaura'!_Toc467769482" display="Porcentaje de áreas de ecosistemas en restauración, rehabilitación y reforestación"/>
    <hyperlink ref="B16" location="'16MIZC'!_Toc467769483" display="Implementación de acciones en manejo integrado de zonas costeras"/>
    <hyperlink ref="B17" location="'17PGIRS'!_Toc467769484" display="Porcentaje de Planes de Gestión Integral de Residuos Sólidos (PGIRS) con seguimiento a metas de aprovechamiento"/>
    <hyperlink ref="B18" location="'18Sector'!_Toc467769485" display="Porcentaje de sectores con acompañamiento para la reconversión hacia sistemas sostenibles de producción"/>
    <hyperlink ref="B19" location="'19GAU'!_Toc467769486" display="Porcentaje de ejecución de acciones en Gestión Ambiental Urbana"/>
    <hyperlink ref="B20" location="'20Negoc'!_Toc467769487" display="Implementación del Programa Regional de Negocios Verdes por la autoridad ambiental"/>
    <hyperlink ref="B22" location="'22Autor'!_Toc467769489" display="Porcentaje de autorizaciones ambientales con seguimiento"/>
    <hyperlink ref="B23" location="'23Sanc'!_Toc467769490" display="Porcentaje de Procesos Sancionatorios Resueltos"/>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25" location="'25Redes'!_Toc467769492" display="Porcentaje de redes y estaciones de monitoreo en operación"/>
    <hyperlink ref="B26" location="'26SIAC'!_Toc467769493" display="Porcentaje de actualización y reporte de la información en el SIAC"/>
    <hyperlink ref="B27" location="'27Educa'!_Toc467769494" display="Ejecución de Acciones en Educación Ambiental"/>
    <hyperlink ref="B21" location="'21TiempoT'!_Toc467769488" display="Tiempo promedio de trámite para la resolución de autorizaciones ambientales otorgadas por la corporación"/>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U194"/>
  <sheetViews>
    <sheetView showGridLines="0" topLeftCell="B5" zoomScale="70" zoomScaleNormal="70"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24.85546875" customWidth="1"/>
    <col min="9" max="9" width="11.425781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703</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1188</v>
      </c>
      <c r="C8" s="222">
        <v>2021</v>
      </c>
      <c r="D8" s="226">
        <f>IF(E10="NO APLICA","NO APLICA",IF(E11="NO SE REPORTA","SIN INFORMACION",+I38))</f>
        <v>0.58350000000000002</v>
      </c>
      <c r="E8" s="223"/>
      <c r="F8" s="6" t="s">
        <v>130</v>
      </c>
      <c r="G8" s="6"/>
      <c r="H8" s="6"/>
      <c r="I8" s="6"/>
      <c r="J8" s="6"/>
      <c r="K8" s="6"/>
    </row>
    <row r="9" spans="1:21" x14ac:dyDescent="0.25">
      <c r="B9" s="497" t="s">
        <v>1189</v>
      </c>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Gestión'!A114</f>
        <v>Proyecto No 4.1. Gestión Ambiental Urbana</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6"/>
      <c r="J14" s="6"/>
      <c r="K14" s="6"/>
    </row>
    <row r="15" spans="1:21" ht="15" customHeight="1" thickTop="1" x14ac:dyDescent="0.25">
      <c r="B15" s="1823" t="s">
        <v>2</v>
      </c>
      <c r="C15" s="89"/>
      <c r="D15" s="1825" t="s">
        <v>336</v>
      </c>
      <c r="E15" s="1826"/>
      <c r="F15" s="1826"/>
      <c r="G15" s="1826"/>
      <c r="H15" s="1826"/>
      <c r="I15" s="1826"/>
      <c r="J15" s="1826"/>
      <c r="K15" s="1826"/>
      <c r="L15" s="1876"/>
    </row>
    <row r="16" spans="1:21" ht="15.75" thickBot="1" x14ac:dyDescent="0.3">
      <c r="B16" s="1824"/>
      <c r="C16" s="92"/>
      <c r="D16" s="1940" t="s">
        <v>752</v>
      </c>
      <c r="E16" s="1941"/>
      <c r="F16" s="1941"/>
      <c r="G16" s="1941"/>
      <c r="H16" s="1941"/>
      <c r="I16" s="1941"/>
      <c r="J16" s="1941"/>
      <c r="K16" s="1941"/>
      <c r="L16" s="1964"/>
    </row>
    <row r="17" spans="2:12" ht="15.75" thickBot="1" x14ac:dyDescent="0.3">
      <c r="B17" s="1824"/>
      <c r="C17" s="90" t="s">
        <v>19</v>
      </c>
      <c r="D17" s="39" t="s">
        <v>253</v>
      </c>
      <c r="E17" s="39" t="s">
        <v>20</v>
      </c>
      <c r="F17" s="39" t="s">
        <v>21</v>
      </c>
      <c r="G17" s="39" t="s">
        <v>22</v>
      </c>
      <c r="H17" s="39" t="s">
        <v>23</v>
      </c>
      <c r="I17" s="39" t="s">
        <v>254</v>
      </c>
      <c r="J17" s="6"/>
      <c r="L17" s="22"/>
    </row>
    <row r="18" spans="2:12" ht="24.75" thickBot="1" x14ac:dyDescent="0.3">
      <c r="B18" s="1824"/>
      <c r="C18" s="91" t="s">
        <v>152</v>
      </c>
      <c r="D18" s="41" t="s">
        <v>765</v>
      </c>
      <c r="E18" s="1027">
        <v>8</v>
      </c>
      <c r="F18" s="1027">
        <v>14</v>
      </c>
      <c r="G18" s="1027">
        <v>14</v>
      </c>
      <c r="H18" s="1027">
        <v>13</v>
      </c>
      <c r="I18" s="151">
        <f>SUM(E18:H18)</f>
        <v>49</v>
      </c>
      <c r="J18" s="6"/>
      <c r="L18" s="22"/>
    </row>
    <row r="19" spans="2:12" x14ac:dyDescent="0.25">
      <c r="B19" s="1824"/>
      <c r="C19" s="92"/>
      <c r="D19" s="1828"/>
      <c r="E19" s="1829"/>
      <c r="F19" s="1829"/>
      <c r="G19" s="1829"/>
      <c r="H19" s="1829"/>
      <c r="I19" s="1829"/>
      <c r="J19" s="1829"/>
      <c r="K19" s="1829"/>
      <c r="L19" s="1861"/>
    </row>
    <row r="20" spans="2:12" ht="15.75" thickBot="1" x14ac:dyDescent="0.3">
      <c r="B20" s="436"/>
      <c r="C20" s="92"/>
      <c r="D20" s="1828" t="s">
        <v>766</v>
      </c>
      <c r="E20" s="1829"/>
      <c r="F20" s="1829"/>
      <c r="G20" s="1829"/>
      <c r="H20" s="1829"/>
      <c r="I20" s="1829"/>
      <c r="J20" s="1829"/>
      <c r="K20" s="1829"/>
      <c r="L20" s="1861"/>
    </row>
    <row r="21" spans="2:12" ht="15.75" thickBot="1" x14ac:dyDescent="0.3">
      <c r="B21" s="436"/>
      <c r="C21" s="1894" t="s">
        <v>19</v>
      </c>
      <c r="D21" s="1804" t="s">
        <v>270</v>
      </c>
      <c r="E21" s="1804" t="s">
        <v>619</v>
      </c>
      <c r="F21" s="1966" t="s">
        <v>620</v>
      </c>
      <c r="G21" s="1967"/>
      <c r="H21" s="1967"/>
      <c r="I21" s="1967"/>
      <c r="J21" s="1968"/>
      <c r="L21" s="22"/>
    </row>
    <row r="22" spans="2:12" ht="36.75" thickBot="1" x14ac:dyDescent="0.3">
      <c r="B22" s="436"/>
      <c r="C22" s="1895"/>
      <c r="D22" s="1806"/>
      <c r="E22" s="1806"/>
      <c r="F22" s="41" t="s">
        <v>621</v>
      </c>
      <c r="G22" s="41" t="s">
        <v>622</v>
      </c>
      <c r="H22" s="41" t="s">
        <v>623</v>
      </c>
      <c r="I22" s="41" t="s">
        <v>624</v>
      </c>
      <c r="J22" s="41" t="s">
        <v>55</v>
      </c>
      <c r="L22" s="22"/>
    </row>
    <row r="23" spans="2:12" s="774" customFormat="1" ht="60.75" thickBot="1" x14ac:dyDescent="0.3">
      <c r="B23" s="1152"/>
      <c r="C23" s="1190">
        <v>1</v>
      </c>
      <c r="D23" s="1181" t="s">
        <v>3175</v>
      </c>
      <c r="E23" s="1182" t="s">
        <v>3176</v>
      </c>
      <c r="F23" s="1192">
        <f>+G23*H23</f>
        <v>0.1</v>
      </c>
      <c r="G23" s="1192">
        <v>1</v>
      </c>
      <c r="H23" s="1192">
        <v>0.1</v>
      </c>
      <c r="I23" s="155">
        <f t="shared" ref="I23:I29" si="0">+G23*H23</f>
        <v>0.1</v>
      </c>
      <c r="J23" s="1153"/>
      <c r="L23" s="22"/>
    </row>
    <row r="24" spans="2:12" s="774" customFormat="1" ht="72.75" thickBot="1" x14ac:dyDescent="0.3">
      <c r="B24" s="1152"/>
      <c r="C24" s="1191">
        <v>2</v>
      </c>
      <c r="D24" s="1186" t="s">
        <v>2742</v>
      </c>
      <c r="E24" s="1187" t="s">
        <v>3177</v>
      </c>
      <c r="F24" s="1193">
        <f>+G24*H24</f>
        <v>0</v>
      </c>
      <c r="G24" s="1193">
        <v>0</v>
      </c>
      <c r="H24" s="1193">
        <v>0.03</v>
      </c>
      <c r="I24" s="155">
        <f t="shared" si="0"/>
        <v>0</v>
      </c>
      <c r="J24" s="1153"/>
      <c r="L24" s="22"/>
    </row>
    <row r="25" spans="2:12" s="774" customFormat="1" ht="48.75" thickBot="1" x14ac:dyDescent="0.3">
      <c r="B25" s="1152"/>
      <c r="C25" s="1191">
        <v>3</v>
      </c>
      <c r="D25" s="1186" t="s">
        <v>2743</v>
      </c>
      <c r="E25" s="1187" t="s">
        <v>3177</v>
      </c>
      <c r="F25" s="1193">
        <f>+G25*H25</f>
        <v>3.3500000000000002E-2</v>
      </c>
      <c r="G25" s="1193">
        <v>0.67</v>
      </c>
      <c r="H25" s="1193">
        <v>0.05</v>
      </c>
      <c r="I25" s="155">
        <f t="shared" si="0"/>
        <v>3.3500000000000002E-2</v>
      </c>
      <c r="J25" s="1153"/>
      <c r="L25" s="22"/>
    </row>
    <row r="26" spans="2:12" s="774" customFormat="1" ht="60.75" thickBot="1" x14ac:dyDescent="0.3">
      <c r="B26" s="1152"/>
      <c r="C26" s="1190">
        <v>4</v>
      </c>
      <c r="D26" s="1181" t="s">
        <v>3178</v>
      </c>
      <c r="E26" s="1182" t="s">
        <v>3176</v>
      </c>
      <c r="F26" s="1192">
        <f t="shared" ref="F26:F37" si="1">+G26*H26</f>
        <v>0.08</v>
      </c>
      <c r="G26" s="1192">
        <v>1</v>
      </c>
      <c r="H26" s="1192">
        <v>0.08</v>
      </c>
      <c r="I26" s="155">
        <f t="shared" si="0"/>
        <v>0.08</v>
      </c>
      <c r="J26" s="1153"/>
      <c r="L26" s="22"/>
    </row>
    <row r="27" spans="2:12" s="774" customFormat="1" ht="48.75" thickBot="1" x14ac:dyDescent="0.3">
      <c r="B27" s="1152"/>
      <c r="C27" s="1190">
        <v>5</v>
      </c>
      <c r="D27" s="1181" t="s">
        <v>3179</v>
      </c>
      <c r="E27" s="1182" t="s">
        <v>3176</v>
      </c>
      <c r="F27" s="1192">
        <f t="shared" si="1"/>
        <v>0.04</v>
      </c>
      <c r="G27" s="1192">
        <v>0.5</v>
      </c>
      <c r="H27" s="1192">
        <v>0.08</v>
      </c>
      <c r="I27" s="155">
        <f t="shared" si="0"/>
        <v>0.04</v>
      </c>
      <c r="J27" s="1153"/>
      <c r="L27" s="22"/>
    </row>
    <row r="28" spans="2:12" s="774" customFormat="1" ht="48.75" thickBot="1" x14ac:dyDescent="0.3">
      <c r="B28" s="1152"/>
      <c r="C28" s="1191">
        <v>6</v>
      </c>
      <c r="D28" s="1186" t="s">
        <v>2747</v>
      </c>
      <c r="E28" s="1187" t="s">
        <v>3180</v>
      </c>
      <c r="F28" s="1193">
        <f>+G28*H28</f>
        <v>0</v>
      </c>
      <c r="G28" s="1193">
        <v>0</v>
      </c>
      <c r="H28" s="1193">
        <v>0.05</v>
      </c>
      <c r="I28" s="155">
        <f t="shared" si="0"/>
        <v>0</v>
      </c>
      <c r="J28" s="1153"/>
      <c r="L28" s="22"/>
    </row>
    <row r="29" spans="2:12" s="774" customFormat="1" ht="48.75" thickBot="1" x14ac:dyDescent="0.3">
      <c r="B29" s="1152"/>
      <c r="C29" s="1190">
        <v>7</v>
      </c>
      <c r="D29" s="1181" t="s">
        <v>3181</v>
      </c>
      <c r="E29" s="1182" t="s">
        <v>3176</v>
      </c>
      <c r="F29" s="1192">
        <f t="shared" si="1"/>
        <v>0.05</v>
      </c>
      <c r="G29" s="1192">
        <v>1</v>
      </c>
      <c r="H29" s="1192">
        <v>0.05</v>
      </c>
      <c r="I29" s="155">
        <f t="shared" si="0"/>
        <v>0.05</v>
      </c>
      <c r="J29" s="1153"/>
      <c r="L29" s="22"/>
    </row>
    <row r="30" spans="2:12" ht="72.75" thickBot="1" x14ac:dyDescent="0.3">
      <c r="B30" s="436"/>
      <c r="C30" s="1191">
        <v>8</v>
      </c>
      <c r="D30" s="1186" t="s">
        <v>2748</v>
      </c>
      <c r="E30" s="1187" t="s">
        <v>3182</v>
      </c>
      <c r="F30" s="1193">
        <f t="shared" si="1"/>
        <v>0.08</v>
      </c>
      <c r="G30" s="1193">
        <v>1</v>
      </c>
      <c r="H30" s="1193">
        <v>0.08</v>
      </c>
      <c r="I30" s="155">
        <f>+G30*H30</f>
        <v>0.08</v>
      </c>
      <c r="J30" s="31"/>
      <c r="L30" s="22"/>
    </row>
    <row r="31" spans="2:12" s="774" customFormat="1" ht="72.75" thickBot="1" x14ac:dyDescent="0.3">
      <c r="B31" s="1152"/>
      <c r="C31" s="1190">
        <v>9</v>
      </c>
      <c r="D31" s="1189" t="s">
        <v>3183</v>
      </c>
      <c r="E31" s="1182" t="s">
        <v>3182</v>
      </c>
      <c r="F31" s="1192">
        <f t="shared" si="1"/>
        <v>0.08</v>
      </c>
      <c r="G31" s="1194">
        <v>1</v>
      </c>
      <c r="H31" s="1192">
        <v>0.08</v>
      </c>
      <c r="I31" s="155">
        <f t="shared" ref="I31:I37" si="2">+G31*H31</f>
        <v>0.08</v>
      </c>
      <c r="J31" s="31"/>
      <c r="L31" s="22"/>
    </row>
    <row r="32" spans="2:12" ht="96.75" thickBot="1" x14ac:dyDescent="0.3">
      <c r="B32" s="436"/>
      <c r="C32" s="1190">
        <v>10</v>
      </c>
      <c r="D32" s="1181" t="s">
        <v>3184</v>
      </c>
      <c r="E32" s="1182" t="s">
        <v>3185</v>
      </c>
      <c r="F32" s="1192">
        <f t="shared" si="1"/>
        <v>0.04</v>
      </c>
      <c r="G32" s="1192">
        <v>0.5</v>
      </c>
      <c r="H32" s="1192">
        <v>0.08</v>
      </c>
      <c r="I32" s="155">
        <f t="shared" si="2"/>
        <v>0.04</v>
      </c>
      <c r="J32" s="31"/>
      <c r="L32" s="22"/>
    </row>
    <row r="33" spans="2:12" ht="72.75" thickBot="1" x14ac:dyDescent="0.3">
      <c r="B33" s="436"/>
      <c r="C33" s="1190">
        <v>11</v>
      </c>
      <c r="D33" s="1181" t="s">
        <v>3186</v>
      </c>
      <c r="E33" s="1182" t="s">
        <v>3182</v>
      </c>
      <c r="F33" s="1192">
        <f t="shared" si="1"/>
        <v>0.08</v>
      </c>
      <c r="G33" s="1192">
        <v>1</v>
      </c>
      <c r="H33" s="1192">
        <v>0.08</v>
      </c>
      <c r="I33" s="155">
        <f t="shared" si="2"/>
        <v>0.08</v>
      </c>
      <c r="J33" s="31"/>
      <c r="L33" s="22"/>
    </row>
    <row r="34" spans="2:12" ht="60.75" thickBot="1" x14ac:dyDescent="0.3">
      <c r="B34" s="436"/>
      <c r="C34" s="1190">
        <v>12</v>
      </c>
      <c r="D34" s="1181" t="s">
        <v>3187</v>
      </c>
      <c r="E34" s="1182" t="s">
        <v>3188</v>
      </c>
      <c r="F34" s="1192">
        <f t="shared" si="1"/>
        <v>0</v>
      </c>
      <c r="G34" s="1192">
        <v>0</v>
      </c>
      <c r="H34" s="1192">
        <v>0.04</v>
      </c>
      <c r="I34" s="155">
        <f t="shared" si="2"/>
        <v>0</v>
      </c>
      <c r="J34" s="31"/>
      <c r="L34" s="22"/>
    </row>
    <row r="35" spans="2:12" ht="60.75" thickBot="1" x14ac:dyDescent="0.3">
      <c r="B35" s="436"/>
      <c r="C35" s="1191">
        <v>13</v>
      </c>
      <c r="D35" s="1186" t="s">
        <v>2755</v>
      </c>
      <c r="E35" s="1187" t="s">
        <v>3189</v>
      </c>
      <c r="F35" s="1193">
        <f>+G35*H35</f>
        <v>0</v>
      </c>
      <c r="G35" s="1193">
        <v>0</v>
      </c>
      <c r="H35" s="1193">
        <v>0.05</v>
      </c>
      <c r="I35" s="155">
        <f t="shared" si="2"/>
        <v>0</v>
      </c>
      <c r="J35" s="31"/>
      <c r="L35" s="22"/>
    </row>
    <row r="36" spans="2:12" ht="72.75" thickBot="1" x14ac:dyDescent="0.3">
      <c r="B36" s="436"/>
      <c r="C36" s="1191">
        <v>14</v>
      </c>
      <c r="D36" s="1186" t="s">
        <v>2754</v>
      </c>
      <c r="E36" s="1187" t="s">
        <v>3189</v>
      </c>
      <c r="F36" s="1193">
        <f>+G36*H36</f>
        <v>0</v>
      </c>
      <c r="G36" s="1193">
        <v>0</v>
      </c>
      <c r="H36" s="1193">
        <v>0.05</v>
      </c>
      <c r="I36" s="155">
        <f t="shared" si="2"/>
        <v>0</v>
      </c>
      <c r="J36" s="31"/>
      <c r="L36" s="22"/>
    </row>
    <row r="37" spans="2:12" ht="48.75" thickBot="1" x14ac:dyDescent="0.3">
      <c r="B37" s="436"/>
      <c r="C37" s="1191">
        <v>15</v>
      </c>
      <c r="D37" s="1186" t="s">
        <v>2753</v>
      </c>
      <c r="E37" s="1187" t="s">
        <v>3189</v>
      </c>
      <c r="F37" s="1193">
        <f t="shared" si="1"/>
        <v>0</v>
      </c>
      <c r="G37" s="1193">
        <v>0</v>
      </c>
      <c r="H37" s="1193">
        <v>0.1</v>
      </c>
      <c r="I37" s="155">
        <f t="shared" si="2"/>
        <v>0</v>
      </c>
      <c r="J37" s="31"/>
      <c r="L37" s="22"/>
    </row>
    <row r="38" spans="2:12" ht="15.75" thickBot="1" x14ac:dyDescent="0.3">
      <c r="B38" s="436"/>
      <c r="C38" s="94"/>
      <c r="D38" s="40"/>
      <c r="E38" s="40" t="s">
        <v>151</v>
      </c>
      <c r="F38" s="40"/>
      <c r="G38" s="40"/>
      <c r="H38" s="207" t="str">
        <f>Formulas!$D$23</f>
        <v>ERROR: LA SUMA DE LA COLUMNA DEBE SER 100%</v>
      </c>
      <c r="I38" s="155">
        <f>Formulas!$E$23</f>
        <v>0.58350000000000002</v>
      </c>
      <c r="J38" s="31"/>
      <c r="L38" s="22"/>
    </row>
    <row r="39" spans="2:12" x14ac:dyDescent="0.25">
      <c r="B39" s="436"/>
      <c r="C39" s="92"/>
      <c r="D39" s="1828" t="s">
        <v>630</v>
      </c>
      <c r="E39" s="1829"/>
      <c r="F39" s="1829"/>
      <c r="G39" s="1829"/>
      <c r="H39" s="1829"/>
      <c r="I39" s="1829"/>
      <c r="J39" s="1829"/>
      <c r="K39" s="1829"/>
      <c r="L39" s="1861"/>
    </row>
    <row r="40" spans="2:12" x14ac:dyDescent="0.25">
      <c r="B40" s="436"/>
      <c r="C40" s="92"/>
      <c r="D40" s="1810" t="s">
        <v>246</v>
      </c>
      <c r="E40" s="1811"/>
      <c r="F40" s="1811"/>
      <c r="G40" s="1811"/>
      <c r="H40" s="1811"/>
      <c r="I40" s="1811"/>
      <c r="J40" s="1811"/>
      <c r="K40" s="1811"/>
      <c r="L40" s="1862"/>
    </row>
    <row r="41" spans="2:12" ht="15.75" thickBot="1" x14ac:dyDescent="0.3">
      <c r="B41" s="436"/>
      <c r="C41" s="92"/>
      <c r="D41" s="1813" t="s">
        <v>767</v>
      </c>
      <c r="E41" s="1814"/>
      <c r="F41" s="1814"/>
      <c r="G41" s="1814"/>
      <c r="H41" s="1814"/>
      <c r="I41" s="1814"/>
      <c r="J41" s="1814"/>
      <c r="K41" s="1814"/>
      <c r="L41" s="1965"/>
    </row>
    <row r="42" spans="2:12" ht="15.75" thickBot="1" x14ac:dyDescent="0.3">
      <c r="B42" s="436"/>
      <c r="C42" s="1894" t="s">
        <v>19</v>
      </c>
      <c r="D42" s="1864" t="s">
        <v>270</v>
      </c>
      <c r="E42" s="1864" t="s">
        <v>619</v>
      </c>
      <c r="F42" s="1966" t="s">
        <v>693</v>
      </c>
      <c r="G42" s="1967"/>
      <c r="H42" s="1967"/>
      <c r="I42" s="1967"/>
      <c r="J42" s="1967"/>
      <c r="K42" s="1968"/>
      <c r="L42" s="119"/>
    </row>
    <row r="43" spans="2:12" ht="23.25" thickBot="1" x14ac:dyDescent="0.3">
      <c r="B43" s="436"/>
      <c r="C43" s="1895"/>
      <c r="D43" s="1865"/>
      <c r="E43" s="1865"/>
      <c r="F43" s="65" t="s">
        <v>768</v>
      </c>
      <c r="G43" s="66" t="s">
        <v>344</v>
      </c>
      <c r="H43" s="66" t="s">
        <v>274</v>
      </c>
      <c r="I43" s="66" t="s">
        <v>275</v>
      </c>
      <c r="J43" s="66" t="s">
        <v>769</v>
      </c>
      <c r="K43" s="66" t="s">
        <v>770</v>
      </c>
      <c r="L43" s="12"/>
    </row>
    <row r="44" spans="2:12" ht="60.75" thickBot="1" x14ac:dyDescent="0.3">
      <c r="B44" s="436"/>
      <c r="C44" s="1180">
        <v>1</v>
      </c>
      <c r="D44" s="1181" t="s">
        <v>3175</v>
      </c>
      <c r="E44" s="1182" t="s">
        <v>3176</v>
      </c>
      <c r="F44" s="1183">
        <v>46700298.909999996</v>
      </c>
      <c r="G44" s="1183">
        <v>50036034.57</v>
      </c>
      <c r="H44" s="1183">
        <v>24017297</v>
      </c>
      <c r="I44" s="1184">
        <v>6304509</v>
      </c>
      <c r="J44" s="150">
        <f>+H44/G44</f>
        <v>0.48000000812214644</v>
      </c>
      <c r="K44" s="150">
        <f>+I44/H44</f>
        <v>0.26249869000662313</v>
      </c>
      <c r="L44" s="12"/>
    </row>
    <row r="45" spans="2:12" ht="72.75" thickBot="1" x14ac:dyDescent="0.3">
      <c r="B45" s="436"/>
      <c r="C45" s="1185">
        <v>2</v>
      </c>
      <c r="D45" s="1186" t="s">
        <v>2742</v>
      </c>
      <c r="E45" s="1187" t="s">
        <v>3177</v>
      </c>
      <c r="F45" s="1183">
        <v>46700298.909999996</v>
      </c>
      <c r="G45" s="1183">
        <v>50036034.57</v>
      </c>
      <c r="H45" s="1183">
        <v>24017297</v>
      </c>
      <c r="I45" s="1184">
        <v>6304509</v>
      </c>
      <c r="J45" s="150">
        <f t="shared" ref="J45:J59" si="3">+H45/G45</f>
        <v>0.48000000812214644</v>
      </c>
      <c r="K45" s="150">
        <f t="shared" ref="K45:K59" si="4">+I45/H45</f>
        <v>0.26249869000662313</v>
      </c>
      <c r="L45" s="12"/>
    </row>
    <row r="46" spans="2:12" ht="48.75" thickBot="1" x14ac:dyDescent="0.3">
      <c r="B46" s="436"/>
      <c r="C46" s="1185">
        <v>3</v>
      </c>
      <c r="D46" s="1186" t="s">
        <v>2743</v>
      </c>
      <c r="E46" s="1187" t="s">
        <v>3177</v>
      </c>
      <c r="F46" s="1183">
        <v>46700298.909999996</v>
      </c>
      <c r="G46" s="1183">
        <v>50036034.57</v>
      </c>
      <c r="H46" s="1183">
        <v>24017297</v>
      </c>
      <c r="I46" s="1184">
        <v>6304509</v>
      </c>
      <c r="J46" s="150">
        <f t="shared" si="3"/>
        <v>0.48000000812214644</v>
      </c>
      <c r="K46" s="150">
        <f t="shared" si="4"/>
        <v>0.26249869000662313</v>
      </c>
      <c r="L46" s="12"/>
    </row>
    <row r="47" spans="2:12" ht="60.75" thickBot="1" x14ac:dyDescent="0.3">
      <c r="B47" s="436"/>
      <c r="C47" s="1188">
        <v>5</v>
      </c>
      <c r="D47" s="1181" t="s">
        <v>3178</v>
      </c>
      <c r="E47" s="1182" t="s">
        <v>3176</v>
      </c>
      <c r="F47" s="1183">
        <v>46700298.909999996</v>
      </c>
      <c r="G47" s="1183">
        <v>50036034.57</v>
      </c>
      <c r="H47" s="1183">
        <v>24017297</v>
      </c>
      <c r="I47" s="1184">
        <v>6304509</v>
      </c>
      <c r="J47" s="150">
        <f t="shared" si="3"/>
        <v>0.48000000812214644</v>
      </c>
      <c r="K47" s="150">
        <f t="shared" si="4"/>
        <v>0.26249869000662313</v>
      </c>
      <c r="L47" s="12"/>
    </row>
    <row r="48" spans="2:12" ht="48.75" thickBot="1" x14ac:dyDescent="0.3">
      <c r="B48" s="436"/>
      <c r="C48" s="1188">
        <v>4</v>
      </c>
      <c r="D48" s="1181" t="s">
        <v>3179</v>
      </c>
      <c r="E48" s="1182" t="s">
        <v>3176</v>
      </c>
      <c r="F48" s="1183">
        <v>46700298.909999996</v>
      </c>
      <c r="G48" s="1183">
        <v>50036034.57</v>
      </c>
      <c r="H48" s="1183">
        <v>24017297</v>
      </c>
      <c r="I48" s="1184">
        <v>6304509</v>
      </c>
      <c r="J48" s="150">
        <f t="shared" si="3"/>
        <v>0.48000000812214644</v>
      </c>
      <c r="K48" s="150">
        <f t="shared" si="4"/>
        <v>0.26249869000662313</v>
      </c>
      <c r="L48" s="12"/>
    </row>
    <row r="49" spans="2:12" ht="48.75" thickBot="1" x14ac:dyDescent="0.3">
      <c r="B49" s="436"/>
      <c r="C49" s="1185">
        <v>6</v>
      </c>
      <c r="D49" s="1186" t="s">
        <v>2747</v>
      </c>
      <c r="E49" s="1187" t="s">
        <v>3180</v>
      </c>
      <c r="F49" s="1183">
        <v>46700298.909999996</v>
      </c>
      <c r="G49" s="1183">
        <v>50036034.57</v>
      </c>
      <c r="H49" s="1183">
        <v>24017297</v>
      </c>
      <c r="I49" s="1184">
        <v>6304509</v>
      </c>
      <c r="J49" s="150">
        <f t="shared" si="3"/>
        <v>0.48000000812214644</v>
      </c>
      <c r="K49" s="150">
        <f t="shared" si="4"/>
        <v>0.26249869000662313</v>
      </c>
      <c r="L49" s="12"/>
    </row>
    <row r="50" spans="2:12" s="774" customFormat="1" ht="48.75" thickBot="1" x14ac:dyDescent="0.3">
      <c r="B50" s="1152"/>
      <c r="C50" s="1188">
        <v>7</v>
      </c>
      <c r="D50" s="1181" t="s">
        <v>3181</v>
      </c>
      <c r="E50" s="1182" t="s">
        <v>3176</v>
      </c>
      <c r="F50" s="1183">
        <v>46700298.909999996</v>
      </c>
      <c r="G50" s="1183">
        <v>50036034.57</v>
      </c>
      <c r="H50" s="1183">
        <v>24017297</v>
      </c>
      <c r="I50" s="1184">
        <v>6304509</v>
      </c>
      <c r="J50" s="150"/>
      <c r="K50" s="150"/>
      <c r="L50" s="12"/>
    </row>
    <row r="51" spans="2:12" s="774" customFormat="1" ht="72.75" thickBot="1" x14ac:dyDescent="0.3">
      <c r="B51" s="1152"/>
      <c r="C51" s="1185">
        <v>8</v>
      </c>
      <c r="D51" s="1186" t="s">
        <v>2748</v>
      </c>
      <c r="E51" s="1187" t="s">
        <v>3182</v>
      </c>
      <c r="F51" s="1183">
        <v>46700298.909999996</v>
      </c>
      <c r="G51" s="1183">
        <v>50036034.57</v>
      </c>
      <c r="H51" s="1183">
        <v>24017297</v>
      </c>
      <c r="I51" s="1184">
        <v>6304509</v>
      </c>
      <c r="J51" s="150"/>
      <c r="K51" s="150"/>
      <c r="L51" s="12"/>
    </row>
    <row r="52" spans="2:12" s="774" customFormat="1" ht="72.75" thickBot="1" x14ac:dyDescent="0.3">
      <c r="B52" s="1152"/>
      <c r="C52" s="1188">
        <v>9</v>
      </c>
      <c r="D52" s="1189" t="s">
        <v>3183</v>
      </c>
      <c r="E52" s="1182" t="s">
        <v>3182</v>
      </c>
      <c r="F52" s="1183">
        <v>46700298.909999996</v>
      </c>
      <c r="G52" s="1183">
        <v>50036034.57</v>
      </c>
      <c r="H52" s="1183">
        <v>24017297</v>
      </c>
      <c r="I52" s="1184">
        <v>6304509</v>
      </c>
      <c r="J52" s="150"/>
      <c r="K52" s="150"/>
      <c r="L52" s="12"/>
    </row>
    <row r="53" spans="2:12" s="774" customFormat="1" ht="96.75" thickBot="1" x14ac:dyDescent="0.3">
      <c r="B53" s="1152"/>
      <c r="C53" s="1190">
        <v>10</v>
      </c>
      <c r="D53" s="1181" t="s">
        <v>3184</v>
      </c>
      <c r="E53" s="1182" t="s">
        <v>3185</v>
      </c>
      <c r="F53" s="1183">
        <v>46700298.909999996</v>
      </c>
      <c r="G53" s="1183">
        <v>50036034.57</v>
      </c>
      <c r="H53" s="1183">
        <v>24017297</v>
      </c>
      <c r="I53" s="1184">
        <v>6304509</v>
      </c>
      <c r="J53" s="150"/>
      <c r="K53" s="150"/>
      <c r="L53" s="12"/>
    </row>
    <row r="54" spans="2:12" s="774" customFormat="1" ht="72.75" thickBot="1" x14ac:dyDescent="0.3">
      <c r="B54" s="1152"/>
      <c r="C54" s="1190">
        <v>11</v>
      </c>
      <c r="D54" s="1181" t="s">
        <v>3186</v>
      </c>
      <c r="E54" s="1182" t="s">
        <v>3182</v>
      </c>
      <c r="F54" s="1183">
        <v>46700298.909999996</v>
      </c>
      <c r="G54" s="1183">
        <v>50036034.57</v>
      </c>
      <c r="H54" s="1183">
        <v>24017297</v>
      </c>
      <c r="I54" s="1184">
        <v>6304509</v>
      </c>
      <c r="J54" s="150"/>
      <c r="K54" s="150"/>
      <c r="L54" s="12"/>
    </row>
    <row r="55" spans="2:12" s="774" customFormat="1" ht="60.75" thickBot="1" x14ac:dyDescent="0.3">
      <c r="B55" s="1152"/>
      <c r="C55" s="1190">
        <v>12</v>
      </c>
      <c r="D55" s="1181" t="s">
        <v>3187</v>
      </c>
      <c r="E55" s="1182" t="s">
        <v>3188</v>
      </c>
      <c r="F55" s="1183">
        <v>46700298.909999996</v>
      </c>
      <c r="G55" s="1183">
        <v>50036034.57</v>
      </c>
      <c r="H55" s="1183">
        <v>24017297</v>
      </c>
      <c r="I55" s="1184">
        <v>6304509</v>
      </c>
      <c r="J55" s="150"/>
      <c r="K55" s="150"/>
      <c r="L55" s="12"/>
    </row>
    <row r="56" spans="2:12" s="774" customFormat="1" ht="60.75" thickBot="1" x14ac:dyDescent="0.3">
      <c r="B56" s="1152"/>
      <c r="C56" s="1191">
        <v>13</v>
      </c>
      <c r="D56" s="1186" t="s">
        <v>2755</v>
      </c>
      <c r="E56" s="1187" t="s">
        <v>3189</v>
      </c>
      <c r="F56" s="1183">
        <v>46700298.909999996</v>
      </c>
      <c r="G56" s="1183"/>
      <c r="H56" s="1183"/>
      <c r="I56" s="1184"/>
      <c r="J56" s="150"/>
      <c r="K56" s="150"/>
      <c r="L56" s="12"/>
    </row>
    <row r="57" spans="2:12" s="774" customFormat="1" ht="72.75" thickBot="1" x14ac:dyDescent="0.3">
      <c r="B57" s="1152"/>
      <c r="C57" s="1191">
        <v>14</v>
      </c>
      <c r="D57" s="1186" t="s">
        <v>2754</v>
      </c>
      <c r="E57" s="1187" t="s">
        <v>3189</v>
      </c>
      <c r="F57" s="1183">
        <v>46700298.909999996</v>
      </c>
      <c r="G57" s="1183">
        <v>50036034.57</v>
      </c>
      <c r="H57" s="1183">
        <v>24017297</v>
      </c>
      <c r="I57" s="1184">
        <v>6304509</v>
      </c>
      <c r="J57" s="150"/>
      <c r="K57" s="150"/>
      <c r="L57" s="12"/>
    </row>
    <row r="58" spans="2:12" ht="48.75" thickBot="1" x14ac:dyDescent="0.3">
      <c r="B58" s="436"/>
      <c r="C58" s="1191">
        <v>15</v>
      </c>
      <c r="D58" s="1186" t="s">
        <v>2753</v>
      </c>
      <c r="E58" s="1187" t="s">
        <v>3189</v>
      </c>
      <c r="F58" s="1183">
        <v>46700298.909999996</v>
      </c>
      <c r="G58" s="1183">
        <v>50036034.57</v>
      </c>
      <c r="H58" s="1183">
        <v>24017297</v>
      </c>
      <c r="I58" s="1184">
        <v>6304509</v>
      </c>
      <c r="J58" s="150">
        <f t="shared" si="3"/>
        <v>0.48000000812214644</v>
      </c>
      <c r="K58" s="150">
        <f t="shared" si="4"/>
        <v>0.26249869000662313</v>
      </c>
      <c r="L58" s="12"/>
    </row>
    <row r="59" spans="2:12" ht="15.75" thickBot="1" x14ac:dyDescent="0.3">
      <c r="B59" s="436"/>
      <c r="C59" s="101"/>
      <c r="D59" s="2"/>
      <c r="E59" s="45" t="s">
        <v>151</v>
      </c>
      <c r="F59" s="2"/>
      <c r="G59" s="142">
        <f>SUM(G44:G58)</f>
        <v>700504483.98000014</v>
      </c>
      <c r="H59" s="142">
        <f>SUM(H44:H58)</f>
        <v>336242158</v>
      </c>
      <c r="I59" s="142">
        <f>SUM(I44:I58)</f>
        <v>88263126</v>
      </c>
      <c r="J59" s="150">
        <f t="shared" si="3"/>
        <v>0.48000000812214633</v>
      </c>
      <c r="K59" s="150">
        <f t="shared" si="4"/>
        <v>0.26249869000662313</v>
      </c>
      <c r="L59" s="120"/>
    </row>
    <row r="60" spans="2:12" ht="15.75" thickBot="1" x14ac:dyDescent="0.3">
      <c r="B60" s="437"/>
      <c r="C60" s="93"/>
      <c r="D60" s="1856" t="s">
        <v>630</v>
      </c>
      <c r="E60" s="1857"/>
      <c r="F60" s="1857"/>
      <c r="G60" s="1857"/>
      <c r="H60" s="1857"/>
      <c r="I60" s="1857"/>
      <c r="J60" s="1857"/>
      <c r="K60" s="1857"/>
      <c r="L60" s="1863"/>
    </row>
    <row r="61" spans="2:12" ht="15.75" thickBot="1" x14ac:dyDescent="0.3">
      <c r="B61" s="38"/>
      <c r="C61" s="88"/>
      <c r="D61" s="6"/>
      <c r="E61" s="6"/>
      <c r="F61" s="6"/>
      <c r="G61" s="6"/>
      <c r="H61" s="6"/>
      <c r="I61" s="6"/>
      <c r="J61" s="6"/>
      <c r="K61" s="6"/>
    </row>
    <row r="62" spans="2:12" ht="72.75" thickBot="1" x14ac:dyDescent="0.3">
      <c r="B62" s="52" t="s">
        <v>34</v>
      </c>
      <c r="C62" s="98"/>
      <c r="D62" s="43" t="s">
        <v>771</v>
      </c>
      <c r="E62" s="6"/>
      <c r="F62" s="6"/>
      <c r="G62" s="6"/>
      <c r="H62" s="6"/>
      <c r="I62" s="6"/>
      <c r="J62" s="6"/>
      <c r="K62" s="6"/>
    </row>
    <row r="63" spans="2:12" ht="60.75" thickBot="1" x14ac:dyDescent="0.3">
      <c r="B63" s="52" t="s">
        <v>36</v>
      </c>
      <c r="C63" s="214"/>
      <c r="D63" s="52" t="s">
        <v>346</v>
      </c>
      <c r="E63" s="6"/>
      <c r="F63" s="6"/>
      <c r="G63" s="6"/>
      <c r="H63" s="6"/>
      <c r="I63" s="6"/>
      <c r="J63" s="6"/>
      <c r="K63" s="6"/>
    </row>
    <row r="64" spans="2:12" ht="15.75" thickBot="1" x14ac:dyDescent="0.3">
      <c r="B64" s="2"/>
      <c r="C64" s="76"/>
      <c r="D64" s="6"/>
      <c r="E64" s="6"/>
      <c r="F64" s="6"/>
      <c r="G64" s="6"/>
      <c r="H64" s="6"/>
      <c r="I64" s="6"/>
      <c r="J64" s="6"/>
      <c r="K64" s="6"/>
    </row>
    <row r="65" spans="2:11" ht="24" customHeight="1" thickBot="1" x14ac:dyDescent="0.3">
      <c r="B65" s="1807" t="s">
        <v>38</v>
      </c>
      <c r="C65" s="1808"/>
      <c r="D65" s="1808"/>
      <c r="E65" s="1809"/>
      <c r="F65" s="6"/>
      <c r="G65" s="6"/>
      <c r="H65" s="6"/>
      <c r="I65" s="6"/>
      <c r="J65" s="6"/>
      <c r="K65" s="6"/>
    </row>
    <row r="66" spans="2:11" ht="15.75" thickBot="1" x14ac:dyDescent="0.3">
      <c r="B66" s="1804">
        <v>1</v>
      </c>
      <c r="C66" s="94"/>
      <c r="D66" s="48" t="s">
        <v>39</v>
      </c>
      <c r="E66" s="1178" t="s">
        <v>3106</v>
      </c>
      <c r="F66" s="6"/>
      <c r="G66" s="6"/>
      <c r="H66" s="6"/>
      <c r="I66" s="6"/>
      <c r="J66" s="6"/>
      <c r="K66" s="6"/>
    </row>
    <row r="67" spans="2:11" ht="15.75" thickBot="1" x14ac:dyDescent="0.3">
      <c r="B67" s="1805"/>
      <c r="C67" s="94"/>
      <c r="D67" s="41" t="s">
        <v>40</v>
      </c>
      <c r="E67" s="1178" t="s">
        <v>3170</v>
      </c>
      <c r="F67" s="6"/>
      <c r="G67" s="6"/>
      <c r="H67" s="6"/>
      <c r="I67" s="6"/>
      <c r="J67" s="6"/>
      <c r="K67" s="6"/>
    </row>
    <row r="68" spans="2:11" ht="15.75" thickBot="1" x14ac:dyDescent="0.3">
      <c r="B68" s="1805"/>
      <c r="C68" s="94"/>
      <c r="D68" s="41" t="s">
        <v>41</v>
      </c>
      <c r="E68" s="1178" t="s">
        <v>3171</v>
      </c>
      <c r="F68" s="6"/>
      <c r="G68" s="6"/>
      <c r="H68" s="6"/>
      <c r="I68" s="6"/>
      <c r="J68" s="6"/>
      <c r="K68" s="6"/>
    </row>
    <row r="69" spans="2:11" ht="24.75" thickBot="1" x14ac:dyDescent="0.3">
      <c r="B69" s="1805"/>
      <c r="C69" s="94"/>
      <c r="D69" s="41" t="s">
        <v>42</v>
      </c>
      <c r="E69" s="1178" t="s">
        <v>3172</v>
      </c>
      <c r="F69" s="6"/>
      <c r="G69" s="6"/>
      <c r="H69" s="6"/>
      <c r="I69" s="6"/>
      <c r="J69" s="6"/>
      <c r="K69" s="6"/>
    </row>
    <row r="70" spans="2:11" ht="15.75" thickBot="1" x14ac:dyDescent="0.3">
      <c r="B70" s="1805"/>
      <c r="C70" s="94"/>
      <c r="D70" s="41" t="s">
        <v>43</v>
      </c>
      <c r="E70" s="1179" t="s">
        <v>3173</v>
      </c>
      <c r="F70" s="6"/>
      <c r="G70" s="6"/>
      <c r="H70" s="6"/>
      <c r="I70" s="6"/>
      <c r="J70" s="6"/>
      <c r="K70" s="6"/>
    </row>
    <row r="71" spans="2:11" ht="15.75" thickBot="1" x14ac:dyDescent="0.3">
      <c r="B71" s="1805"/>
      <c r="C71" s="94"/>
      <c r="D71" s="41" t="s">
        <v>44</v>
      </c>
      <c r="E71" s="1178"/>
      <c r="F71" s="6"/>
      <c r="G71" s="6"/>
      <c r="H71" s="6"/>
      <c r="I71" s="6"/>
      <c r="J71" s="6"/>
      <c r="K71" s="6"/>
    </row>
    <row r="72" spans="2:11" ht="15.75" thickBot="1" x14ac:dyDescent="0.3">
      <c r="B72" s="1806"/>
      <c r="C72" s="3"/>
      <c r="D72" s="41" t="s">
        <v>45</v>
      </c>
      <c r="E72" s="1178" t="s">
        <v>3174</v>
      </c>
      <c r="F72" s="6"/>
      <c r="G72" s="6"/>
      <c r="H72" s="6"/>
      <c r="I72" s="6"/>
      <c r="J72" s="6"/>
      <c r="K72" s="6"/>
    </row>
    <row r="73" spans="2:11" ht="15.75" thickBot="1" x14ac:dyDescent="0.3">
      <c r="B73" s="2"/>
      <c r="C73" s="76"/>
      <c r="D73" s="6"/>
      <c r="E73" s="6"/>
      <c r="F73" s="6"/>
      <c r="G73" s="6"/>
      <c r="H73" s="6"/>
      <c r="I73" s="6"/>
      <c r="J73" s="6"/>
      <c r="K73" s="6"/>
    </row>
    <row r="74" spans="2:11" ht="15.75" thickBot="1" x14ac:dyDescent="0.3">
      <c r="B74" s="1807" t="s">
        <v>46</v>
      </c>
      <c r="C74" s="1808"/>
      <c r="D74" s="1808"/>
      <c r="E74" s="1809"/>
      <c r="F74" s="6"/>
      <c r="G74" s="6"/>
      <c r="H74" s="6"/>
      <c r="I74" s="6"/>
      <c r="J74" s="6"/>
      <c r="K74" s="6"/>
    </row>
    <row r="75" spans="2:11" ht="15.75" thickBot="1" x14ac:dyDescent="0.3">
      <c r="B75" s="1804">
        <v>1</v>
      </c>
      <c r="C75" s="94"/>
      <c r="D75" s="48" t="s">
        <v>39</v>
      </c>
      <c r="E75" s="132" t="s">
        <v>47</v>
      </c>
      <c r="F75" s="6"/>
      <c r="G75" s="6"/>
      <c r="H75" s="6"/>
      <c r="I75" s="6"/>
      <c r="J75" s="6"/>
      <c r="K75" s="6"/>
    </row>
    <row r="76" spans="2:11" ht="15.75" thickBot="1" x14ac:dyDescent="0.3">
      <c r="B76" s="1805"/>
      <c r="C76" s="94"/>
      <c r="D76" s="41" t="s">
        <v>40</v>
      </c>
      <c r="E76" s="174" t="s">
        <v>160</v>
      </c>
      <c r="F76" s="6"/>
      <c r="G76" s="6"/>
      <c r="H76" s="6"/>
      <c r="I76" s="6"/>
      <c r="J76" s="6"/>
      <c r="K76" s="6"/>
    </row>
    <row r="77" spans="2:11" ht="15.75" thickBot="1" x14ac:dyDescent="0.3">
      <c r="B77" s="1805"/>
      <c r="C77" s="94"/>
      <c r="D77" s="41" t="s">
        <v>41</v>
      </c>
      <c r="E77" s="175"/>
      <c r="F77" s="6"/>
      <c r="G77" s="6"/>
      <c r="H77" s="6"/>
      <c r="I77" s="6"/>
      <c r="J77" s="6"/>
      <c r="K77" s="6"/>
    </row>
    <row r="78" spans="2:11" ht="15.75" thickBot="1" x14ac:dyDescent="0.3">
      <c r="B78" s="1805"/>
      <c r="C78" s="94"/>
      <c r="D78" s="41" t="s">
        <v>42</v>
      </c>
      <c r="E78" s="175"/>
      <c r="F78" s="6"/>
      <c r="G78" s="6"/>
      <c r="H78" s="6"/>
      <c r="I78" s="6"/>
      <c r="J78" s="6"/>
      <c r="K78" s="6"/>
    </row>
    <row r="79" spans="2:11" ht="15.75" thickBot="1" x14ac:dyDescent="0.3">
      <c r="B79" s="1805"/>
      <c r="C79" s="94"/>
      <c r="D79" s="41" t="s">
        <v>43</v>
      </c>
      <c r="E79" s="175"/>
      <c r="F79" s="6"/>
      <c r="G79" s="6"/>
      <c r="H79" s="6"/>
      <c r="I79" s="6"/>
      <c r="J79" s="6"/>
      <c r="K79" s="6"/>
    </row>
    <row r="80" spans="2:11" ht="15.75" thickBot="1" x14ac:dyDescent="0.3">
      <c r="B80" s="1805"/>
      <c r="C80" s="94"/>
      <c r="D80" s="41" t="s">
        <v>44</v>
      </c>
      <c r="E80" s="175"/>
      <c r="F80" s="6"/>
      <c r="G80" s="6"/>
      <c r="H80" s="6"/>
      <c r="I80" s="6"/>
      <c r="J80" s="6"/>
      <c r="K80" s="6"/>
    </row>
    <row r="81" spans="2:11" ht="15.75" thickBot="1" x14ac:dyDescent="0.3">
      <c r="B81" s="1806"/>
      <c r="C81" s="3"/>
      <c r="D81" s="41" t="s">
        <v>45</v>
      </c>
      <c r="E81" s="175"/>
      <c r="F81" s="6"/>
      <c r="G81" s="6"/>
      <c r="H81" s="6"/>
      <c r="I81" s="6"/>
      <c r="J81" s="6"/>
      <c r="K81" s="6"/>
    </row>
    <row r="82" spans="2:11" ht="15.75" thickBot="1" x14ac:dyDescent="0.3">
      <c r="B82" s="2"/>
      <c r="C82" s="76"/>
      <c r="D82" s="6"/>
      <c r="E82" s="6"/>
      <c r="F82" s="6"/>
      <c r="G82" s="6"/>
      <c r="H82" s="6"/>
      <c r="I82" s="6"/>
      <c r="J82" s="6"/>
      <c r="K82" s="6"/>
    </row>
    <row r="83" spans="2:11" ht="15" customHeight="1" thickBot="1" x14ac:dyDescent="0.3">
      <c r="B83" s="125" t="s">
        <v>49</v>
      </c>
      <c r="C83" s="126"/>
      <c r="D83" s="126"/>
      <c r="E83" s="127"/>
      <c r="G83" s="6"/>
      <c r="H83" s="6"/>
      <c r="I83" s="6"/>
      <c r="J83" s="6"/>
      <c r="K83" s="6"/>
    </row>
    <row r="84" spans="2:11" ht="24.75" thickBot="1" x14ac:dyDescent="0.3">
      <c r="B84" s="47" t="s">
        <v>50</v>
      </c>
      <c r="C84" s="41" t="s">
        <v>51</v>
      </c>
      <c r="D84" s="41" t="s">
        <v>52</v>
      </c>
      <c r="E84" s="41" t="s">
        <v>53</v>
      </c>
      <c r="F84" s="6"/>
      <c r="G84" s="6"/>
      <c r="H84" s="6"/>
      <c r="I84" s="6"/>
      <c r="J84" s="6"/>
    </row>
    <row r="85" spans="2:11" ht="72.75" thickBot="1" x14ac:dyDescent="0.3">
      <c r="B85" s="49">
        <v>42401</v>
      </c>
      <c r="C85" s="41">
        <v>1</v>
      </c>
      <c r="D85" s="41" t="s">
        <v>772</v>
      </c>
      <c r="E85" s="41"/>
      <c r="F85" s="6"/>
      <c r="G85" s="6"/>
      <c r="H85" s="6"/>
      <c r="I85" s="6"/>
      <c r="J85" s="6"/>
    </row>
    <row r="86" spans="2:11" ht="15.75" thickBot="1" x14ac:dyDescent="0.3">
      <c r="B86" s="4"/>
      <c r="C86" s="95"/>
      <c r="D86" s="6"/>
      <c r="E86" s="6"/>
      <c r="F86" s="6"/>
      <c r="G86" s="6"/>
      <c r="H86" s="6"/>
      <c r="I86" s="6"/>
      <c r="J86" s="6"/>
      <c r="K86" s="6"/>
    </row>
    <row r="87" spans="2:11" ht="15.75" thickBot="1" x14ac:dyDescent="0.3">
      <c r="B87" s="195" t="s">
        <v>55</v>
      </c>
      <c r="C87" s="96"/>
      <c r="D87" s="6"/>
      <c r="E87" s="6"/>
      <c r="F87" s="6"/>
      <c r="G87" s="6"/>
      <c r="H87" s="6"/>
      <c r="I87" s="6"/>
      <c r="J87" s="6"/>
      <c r="K87" s="6"/>
    </row>
    <row r="88" spans="2:11" x14ac:dyDescent="0.25">
      <c r="B88" s="1969"/>
      <c r="C88" s="1970"/>
      <c r="D88" s="1970"/>
      <c r="E88" s="1971"/>
      <c r="F88" s="6"/>
      <c r="G88" s="6"/>
      <c r="H88" s="6"/>
      <c r="I88" s="6"/>
      <c r="J88" s="6"/>
      <c r="K88" s="6"/>
    </row>
    <row r="89" spans="2:11" ht="15.75" thickBot="1" x14ac:dyDescent="0.3">
      <c r="B89" s="1972"/>
      <c r="C89" s="1973"/>
      <c r="D89" s="1973"/>
      <c r="E89" s="1974"/>
      <c r="F89" s="6"/>
      <c r="G89" s="6"/>
      <c r="H89" s="6"/>
      <c r="I89" s="6"/>
      <c r="J89" s="6"/>
      <c r="K89" s="6"/>
    </row>
    <row r="90" spans="2:11" ht="15.75" thickBot="1" x14ac:dyDescent="0.3">
      <c r="B90" s="6"/>
      <c r="D90" s="6"/>
      <c r="E90" s="6"/>
      <c r="F90" s="6"/>
      <c r="G90" s="6"/>
      <c r="H90" s="6"/>
      <c r="I90" s="6"/>
      <c r="J90" s="6"/>
      <c r="K90" s="6"/>
    </row>
    <row r="91" spans="2:11" ht="15.75" thickBot="1" x14ac:dyDescent="0.3">
      <c r="B91" s="1807" t="s">
        <v>56</v>
      </c>
      <c r="C91" s="1808"/>
      <c r="D91" s="1809"/>
      <c r="E91" s="6"/>
      <c r="F91" s="6"/>
      <c r="G91" s="6"/>
      <c r="H91" s="6"/>
      <c r="I91" s="6"/>
      <c r="J91" s="6"/>
      <c r="K91" s="6"/>
    </row>
    <row r="92" spans="2:11" ht="60.75" thickBot="1" x14ac:dyDescent="0.3">
      <c r="B92" s="47" t="s">
        <v>57</v>
      </c>
      <c r="C92" s="3"/>
      <c r="D92" s="41" t="s">
        <v>704</v>
      </c>
      <c r="E92" s="6"/>
      <c r="F92" s="6"/>
      <c r="G92" s="6"/>
      <c r="H92" s="6"/>
      <c r="I92" s="6"/>
      <c r="J92" s="6"/>
      <c r="K92" s="6"/>
    </row>
    <row r="93" spans="2:11" x14ac:dyDescent="0.25">
      <c r="B93" s="1804" t="s">
        <v>59</v>
      </c>
      <c r="C93" s="94"/>
      <c r="D93" s="53" t="s">
        <v>60</v>
      </c>
      <c r="E93" s="6"/>
      <c r="F93" s="6"/>
      <c r="G93" s="6"/>
      <c r="H93" s="6"/>
      <c r="I93" s="6"/>
      <c r="J93" s="6"/>
      <c r="K93" s="6"/>
    </row>
    <row r="94" spans="2:11" ht="96" x14ac:dyDescent="0.25">
      <c r="B94" s="1805"/>
      <c r="C94" s="94"/>
      <c r="D94" s="46" t="s">
        <v>705</v>
      </c>
      <c r="E94" s="6"/>
      <c r="F94" s="6"/>
      <c r="G94" s="6"/>
      <c r="H94" s="6"/>
      <c r="I94" s="6"/>
      <c r="J94" s="6"/>
      <c r="K94" s="6"/>
    </row>
    <row r="95" spans="2:11" x14ac:dyDescent="0.25">
      <c r="B95" s="1805"/>
      <c r="C95" s="94"/>
      <c r="D95" s="53" t="s">
        <v>63</v>
      </c>
      <c r="E95" s="6"/>
      <c r="F95" s="6"/>
      <c r="G95" s="6"/>
      <c r="H95" s="6"/>
      <c r="I95" s="6"/>
      <c r="J95" s="6"/>
      <c r="K95" s="6"/>
    </row>
    <row r="96" spans="2:11" x14ac:dyDescent="0.25">
      <c r="B96" s="1805"/>
      <c r="C96" s="94"/>
      <c r="D96" s="46" t="s">
        <v>64</v>
      </c>
      <c r="E96" s="6"/>
      <c r="F96" s="6"/>
      <c r="G96" s="6"/>
      <c r="H96" s="6"/>
      <c r="I96" s="6"/>
      <c r="J96" s="6"/>
      <c r="K96" s="6"/>
    </row>
    <row r="97" spans="2:11" x14ac:dyDescent="0.25">
      <c r="B97" s="1805"/>
      <c r="C97" s="94"/>
      <c r="D97" s="46" t="s">
        <v>706</v>
      </c>
      <c r="E97" s="6"/>
      <c r="F97" s="6"/>
      <c r="G97" s="6"/>
      <c r="H97" s="6"/>
      <c r="I97" s="6"/>
      <c r="J97" s="6"/>
      <c r="K97" s="6"/>
    </row>
    <row r="98" spans="2:11" x14ac:dyDescent="0.25">
      <c r="B98" s="1805"/>
      <c r="C98" s="94"/>
      <c r="D98" s="46" t="s">
        <v>65</v>
      </c>
      <c r="E98" s="6"/>
      <c r="F98" s="6"/>
      <c r="G98" s="6"/>
      <c r="H98" s="6"/>
      <c r="I98" s="6"/>
      <c r="J98" s="6"/>
      <c r="K98" s="6"/>
    </row>
    <row r="99" spans="2:11" x14ac:dyDescent="0.25">
      <c r="B99" s="1805"/>
      <c r="C99" s="94"/>
      <c r="D99" s="46" t="s">
        <v>707</v>
      </c>
      <c r="E99" s="6"/>
      <c r="F99" s="6"/>
      <c r="G99" s="6"/>
      <c r="H99" s="6"/>
      <c r="I99" s="6"/>
      <c r="J99" s="6"/>
      <c r="K99" s="6"/>
    </row>
    <row r="100" spans="2:11" ht="24" x14ac:dyDescent="0.25">
      <c r="B100" s="1805"/>
      <c r="C100" s="94"/>
      <c r="D100" s="46" t="s">
        <v>708</v>
      </c>
      <c r="E100" s="6"/>
      <c r="F100" s="6"/>
      <c r="G100" s="6"/>
      <c r="H100" s="6"/>
      <c r="I100" s="6"/>
      <c r="J100" s="6"/>
      <c r="K100" s="6"/>
    </row>
    <row r="101" spans="2:11" x14ac:dyDescent="0.25">
      <c r="B101" s="1805"/>
      <c r="C101" s="94"/>
      <c r="D101" s="53" t="s">
        <v>288</v>
      </c>
      <c r="E101" s="6"/>
      <c r="F101" s="6"/>
      <c r="G101" s="6"/>
      <c r="H101" s="6"/>
      <c r="I101" s="6"/>
      <c r="J101" s="6"/>
      <c r="K101" s="6"/>
    </row>
    <row r="102" spans="2:11" x14ac:dyDescent="0.25">
      <c r="B102" s="1805"/>
      <c r="C102" s="94"/>
      <c r="D102" s="46" t="s">
        <v>355</v>
      </c>
      <c r="E102" s="6"/>
      <c r="F102" s="6"/>
      <c r="G102" s="6"/>
      <c r="H102" s="6"/>
      <c r="I102" s="6"/>
      <c r="J102" s="6"/>
      <c r="K102" s="6"/>
    </row>
    <row r="103" spans="2:11" x14ac:dyDescent="0.25">
      <c r="B103" s="1805"/>
      <c r="C103" s="94"/>
      <c r="D103" s="46" t="s">
        <v>709</v>
      </c>
      <c r="E103" s="6"/>
      <c r="F103" s="6"/>
      <c r="G103" s="6"/>
      <c r="H103" s="6"/>
      <c r="I103" s="6"/>
      <c r="J103" s="6"/>
      <c r="K103" s="6"/>
    </row>
    <row r="104" spans="2:11" ht="24" x14ac:dyDescent="0.25">
      <c r="B104" s="1805"/>
      <c r="C104" s="94"/>
      <c r="D104" s="46" t="s">
        <v>710</v>
      </c>
      <c r="E104" s="6"/>
      <c r="F104" s="6"/>
      <c r="G104" s="6"/>
      <c r="H104" s="6"/>
      <c r="I104" s="6"/>
      <c r="J104" s="6"/>
      <c r="K104" s="6"/>
    </row>
    <row r="105" spans="2:11" ht="24" x14ac:dyDescent="0.25">
      <c r="B105" s="1805"/>
      <c r="C105" s="94"/>
      <c r="D105" s="46" t="s">
        <v>711</v>
      </c>
      <c r="E105" s="6"/>
      <c r="F105" s="6"/>
      <c r="G105" s="6"/>
      <c r="H105" s="6"/>
      <c r="I105" s="6"/>
      <c r="J105" s="6"/>
      <c r="K105" s="6"/>
    </row>
    <row r="106" spans="2:11" ht="36" x14ac:dyDescent="0.25">
      <c r="B106" s="1805"/>
      <c r="C106" s="94"/>
      <c r="D106" s="46" t="s">
        <v>712</v>
      </c>
      <c r="E106" s="6"/>
      <c r="F106" s="6"/>
      <c r="G106" s="6"/>
      <c r="H106" s="6"/>
      <c r="I106" s="6"/>
      <c r="J106" s="6"/>
      <c r="K106" s="6"/>
    </row>
    <row r="107" spans="2:11" x14ac:dyDescent="0.25">
      <c r="B107" s="1805"/>
      <c r="C107" s="94"/>
      <c r="D107" s="46" t="s">
        <v>713</v>
      </c>
      <c r="E107" s="6"/>
      <c r="F107" s="6"/>
      <c r="G107" s="6"/>
      <c r="H107" s="6"/>
      <c r="I107" s="6"/>
      <c r="J107" s="6"/>
      <c r="K107" s="6"/>
    </row>
    <row r="108" spans="2:11" x14ac:dyDescent="0.25">
      <c r="B108" s="1805"/>
      <c r="C108" s="94"/>
      <c r="D108" s="46" t="s">
        <v>714</v>
      </c>
      <c r="E108" s="6"/>
      <c r="F108" s="6"/>
      <c r="G108" s="6"/>
      <c r="H108" s="6"/>
      <c r="I108" s="6"/>
      <c r="J108" s="6"/>
      <c r="K108" s="6"/>
    </row>
    <row r="109" spans="2:11" ht="15.75" thickBot="1" x14ac:dyDescent="0.3">
      <c r="B109" s="1806"/>
      <c r="C109" s="3"/>
      <c r="D109" s="41" t="s">
        <v>715</v>
      </c>
      <c r="E109" s="6"/>
      <c r="F109" s="6"/>
      <c r="G109" s="6"/>
      <c r="H109" s="6"/>
      <c r="I109" s="6"/>
      <c r="J109" s="6"/>
      <c r="K109" s="6"/>
    </row>
    <row r="110" spans="2:11" ht="24.75" thickBot="1" x14ac:dyDescent="0.3">
      <c r="B110" s="47" t="s">
        <v>72</v>
      </c>
      <c r="C110" s="3"/>
      <c r="D110" s="41"/>
      <c r="E110" s="6"/>
      <c r="F110" s="6"/>
      <c r="G110" s="6"/>
      <c r="H110" s="6"/>
      <c r="I110" s="6"/>
      <c r="J110" s="6"/>
      <c r="K110" s="6"/>
    </row>
    <row r="111" spans="2:11" ht="252" x14ac:dyDescent="0.25">
      <c r="B111" s="1804" t="s">
        <v>73</v>
      </c>
      <c r="C111" s="94"/>
      <c r="D111" s="46" t="s">
        <v>716</v>
      </c>
      <c r="E111" s="6"/>
      <c r="F111" s="6"/>
      <c r="G111" s="6"/>
      <c r="H111" s="6"/>
      <c r="I111" s="6"/>
      <c r="J111" s="6"/>
      <c r="K111" s="6"/>
    </row>
    <row r="112" spans="2:11" ht="24" x14ac:dyDescent="0.25">
      <c r="B112" s="1805"/>
      <c r="C112" s="94"/>
      <c r="D112" s="46" t="s">
        <v>717</v>
      </c>
      <c r="E112" s="6"/>
      <c r="F112" s="6"/>
      <c r="G112" s="6"/>
      <c r="H112" s="6"/>
      <c r="I112" s="6"/>
      <c r="J112" s="6"/>
      <c r="K112" s="6"/>
    </row>
    <row r="113" spans="2:11" ht="108" x14ac:dyDescent="0.25">
      <c r="B113" s="1805"/>
      <c r="C113" s="94"/>
      <c r="D113" s="46" t="s">
        <v>718</v>
      </c>
      <c r="E113" s="6"/>
      <c r="F113" s="6"/>
      <c r="G113" s="6"/>
      <c r="H113" s="6"/>
      <c r="I113" s="6"/>
      <c r="J113" s="6"/>
      <c r="K113" s="6"/>
    </row>
    <row r="114" spans="2:11" ht="384" x14ac:dyDescent="0.25">
      <c r="B114" s="1805"/>
      <c r="C114" s="94"/>
      <c r="D114" s="46" t="s">
        <v>719</v>
      </c>
      <c r="E114" s="6"/>
      <c r="F114" s="6"/>
      <c r="G114" s="6"/>
      <c r="H114" s="6"/>
      <c r="I114" s="6"/>
      <c r="J114" s="6"/>
      <c r="K114" s="6"/>
    </row>
    <row r="115" spans="2:11" ht="192" x14ac:dyDescent="0.25">
      <c r="B115" s="1805"/>
      <c r="C115" s="94"/>
      <c r="D115" s="46" t="s">
        <v>720</v>
      </c>
      <c r="E115" s="6"/>
      <c r="F115" s="6"/>
      <c r="G115" s="6"/>
      <c r="H115" s="6"/>
      <c r="I115" s="6"/>
      <c r="J115" s="6"/>
      <c r="K115" s="6"/>
    </row>
    <row r="116" spans="2:11" ht="72" x14ac:dyDescent="0.25">
      <c r="B116" s="1805"/>
      <c r="C116" s="94"/>
      <c r="D116" s="46" t="s">
        <v>721</v>
      </c>
      <c r="E116" s="6"/>
      <c r="F116" s="6"/>
      <c r="G116" s="6"/>
      <c r="H116" s="6"/>
      <c r="I116" s="6"/>
      <c r="J116" s="6"/>
      <c r="K116" s="6"/>
    </row>
    <row r="117" spans="2:11" ht="24" x14ac:dyDescent="0.25">
      <c r="B117" s="1805"/>
      <c r="C117" s="94"/>
      <c r="D117" s="46" t="s">
        <v>722</v>
      </c>
      <c r="E117" s="6"/>
      <c r="F117" s="6"/>
      <c r="G117" s="6"/>
      <c r="H117" s="6"/>
      <c r="I117" s="6"/>
      <c r="J117" s="6"/>
      <c r="K117" s="6"/>
    </row>
    <row r="118" spans="2:11" ht="24" x14ac:dyDescent="0.25">
      <c r="B118" s="1805"/>
      <c r="C118" s="94"/>
      <c r="D118" s="46" t="s">
        <v>723</v>
      </c>
      <c r="E118" s="6"/>
      <c r="F118" s="6"/>
      <c r="G118" s="6"/>
      <c r="H118" s="6"/>
      <c r="I118" s="6"/>
      <c r="J118" s="6"/>
      <c r="K118" s="6"/>
    </row>
    <row r="119" spans="2:11" ht="24" x14ac:dyDescent="0.25">
      <c r="B119" s="1805"/>
      <c r="C119" s="94"/>
      <c r="D119" s="46" t="s">
        <v>724</v>
      </c>
      <c r="E119" s="6"/>
      <c r="F119" s="6"/>
      <c r="G119" s="6"/>
      <c r="H119" s="6"/>
      <c r="I119" s="6"/>
      <c r="J119" s="6"/>
      <c r="K119" s="6"/>
    </row>
    <row r="120" spans="2:11" ht="84" x14ac:dyDescent="0.25">
      <c r="B120" s="1805"/>
      <c r="C120" s="94"/>
      <c r="D120" s="46" t="s">
        <v>725</v>
      </c>
      <c r="E120" s="6"/>
      <c r="F120" s="6"/>
      <c r="G120" s="6"/>
      <c r="H120" s="6"/>
      <c r="I120" s="6"/>
      <c r="J120" s="6"/>
      <c r="K120" s="6"/>
    </row>
    <row r="121" spans="2:11" ht="24" x14ac:dyDescent="0.25">
      <c r="B121" s="1805"/>
      <c r="C121" s="94"/>
      <c r="D121" s="46" t="s">
        <v>726</v>
      </c>
      <c r="E121" s="6"/>
      <c r="F121" s="6"/>
      <c r="G121" s="6"/>
      <c r="H121" s="6"/>
      <c r="I121" s="6"/>
      <c r="J121" s="6"/>
      <c r="K121" s="6"/>
    </row>
    <row r="122" spans="2:11" ht="24" x14ac:dyDescent="0.25">
      <c r="B122" s="1805"/>
      <c r="C122" s="94"/>
      <c r="D122" s="46" t="s">
        <v>727</v>
      </c>
      <c r="E122" s="6"/>
      <c r="F122" s="6"/>
      <c r="G122" s="6"/>
      <c r="H122" s="6"/>
      <c r="I122" s="6"/>
      <c r="J122" s="6"/>
      <c r="K122" s="6"/>
    </row>
    <row r="123" spans="2:11" x14ac:dyDescent="0.25">
      <c r="B123" s="1805"/>
      <c r="C123" s="94"/>
      <c r="D123" s="46" t="s">
        <v>728</v>
      </c>
      <c r="E123" s="6"/>
      <c r="F123" s="6"/>
      <c r="G123" s="6"/>
      <c r="H123" s="6"/>
      <c r="I123" s="6"/>
      <c r="J123" s="6"/>
      <c r="K123" s="6"/>
    </row>
    <row r="124" spans="2:11" ht="24" x14ac:dyDescent="0.25">
      <c r="B124" s="1805"/>
      <c r="C124" s="94"/>
      <c r="D124" s="46" t="s">
        <v>729</v>
      </c>
      <c r="E124" s="6"/>
      <c r="F124" s="6"/>
      <c r="G124" s="6"/>
      <c r="H124" s="6"/>
      <c r="I124" s="6"/>
      <c r="J124" s="6"/>
      <c r="K124" s="6"/>
    </row>
    <row r="125" spans="2:11" ht="36" x14ac:dyDescent="0.25">
      <c r="B125" s="1805"/>
      <c r="C125" s="94"/>
      <c r="D125" s="46" t="s">
        <v>730</v>
      </c>
      <c r="E125" s="6"/>
      <c r="F125" s="6"/>
      <c r="G125" s="6"/>
      <c r="H125" s="6"/>
      <c r="I125" s="6"/>
      <c r="J125" s="6"/>
      <c r="K125" s="6"/>
    </row>
    <row r="126" spans="2:11" ht="24" x14ac:dyDescent="0.25">
      <c r="B126" s="1805"/>
      <c r="C126" s="94"/>
      <c r="D126" s="46" t="s">
        <v>731</v>
      </c>
      <c r="E126" s="6"/>
      <c r="F126" s="6"/>
      <c r="G126" s="6"/>
      <c r="H126" s="6"/>
      <c r="I126" s="6"/>
      <c r="J126" s="6"/>
      <c r="K126" s="6"/>
    </row>
    <row r="127" spans="2:11" ht="24" x14ac:dyDescent="0.25">
      <c r="B127" s="1805"/>
      <c r="C127" s="94"/>
      <c r="D127" s="46" t="s">
        <v>732</v>
      </c>
      <c r="E127" s="6"/>
      <c r="F127" s="6"/>
      <c r="G127" s="6"/>
      <c r="H127" s="6"/>
      <c r="I127" s="6"/>
      <c r="J127" s="6"/>
      <c r="K127" s="6"/>
    </row>
    <row r="128" spans="2:11" ht="72" x14ac:dyDescent="0.25">
      <c r="B128" s="1805"/>
      <c r="C128" s="94"/>
      <c r="D128" s="46" t="s">
        <v>733</v>
      </c>
      <c r="E128" s="6"/>
      <c r="F128" s="6"/>
      <c r="G128" s="6"/>
      <c r="H128" s="6"/>
      <c r="I128" s="6"/>
      <c r="J128" s="6"/>
      <c r="K128" s="6"/>
    </row>
    <row r="129" spans="2:11" ht="48" x14ac:dyDescent="0.25">
      <c r="B129" s="1805"/>
      <c r="C129" s="94"/>
      <c r="D129" s="46" t="s">
        <v>734</v>
      </c>
      <c r="E129" s="6"/>
      <c r="F129" s="6"/>
      <c r="G129" s="6"/>
      <c r="H129" s="6"/>
      <c r="I129" s="6"/>
      <c r="J129" s="6"/>
      <c r="K129" s="6"/>
    </row>
    <row r="130" spans="2:11" ht="48" x14ac:dyDescent="0.25">
      <c r="B130" s="1805"/>
      <c r="C130" s="94"/>
      <c r="D130" s="46" t="s">
        <v>735</v>
      </c>
      <c r="E130" s="6"/>
      <c r="F130" s="6"/>
      <c r="G130" s="6"/>
      <c r="H130" s="6"/>
      <c r="I130" s="6"/>
      <c r="J130" s="6"/>
      <c r="K130" s="6"/>
    </row>
    <row r="131" spans="2:11" ht="36" x14ac:dyDescent="0.25">
      <c r="B131" s="1805"/>
      <c r="C131" s="94"/>
      <c r="D131" s="46" t="s">
        <v>736</v>
      </c>
      <c r="E131" s="6"/>
      <c r="F131" s="6"/>
      <c r="G131" s="6"/>
      <c r="H131" s="6"/>
      <c r="I131" s="6"/>
      <c r="J131" s="6"/>
      <c r="K131" s="6"/>
    </row>
    <row r="132" spans="2:11" ht="24" x14ac:dyDescent="0.25">
      <c r="B132" s="1805"/>
      <c r="C132" s="94"/>
      <c r="D132" s="46" t="s">
        <v>737</v>
      </c>
      <c r="E132" s="6"/>
      <c r="F132" s="6"/>
      <c r="G132" s="6"/>
      <c r="H132" s="6"/>
      <c r="I132" s="6"/>
      <c r="J132" s="6"/>
      <c r="K132" s="6"/>
    </row>
    <row r="133" spans="2:11" ht="36" x14ac:dyDescent="0.25">
      <c r="B133" s="1805"/>
      <c r="C133" s="94"/>
      <c r="D133" s="46" t="s">
        <v>738</v>
      </c>
      <c r="E133" s="6"/>
      <c r="F133" s="6"/>
      <c r="G133" s="6"/>
      <c r="H133" s="6"/>
      <c r="I133" s="6"/>
      <c r="J133" s="6"/>
      <c r="K133" s="6"/>
    </row>
    <row r="134" spans="2:11" ht="24" x14ac:dyDescent="0.25">
      <c r="B134" s="1805"/>
      <c r="C134" s="94"/>
      <c r="D134" s="46" t="s">
        <v>739</v>
      </c>
      <c r="E134" s="6"/>
      <c r="F134" s="6"/>
      <c r="G134" s="6"/>
      <c r="H134" s="6"/>
      <c r="I134" s="6"/>
      <c r="J134" s="6"/>
      <c r="K134" s="6"/>
    </row>
    <row r="135" spans="2:11" ht="36" x14ac:dyDescent="0.25">
      <c r="B135" s="1805"/>
      <c r="C135" s="94"/>
      <c r="D135" s="46" t="s">
        <v>740</v>
      </c>
      <c r="E135" s="6"/>
      <c r="F135" s="6"/>
      <c r="G135" s="6"/>
      <c r="H135" s="6"/>
      <c r="I135" s="6"/>
      <c r="J135" s="6"/>
      <c r="K135" s="6"/>
    </row>
    <row r="136" spans="2:11" ht="36" x14ac:dyDescent="0.25">
      <c r="B136" s="1805"/>
      <c r="C136" s="94"/>
      <c r="D136" s="46" t="s">
        <v>741</v>
      </c>
      <c r="E136" s="6"/>
      <c r="F136" s="6"/>
      <c r="G136" s="6"/>
      <c r="H136" s="6"/>
      <c r="I136" s="6"/>
      <c r="J136" s="6"/>
      <c r="K136" s="6"/>
    </row>
    <row r="137" spans="2:11" ht="36" x14ac:dyDescent="0.25">
      <c r="B137" s="1805"/>
      <c r="C137" s="94"/>
      <c r="D137" s="46" t="s">
        <v>742</v>
      </c>
      <c r="E137" s="6"/>
      <c r="F137" s="6"/>
      <c r="G137" s="6"/>
      <c r="H137" s="6"/>
      <c r="I137" s="6"/>
      <c r="J137" s="6"/>
      <c r="K137" s="6"/>
    </row>
    <row r="138" spans="2:11" ht="60" x14ac:dyDescent="0.25">
      <c r="B138" s="1805"/>
      <c r="C138" s="94"/>
      <c r="D138" s="46" t="s">
        <v>743</v>
      </c>
      <c r="E138" s="6"/>
      <c r="F138" s="6"/>
      <c r="G138" s="6"/>
      <c r="H138" s="6"/>
      <c r="I138" s="6"/>
      <c r="J138" s="6"/>
      <c r="K138" s="6"/>
    </row>
    <row r="139" spans="2:11" ht="48" x14ac:dyDescent="0.25">
      <c r="B139" s="1805"/>
      <c r="C139" s="94"/>
      <c r="D139" s="46" t="s">
        <v>744</v>
      </c>
      <c r="E139" s="6"/>
      <c r="F139" s="6"/>
      <c r="G139" s="6"/>
      <c r="H139" s="6"/>
      <c r="I139" s="6"/>
      <c r="J139" s="6"/>
      <c r="K139" s="6"/>
    </row>
    <row r="140" spans="2:11" ht="24" x14ac:dyDescent="0.25">
      <c r="B140" s="1805"/>
      <c r="C140" s="94"/>
      <c r="D140" s="46" t="s">
        <v>745</v>
      </c>
      <c r="E140" s="6"/>
      <c r="F140" s="6"/>
      <c r="G140" s="6"/>
      <c r="H140" s="6"/>
      <c r="I140" s="6"/>
      <c r="J140" s="6"/>
      <c r="K140" s="6"/>
    </row>
    <row r="141" spans="2:11" ht="24" x14ac:dyDescent="0.25">
      <c r="B141" s="1805"/>
      <c r="C141" s="94"/>
      <c r="D141" s="46" t="s">
        <v>746</v>
      </c>
      <c r="E141" s="6"/>
      <c r="F141" s="6"/>
      <c r="G141" s="6"/>
      <c r="H141" s="6"/>
      <c r="I141" s="6"/>
      <c r="J141" s="6"/>
      <c r="K141" s="6"/>
    </row>
    <row r="142" spans="2:11" ht="24" x14ac:dyDescent="0.25">
      <c r="B142" s="1805"/>
      <c r="C142" s="94"/>
      <c r="D142" s="46" t="s">
        <v>747</v>
      </c>
      <c r="E142" s="6"/>
      <c r="F142" s="6"/>
      <c r="G142" s="6"/>
      <c r="H142" s="6"/>
      <c r="I142" s="6"/>
      <c r="J142" s="6"/>
      <c r="K142" s="6"/>
    </row>
    <row r="143" spans="2:11" ht="24" x14ac:dyDescent="0.25">
      <c r="B143" s="1805"/>
      <c r="C143" s="94"/>
      <c r="D143" s="46" t="s">
        <v>748</v>
      </c>
      <c r="E143" s="6"/>
      <c r="F143" s="6"/>
      <c r="G143" s="6"/>
      <c r="H143" s="6"/>
      <c r="I143" s="6"/>
      <c r="J143" s="6"/>
      <c r="K143" s="6"/>
    </row>
    <row r="144" spans="2:11" ht="48" x14ac:dyDescent="0.25">
      <c r="B144" s="1805"/>
      <c r="C144" s="94"/>
      <c r="D144" s="46" t="s">
        <v>749</v>
      </c>
      <c r="E144" s="6"/>
      <c r="F144" s="6"/>
      <c r="G144" s="6"/>
      <c r="H144" s="6"/>
      <c r="I144" s="6"/>
      <c r="J144" s="6"/>
      <c r="K144" s="6"/>
    </row>
    <row r="145" spans="2:11" ht="24" x14ac:dyDescent="0.25">
      <c r="B145" s="1805"/>
      <c r="C145" s="94"/>
      <c r="D145" s="46" t="s">
        <v>750</v>
      </c>
      <c r="E145" s="6"/>
      <c r="F145" s="6"/>
      <c r="G145" s="6"/>
      <c r="H145" s="6"/>
      <c r="I145" s="6"/>
      <c r="J145" s="6"/>
      <c r="K145" s="6"/>
    </row>
    <row r="146" spans="2:11" ht="36.75" thickBot="1" x14ac:dyDescent="0.3">
      <c r="B146" s="1806"/>
      <c r="C146" s="3"/>
      <c r="D146" s="41" t="s">
        <v>751</v>
      </c>
      <c r="E146" s="6"/>
      <c r="F146" s="6"/>
      <c r="G146" s="6"/>
      <c r="H146" s="6"/>
      <c r="I146" s="6"/>
      <c r="J146" s="6"/>
      <c r="K146" s="6"/>
    </row>
    <row r="147" spans="2:11" ht="24" x14ac:dyDescent="0.25">
      <c r="B147" s="1804" t="s">
        <v>90</v>
      </c>
      <c r="C147" s="94"/>
      <c r="D147" s="53" t="s">
        <v>752</v>
      </c>
      <c r="E147" s="6"/>
      <c r="F147" s="6"/>
      <c r="G147" s="6"/>
      <c r="H147" s="6"/>
      <c r="I147" s="6"/>
      <c r="J147" s="6"/>
      <c r="K147" s="6"/>
    </row>
    <row r="148" spans="2:11" ht="25.35" customHeight="1" x14ac:dyDescent="0.25">
      <c r="B148" s="1805"/>
      <c r="C148" s="94"/>
      <c r="D148" s="46" t="s">
        <v>248</v>
      </c>
      <c r="E148" s="6"/>
      <c r="F148" s="6"/>
      <c r="G148" s="6"/>
      <c r="H148" s="6"/>
      <c r="I148" s="6"/>
      <c r="J148" s="6"/>
      <c r="K148" s="6"/>
    </row>
    <row r="149" spans="2:11" x14ac:dyDescent="0.25">
      <c r="B149" s="1805"/>
      <c r="C149" s="94"/>
      <c r="D149" s="46" t="s">
        <v>91</v>
      </c>
      <c r="E149" s="6"/>
      <c r="F149" s="6"/>
      <c r="G149" s="6"/>
      <c r="H149" s="6"/>
      <c r="I149" s="6"/>
      <c r="J149" s="6"/>
      <c r="K149" s="6"/>
    </row>
    <row r="150" spans="2:11" ht="37.5" x14ac:dyDescent="0.25">
      <c r="B150" s="1805"/>
      <c r="C150" s="94"/>
      <c r="D150" s="46" t="s">
        <v>753</v>
      </c>
      <c r="E150" s="6"/>
      <c r="F150" s="6"/>
      <c r="G150" s="6"/>
      <c r="H150" s="6"/>
      <c r="I150" s="6"/>
      <c r="J150" s="6"/>
      <c r="K150" s="6"/>
    </row>
    <row r="151" spans="2:11" ht="37.5" x14ac:dyDescent="0.25">
      <c r="B151" s="1805"/>
      <c r="C151" s="94"/>
      <c r="D151" s="46" t="s">
        <v>754</v>
      </c>
      <c r="E151" s="6"/>
      <c r="F151" s="6"/>
      <c r="G151" s="6"/>
      <c r="H151" s="6"/>
      <c r="I151" s="6"/>
      <c r="J151" s="6"/>
      <c r="K151" s="6"/>
    </row>
    <row r="152" spans="2:11" ht="37.5" x14ac:dyDescent="0.25">
      <c r="B152" s="1805"/>
      <c r="C152" s="94"/>
      <c r="D152" s="46" t="s">
        <v>755</v>
      </c>
      <c r="E152" s="6"/>
      <c r="F152" s="6"/>
      <c r="G152" s="6"/>
      <c r="H152" s="6"/>
      <c r="I152" s="6"/>
      <c r="J152" s="6"/>
      <c r="K152" s="6"/>
    </row>
    <row r="153" spans="2:11" ht="37.5" x14ac:dyDescent="0.25">
      <c r="B153" s="1805"/>
      <c r="C153" s="94"/>
      <c r="D153" s="46" t="s">
        <v>756</v>
      </c>
      <c r="E153" s="6"/>
      <c r="F153" s="6"/>
      <c r="G153" s="6"/>
      <c r="H153" s="6"/>
      <c r="I153" s="6"/>
      <c r="J153" s="6"/>
      <c r="K153" s="6"/>
    </row>
    <row r="154" spans="2:11" x14ac:dyDescent="0.25">
      <c r="B154" s="1805"/>
      <c r="C154" s="94"/>
      <c r="D154" s="46" t="s">
        <v>757</v>
      </c>
      <c r="E154" s="6"/>
      <c r="F154" s="6"/>
      <c r="G154" s="6"/>
      <c r="H154" s="6"/>
      <c r="I154" s="6"/>
      <c r="J154" s="6"/>
      <c r="K154" s="6"/>
    </row>
    <row r="155" spans="2:11" x14ac:dyDescent="0.25">
      <c r="B155" s="1805"/>
      <c r="C155" s="94"/>
      <c r="D155" s="46" t="s">
        <v>758</v>
      </c>
      <c r="E155" s="6"/>
      <c r="F155" s="6"/>
      <c r="G155" s="6"/>
      <c r="H155" s="6"/>
      <c r="I155" s="6"/>
      <c r="J155" s="6"/>
      <c r="K155" s="6"/>
    </row>
    <row r="156" spans="2:11" x14ac:dyDescent="0.25">
      <c r="B156" s="1805"/>
      <c r="C156" s="94"/>
      <c r="D156" s="46" t="s">
        <v>759</v>
      </c>
      <c r="E156" s="6"/>
      <c r="F156" s="6"/>
      <c r="G156" s="6"/>
      <c r="H156" s="6"/>
      <c r="I156" s="6"/>
      <c r="J156" s="6"/>
      <c r="K156" s="6"/>
    </row>
    <row r="157" spans="2:11" x14ac:dyDescent="0.25">
      <c r="B157" s="1805"/>
      <c r="C157" s="94"/>
      <c r="D157" s="46" t="s">
        <v>760</v>
      </c>
      <c r="E157" s="6"/>
      <c r="F157" s="6"/>
      <c r="G157" s="6"/>
      <c r="H157" s="6"/>
      <c r="I157" s="6"/>
      <c r="J157" s="6"/>
      <c r="K157" s="6"/>
    </row>
    <row r="158" spans="2:11" ht="84" x14ac:dyDescent="0.25">
      <c r="B158" s="1805"/>
      <c r="C158" s="94"/>
      <c r="D158" s="54" t="s">
        <v>235</v>
      </c>
      <c r="E158" s="6"/>
      <c r="F158" s="6"/>
      <c r="G158" s="6"/>
      <c r="H158" s="6"/>
      <c r="I158" s="6"/>
      <c r="J158" s="6"/>
      <c r="K158" s="6"/>
    </row>
    <row r="159" spans="2:11" x14ac:dyDescent="0.25">
      <c r="B159" s="1805"/>
      <c r="C159" s="94"/>
      <c r="D159" s="57" t="s">
        <v>246</v>
      </c>
      <c r="E159" s="6"/>
      <c r="F159" s="6"/>
      <c r="G159" s="6"/>
      <c r="H159" s="6"/>
      <c r="I159" s="6"/>
      <c r="J159" s="6"/>
      <c r="K159" s="6"/>
    </row>
    <row r="160" spans="2:11" ht="24" x14ac:dyDescent="0.25">
      <c r="B160" s="1805"/>
      <c r="C160" s="94"/>
      <c r="D160" s="53" t="s">
        <v>761</v>
      </c>
      <c r="E160" s="6"/>
      <c r="F160" s="6"/>
      <c r="G160" s="6"/>
      <c r="H160" s="6"/>
      <c r="I160" s="6"/>
      <c r="J160" s="6"/>
      <c r="K160" s="6"/>
    </row>
    <row r="161" spans="2:11" ht="23.1" customHeight="1" x14ac:dyDescent="0.25">
      <c r="B161" s="1805"/>
      <c r="C161" s="94"/>
      <c r="D161" s="46" t="s">
        <v>248</v>
      </c>
      <c r="E161" s="6"/>
      <c r="F161" s="6"/>
      <c r="G161" s="6"/>
      <c r="H161" s="6"/>
      <c r="I161" s="6"/>
      <c r="J161" s="6"/>
      <c r="K161" s="6"/>
    </row>
    <row r="162" spans="2:11" x14ac:dyDescent="0.25">
      <c r="B162" s="1805"/>
      <c r="C162" s="94"/>
      <c r="D162" s="46" t="s">
        <v>91</v>
      </c>
      <c r="E162" s="6"/>
      <c r="F162" s="6"/>
      <c r="G162" s="6"/>
      <c r="H162" s="6"/>
      <c r="I162" s="6"/>
      <c r="J162" s="6"/>
      <c r="K162" s="6"/>
    </row>
    <row r="163" spans="2:11" ht="37.5" x14ac:dyDescent="0.25">
      <c r="B163" s="1805"/>
      <c r="C163" s="94"/>
      <c r="D163" s="46" t="s">
        <v>762</v>
      </c>
      <c r="E163" s="6"/>
      <c r="F163" s="6"/>
      <c r="G163" s="6"/>
      <c r="H163" s="6"/>
      <c r="I163" s="6"/>
      <c r="J163" s="6"/>
      <c r="K163" s="6"/>
    </row>
    <row r="164" spans="2:11" ht="37.5" x14ac:dyDescent="0.25">
      <c r="B164" s="1805"/>
      <c r="C164" s="94"/>
      <c r="D164" s="46" t="s">
        <v>763</v>
      </c>
      <c r="E164" s="6"/>
      <c r="F164" s="6"/>
      <c r="G164" s="6"/>
      <c r="H164" s="6"/>
      <c r="I164" s="6"/>
      <c r="J164" s="6"/>
      <c r="K164" s="6"/>
    </row>
    <row r="165" spans="2:11" ht="38.25" thickBot="1" x14ac:dyDescent="0.3">
      <c r="B165" s="1806"/>
      <c r="C165" s="3"/>
      <c r="D165" s="41" t="s">
        <v>764</v>
      </c>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row r="188" spans="2:11" x14ac:dyDescent="0.25">
      <c r="B188" s="6"/>
      <c r="D188" s="6"/>
      <c r="E188" s="6"/>
      <c r="F188" s="6"/>
      <c r="G188" s="6"/>
      <c r="H188" s="6"/>
      <c r="I188" s="6"/>
      <c r="J188" s="6"/>
      <c r="K188" s="6"/>
    </row>
    <row r="189" spans="2:11" x14ac:dyDescent="0.25">
      <c r="B189" s="6"/>
      <c r="D189" s="6"/>
      <c r="E189" s="6"/>
      <c r="F189" s="6"/>
      <c r="G189" s="6"/>
      <c r="H189" s="6"/>
      <c r="I189" s="6"/>
      <c r="J189" s="6"/>
      <c r="K189" s="6"/>
    </row>
    <row r="190" spans="2:11" x14ac:dyDescent="0.25">
      <c r="B190" s="6"/>
      <c r="D190" s="6"/>
      <c r="E190" s="6"/>
      <c r="F190" s="6"/>
      <c r="G190" s="6"/>
      <c r="H190" s="6"/>
      <c r="I190" s="6"/>
      <c r="J190" s="6"/>
      <c r="K190" s="6"/>
    </row>
    <row r="191" spans="2:11" x14ac:dyDescent="0.25">
      <c r="B191" s="6"/>
      <c r="D191" s="6"/>
      <c r="E191" s="6"/>
      <c r="F191" s="6"/>
      <c r="G191" s="6"/>
      <c r="H191" s="6"/>
      <c r="I191" s="6"/>
      <c r="J191" s="6"/>
      <c r="K191" s="6"/>
    </row>
    <row r="192" spans="2:11" x14ac:dyDescent="0.25">
      <c r="B192" s="6"/>
      <c r="D192" s="6"/>
      <c r="E192" s="6"/>
      <c r="F192" s="6"/>
      <c r="G192" s="6"/>
      <c r="H192" s="6"/>
      <c r="I192" s="6"/>
      <c r="J192" s="6"/>
      <c r="K192" s="6"/>
    </row>
    <row r="193" spans="2:11" x14ac:dyDescent="0.25">
      <c r="B193" s="6"/>
      <c r="D193" s="6"/>
      <c r="E193" s="6"/>
      <c r="F193" s="6"/>
      <c r="G193" s="6"/>
      <c r="H193" s="6"/>
      <c r="I193" s="6"/>
      <c r="J193" s="6"/>
      <c r="K193" s="6"/>
    </row>
    <row r="194" spans="2:11" x14ac:dyDescent="0.25">
      <c r="B194" s="6"/>
      <c r="D194" s="6"/>
      <c r="E194" s="6"/>
      <c r="F194" s="6"/>
      <c r="G194" s="6"/>
      <c r="H194" s="6"/>
      <c r="I194" s="6"/>
      <c r="J194" s="6"/>
      <c r="K194" s="6"/>
    </row>
  </sheetData>
  <sheetProtection insertColumns="0" insertRows="0"/>
  <mergeCells count="36">
    <mergeCell ref="B10:D10"/>
    <mergeCell ref="F10:S10"/>
    <mergeCell ref="F11:S11"/>
    <mergeCell ref="E12:R12"/>
    <mergeCell ref="E13:R13"/>
    <mergeCell ref="B88:E89"/>
    <mergeCell ref="B91:D91"/>
    <mergeCell ref="B93:B109"/>
    <mergeCell ref="B111:B146"/>
    <mergeCell ref="B147:B165"/>
    <mergeCell ref="D42:D43"/>
    <mergeCell ref="E42:E43"/>
    <mergeCell ref="F42:K42"/>
    <mergeCell ref="C21:C22"/>
    <mergeCell ref="D21:D22"/>
    <mergeCell ref="B15:B19"/>
    <mergeCell ref="B65:E65"/>
    <mergeCell ref="B66:B72"/>
    <mergeCell ref="B74:E74"/>
    <mergeCell ref="B75:B81"/>
    <mergeCell ref="D15:L15"/>
    <mergeCell ref="D16:L16"/>
    <mergeCell ref="D19:L19"/>
    <mergeCell ref="D20:L20"/>
    <mergeCell ref="D39:L39"/>
    <mergeCell ref="D40:L40"/>
    <mergeCell ref="D41:L41"/>
    <mergeCell ref="D60:L60"/>
    <mergeCell ref="E21:E22"/>
    <mergeCell ref="F21:J21"/>
    <mergeCell ref="C42:C43"/>
    <mergeCell ref="A1:P1"/>
    <mergeCell ref="A2:P2"/>
    <mergeCell ref="A3:P3"/>
    <mergeCell ref="A4:D4"/>
    <mergeCell ref="A5:P5"/>
  </mergeCells>
  <conditionalFormatting sqref="H38">
    <cfRule type="containsText" dxfId="52" priority="5" operator="containsText" text="ERROR">
      <formula>NOT(ISERROR(SEARCH("ERROR",H38)))</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E12:R12">
    <cfRule type="expression" dxfId="48"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44:I58">
      <formula1>0</formula1>
    </dataValidation>
    <dataValidation type="decimal" allowBlank="1" showInputMessage="1" showErrorMessage="1" errorTitle="ERROR" error="Escriba un valor entre 0% y 100%" sqref="F23:H37">
      <formula1>0</formula1>
      <formula2>1</formula2>
    </dataValidation>
    <dataValidation allowBlank="1" showInputMessage="1" showErrorMessage="1" sqref="G59:I59 H38 J44:K59 I23: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70" r:id="rId1"/>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U177"/>
  <sheetViews>
    <sheetView showGridLines="0" topLeftCell="D5" zoomScale="98" zoomScaleNormal="98" workbookViewId="0">
      <selection activeCell="E13" sqref="E13:R13"/>
    </sheetView>
  </sheetViews>
  <sheetFormatPr baseColWidth="10" defaultRowHeight="15" x14ac:dyDescent="0.25"/>
  <cols>
    <col min="1" max="1" width="1.85546875" customWidth="1"/>
    <col min="2" max="2" width="10.85546875" customWidth="1"/>
    <col min="3" max="3" width="5" style="87" bestFit="1" customWidth="1"/>
    <col min="4" max="4" width="34.85546875" customWidth="1"/>
    <col min="5" max="5" width="18.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773</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1188</v>
      </c>
      <c r="C8" s="222">
        <v>2021</v>
      </c>
      <c r="D8" s="226">
        <f>IF(E10="NO APLICA","NO APLICA",IF(E11="NO SE REPORTA","SIN INFORMACION",+F39))</f>
        <v>9.4791091002025429E-2</v>
      </c>
      <c r="E8" s="223"/>
      <c r="F8" s="6" t="s">
        <v>130</v>
      </c>
      <c r="G8" s="6"/>
      <c r="H8" s="6"/>
      <c r="I8" s="6"/>
      <c r="J8" s="6"/>
      <c r="K8" s="6"/>
    </row>
    <row r="9" spans="1:21" x14ac:dyDescent="0.25">
      <c r="B9" s="497" t="s">
        <v>1189</v>
      </c>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Gestión'!A105</f>
        <v>Proyecto No 3.4. Negocios verdes y sostenibles.</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6"/>
      <c r="J14" s="6"/>
      <c r="K14" s="6"/>
    </row>
    <row r="15" spans="1:21" ht="15.6" customHeight="1" thickTop="1" thickBot="1" x14ac:dyDescent="0.3">
      <c r="B15" s="1866" t="s">
        <v>2</v>
      </c>
      <c r="C15" s="89"/>
      <c r="D15" s="1825" t="s">
        <v>336</v>
      </c>
      <c r="E15" s="1826"/>
      <c r="F15" s="1826"/>
      <c r="G15" s="1826"/>
      <c r="H15" s="1826"/>
      <c r="I15" s="1826"/>
      <c r="J15" s="1826"/>
      <c r="K15" s="1826"/>
      <c r="L15" s="1876"/>
    </row>
    <row r="16" spans="1:21" ht="15.75" thickBot="1" x14ac:dyDescent="0.3">
      <c r="B16" s="1867"/>
      <c r="C16" s="90" t="s">
        <v>19</v>
      </c>
      <c r="D16" s="39" t="s">
        <v>253</v>
      </c>
      <c r="E16" s="39" t="s">
        <v>20</v>
      </c>
      <c r="F16" s="39" t="s">
        <v>21</v>
      </c>
      <c r="G16" s="39" t="s">
        <v>22</v>
      </c>
      <c r="H16" s="39" t="s">
        <v>23</v>
      </c>
      <c r="I16" s="39" t="s">
        <v>254</v>
      </c>
      <c r="J16" s="6"/>
      <c r="L16" s="22"/>
    </row>
    <row r="17" spans="2:12" ht="48.75" thickBot="1" x14ac:dyDescent="0.3">
      <c r="B17" s="1867"/>
      <c r="C17" s="91" t="s">
        <v>152</v>
      </c>
      <c r="D17" s="41" t="s">
        <v>824</v>
      </c>
      <c r="E17" s="1376">
        <v>3</v>
      </c>
      <c r="F17" s="1025">
        <v>3</v>
      </c>
      <c r="G17" s="1025">
        <v>3</v>
      </c>
      <c r="H17" s="1025">
        <v>3</v>
      </c>
      <c r="I17" s="42">
        <f>SUM(E17:H17)</f>
        <v>12</v>
      </c>
      <c r="J17" s="6"/>
      <c r="L17" s="22"/>
    </row>
    <row r="18" spans="2:12" ht="15.75" thickBot="1" x14ac:dyDescent="0.3">
      <c r="B18" s="1867"/>
      <c r="C18" s="91" t="s">
        <v>154</v>
      </c>
      <c r="D18" s="41" t="s">
        <v>768</v>
      </c>
      <c r="E18" s="1377">
        <v>152865650</v>
      </c>
      <c r="F18" s="1377"/>
      <c r="G18" s="1377"/>
      <c r="H18" s="1377"/>
      <c r="I18" s="141">
        <f>SUM(E18:H18)</f>
        <v>152865650</v>
      </c>
      <c r="J18" s="6"/>
      <c r="L18" s="22"/>
    </row>
    <row r="19" spans="2:12" ht="15.75" thickBot="1" x14ac:dyDescent="0.3">
      <c r="B19" s="1867"/>
      <c r="C19" s="91" t="s">
        <v>156</v>
      </c>
      <c r="D19" s="41" t="s">
        <v>825</v>
      </c>
      <c r="E19" s="197"/>
      <c r="F19" s="197"/>
      <c r="G19" s="197"/>
      <c r="H19" s="197"/>
      <c r="I19" s="141">
        <f>SUM(E19:H19)</f>
        <v>0</v>
      </c>
      <c r="J19" s="6"/>
      <c r="L19" s="22"/>
    </row>
    <row r="20" spans="2:12" x14ac:dyDescent="0.25">
      <c r="B20" s="436"/>
      <c r="C20" s="92"/>
      <c r="D20" s="1828"/>
      <c r="E20" s="1829"/>
      <c r="F20" s="1829"/>
      <c r="G20" s="1829"/>
      <c r="H20" s="1829"/>
      <c r="I20" s="1829"/>
      <c r="J20" s="1829"/>
      <c r="K20" s="1829"/>
      <c r="L20" s="1861"/>
    </row>
    <row r="21" spans="2:12" ht="15.75" thickBot="1" x14ac:dyDescent="0.3">
      <c r="B21" s="436"/>
      <c r="C21" s="92"/>
      <c r="D21" s="1856" t="s">
        <v>826</v>
      </c>
      <c r="E21" s="1857"/>
      <c r="F21" s="1857"/>
      <c r="G21" s="1857"/>
      <c r="H21" s="1857"/>
      <c r="I21" s="1857"/>
      <c r="J21" s="1857"/>
      <c r="K21" s="1857"/>
      <c r="L21" s="1863"/>
    </row>
    <row r="22" spans="2:12" ht="15" customHeight="1" thickBot="1" x14ac:dyDescent="0.3">
      <c r="B22" s="436"/>
      <c r="C22" s="1894" t="s">
        <v>19</v>
      </c>
      <c r="D22" s="1804" t="s">
        <v>270</v>
      </c>
      <c r="E22" s="1804" t="s">
        <v>619</v>
      </c>
      <c r="F22" s="1816" t="s">
        <v>620</v>
      </c>
      <c r="G22" s="1818"/>
      <c r="H22" s="1816" t="s">
        <v>693</v>
      </c>
      <c r="I22" s="1817"/>
      <c r="J22" s="1817"/>
      <c r="K22" s="1818"/>
      <c r="L22" s="119"/>
    </row>
    <row r="23" spans="2:12" ht="34.5" thickBot="1" x14ac:dyDescent="0.3">
      <c r="B23" s="436"/>
      <c r="C23" s="1895"/>
      <c r="D23" s="1806"/>
      <c r="E23" s="1806"/>
      <c r="F23" s="65" t="s">
        <v>621</v>
      </c>
      <c r="G23" s="66" t="s">
        <v>622</v>
      </c>
      <c r="H23" s="65" t="s">
        <v>768</v>
      </c>
      <c r="I23" s="65" t="s">
        <v>344</v>
      </c>
      <c r="J23" s="65" t="s">
        <v>274</v>
      </c>
      <c r="K23" s="65" t="s">
        <v>275</v>
      </c>
      <c r="L23" s="12"/>
    </row>
    <row r="24" spans="2:12" ht="23.25" thickBot="1" x14ac:dyDescent="0.3">
      <c r="B24" s="436"/>
      <c r="C24" s="379">
        <v>1</v>
      </c>
      <c r="D24" s="1378" t="s">
        <v>2734</v>
      </c>
      <c r="E24" s="1379" t="s">
        <v>3533</v>
      </c>
      <c r="F24" s="1158">
        <v>1</v>
      </c>
      <c r="G24" s="1158">
        <v>0.25</v>
      </c>
      <c r="H24" s="1380">
        <v>38222413</v>
      </c>
      <c r="I24" s="1380">
        <v>38222413</v>
      </c>
      <c r="J24" s="1380">
        <v>3626771</v>
      </c>
      <c r="K24" s="1380">
        <v>1258318</v>
      </c>
      <c r="L24" s="12"/>
    </row>
    <row r="25" spans="2:12" ht="48.75" thickBot="1" x14ac:dyDescent="0.3">
      <c r="B25" s="436"/>
      <c r="C25" s="379">
        <v>2</v>
      </c>
      <c r="D25" s="1381" t="s">
        <v>2735</v>
      </c>
      <c r="E25" s="1353" t="s">
        <v>828</v>
      </c>
      <c r="F25" s="1158">
        <v>1</v>
      </c>
      <c r="G25" s="1158">
        <v>0.25</v>
      </c>
      <c r="H25" s="1380">
        <v>38222413</v>
      </c>
      <c r="I25" s="1380">
        <v>38222413</v>
      </c>
      <c r="J25" s="1380">
        <v>3626771</v>
      </c>
      <c r="K25" s="1380">
        <v>1258318</v>
      </c>
      <c r="L25" s="12"/>
    </row>
    <row r="26" spans="2:12" ht="72.75" thickBot="1" x14ac:dyDescent="0.3">
      <c r="B26" s="436"/>
      <c r="C26" s="379">
        <v>3</v>
      </c>
      <c r="D26" s="1382" t="s">
        <v>2736</v>
      </c>
      <c r="E26" s="1353" t="s">
        <v>827</v>
      </c>
      <c r="F26" s="1158">
        <v>1</v>
      </c>
      <c r="G26" s="1158">
        <v>0.25</v>
      </c>
      <c r="H26" s="1380">
        <v>38222413</v>
      </c>
      <c r="I26" s="1380">
        <v>38222413</v>
      </c>
      <c r="J26" s="1380">
        <v>3626771</v>
      </c>
      <c r="K26" s="1380">
        <v>1258318</v>
      </c>
      <c r="L26" s="12"/>
    </row>
    <row r="27" spans="2:12" ht="15.75" thickBot="1" x14ac:dyDescent="0.3">
      <c r="B27" s="436"/>
      <c r="C27" s="379">
        <v>4</v>
      </c>
      <c r="D27" s="479"/>
      <c r="E27" s="30"/>
      <c r="F27" s="1383"/>
      <c r="G27" s="1383"/>
      <c r="H27" s="479"/>
      <c r="I27" s="1384"/>
      <c r="J27" s="1384"/>
      <c r="K27" s="1385"/>
      <c r="L27" s="12"/>
    </row>
    <row r="28" spans="2:12" ht="15.75" thickBot="1" x14ac:dyDescent="0.3">
      <c r="B28" s="436"/>
      <c r="C28" s="379">
        <v>5</v>
      </c>
      <c r="D28" s="31"/>
      <c r="E28" s="30"/>
      <c r="F28" s="32"/>
      <c r="G28" s="32"/>
      <c r="H28" s="1377"/>
      <c r="I28" s="197"/>
      <c r="J28" s="1377"/>
      <c r="K28" s="197"/>
      <c r="L28" s="12"/>
    </row>
    <row r="29" spans="2:12" ht="15.75" thickBot="1" x14ac:dyDescent="0.3">
      <c r="B29" s="436"/>
      <c r="C29" s="379">
        <v>6</v>
      </c>
      <c r="D29" s="31"/>
      <c r="E29" s="30"/>
      <c r="F29" s="32"/>
      <c r="G29" s="32"/>
      <c r="H29" s="197"/>
      <c r="I29" s="197"/>
      <c r="J29" s="197"/>
      <c r="K29" s="197"/>
      <c r="L29" s="12"/>
    </row>
    <row r="30" spans="2:12" ht="15.75" thickBot="1" x14ac:dyDescent="0.3">
      <c r="B30" s="436"/>
      <c r="C30" s="76"/>
      <c r="D30" s="45" t="s">
        <v>151</v>
      </c>
      <c r="E30" s="132"/>
      <c r="F30" s="133"/>
      <c r="G30" s="134"/>
      <c r="H30" s="142">
        <f>SUM(H24:H29)</f>
        <v>114667239</v>
      </c>
      <c r="I30" s="142">
        <f>SUM(I24:I29)</f>
        <v>114667239</v>
      </c>
      <c r="J30" s="142">
        <f>SUM(J24:J29)</f>
        <v>10880313</v>
      </c>
      <c r="K30" s="142">
        <f>SUM(K24:K29)</f>
        <v>3774954</v>
      </c>
      <c r="L30" s="13"/>
    </row>
    <row r="31" spans="2:12" x14ac:dyDescent="0.25">
      <c r="B31" s="436"/>
      <c r="C31" s="92"/>
      <c r="D31" s="1828" t="s">
        <v>829</v>
      </c>
      <c r="E31" s="1829"/>
      <c r="F31" s="1829"/>
      <c r="G31" s="1829"/>
      <c r="H31" s="1829"/>
      <c r="I31" s="1829"/>
      <c r="J31" s="1829"/>
      <c r="K31" s="1829"/>
      <c r="L31" s="1861"/>
    </row>
    <row r="32" spans="2:12" ht="24" customHeight="1" thickBot="1" x14ac:dyDescent="0.3">
      <c r="B32" s="436"/>
      <c r="C32" s="92"/>
      <c r="D32" s="1828" t="s">
        <v>830</v>
      </c>
      <c r="E32" s="1829"/>
      <c r="F32" s="1829"/>
      <c r="G32" s="1829"/>
      <c r="H32" s="1829"/>
      <c r="I32" s="1829"/>
      <c r="J32" s="1829"/>
      <c r="K32" s="1829"/>
      <c r="L32" s="1861"/>
    </row>
    <row r="33" spans="2:14" ht="15.75" thickBot="1" x14ac:dyDescent="0.3">
      <c r="B33" s="436"/>
      <c r="C33" s="1984" t="s">
        <v>19</v>
      </c>
      <c r="D33" s="1959" t="s">
        <v>697</v>
      </c>
      <c r="E33" s="67" t="s">
        <v>831</v>
      </c>
      <c r="F33" s="1962" t="s">
        <v>698</v>
      </c>
      <c r="G33" s="1963"/>
      <c r="H33" s="1975" t="s">
        <v>55</v>
      </c>
      <c r="I33" s="6"/>
      <c r="J33" s="6"/>
      <c r="L33" s="22"/>
    </row>
    <row r="34" spans="2:14" x14ac:dyDescent="0.25">
      <c r="B34" s="436"/>
      <c r="C34" s="1985"/>
      <c r="D34" s="1960"/>
      <c r="E34" s="1804" t="s">
        <v>832</v>
      </c>
      <c r="F34" s="1804" t="s">
        <v>699</v>
      </c>
      <c r="G34" s="46" t="s">
        <v>700</v>
      </c>
      <c r="H34" s="1976"/>
      <c r="I34" s="6"/>
      <c r="J34" s="6"/>
      <c r="L34" s="22"/>
    </row>
    <row r="35" spans="2:14" ht="24.75" thickBot="1" x14ac:dyDescent="0.3">
      <c r="B35" s="436"/>
      <c r="C35" s="1986"/>
      <c r="D35" s="1961"/>
      <c r="E35" s="1806"/>
      <c r="F35" s="1806"/>
      <c r="G35" s="41" t="s">
        <v>695</v>
      </c>
      <c r="H35" s="1977"/>
      <c r="I35" s="6"/>
      <c r="J35" s="6"/>
      <c r="L35" s="22"/>
    </row>
    <row r="36" spans="2:14" ht="15.75" thickBot="1" x14ac:dyDescent="0.3">
      <c r="B36" s="436"/>
      <c r="C36" s="455">
        <v>1</v>
      </c>
      <c r="D36" s="481">
        <v>0.33300000000000002</v>
      </c>
      <c r="E36" s="164">
        <v>1</v>
      </c>
      <c r="F36" s="148">
        <f t="shared" ref="F36:G38" si="0">IFERROR(J24/I24,0)</f>
        <v>9.4885976979004444E-2</v>
      </c>
      <c r="G36" s="148">
        <f t="shared" si="0"/>
        <v>0.34695270255552391</v>
      </c>
      <c r="H36" s="31"/>
      <c r="I36" s="6"/>
      <c r="J36" s="6"/>
      <c r="L36" s="22"/>
    </row>
    <row r="37" spans="2:14" ht="15.75" thickBot="1" x14ac:dyDescent="0.3">
      <c r="B37" s="436"/>
      <c r="C37" s="455">
        <v>2</v>
      </c>
      <c r="D37" s="481">
        <v>0.33300000000000002</v>
      </c>
      <c r="E37" s="164">
        <v>1</v>
      </c>
      <c r="F37" s="148">
        <f t="shared" si="0"/>
        <v>9.4885976979004444E-2</v>
      </c>
      <c r="G37" s="148">
        <f t="shared" si="0"/>
        <v>0.34695270255552391</v>
      </c>
      <c r="H37" s="31"/>
      <c r="I37" s="6"/>
      <c r="J37" s="6"/>
      <c r="L37" s="22"/>
    </row>
    <row r="38" spans="2:14" ht="15.75" thickBot="1" x14ac:dyDescent="0.3">
      <c r="B38" s="436"/>
      <c r="C38" s="455">
        <v>3</v>
      </c>
      <c r="D38" s="481">
        <v>0.33300000000000002</v>
      </c>
      <c r="E38" s="164">
        <v>1</v>
      </c>
      <c r="F38" s="148">
        <f t="shared" si="0"/>
        <v>9.4885976979004444E-2</v>
      </c>
      <c r="G38" s="148">
        <f t="shared" si="0"/>
        <v>0.34695270255552391</v>
      </c>
      <c r="H38" s="31"/>
      <c r="I38" s="6"/>
      <c r="J38" s="6"/>
      <c r="L38" s="22"/>
    </row>
    <row r="39" spans="2:14" ht="15.75" thickBot="1" x14ac:dyDescent="0.3">
      <c r="B39" s="437"/>
      <c r="C39" s="106"/>
      <c r="D39" s="207" t="str">
        <f>Formulas!$D$24</f>
        <v>ERROR: LA SUMA DE LA COLUMNA DEBE SER 100%</v>
      </c>
      <c r="E39" s="215">
        <f>+D36*E36+D37*E37+D38*E38</f>
        <v>0.99900000000000011</v>
      </c>
      <c r="F39" s="215">
        <f>D36*F36+D37*F37+D38*F38</f>
        <v>9.4791091002025429E-2</v>
      </c>
      <c r="G39" s="148">
        <f>Formulas!F24</f>
        <v>0.34695270255552391</v>
      </c>
      <c r="H39" s="31"/>
      <c r="I39" s="23"/>
      <c r="J39" s="23"/>
      <c r="K39" s="23"/>
      <c r="L39" s="24"/>
      <c r="N39" t="s">
        <v>1198</v>
      </c>
    </row>
    <row r="40" spans="2:14" ht="15.75" thickBot="1" x14ac:dyDescent="0.3">
      <c r="B40" s="38"/>
      <c r="C40" s="88"/>
      <c r="D40" s="6"/>
      <c r="E40" s="6"/>
      <c r="F40" s="6"/>
      <c r="G40" s="6"/>
      <c r="H40" s="6"/>
      <c r="I40" s="6"/>
      <c r="J40" s="6"/>
      <c r="K40" s="6"/>
    </row>
    <row r="41" spans="2:14" ht="108.75" thickBot="1" x14ac:dyDescent="0.3">
      <c r="B41" s="52" t="s">
        <v>34</v>
      </c>
      <c r="C41" s="98"/>
      <c r="D41" s="43" t="s">
        <v>833</v>
      </c>
      <c r="E41" s="6"/>
      <c r="F41" s="6"/>
      <c r="G41" s="6"/>
      <c r="H41" s="6"/>
      <c r="I41" s="6"/>
      <c r="J41" s="6"/>
      <c r="K41" s="6"/>
    </row>
    <row r="42" spans="2:14" ht="48.6" customHeight="1" thickBot="1" x14ac:dyDescent="0.3">
      <c r="B42" s="47" t="s">
        <v>36</v>
      </c>
      <c r="C42" s="3"/>
      <c r="D42" s="41" t="s">
        <v>346</v>
      </c>
      <c r="E42" s="6"/>
      <c r="F42" s="6"/>
      <c r="G42" s="6"/>
      <c r="H42" s="6"/>
      <c r="I42" s="6"/>
      <c r="J42" s="6"/>
      <c r="K42" s="6"/>
    </row>
    <row r="43" spans="2:14" ht="15.75" thickBot="1" x14ac:dyDescent="0.3">
      <c r="B43" s="2"/>
      <c r="C43" s="76"/>
      <c r="D43" s="6"/>
      <c r="E43" s="6"/>
      <c r="F43" s="6"/>
      <c r="G43" s="6"/>
      <c r="H43" s="6"/>
      <c r="I43" s="6"/>
      <c r="J43" s="6"/>
      <c r="K43" s="6"/>
    </row>
    <row r="44" spans="2:14" ht="24" customHeight="1" thickBot="1" x14ac:dyDescent="0.3">
      <c r="B44" s="1807" t="s">
        <v>38</v>
      </c>
      <c r="C44" s="1808"/>
      <c r="D44" s="1808"/>
      <c r="E44" s="1809"/>
      <c r="F44" s="6"/>
      <c r="G44" s="6"/>
      <c r="H44" s="6"/>
      <c r="I44" s="6"/>
      <c r="J44" s="6"/>
      <c r="K44" s="6"/>
    </row>
    <row r="45" spans="2:14" ht="15.75" thickBot="1" x14ac:dyDescent="0.3">
      <c r="B45" s="1804">
        <v>1</v>
      </c>
      <c r="C45" s="94"/>
      <c r="D45" s="48" t="s">
        <v>39</v>
      </c>
      <c r="E45" s="167"/>
      <c r="F45" s="6"/>
      <c r="G45" s="6"/>
      <c r="H45" s="6"/>
      <c r="I45" s="6"/>
      <c r="J45" s="6"/>
      <c r="K45" s="6"/>
    </row>
    <row r="46" spans="2:14" ht="15.75" thickBot="1" x14ac:dyDescent="0.3">
      <c r="B46" s="1805"/>
      <c r="C46" s="94"/>
      <c r="D46" s="41" t="s">
        <v>40</v>
      </c>
      <c r="E46" s="167"/>
      <c r="F46" s="6"/>
      <c r="G46" s="6"/>
      <c r="H46" s="6"/>
      <c r="I46" s="6"/>
      <c r="J46" s="6"/>
      <c r="K46" s="6"/>
    </row>
    <row r="47" spans="2:14" ht="15.75" thickBot="1" x14ac:dyDescent="0.3">
      <c r="B47" s="1805"/>
      <c r="C47" s="94"/>
      <c r="D47" s="41" t="s">
        <v>41</v>
      </c>
      <c r="E47" s="167"/>
      <c r="F47" s="6"/>
      <c r="G47" s="6"/>
      <c r="H47" s="6"/>
      <c r="I47" s="6"/>
      <c r="J47" s="6"/>
      <c r="K47" s="6"/>
    </row>
    <row r="48" spans="2:14" ht="15.75" thickBot="1" x14ac:dyDescent="0.3">
      <c r="B48" s="1805"/>
      <c r="C48" s="94"/>
      <c r="D48" s="41" t="s">
        <v>42</v>
      </c>
      <c r="E48" s="167"/>
      <c r="F48" s="6"/>
      <c r="G48" s="6"/>
      <c r="H48" s="6"/>
      <c r="I48" s="6"/>
      <c r="J48" s="6"/>
      <c r="K48" s="6"/>
    </row>
    <row r="49" spans="2:11" ht="15.75" thickBot="1" x14ac:dyDescent="0.3">
      <c r="B49" s="1805"/>
      <c r="C49" s="94"/>
      <c r="D49" s="41" t="s">
        <v>43</v>
      </c>
      <c r="E49" s="167"/>
      <c r="F49" s="6"/>
      <c r="G49" s="6"/>
      <c r="H49" s="6"/>
      <c r="I49" s="6"/>
      <c r="J49" s="6"/>
      <c r="K49" s="6"/>
    </row>
    <row r="50" spans="2:11" ht="15.75" thickBot="1" x14ac:dyDescent="0.3">
      <c r="B50" s="1805"/>
      <c r="C50" s="94"/>
      <c r="D50" s="41" t="s">
        <v>44</v>
      </c>
      <c r="E50" s="167"/>
      <c r="F50" s="6"/>
      <c r="G50" s="6"/>
      <c r="H50" s="6"/>
      <c r="I50" s="6"/>
      <c r="J50" s="6"/>
      <c r="K50" s="6"/>
    </row>
    <row r="51" spans="2:11" ht="15.75" thickBot="1" x14ac:dyDescent="0.3">
      <c r="B51" s="1806"/>
      <c r="C51" s="3"/>
      <c r="D51" s="41" t="s">
        <v>45</v>
      </c>
      <c r="E51" s="167"/>
      <c r="F51" s="6"/>
      <c r="G51" s="6"/>
      <c r="H51" s="6"/>
      <c r="I51" s="6"/>
      <c r="J51" s="6"/>
      <c r="K51" s="6"/>
    </row>
    <row r="52" spans="2:11" ht="15.75" thickBot="1" x14ac:dyDescent="0.3">
      <c r="B52" s="2"/>
      <c r="C52" s="76"/>
      <c r="D52" s="6"/>
      <c r="E52" s="6"/>
      <c r="F52" s="6"/>
      <c r="G52" s="6"/>
      <c r="H52" s="6"/>
      <c r="I52" s="6"/>
      <c r="J52" s="6"/>
      <c r="K52" s="6"/>
    </row>
    <row r="53" spans="2:11" ht="15.75" thickBot="1" x14ac:dyDescent="0.3">
      <c r="B53" s="1807" t="s">
        <v>46</v>
      </c>
      <c r="C53" s="1808"/>
      <c r="D53" s="1808"/>
      <c r="E53" s="1809"/>
      <c r="F53" s="6"/>
      <c r="G53" s="6"/>
      <c r="H53" s="6"/>
      <c r="I53" s="6"/>
      <c r="J53" s="6"/>
      <c r="K53" s="6"/>
    </row>
    <row r="54" spans="2:11" ht="15.75" thickBot="1" x14ac:dyDescent="0.3">
      <c r="B54" s="1804">
        <v>1</v>
      </c>
      <c r="C54" s="94"/>
      <c r="D54" s="48" t="s">
        <v>39</v>
      </c>
      <c r="E54" s="444" t="s">
        <v>47</v>
      </c>
      <c r="F54" s="6"/>
      <c r="G54" s="6"/>
      <c r="H54" s="6"/>
      <c r="I54" s="6"/>
      <c r="J54" s="6"/>
      <c r="K54" s="6"/>
    </row>
    <row r="55" spans="2:11" ht="15.75" thickBot="1" x14ac:dyDescent="0.3">
      <c r="B55" s="1805"/>
      <c r="C55" s="94"/>
      <c r="D55" s="41" t="s">
        <v>40</v>
      </c>
      <c r="E55" s="444" t="s">
        <v>160</v>
      </c>
      <c r="F55" s="6"/>
      <c r="G55" s="6"/>
      <c r="H55" s="6"/>
      <c r="I55" s="6"/>
      <c r="J55" s="6"/>
      <c r="K55" s="6"/>
    </row>
    <row r="56" spans="2:11" ht="15.75" thickBot="1" x14ac:dyDescent="0.3">
      <c r="B56" s="1805"/>
      <c r="C56" s="94"/>
      <c r="D56" s="41" t="s">
        <v>41</v>
      </c>
      <c r="E56" s="172"/>
      <c r="F56" s="6"/>
      <c r="G56" s="6"/>
      <c r="H56" s="6"/>
      <c r="I56" s="6"/>
      <c r="J56" s="6"/>
      <c r="K56" s="6"/>
    </row>
    <row r="57" spans="2:11" ht="15.75" thickBot="1" x14ac:dyDescent="0.3">
      <c r="B57" s="1805"/>
      <c r="C57" s="94"/>
      <c r="D57" s="41" t="s">
        <v>42</v>
      </c>
      <c r="E57" s="172"/>
      <c r="F57" s="6"/>
      <c r="G57" s="6"/>
      <c r="H57" s="6"/>
      <c r="I57" s="6"/>
      <c r="J57" s="6"/>
      <c r="K57" s="6"/>
    </row>
    <row r="58" spans="2:11" ht="15.75" thickBot="1" x14ac:dyDescent="0.3">
      <c r="B58" s="1805"/>
      <c r="C58" s="94"/>
      <c r="D58" s="41" t="s">
        <v>43</v>
      </c>
      <c r="E58" s="172"/>
      <c r="F58" s="6"/>
      <c r="G58" s="6"/>
      <c r="H58" s="6"/>
      <c r="I58" s="6"/>
      <c r="J58" s="6"/>
      <c r="K58" s="6"/>
    </row>
    <row r="59" spans="2:11" ht="15.75" thickBot="1" x14ac:dyDescent="0.3">
      <c r="B59" s="1805"/>
      <c r="C59" s="94"/>
      <c r="D59" s="41" t="s">
        <v>44</v>
      </c>
      <c r="E59" s="172"/>
      <c r="F59" s="6"/>
      <c r="G59" s="6"/>
      <c r="H59" s="6"/>
      <c r="I59" s="6"/>
      <c r="J59" s="6"/>
      <c r="K59" s="6"/>
    </row>
    <row r="60" spans="2:11" ht="15.75" thickBot="1" x14ac:dyDescent="0.3">
      <c r="B60" s="1806"/>
      <c r="C60" s="3"/>
      <c r="D60" s="41" t="s">
        <v>45</v>
      </c>
      <c r="E60" s="172"/>
      <c r="F60" s="6"/>
      <c r="G60" s="6"/>
      <c r="H60" s="6"/>
      <c r="I60" s="6"/>
      <c r="J60" s="6"/>
      <c r="K60" s="6"/>
    </row>
    <row r="61" spans="2:11" ht="15.75" thickBot="1" x14ac:dyDescent="0.3">
      <c r="B61" s="2"/>
      <c r="C61" s="76"/>
      <c r="D61" s="6"/>
      <c r="E61" s="6"/>
      <c r="F61" s="6"/>
      <c r="G61" s="6"/>
      <c r="H61" s="6"/>
      <c r="I61" s="6"/>
      <c r="J61" s="6"/>
      <c r="K61" s="6"/>
    </row>
    <row r="62" spans="2:11" ht="15" customHeight="1" thickBot="1" x14ac:dyDescent="0.3">
      <c r="B62" s="125" t="s">
        <v>49</v>
      </c>
      <c r="C62" s="126"/>
      <c r="D62" s="126"/>
      <c r="E62" s="127"/>
      <c r="G62" s="6"/>
      <c r="H62" s="6"/>
      <c r="I62" s="6"/>
      <c r="J62" s="6"/>
      <c r="K62" s="6"/>
    </row>
    <row r="63" spans="2:11" ht="24.75" thickBot="1" x14ac:dyDescent="0.3">
      <c r="B63" s="47" t="s">
        <v>50</v>
      </c>
      <c r="C63" s="41" t="s">
        <v>51</v>
      </c>
      <c r="D63" s="41" t="s">
        <v>52</v>
      </c>
      <c r="E63" s="41" t="s">
        <v>53</v>
      </c>
      <c r="F63" s="6"/>
      <c r="G63" s="6"/>
      <c r="H63" s="6"/>
      <c r="I63" s="6"/>
      <c r="J63" s="6"/>
    </row>
    <row r="64" spans="2:11" ht="72.75" thickBot="1" x14ac:dyDescent="0.3">
      <c r="B64" s="49">
        <v>42401</v>
      </c>
      <c r="C64" s="41">
        <v>0.01</v>
      </c>
      <c r="D64" s="50" t="s">
        <v>834</v>
      </c>
      <c r="E64" s="41"/>
      <c r="F64" s="6"/>
      <c r="G64" s="6"/>
      <c r="H64" s="6"/>
      <c r="I64" s="6"/>
      <c r="J64" s="6"/>
    </row>
    <row r="65" spans="2:11" ht="15.75" thickBot="1" x14ac:dyDescent="0.3">
      <c r="B65" s="4"/>
      <c r="C65" s="95"/>
      <c r="D65" s="6"/>
      <c r="E65" s="6"/>
      <c r="F65" s="6"/>
      <c r="G65" s="6"/>
      <c r="H65" s="6"/>
      <c r="I65" s="6"/>
      <c r="J65" s="6"/>
      <c r="K65" s="6"/>
    </row>
    <row r="66" spans="2:11" ht="15.75" thickBot="1" x14ac:dyDescent="0.3">
      <c r="B66" s="482" t="s">
        <v>55</v>
      </c>
      <c r="C66" s="96"/>
      <c r="D66" s="6"/>
      <c r="E66" s="6"/>
      <c r="F66" s="6"/>
      <c r="G66" s="6"/>
      <c r="H66" s="6"/>
      <c r="I66" s="6"/>
      <c r="J66" s="6"/>
      <c r="K66" s="6"/>
    </row>
    <row r="67" spans="2:11" x14ac:dyDescent="0.25">
      <c r="B67" s="1978"/>
      <c r="C67" s="1979"/>
      <c r="D67" s="1979"/>
      <c r="E67" s="1980"/>
      <c r="F67" s="6"/>
      <c r="G67" s="6"/>
      <c r="H67" s="6"/>
      <c r="I67" s="6"/>
      <c r="J67" s="6"/>
      <c r="K67" s="6"/>
    </row>
    <row r="68" spans="2:11" ht="15.75" thickBot="1" x14ac:dyDescent="0.3">
      <c r="B68" s="1981"/>
      <c r="C68" s="1982"/>
      <c r="D68" s="1982"/>
      <c r="E68" s="1983"/>
      <c r="F68" s="6"/>
      <c r="G68" s="6"/>
      <c r="H68" s="6"/>
      <c r="I68" s="6"/>
      <c r="J68" s="6"/>
      <c r="K68" s="6"/>
    </row>
    <row r="69" spans="2:11" x14ac:dyDescent="0.25">
      <c r="B69" s="2"/>
      <c r="C69" s="76"/>
      <c r="D69" s="6"/>
      <c r="E69" s="6"/>
      <c r="F69" s="6"/>
      <c r="G69" s="6"/>
      <c r="H69" s="6"/>
      <c r="I69" s="6"/>
      <c r="J69" s="6"/>
      <c r="K69" s="6"/>
    </row>
    <row r="70" spans="2:11" ht="15.75" thickBot="1" x14ac:dyDescent="0.3">
      <c r="B70" s="6"/>
      <c r="D70" s="6"/>
      <c r="E70" s="6"/>
      <c r="F70" s="6"/>
      <c r="G70" s="6"/>
      <c r="H70" s="6"/>
      <c r="I70" s="6"/>
      <c r="J70" s="6"/>
      <c r="K70" s="6"/>
    </row>
    <row r="71" spans="2:11" ht="24.75" thickBot="1" x14ac:dyDescent="0.3">
      <c r="B71" s="51" t="s">
        <v>56</v>
      </c>
      <c r="C71" s="97"/>
      <c r="D71" s="6"/>
      <c r="E71" s="6"/>
      <c r="F71" s="6"/>
      <c r="G71" s="6"/>
      <c r="H71" s="6"/>
      <c r="I71" s="6"/>
      <c r="J71" s="6"/>
      <c r="K71" s="6"/>
    </row>
    <row r="72" spans="2:11" ht="15.75" thickBot="1" x14ac:dyDescent="0.3">
      <c r="B72" s="38"/>
      <c r="C72" s="88"/>
      <c r="D72" s="6"/>
      <c r="E72" s="6"/>
      <c r="F72" s="6"/>
      <c r="G72" s="6"/>
      <c r="H72" s="6"/>
      <c r="I72" s="6"/>
      <c r="J72" s="6"/>
      <c r="K72" s="6"/>
    </row>
    <row r="73" spans="2:11" ht="48.75" thickBot="1" x14ac:dyDescent="0.3">
      <c r="B73" s="52" t="s">
        <v>57</v>
      </c>
      <c r="C73" s="98"/>
      <c r="D73" s="43" t="s">
        <v>774</v>
      </c>
      <c r="E73" s="6"/>
      <c r="F73" s="6"/>
      <c r="G73" s="6"/>
      <c r="H73" s="6"/>
      <c r="I73" s="6"/>
      <c r="J73" s="6"/>
      <c r="K73" s="6"/>
    </row>
    <row r="74" spans="2:11" x14ac:dyDescent="0.25">
      <c r="B74" s="1804" t="s">
        <v>59</v>
      </c>
      <c r="C74" s="94"/>
      <c r="D74" s="53" t="s">
        <v>60</v>
      </c>
      <c r="E74" s="6"/>
      <c r="F74" s="6"/>
      <c r="G74" s="6"/>
      <c r="H74" s="6"/>
      <c r="I74" s="6"/>
      <c r="J74" s="6"/>
      <c r="K74" s="6"/>
    </row>
    <row r="75" spans="2:11" ht="108" x14ac:dyDescent="0.25">
      <c r="B75" s="1805"/>
      <c r="C75" s="94"/>
      <c r="D75" s="46" t="s">
        <v>775</v>
      </c>
      <c r="E75" s="6"/>
      <c r="F75" s="6"/>
      <c r="G75" s="6"/>
      <c r="H75" s="6"/>
      <c r="I75" s="6"/>
      <c r="J75" s="6"/>
      <c r="K75" s="6"/>
    </row>
    <row r="76" spans="2:11" x14ac:dyDescent="0.25">
      <c r="B76" s="1805"/>
      <c r="C76" s="94"/>
      <c r="D76" s="46" t="s">
        <v>776</v>
      </c>
      <c r="E76" s="6"/>
      <c r="F76" s="6"/>
      <c r="G76" s="6"/>
      <c r="H76" s="6"/>
      <c r="I76" s="6"/>
      <c r="J76" s="6"/>
      <c r="K76" s="6"/>
    </row>
    <row r="77" spans="2:11" ht="24" x14ac:dyDescent="0.25">
      <c r="B77" s="1805"/>
      <c r="C77" s="94"/>
      <c r="D77" s="46" t="s">
        <v>777</v>
      </c>
      <c r="E77" s="6"/>
      <c r="F77" s="6"/>
      <c r="G77" s="6"/>
      <c r="H77" s="6"/>
      <c r="I77" s="6"/>
      <c r="J77" s="6"/>
      <c r="K77" s="6"/>
    </row>
    <row r="78" spans="2:11" ht="24" x14ac:dyDescent="0.25">
      <c r="B78" s="1805"/>
      <c r="C78" s="94"/>
      <c r="D78" s="46" t="s">
        <v>778</v>
      </c>
      <c r="E78" s="6"/>
      <c r="F78" s="6"/>
      <c r="G78" s="6"/>
      <c r="H78" s="6"/>
      <c r="I78" s="6"/>
      <c r="J78" s="6"/>
      <c r="K78" s="6"/>
    </row>
    <row r="79" spans="2:11" x14ac:dyDescent="0.25">
      <c r="B79" s="1805"/>
      <c r="C79" s="94"/>
      <c r="D79" s="53" t="s">
        <v>288</v>
      </c>
      <c r="E79" s="6"/>
      <c r="F79" s="6"/>
      <c r="G79" s="6"/>
      <c r="H79" s="6"/>
      <c r="I79" s="6"/>
      <c r="J79" s="6"/>
      <c r="K79" s="6"/>
    </row>
    <row r="80" spans="2:11" ht="24" x14ac:dyDescent="0.25">
      <c r="B80" s="1805"/>
      <c r="C80" s="94"/>
      <c r="D80" s="46" t="s">
        <v>779</v>
      </c>
      <c r="E80" s="6"/>
      <c r="F80" s="6"/>
      <c r="G80" s="6"/>
      <c r="H80" s="6"/>
      <c r="I80" s="6"/>
      <c r="J80" s="6"/>
      <c r="K80" s="6"/>
    </row>
    <row r="81" spans="2:11" x14ac:dyDescent="0.25">
      <c r="B81" s="1805"/>
      <c r="C81" s="94"/>
      <c r="D81" s="46" t="s">
        <v>780</v>
      </c>
      <c r="E81" s="6"/>
      <c r="F81" s="6"/>
      <c r="G81" s="6"/>
      <c r="H81" s="6"/>
      <c r="I81" s="6"/>
      <c r="J81" s="6"/>
      <c r="K81" s="6"/>
    </row>
    <row r="82" spans="2:11" ht="36" x14ac:dyDescent="0.25">
      <c r="B82" s="1805"/>
      <c r="C82" s="94"/>
      <c r="D82" s="46" t="s">
        <v>781</v>
      </c>
      <c r="E82" s="6"/>
      <c r="F82" s="6"/>
      <c r="G82" s="6"/>
      <c r="H82" s="6"/>
      <c r="I82" s="6"/>
      <c r="J82" s="6"/>
      <c r="K82" s="6"/>
    </row>
    <row r="83" spans="2:11" ht="36" x14ac:dyDescent="0.25">
      <c r="B83" s="1805"/>
      <c r="C83" s="94"/>
      <c r="D83" s="46" t="s">
        <v>782</v>
      </c>
      <c r="E83" s="6"/>
      <c r="F83" s="6"/>
      <c r="G83" s="6"/>
      <c r="H83" s="6"/>
      <c r="I83" s="6"/>
      <c r="J83" s="6"/>
      <c r="K83" s="6"/>
    </row>
    <row r="84" spans="2:11" ht="24" x14ac:dyDescent="0.25">
      <c r="B84" s="1805"/>
      <c r="C84" s="94"/>
      <c r="D84" s="46" t="s">
        <v>783</v>
      </c>
      <c r="E84" s="6"/>
      <c r="F84" s="6"/>
      <c r="G84" s="6"/>
      <c r="H84" s="6"/>
      <c r="I84" s="6"/>
      <c r="J84" s="6"/>
      <c r="K84" s="6"/>
    </row>
    <row r="85" spans="2:11" ht="48" x14ac:dyDescent="0.25">
      <c r="B85" s="1805"/>
      <c r="C85" s="94"/>
      <c r="D85" s="46" t="s">
        <v>784</v>
      </c>
      <c r="E85" s="6"/>
      <c r="F85" s="6"/>
      <c r="G85" s="6"/>
      <c r="H85" s="6"/>
      <c r="I85" s="6"/>
      <c r="J85" s="6"/>
      <c r="K85" s="6"/>
    </row>
    <row r="86" spans="2:11" ht="36" x14ac:dyDescent="0.25">
      <c r="B86" s="1805"/>
      <c r="C86" s="94"/>
      <c r="D86" s="46" t="s">
        <v>785</v>
      </c>
      <c r="E86" s="6"/>
      <c r="F86" s="6"/>
      <c r="G86" s="6"/>
      <c r="H86" s="6"/>
      <c r="I86" s="6"/>
      <c r="J86" s="6"/>
      <c r="K86" s="6"/>
    </row>
    <row r="87" spans="2:11" ht="24" x14ac:dyDescent="0.25">
      <c r="B87" s="1805"/>
      <c r="C87" s="94"/>
      <c r="D87" s="46" t="s">
        <v>786</v>
      </c>
      <c r="E87" s="6"/>
      <c r="F87" s="6"/>
      <c r="G87" s="6"/>
      <c r="H87" s="6"/>
      <c r="I87" s="6"/>
      <c r="J87" s="6"/>
      <c r="K87" s="6"/>
    </row>
    <row r="88" spans="2:11" ht="24" x14ac:dyDescent="0.25">
      <c r="B88" s="1805"/>
      <c r="C88" s="94"/>
      <c r="D88" s="46" t="s">
        <v>787</v>
      </c>
      <c r="E88" s="6"/>
      <c r="F88" s="6"/>
      <c r="G88" s="6"/>
      <c r="H88" s="6"/>
      <c r="I88" s="6"/>
      <c r="J88" s="6"/>
      <c r="K88" s="6"/>
    </row>
    <row r="89" spans="2:11" ht="60.75" thickBot="1" x14ac:dyDescent="0.3">
      <c r="B89" s="1806"/>
      <c r="C89" s="3"/>
      <c r="D89" s="56" t="s">
        <v>788</v>
      </c>
      <c r="E89" s="6"/>
      <c r="F89" s="6"/>
      <c r="G89" s="6"/>
      <c r="H89" s="6"/>
      <c r="I89" s="6"/>
      <c r="J89" s="6"/>
      <c r="K89" s="6"/>
    </row>
    <row r="90" spans="2:11" x14ac:dyDescent="0.25">
      <c r="B90" s="1804" t="s">
        <v>72</v>
      </c>
      <c r="C90" s="99"/>
      <c r="D90" s="1804"/>
      <c r="E90" s="6"/>
      <c r="F90" s="6"/>
      <c r="G90" s="6"/>
      <c r="H90" s="6"/>
      <c r="I90" s="6"/>
      <c r="J90" s="6"/>
      <c r="K90" s="6"/>
    </row>
    <row r="91" spans="2:11" ht="15.75" thickBot="1" x14ac:dyDescent="0.3">
      <c r="B91" s="1806"/>
      <c r="C91" s="100"/>
      <c r="D91" s="1806"/>
      <c r="E91" s="6"/>
      <c r="F91" s="6"/>
      <c r="G91" s="6"/>
      <c r="H91" s="6"/>
      <c r="I91" s="6"/>
      <c r="J91" s="6"/>
      <c r="K91" s="6"/>
    </row>
    <row r="92" spans="2:11" ht="144" x14ac:dyDescent="0.25">
      <c r="B92" s="1804" t="s">
        <v>73</v>
      </c>
      <c r="C92" s="94"/>
      <c r="D92" s="46" t="s">
        <v>789</v>
      </c>
      <c r="E92" s="6"/>
      <c r="F92" s="6"/>
      <c r="G92" s="6"/>
      <c r="H92" s="6"/>
      <c r="I92" s="6"/>
      <c r="J92" s="6"/>
      <c r="K92" s="6"/>
    </row>
    <row r="93" spans="2:11" ht="192" x14ac:dyDescent="0.25">
      <c r="B93" s="1805"/>
      <c r="C93" s="94"/>
      <c r="D93" s="46" t="s">
        <v>790</v>
      </c>
      <c r="E93" s="6"/>
      <c r="F93" s="6"/>
      <c r="G93" s="6"/>
      <c r="H93" s="6"/>
      <c r="I93" s="6"/>
      <c r="J93" s="6"/>
      <c r="K93" s="6"/>
    </row>
    <row r="94" spans="2:11" ht="36" x14ac:dyDescent="0.25">
      <c r="B94" s="1805"/>
      <c r="C94" s="94"/>
      <c r="D94" s="46" t="s">
        <v>791</v>
      </c>
      <c r="E94" s="6"/>
      <c r="F94" s="6"/>
      <c r="G94" s="6"/>
      <c r="H94" s="6"/>
      <c r="I94" s="6"/>
      <c r="J94" s="6"/>
      <c r="K94" s="6"/>
    </row>
    <row r="95" spans="2:11" ht="36" x14ac:dyDescent="0.25">
      <c r="B95" s="1805"/>
      <c r="C95" s="94"/>
      <c r="D95" s="46" t="s">
        <v>792</v>
      </c>
      <c r="E95" s="6"/>
      <c r="F95" s="6"/>
      <c r="G95" s="6"/>
      <c r="H95" s="6"/>
      <c r="I95" s="6"/>
      <c r="J95" s="6"/>
      <c r="K95" s="6"/>
    </row>
    <row r="96" spans="2:11" ht="36" x14ac:dyDescent="0.25">
      <c r="B96" s="1805"/>
      <c r="C96" s="94"/>
      <c r="D96" s="46" t="s">
        <v>793</v>
      </c>
      <c r="E96" s="6"/>
      <c r="F96" s="6"/>
      <c r="G96" s="6"/>
      <c r="H96" s="6"/>
      <c r="I96" s="6"/>
      <c r="J96" s="6"/>
      <c r="K96" s="6"/>
    </row>
    <row r="97" spans="2:11" ht="48" x14ac:dyDescent="0.25">
      <c r="B97" s="1805"/>
      <c r="C97" s="94"/>
      <c r="D97" s="46" t="s">
        <v>794</v>
      </c>
      <c r="E97" s="6"/>
      <c r="F97" s="6"/>
      <c r="G97" s="6"/>
      <c r="H97" s="6"/>
      <c r="I97" s="6"/>
      <c r="J97" s="6"/>
      <c r="K97" s="6"/>
    </row>
    <row r="98" spans="2:11" ht="48" x14ac:dyDescent="0.25">
      <c r="B98" s="1805"/>
      <c r="C98" s="94"/>
      <c r="D98" s="46" t="s">
        <v>795</v>
      </c>
      <c r="E98" s="6"/>
      <c r="F98" s="6"/>
      <c r="G98" s="6"/>
      <c r="H98" s="6"/>
      <c r="I98" s="6"/>
      <c r="J98" s="6"/>
      <c r="K98" s="6"/>
    </row>
    <row r="99" spans="2:11" ht="36" x14ac:dyDescent="0.25">
      <c r="B99" s="1805"/>
      <c r="C99" s="94"/>
      <c r="D99" s="26" t="s">
        <v>796</v>
      </c>
      <c r="E99" s="6"/>
      <c r="F99" s="6"/>
      <c r="G99" s="6"/>
      <c r="H99" s="6"/>
      <c r="I99" s="6"/>
      <c r="J99" s="6"/>
      <c r="K99" s="6"/>
    </row>
    <row r="100" spans="2:11" ht="36" x14ac:dyDescent="0.25">
      <c r="B100" s="1805"/>
      <c r="C100" s="94"/>
      <c r="D100" s="26" t="s">
        <v>797</v>
      </c>
      <c r="E100" s="6"/>
      <c r="F100" s="6"/>
      <c r="G100" s="6"/>
      <c r="H100" s="6"/>
      <c r="I100" s="6"/>
      <c r="J100" s="6"/>
      <c r="K100" s="6"/>
    </row>
    <row r="101" spans="2:11" ht="24" x14ac:dyDescent="0.25">
      <c r="B101" s="1805"/>
      <c r="C101" s="94"/>
      <c r="D101" s="26" t="s">
        <v>798</v>
      </c>
      <c r="E101" s="6"/>
      <c r="F101" s="6"/>
      <c r="G101" s="6"/>
      <c r="H101" s="6"/>
      <c r="I101" s="6"/>
      <c r="J101" s="6"/>
      <c r="K101" s="6"/>
    </row>
    <row r="102" spans="2:11" ht="24" x14ac:dyDescent="0.25">
      <c r="B102" s="1805"/>
      <c r="C102" s="94"/>
      <c r="D102" s="26" t="s">
        <v>799</v>
      </c>
      <c r="E102" s="6"/>
      <c r="F102" s="6"/>
      <c r="G102" s="6"/>
      <c r="H102" s="6"/>
      <c r="I102" s="6"/>
      <c r="J102" s="6"/>
      <c r="K102" s="6"/>
    </row>
    <row r="103" spans="2:11" ht="60" x14ac:dyDescent="0.25">
      <c r="B103" s="1805"/>
      <c r="C103" s="94"/>
      <c r="D103" s="26" t="s">
        <v>800</v>
      </c>
      <c r="E103" s="6"/>
      <c r="F103" s="6"/>
      <c r="G103" s="6"/>
      <c r="H103" s="6"/>
      <c r="I103" s="6"/>
      <c r="J103" s="6"/>
      <c r="K103" s="6"/>
    </row>
    <row r="104" spans="2:11" ht="36" x14ac:dyDescent="0.25">
      <c r="B104" s="1805"/>
      <c r="C104" s="94"/>
      <c r="D104" s="26" t="s">
        <v>801</v>
      </c>
      <c r="E104" s="6"/>
      <c r="F104" s="6"/>
      <c r="G104" s="6"/>
      <c r="H104" s="6"/>
      <c r="I104" s="6"/>
      <c r="J104" s="6"/>
      <c r="K104" s="6"/>
    </row>
    <row r="105" spans="2:11" ht="36" x14ac:dyDescent="0.25">
      <c r="B105" s="1805"/>
      <c r="C105" s="94"/>
      <c r="D105" s="26" t="s">
        <v>802</v>
      </c>
      <c r="E105" s="6"/>
      <c r="F105" s="6"/>
      <c r="G105" s="6"/>
      <c r="H105" s="6"/>
      <c r="I105" s="6"/>
      <c r="J105" s="6"/>
      <c r="K105" s="6"/>
    </row>
    <row r="106" spans="2:11" ht="60" x14ac:dyDescent="0.25">
      <c r="B106" s="1805"/>
      <c r="C106" s="94"/>
      <c r="D106" s="26" t="s">
        <v>803</v>
      </c>
      <c r="E106" s="6"/>
      <c r="F106" s="6"/>
      <c r="G106" s="6"/>
      <c r="H106" s="6"/>
      <c r="I106" s="6"/>
      <c r="J106" s="6"/>
      <c r="K106" s="6"/>
    </row>
    <row r="107" spans="2:11" ht="24" x14ac:dyDescent="0.25">
      <c r="B107" s="1805"/>
      <c r="C107" s="94"/>
      <c r="D107" s="26" t="s">
        <v>804</v>
      </c>
      <c r="E107" s="6"/>
      <c r="F107" s="6"/>
      <c r="G107" s="6"/>
      <c r="H107" s="6"/>
      <c r="I107" s="6"/>
      <c r="J107" s="6"/>
      <c r="K107" s="6"/>
    </row>
    <row r="108" spans="2:11" ht="24" x14ac:dyDescent="0.25">
      <c r="B108" s="1805"/>
      <c r="C108" s="94"/>
      <c r="D108" s="26" t="s">
        <v>805</v>
      </c>
      <c r="E108" s="6"/>
      <c r="F108" s="6"/>
      <c r="G108" s="6"/>
      <c r="H108" s="6"/>
      <c r="I108" s="6"/>
      <c r="J108" s="6"/>
      <c r="K108" s="6"/>
    </row>
    <row r="109" spans="2:11" x14ac:dyDescent="0.25">
      <c r="B109" s="1805"/>
      <c r="C109" s="94"/>
      <c r="D109" s="26" t="s">
        <v>806</v>
      </c>
      <c r="E109" s="6"/>
      <c r="F109" s="6"/>
      <c r="G109" s="6"/>
      <c r="H109" s="6"/>
      <c r="I109" s="6"/>
      <c r="J109" s="6"/>
      <c r="K109" s="6"/>
    </row>
    <row r="110" spans="2:11" ht="36" x14ac:dyDescent="0.25">
      <c r="B110" s="1805"/>
      <c r="C110" s="94"/>
      <c r="D110" s="26" t="s">
        <v>807</v>
      </c>
      <c r="E110" s="6"/>
      <c r="F110" s="6"/>
      <c r="G110" s="6"/>
      <c r="H110" s="6"/>
      <c r="I110" s="6"/>
      <c r="J110" s="6"/>
      <c r="K110" s="6"/>
    </row>
    <row r="111" spans="2:11" ht="36" x14ac:dyDescent="0.25">
      <c r="B111" s="1805"/>
      <c r="C111" s="94"/>
      <c r="D111" s="26" t="s">
        <v>808</v>
      </c>
      <c r="E111" s="6"/>
      <c r="F111" s="6"/>
      <c r="G111" s="6"/>
      <c r="H111" s="6"/>
      <c r="I111" s="6"/>
      <c r="J111" s="6"/>
      <c r="K111" s="6"/>
    </row>
    <row r="112" spans="2:11" ht="36" x14ac:dyDescent="0.25">
      <c r="B112" s="1805"/>
      <c r="C112" s="94"/>
      <c r="D112" s="26" t="s">
        <v>809</v>
      </c>
      <c r="E112" s="6"/>
      <c r="F112" s="6"/>
      <c r="G112" s="6"/>
      <c r="H112" s="6"/>
      <c r="I112" s="6"/>
      <c r="J112" s="6"/>
      <c r="K112" s="6"/>
    </row>
    <row r="113" spans="2:11" ht="252" x14ac:dyDescent="0.25">
      <c r="B113" s="1805"/>
      <c r="C113" s="94"/>
      <c r="D113" s="46" t="s">
        <v>810</v>
      </c>
      <c r="E113" s="6"/>
      <c r="F113" s="6"/>
      <c r="G113" s="6"/>
      <c r="H113" s="6"/>
      <c r="I113" s="6"/>
      <c r="J113" s="6"/>
      <c r="K113" s="6"/>
    </row>
    <row r="114" spans="2:11" ht="60.75" thickBot="1" x14ac:dyDescent="0.3">
      <c r="B114" s="1806"/>
      <c r="C114" s="3"/>
      <c r="D114" s="41" t="s">
        <v>811</v>
      </c>
      <c r="E114" s="6"/>
      <c r="F114" s="6"/>
      <c r="G114" s="6"/>
      <c r="H114" s="6"/>
      <c r="I114" s="6"/>
      <c r="J114" s="6"/>
      <c r="K114" s="6"/>
    </row>
    <row r="115" spans="2:11" ht="24" x14ac:dyDescent="0.25">
      <c r="B115" s="1804" t="s">
        <v>90</v>
      </c>
      <c r="C115" s="94"/>
      <c r="D115" s="53" t="s">
        <v>773</v>
      </c>
      <c r="E115" s="6"/>
      <c r="F115" s="6"/>
      <c r="G115" s="6"/>
      <c r="H115" s="6"/>
      <c r="I115" s="6"/>
      <c r="J115" s="6"/>
      <c r="K115" s="6"/>
    </row>
    <row r="116" spans="2:11" ht="20.45" customHeight="1" x14ac:dyDescent="0.25">
      <c r="B116" s="1805"/>
      <c r="C116" s="94"/>
      <c r="D116" s="17"/>
      <c r="E116" s="6"/>
      <c r="F116" s="6"/>
      <c r="G116" s="6"/>
      <c r="H116" s="6"/>
      <c r="I116" s="6"/>
      <c r="J116" s="6"/>
      <c r="K116" s="6"/>
    </row>
    <row r="117" spans="2:11" x14ac:dyDescent="0.25">
      <c r="B117" s="1805"/>
      <c r="C117" s="94"/>
      <c r="D117" s="46" t="s">
        <v>91</v>
      </c>
      <c r="E117" s="6"/>
      <c r="F117" s="6"/>
      <c r="G117" s="6"/>
      <c r="H117" s="6"/>
      <c r="I117" s="6"/>
      <c r="J117" s="6"/>
      <c r="K117" s="6"/>
    </row>
    <row r="118" spans="2:11" ht="37.5" x14ac:dyDescent="0.25">
      <c r="B118" s="1805"/>
      <c r="C118" s="94"/>
      <c r="D118" s="46" t="s">
        <v>812</v>
      </c>
      <c r="E118" s="6"/>
      <c r="F118" s="6"/>
      <c r="G118" s="6"/>
      <c r="H118" s="6"/>
      <c r="I118" s="6"/>
      <c r="J118" s="6"/>
      <c r="K118" s="6"/>
    </row>
    <row r="119" spans="2:11" ht="37.5" x14ac:dyDescent="0.25">
      <c r="B119" s="1805"/>
      <c r="C119" s="94"/>
      <c r="D119" s="46" t="s">
        <v>813</v>
      </c>
      <c r="E119" s="6"/>
      <c r="F119" s="6"/>
      <c r="G119" s="6"/>
      <c r="H119" s="6"/>
      <c r="I119" s="6"/>
      <c r="J119" s="6"/>
      <c r="K119" s="6"/>
    </row>
    <row r="120" spans="2:11" ht="37.5" x14ac:dyDescent="0.25">
      <c r="B120" s="1805"/>
      <c r="C120" s="94"/>
      <c r="D120" s="46" t="s">
        <v>814</v>
      </c>
      <c r="E120" s="6"/>
      <c r="F120" s="6"/>
      <c r="G120" s="6"/>
      <c r="H120" s="6"/>
      <c r="I120" s="6"/>
      <c r="J120" s="6"/>
      <c r="K120" s="6"/>
    </row>
    <row r="121" spans="2:11" ht="37.5" x14ac:dyDescent="0.25">
      <c r="B121" s="1805"/>
      <c r="C121" s="94"/>
      <c r="D121" s="46" t="s">
        <v>815</v>
      </c>
      <c r="E121" s="6"/>
      <c r="F121" s="6"/>
      <c r="G121" s="6"/>
      <c r="H121" s="6"/>
      <c r="I121" s="6"/>
      <c r="J121" s="6"/>
      <c r="K121" s="6"/>
    </row>
    <row r="122" spans="2:11" x14ac:dyDescent="0.25">
      <c r="B122" s="1805"/>
      <c r="C122" s="94"/>
      <c r="D122" s="46" t="s">
        <v>816</v>
      </c>
      <c r="E122" s="6"/>
      <c r="F122" s="6"/>
      <c r="G122" s="6"/>
      <c r="H122" s="6"/>
      <c r="I122" s="6"/>
      <c r="J122" s="6"/>
      <c r="K122" s="6"/>
    </row>
    <row r="123" spans="2:11" x14ac:dyDescent="0.25">
      <c r="B123" s="1805"/>
      <c r="C123" s="94"/>
      <c r="D123" s="46" t="s">
        <v>817</v>
      </c>
      <c r="E123" s="6"/>
      <c r="F123" s="6"/>
      <c r="G123" s="6"/>
      <c r="H123" s="6"/>
      <c r="I123" s="6"/>
      <c r="J123" s="6"/>
      <c r="K123" s="6"/>
    </row>
    <row r="124" spans="2:11" x14ac:dyDescent="0.25">
      <c r="B124" s="1805"/>
      <c r="C124" s="94"/>
      <c r="D124" s="46" t="s">
        <v>818</v>
      </c>
      <c r="E124" s="6"/>
      <c r="F124" s="6"/>
      <c r="G124" s="6"/>
      <c r="H124" s="6"/>
      <c r="I124" s="6"/>
      <c r="J124" s="6"/>
      <c r="K124" s="6"/>
    </row>
    <row r="125" spans="2:11" x14ac:dyDescent="0.25">
      <c r="B125" s="1805"/>
      <c r="C125" s="94"/>
      <c r="D125" s="46" t="s">
        <v>819</v>
      </c>
      <c r="E125" s="6"/>
      <c r="F125" s="6"/>
      <c r="G125" s="6"/>
      <c r="H125" s="6"/>
      <c r="I125" s="6"/>
      <c r="J125" s="6"/>
      <c r="K125" s="6"/>
    </row>
    <row r="126" spans="2:11" ht="84" x14ac:dyDescent="0.25">
      <c r="B126" s="1805"/>
      <c r="C126" s="94"/>
      <c r="D126" s="54" t="s">
        <v>235</v>
      </c>
      <c r="E126" s="6"/>
      <c r="F126" s="6"/>
      <c r="G126" s="6"/>
      <c r="H126" s="6"/>
      <c r="I126" s="6"/>
      <c r="J126" s="6"/>
      <c r="K126" s="6"/>
    </row>
    <row r="127" spans="2:11" x14ac:dyDescent="0.25">
      <c r="B127" s="1805"/>
      <c r="C127" s="94"/>
      <c r="D127" s="46" t="s">
        <v>246</v>
      </c>
      <c r="E127" s="6"/>
      <c r="F127" s="6"/>
      <c r="G127" s="6"/>
      <c r="H127" s="6"/>
      <c r="I127" s="6"/>
      <c r="J127" s="6"/>
      <c r="K127" s="6"/>
    </row>
    <row r="128" spans="2:11" ht="48" x14ac:dyDescent="0.25">
      <c r="B128" s="1805"/>
      <c r="C128" s="94"/>
      <c r="D128" s="53" t="s">
        <v>820</v>
      </c>
      <c r="E128" s="6"/>
      <c r="F128" s="6"/>
      <c r="G128" s="6"/>
      <c r="H128" s="6"/>
      <c r="I128" s="6"/>
      <c r="J128" s="6"/>
      <c r="K128" s="6"/>
    </row>
    <row r="129" spans="2:11" x14ac:dyDescent="0.25">
      <c r="B129" s="1805"/>
      <c r="C129" s="94"/>
      <c r="D129" s="17"/>
      <c r="E129" s="6"/>
      <c r="F129" s="6"/>
      <c r="G129" s="6"/>
      <c r="H129" s="6"/>
      <c r="I129" s="6"/>
      <c r="J129" s="6"/>
      <c r="K129" s="6"/>
    </row>
    <row r="130" spans="2:11" x14ac:dyDescent="0.25">
      <c r="B130" s="1805"/>
      <c r="C130" s="94"/>
      <c r="D130" s="46" t="s">
        <v>91</v>
      </c>
      <c r="E130" s="6"/>
      <c r="F130" s="6"/>
      <c r="G130" s="6"/>
      <c r="H130" s="6"/>
      <c r="I130" s="6"/>
      <c r="J130" s="6"/>
      <c r="K130" s="6"/>
    </row>
    <row r="131" spans="2:11" ht="49.5" x14ac:dyDescent="0.25">
      <c r="B131" s="1805"/>
      <c r="C131" s="94"/>
      <c r="D131" s="46" t="s">
        <v>821</v>
      </c>
      <c r="E131" s="6"/>
      <c r="F131" s="6"/>
      <c r="G131" s="6"/>
      <c r="H131" s="6"/>
      <c r="I131" s="6"/>
      <c r="J131" s="6"/>
      <c r="K131" s="6"/>
    </row>
    <row r="132" spans="2:11" ht="49.5" x14ac:dyDescent="0.25">
      <c r="B132" s="1805"/>
      <c r="C132" s="94"/>
      <c r="D132" s="46" t="s">
        <v>822</v>
      </c>
      <c r="E132" s="6"/>
      <c r="F132" s="6"/>
      <c r="G132" s="6"/>
      <c r="H132" s="6"/>
      <c r="I132" s="6"/>
      <c r="J132" s="6"/>
      <c r="K132" s="6"/>
    </row>
    <row r="133" spans="2:11" ht="38.25" thickBot="1" x14ac:dyDescent="0.3">
      <c r="B133" s="1806"/>
      <c r="C133" s="3"/>
      <c r="D133" s="41" t="s">
        <v>823</v>
      </c>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sheetData>
  <mergeCells count="37">
    <mergeCell ref="B10:D10"/>
    <mergeCell ref="F10:S10"/>
    <mergeCell ref="F11:S11"/>
    <mergeCell ref="E12:R12"/>
    <mergeCell ref="E13:R13"/>
    <mergeCell ref="B115:B133"/>
    <mergeCell ref="B67:E68"/>
    <mergeCell ref="C22:C23"/>
    <mergeCell ref="B74:B89"/>
    <mergeCell ref="B90:B91"/>
    <mergeCell ref="D90:D91"/>
    <mergeCell ref="B92:B114"/>
    <mergeCell ref="C33:C35"/>
    <mergeCell ref="D33:D35"/>
    <mergeCell ref="B44:E44"/>
    <mergeCell ref="B45:B51"/>
    <mergeCell ref="B53:E53"/>
    <mergeCell ref="B54:B60"/>
    <mergeCell ref="F33:G33"/>
    <mergeCell ref="H33:H35"/>
    <mergeCell ref="E34:E35"/>
    <mergeCell ref="F34:F35"/>
    <mergeCell ref="D31:L31"/>
    <mergeCell ref="D32:L32"/>
    <mergeCell ref="B15:B19"/>
    <mergeCell ref="D21:L21"/>
    <mergeCell ref="D22:D23"/>
    <mergeCell ref="E22:E23"/>
    <mergeCell ref="F22:G22"/>
    <mergeCell ref="H22:K22"/>
    <mergeCell ref="D15:L15"/>
    <mergeCell ref="D20:L20"/>
    <mergeCell ref="A1:P1"/>
    <mergeCell ref="A2:P2"/>
    <mergeCell ref="A3:P3"/>
    <mergeCell ref="A4:D4"/>
    <mergeCell ref="A5:P5"/>
  </mergeCells>
  <conditionalFormatting sqref="D39">
    <cfRule type="containsText" dxfId="47" priority="5" operator="containsText" text="ERROR">
      <formula>NOT(ISERROR(SEARCH("ERROR",D39)))</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H29:K29 K24:K28 H28:J28 H24:J26">
      <formula1>0</formula1>
    </dataValidation>
    <dataValidation type="decimal" allowBlank="1" showInputMessage="1" showErrorMessage="1" errorTitle="ERROR" error="Escriba un valor entre 0% y 100%" sqref="I27:J27 F24:G29 E36:E38">
      <formula1>0</formula1>
      <formula2>1</formula2>
    </dataValidation>
    <dataValidation allowBlank="1" showInputMessage="1" showErrorMessage="1" sqref="H30:K30 D39:E39 F36:G39"/>
    <dataValidation type="list" allowBlank="1" showInputMessage="1" showErrorMessage="1" sqref="E11">
      <formula1>REPORTE</formula1>
    </dataValidation>
    <dataValidation type="list" allowBlank="1" showInputMessage="1" showErrorMessage="1" sqref="E10">
      <formula1>SI</formula1>
    </dataValidation>
  </dataValidations>
  <hyperlinks>
    <hyperlink ref="D89" r:id="rId1"/>
    <hyperlink ref="B9" location="'ANEXO 3'!A1" display="VOLVER AL INDICE"/>
  </hyperlinks>
  <pageMargins left="0.25" right="0.25" top="0.75" bottom="0.75" header="0.3" footer="0.3"/>
  <pageSetup paperSize="178" orientation="landscape" horizontalDpi="1200" verticalDpi="1200"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U189"/>
  <sheetViews>
    <sheetView showGridLines="0" zoomScale="70" zoomScaleNormal="70"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9" max="9" width="11.5703125" style="139"/>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835</v>
      </c>
      <c r="B5" s="1713"/>
      <c r="C5" s="1713"/>
      <c r="D5" s="1713"/>
      <c r="E5" s="1713"/>
      <c r="F5" s="1713"/>
      <c r="G5" s="1713"/>
      <c r="H5" s="1713"/>
      <c r="I5" s="1713"/>
      <c r="J5" s="1713"/>
      <c r="K5" s="1713"/>
      <c r="L5" s="1713"/>
      <c r="M5" s="1713"/>
      <c r="N5" s="1713"/>
      <c r="O5" s="1713"/>
      <c r="P5" s="1714"/>
    </row>
    <row r="6" spans="1:21" x14ac:dyDescent="0.25">
      <c r="B6" s="4" t="s">
        <v>1</v>
      </c>
      <c r="C6" s="95"/>
      <c r="D6" s="6"/>
      <c r="E6" s="74"/>
      <c r="F6" s="6" t="s">
        <v>128</v>
      </c>
      <c r="G6" s="6"/>
      <c r="H6" s="6"/>
      <c r="I6" s="87"/>
      <c r="J6" s="6"/>
      <c r="K6" s="6"/>
    </row>
    <row r="7" spans="1:21" ht="15.75" thickBot="1" x14ac:dyDescent="0.3">
      <c r="B7" s="75"/>
      <c r="C7" s="77"/>
      <c r="D7" s="6"/>
      <c r="E7" s="18"/>
      <c r="F7" s="6" t="s">
        <v>129</v>
      </c>
      <c r="G7" s="6"/>
      <c r="H7" s="6"/>
      <c r="I7" s="87"/>
      <c r="J7" s="6"/>
      <c r="K7" s="6"/>
    </row>
    <row r="8" spans="1:21" ht="15.75" thickBot="1" x14ac:dyDescent="0.3">
      <c r="B8" s="178" t="s">
        <v>1188</v>
      </c>
      <c r="C8" s="222">
        <v>2021</v>
      </c>
      <c r="D8" s="226">
        <f>IF(E10="NO APLICA","NO APLICA",IF(E11="NO SE REPORTA","SIN INFORMACION",+G57))</f>
        <v>1</v>
      </c>
      <c r="E8" s="223"/>
      <c r="F8" s="6" t="s">
        <v>130</v>
      </c>
      <c r="G8" s="6"/>
      <c r="H8" s="6"/>
      <c r="I8" s="87"/>
      <c r="J8" s="6"/>
      <c r="K8" s="6"/>
    </row>
    <row r="9" spans="1:21" x14ac:dyDescent="0.25">
      <c r="B9" s="497" t="s">
        <v>1189</v>
      </c>
      <c r="D9" s="6"/>
      <c r="E9" s="6"/>
      <c r="F9" s="6"/>
      <c r="G9" s="6"/>
      <c r="H9" s="6"/>
      <c r="I9" s="87"/>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Gestión'!A180</f>
        <v>Proyecto 6.1. Evaluación, Seguimiento, Monitoreo y Control de la calidad de los recursos naturales y la biodiversidad.</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87"/>
      <c r="J14" s="6"/>
      <c r="K14" s="6"/>
    </row>
    <row r="15" spans="1:21" x14ac:dyDescent="0.25">
      <c r="B15" s="1804" t="s">
        <v>2</v>
      </c>
      <c r="C15" s="89"/>
      <c r="D15" s="1825" t="s">
        <v>3</v>
      </c>
      <c r="E15" s="1826"/>
      <c r="F15" s="1826"/>
      <c r="G15" s="1826"/>
      <c r="H15" s="1826"/>
      <c r="I15" s="1827"/>
      <c r="J15" s="6"/>
      <c r="K15" s="6"/>
    </row>
    <row r="16" spans="1:21" x14ac:dyDescent="0.25">
      <c r="B16" s="1805"/>
      <c r="C16" s="92"/>
      <c r="D16" s="1940" t="s">
        <v>862</v>
      </c>
      <c r="E16" s="1941"/>
      <c r="F16" s="1941"/>
      <c r="G16" s="1941"/>
      <c r="H16" s="1941"/>
      <c r="I16" s="1942"/>
      <c r="J16" s="6"/>
      <c r="K16" s="6"/>
    </row>
    <row r="17" spans="2:11" ht="15.75" thickBot="1" x14ac:dyDescent="0.3">
      <c r="B17" s="1805"/>
      <c r="C17" s="92"/>
      <c r="D17" s="1856"/>
      <c r="E17" s="1857"/>
      <c r="F17" s="1857"/>
      <c r="G17" s="1857"/>
      <c r="H17" s="1857"/>
      <c r="I17" s="1858"/>
      <c r="J17" s="6"/>
      <c r="K17" s="6"/>
    </row>
    <row r="18" spans="2:11" ht="15.75" thickBot="1" x14ac:dyDescent="0.3">
      <c r="B18" s="1805"/>
      <c r="C18" s="94"/>
      <c r="D18" s="43" t="s">
        <v>150</v>
      </c>
      <c r="E18" s="39" t="s">
        <v>20</v>
      </c>
      <c r="F18" s="39" t="s">
        <v>21</v>
      </c>
      <c r="G18" s="39" t="s">
        <v>22</v>
      </c>
      <c r="H18" s="39" t="s">
        <v>23</v>
      </c>
      <c r="I18" s="90" t="s">
        <v>151</v>
      </c>
      <c r="J18" s="6"/>
      <c r="K18" s="6"/>
    </row>
    <row r="19" spans="2:11" ht="36.75" thickBot="1" x14ac:dyDescent="0.3">
      <c r="B19" s="1805"/>
      <c r="C19" s="94"/>
      <c r="D19" s="129" t="s">
        <v>863</v>
      </c>
      <c r="E19" s="7">
        <v>141</v>
      </c>
      <c r="F19" s="7">
        <v>0</v>
      </c>
      <c r="G19" s="7"/>
      <c r="H19" s="7"/>
      <c r="I19" s="151">
        <f>SUM(E19:H19)</f>
        <v>141</v>
      </c>
      <c r="J19" s="6"/>
      <c r="K19" s="6"/>
    </row>
    <row r="20" spans="2:11" ht="24.75" thickBot="1" x14ac:dyDescent="0.3">
      <c r="B20" s="1805"/>
      <c r="C20" s="94"/>
      <c r="D20" s="129" t="s">
        <v>864</v>
      </c>
      <c r="E20" s="7">
        <v>1</v>
      </c>
      <c r="F20" s="7">
        <v>0</v>
      </c>
      <c r="G20" s="7"/>
      <c r="H20" s="7"/>
      <c r="I20" s="151">
        <f>SUM(E20:H20)</f>
        <v>1</v>
      </c>
      <c r="J20" s="6"/>
      <c r="K20" s="6"/>
    </row>
    <row r="21" spans="2:11" ht="36.75" thickBot="1" x14ac:dyDescent="0.3">
      <c r="B21" s="1805"/>
      <c r="C21" s="94"/>
      <c r="D21" s="129" t="s">
        <v>865</v>
      </c>
      <c r="E21" s="152">
        <f>+E19/E20</f>
        <v>141</v>
      </c>
      <c r="F21" s="152" t="e">
        <f>+F19/F20</f>
        <v>#DIV/0!</v>
      </c>
      <c r="G21" s="152" t="e">
        <f>+G19/G20</f>
        <v>#DIV/0!</v>
      </c>
      <c r="H21" s="152" t="e">
        <f>+H19/H20</f>
        <v>#DIV/0!</v>
      </c>
      <c r="I21" s="152">
        <f>+I19/I20</f>
        <v>141</v>
      </c>
      <c r="J21" s="6"/>
      <c r="K21" s="6"/>
    </row>
    <row r="22" spans="2:11" x14ac:dyDescent="0.25">
      <c r="B22" s="1805"/>
      <c r="C22" s="92"/>
      <c r="D22" s="1825"/>
      <c r="E22" s="1826"/>
      <c r="F22" s="1826"/>
      <c r="G22" s="1826"/>
      <c r="H22" s="1826"/>
      <c r="I22" s="1827"/>
      <c r="J22" s="6"/>
      <c r="K22" s="6"/>
    </row>
    <row r="23" spans="2:11" x14ac:dyDescent="0.25">
      <c r="B23" s="1805"/>
      <c r="C23" s="92"/>
      <c r="D23" s="1940" t="s">
        <v>866</v>
      </c>
      <c r="E23" s="1941"/>
      <c r="F23" s="1941"/>
      <c r="G23" s="1941"/>
      <c r="H23" s="1941"/>
      <c r="I23" s="1942"/>
      <c r="J23" s="6"/>
      <c r="K23" s="6"/>
    </row>
    <row r="24" spans="2:11" ht="15.75" thickBot="1" x14ac:dyDescent="0.3">
      <c r="B24" s="1805"/>
      <c r="C24" s="92"/>
      <c r="D24" s="1813"/>
      <c r="E24" s="1814"/>
      <c r="F24" s="1814"/>
      <c r="G24" s="1814"/>
      <c r="H24" s="1814"/>
      <c r="I24" s="1815"/>
      <c r="J24" s="6"/>
      <c r="K24" s="6"/>
    </row>
    <row r="25" spans="2:11" ht="15.75" thickBot="1" x14ac:dyDescent="0.3">
      <c r="B25" s="1805"/>
      <c r="C25" s="94"/>
      <c r="D25" s="43" t="s">
        <v>150</v>
      </c>
      <c r="E25" s="39" t="s">
        <v>20</v>
      </c>
      <c r="F25" s="39" t="s">
        <v>21</v>
      </c>
      <c r="G25" s="39" t="s">
        <v>22</v>
      </c>
      <c r="H25" s="39" t="s">
        <v>23</v>
      </c>
      <c r="I25" s="90" t="s">
        <v>151</v>
      </c>
      <c r="J25" s="6"/>
      <c r="K25" s="6"/>
    </row>
    <row r="26" spans="2:11" ht="15.75" thickBot="1" x14ac:dyDescent="0.3">
      <c r="B26" s="1805"/>
      <c r="C26" s="94"/>
      <c r="D26" s="129">
        <v>2</v>
      </c>
      <c r="E26" s="7">
        <v>2083</v>
      </c>
      <c r="F26" s="7">
        <v>47</v>
      </c>
      <c r="G26" s="7"/>
      <c r="H26" s="7"/>
      <c r="I26" s="151">
        <f>SUM(E26:H26)</f>
        <v>2130</v>
      </c>
      <c r="J26" s="6"/>
      <c r="K26" s="6"/>
    </row>
    <row r="27" spans="2:11" ht="36.75" thickBot="1" x14ac:dyDescent="0.3">
      <c r="B27" s="1805"/>
      <c r="C27" s="94"/>
      <c r="D27" s="129" t="s">
        <v>867</v>
      </c>
      <c r="E27" s="7">
        <v>15</v>
      </c>
      <c r="F27" s="7">
        <v>1</v>
      </c>
      <c r="G27" s="7"/>
      <c r="H27" s="7"/>
      <c r="I27" s="151">
        <f>SUM(E27:H27)</f>
        <v>16</v>
      </c>
      <c r="J27" s="6"/>
      <c r="K27" s="6"/>
    </row>
    <row r="28" spans="2:11" ht="36.75" thickBot="1" x14ac:dyDescent="0.3">
      <c r="B28" s="1805"/>
      <c r="C28" s="94"/>
      <c r="D28" s="129" t="s">
        <v>868</v>
      </c>
      <c r="E28" s="152">
        <f>+E26/E27</f>
        <v>138.86666666666667</v>
      </c>
      <c r="F28" s="152">
        <f>+F26/F27</f>
        <v>47</v>
      </c>
      <c r="G28" s="152" t="e">
        <f>+G26/G27</f>
        <v>#DIV/0!</v>
      </c>
      <c r="H28" s="152" t="e">
        <f>+H26/H27</f>
        <v>#DIV/0!</v>
      </c>
      <c r="I28" s="152">
        <f>+I26/I27</f>
        <v>133.125</v>
      </c>
      <c r="J28" s="6"/>
      <c r="K28" s="6"/>
    </row>
    <row r="29" spans="2:11" x14ac:dyDescent="0.25">
      <c r="B29" s="1805"/>
      <c r="C29" s="92"/>
      <c r="D29" s="1825"/>
      <c r="E29" s="1826"/>
      <c r="F29" s="1826"/>
      <c r="G29" s="1826"/>
      <c r="H29" s="1826"/>
      <c r="I29" s="1827"/>
      <c r="J29" s="6"/>
      <c r="K29" s="6"/>
    </row>
    <row r="30" spans="2:11" x14ac:dyDescent="0.25">
      <c r="B30" s="1805"/>
      <c r="C30" s="92"/>
      <c r="D30" s="1940" t="s">
        <v>869</v>
      </c>
      <c r="E30" s="1941"/>
      <c r="F30" s="1941"/>
      <c r="G30" s="1941"/>
      <c r="H30" s="1941"/>
      <c r="I30" s="1942"/>
      <c r="J30" s="6"/>
      <c r="K30" s="6"/>
    </row>
    <row r="31" spans="2:11" ht="15.75" thickBot="1" x14ac:dyDescent="0.3">
      <c r="B31" s="1805"/>
      <c r="C31" s="92"/>
      <c r="D31" s="1856"/>
      <c r="E31" s="1857"/>
      <c r="F31" s="1857"/>
      <c r="G31" s="1857"/>
      <c r="H31" s="1857"/>
      <c r="I31" s="1858"/>
      <c r="J31" s="6"/>
      <c r="K31" s="6"/>
    </row>
    <row r="32" spans="2:11" ht="15.75" thickBot="1" x14ac:dyDescent="0.3">
      <c r="B32" s="1805"/>
      <c r="C32" s="94"/>
      <c r="D32" s="43" t="s">
        <v>150</v>
      </c>
      <c r="E32" s="39" t="s">
        <v>20</v>
      </c>
      <c r="F32" s="39" t="s">
        <v>21</v>
      </c>
      <c r="G32" s="39" t="s">
        <v>22</v>
      </c>
      <c r="H32" s="39" t="s">
        <v>23</v>
      </c>
      <c r="I32" s="90" t="s">
        <v>151</v>
      </c>
      <c r="J32" s="6"/>
      <c r="K32" s="6"/>
    </row>
    <row r="33" spans="2:11" ht="36.75" thickBot="1" x14ac:dyDescent="0.3">
      <c r="B33" s="1805"/>
      <c r="C33" s="94"/>
      <c r="D33" s="129" t="s">
        <v>870</v>
      </c>
      <c r="E33" s="7">
        <v>725</v>
      </c>
      <c r="F33" s="7">
        <v>0</v>
      </c>
      <c r="G33" s="7"/>
      <c r="H33" s="7"/>
      <c r="I33" s="151">
        <f>SUM(E33:H33)</f>
        <v>725</v>
      </c>
      <c r="J33" s="6"/>
      <c r="K33" s="6"/>
    </row>
    <row r="34" spans="2:11" ht="24.75" thickBot="1" x14ac:dyDescent="0.3">
      <c r="B34" s="1805"/>
      <c r="C34" s="94"/>
      <c r="D34" s="129" t="s">
        <v>871</v>
      </c>
      <c r="E34" s="7">
        <v>7</v>
      </c>
      <c r="F34" s="7">
        <v>0</v>
      </c>
      <c r="G34" s="7"/>
      <c r="H34" s="7"/>
      <c r="I34" s="151">
        <f>SUM(E34:H34)</f>
        <v>7</v>
      </c>
      <c r="J34" s="6"/>
      <c r="K34" s="6"/>
    </row>
    <row r="35" spans="2:11" ht="36.75" thickBot="1" x14ac:dyDescent="0.3">
      <c r="B35" s="1805"/>
      <c r="C35" s="94"/>
      <c r="D35" s="129" t="s">
        <v>872</v>
      </c>
      <c r="E35" s="152">
        <f>+E33/E34</f>
        <v>103.57142857142857</v>
      </c>
      <c r="F35" s="152" t="e">
        <f>+F33/F34</f>
        <v>#DIV/0!</v>
      </c>
      <c r="G35" s="152" t="e">
        <f>+G33/G34</f>
        <v>#DIV/0!</v>
      </c>
      <c r="H35" s="152" t="e">
        <f>+H33/H34</f>
        <v>#DIV/0!</v>
      </c>
      <c r="I35" s="152">
        <f>+I33/I34</f>
        <v>103.57142857142857</v>
      </c>
      <c r="J35" s="6"/>
      <c r="K35" s="6"/>
    </row>
    <row r="36" spans="2:11" x14ac:dyDescent="0.25">
      <c r="B36" s="1805"/>
      <c r="C36" s="92"/>
      <c r="D36" s="1825"/>
      <c r="E36" s="1826"/>
      <c r="F36" s="1826"/>
      <c r="G36" s="1826"/>
      <c r="H36" s="1826"/>
      <c r="I36" s="1827"/>
      <c r="J36" s="6"/>
      <c r="K36" s="6"/>
    </row>
    <row r="37" spans="2:11" x14ac:dyDescent="0.25">
      <c r="B37" s="1805"/>
      <c r="C37" s="92"/>
      <c r="D37" s="1940" t="s">
        <v>873</v>
      </c>
      <c r="E37" s="1941"/>
      <c r="F37" s="1941"/>
      <c r="G37" s="1941"/>
      <c r="H37" s="1941"/>
      <c r="I37" s="1942"/>
      <c r="J37" s="6"/>
      <c r="K37" s="6"/>
    </row>
    <row r="38" spans="2:11" ht="15.75" thickBot="1" x14ac:dyDescent="0.3">
      <c r="B38" s="1805"/>
      <c r="C38" s="92"/>
      <c r="D38" s="1856"/>
      <c r="E38" s="1857"/>
      <c r="F38" s="1857"/>
      <c r="G38" s="1857"/>
      <c r="H38" s="1857"/>
      <c r="I38" s="1858"/>
      <c r="J38" s="6"/>
      <c r="K38" s="6"/>
    </row>
    <row r="39" spans="2:11" ht="15.75" thickBot="1" x14ac:dyDescent="0.3">
      <c r="B39" s="1805"/>
      <c r="C39" s="94"/>
      <c r="D39" s="43" t="s">
        <v>150</v>
      </c>
      <c r="E39" s="39" t="s">
        <v>20</v>
      </c>
      <c r="F39" s="39" t="s">
        <v>21</v>
      </c>
      <c r="G39" s="39" t="s">
        <v>22</v>
      </c>
      <c r="H39" s="39" t="s">
        <v>23</v>
      </c>
      <c r="I39" s="90" t="s">
        <v>151</v>
      </c>
      <c r="J39" s="6"/>
      <c r="K39" s="6"/>
    </row>
    <row r="40" spans="2:11" ht="36.75" thickBot="1" x14ac:dyDescent="0.3">
      <c r="B40" s="1805"/>
      <c r="C40" s="94"/>
      <c r="D40" s="129" t="s">
        <v>874</v>
      </c>
      <c r="E40" s="7">
        <v>281</v>
      </c>
      <c r="F40" s="7">
        <v>209</v>
      </c>
      <c r="G40" s="7"/>
      <c r="H40" s="7"/>
      <c r="I40" s="151">
        <f>SUM(E40:H40)</f>
        <v>490</v>
      </c>
      <c r="J40" s="6"/>
      <c r="K40" s="6"/>
    </row>
    <row r="41" spans="2:11" ht="36.75" thickBot="1" x14ac:dyDescent="0.3">
      <c r="B41" s="1805"/>
      <c r="C41" s="94"/>
      <c r="D41" s="129" t="s">
        <v>875</v>
      </c>
      <c r="E41" s="7">
        <v>15</v>
      </c>
      <c r="F41" s="7">
        <v>3</v>
      </c>
      <c r="G41" s="7"/>
      <c r="H41" s="7"/>
      <c r="I41" s="151">
        <f>SUM(E41:H41)</f>
        <v>18</v>
      </c>
      <c r="J41" s="6"/>
      <c r="K41" s="6"/>
    </row>
    <row r="42" spans="2:11" ht="36.75" thickBot="1" x14ac:dyDescent="0.3">
      <c r="B42" s="1805"/>
      <c r="C42" s="94"/>
      <c r="D42" s="129" t="s">
        <v>876</v>
      </c>
      <c r="E42" s="152">
        <f>+E40/E41</f>
        <v>18.733333333333334</v>
      </c>
      <c r="F42" s="152">
        <f>+F40/F41</f>
        <v>69.666666666666671</v>
      </c>
      <c r="G42" s="152" t="e">
        <f>+G40/G41</f>
        <v>#DIV/0!</v>
      </c>
      <c r="H42" s="152" t="e">
        <f>+H40/H41</f>
        <v>#DIV/0!</v>
      </c>
      <c r="I42" s="152">
        <f>+I40/I41</f>
        <v>27.222222222222221</v>
      </c>
      <c r="J42" s="6"/>
      <c r="K42" s="6"/>
    </row>
    <row r="43" spans="2:11" x14ac:dyDescent="0.25">
      <c r="B43" s="1805"/>
      <c r="C43" s="92"/>
      <c r="D43" s="1825"/>
      <c r="E43" s="1826"/>
      <c r="F43" s="1826"/>
      <c r="G43" s="1826"/>
      <c r="H43" s="1826"/>
      <c r="I43" s="1827"/>
      <c r="J43" s="6"/>
      <c r="K43" s="6"/>
    </row>
    <row r="44" spans="2:11" x14ac:dyDescent="0.25">
      <c r="B44" s="1805"/>
      <c r="C44" s="92"/>
      <c r="D44" s="1940" t="s">
        <v>877</v>
      </c>
      <c r="E44" s="1941"/>
      <c r="F44" s="1941"/>
      <c r="G44" s="1941"/>
      <c r="H44" s="1941"/>
      <c r="I44" s="1942"/>
      <c r="J44" s="6"/>
      <c r="K44" s="6"/>
    </row>
    <row r="45" spans="2:11" ht="15.75" thickBot="1" x14ac:dyDescent="0.3">
      <c r="B45" s="1805"/>
      <c r="C45" s="92"/>
      <c r="D45" s="1856"/>
      <c r="E45" s="1857"/>
      <c r="F45" s="1857"/>
      <c r="G45" s="1857"/>
      <c r="H45" s="1857"/>
      <c r="I45" s="1858"/>
      <c r="J45" s="6"/>
      <c r="K45" s="6"/>
    </row>
    <row r="46" spans="2:11" ht="15.75" thickBot="1" x14ac:dyDescent="0.3">
      <c r="B46" s="1805"/>
      <c r="C46" s="94"/>
      <c r="D46" s="43" t="s">
        <v>150</v>
      </c>
      <c r="E46" s="39" t="s">
        <v>20</v>
      </c>
      <c r="F46" s="39" t="s">
        <v>21</v>
      </c>
      <c r="G46" s="39" t="s">
        <v>22</v>
      </c>
      <c r="H46" s="39" t="s">
        <v>23</v>
      </c>
      <c r="I46" s="90" t="s">
        <v>151</v>
      </c>
      <c r="J46" s="6"/>
      <c r="K46" s="6"/>
    </row>
    <row r="47" spans="2:11" ht="36.75" thickBot="1" x14ac:dyDescent="0.3">
      <c r="B47" s="1805"/>
      <c r="C47" s="94"/>
      <c r="D47" s="129" t="s">
        <v>878</v>
      </c>
      <c r="E47" s="7">
        <v>45</v>
      </c>
      <c r="F47" s="7">
        <v>0</v>
      </c>
      <c r="G47" s="7"/>
      <c r="H47" s="7"/>
      <c r="I47" s="151">
        <f>SUM(E47:H47)</f>
        <v>45</v>
      </c>
      <c r="J47" s="6"/>
      <c r="K47" s="6"/>
    </row>
    <row r="48" spans="2:11" ht="36.75" thickBot="1" x14ac:dyDescent="0.3">
      <c r="B48" s="1805"/>
      <c r="C48" s="94"/>
      <c r="D48" s="129" t="s">
        <v>879</v>
      </c>
      <c r="E48" s="7">
        <v>1</v>
      </c>
      <c r="F48" s="7">
        <v>0</v>
      </c>
      <c r="G48" s="7"/>
      <c r="H48" s="7"/>
      <c r="I48" s="151">
        <f>SUM(E48:H48)</f>
        <v>1</v>
      </c>
      <c r="J48" s="6"/>
      <c r="K48" s="6"/>
    </row>
    <row r="49" spans="2:11" ht="36.75" thickBot="1" x14ac:dyDescent="0.3">
      <c r="B49" s="1806"/>
      <c r="C49" s="3"/>
      <c r="D49" s="129" t="s">
        <v>880</v>
      </c>
      <c r="E49" s="152">
        <f>+E47/E48</f>
        <v>45</v>
      </c>
      <c r="F49" s="152" t="e">
        <f>+F47/F48</f>
        <v>#DIV/0!</v>
      </c>
      <c r="G49" s="152" t="e">
        <f>+G47/G48</f>
        <v>#DIV/0!</v>
      </c>
      <c r="H49" s="152" t="e">
        <f>+H47/H48</f>
        <v>#DIV/0!</v>
      </c>
      <c r="I49" s="152">
        <f>+I47/I48</f>
        <v>45</v>
      </c>
      <c r="J49" s="6"/>
      <c r="K49" s="6"/>
    </row>
    <row r="50" spans="2:11" s="412" customFormat="1" ht="15.75" thickBot="1" x14ac:dyDescent="0.3"/>
    <row r="51" spans="2:11" s="412" customFormat="1" ht="24.75" thickBot="1" x14ac:dyDescent="0.3">
      <c r="D51" s="299" t="s">
        <v>1233</v>
      </c>
      <c r="E51" s="299" t="s">
        <v>1236</v>
      </c>
      <c r="F51" s="299" t="s">
        <v>1237</v>
      </c>
      <c r="G51" s="454" t="s">
        <v>1238</v>
      </c>
    </row>
    <row r="52" spans="2:11" s="412" customFormat="1" ht="15.75" thickBot="1" x14ac:dyDescent="0.3">
      <c r="D52" s="299" t="str">
        <f>+D16</f>
        <v>Licencias ambientales</v>
      </c>
      <c r="E52" s="152" t="e">
        <f>+F21</f>
        <v>#DIV/0!</v>
      </c>
      <c r="F52" s="483">
        <v>90</v>
      </c>
      <c r="G52" s="196" t="e">
        <f>IF(F52/E52&gt;1,1,F52/E52)</f>
        <v>#DIV/0!</v>
      </c>
    </row>
    <row r="53" spans="2:11" s="412" customFormat="1" ht="15.75" thickBot="1" x14ac:dyDescent="0.3">
      <c r="D53" s="299" t="str">
        <f>+D23</f>
        <v>Concesiones de agua</v>
      </c>
      <c r="E53" s="152">
        <f>+F28</f>
        <v>47</v>
      </c>
      <c r="F53" s="483">
        <v>90</v>
      </c>
      <c r="G53" s="196">
        <f>IF(F53/E53&gt;1,1,F53/E53)</f>
        <v>1</v>
      </c>
    </row>
    <row r="54" spans="2:11" s="412" customFormat="1" ht="15.75" thickBot="1" x14ac:dyDescent="0.3">
      <c r="D54" s="299" t="str">
        <f>+D30</f>
        <v>Permisos de vertimiento de agua</v>
      </c>
      <c r="E54" s="152" t="e">
        <f>+F35</f>
        <v>#DIV/0!</v>
      </c>
      <c r="F54" s="483">
        <v>90</v>
      </c>
      <c r="G54" s="196" t="e">
        <f>IF(F54/E54&gt;1,1,F54/E54)</f>
        <v>#DIV/0!</v>
      </c>
    </row>
    <row r="55" spans="2:11" s="412" customFormat="1" ht="15.75" thickBot="1" x14ac:dyDescent="0.3">
      <c r="D55" s="299" t="str">
        <f>+D37</f>
        <v>Permisos de aprovechamiento forestal</v>
      </c>
      <c r="E55" s="152">
        <f>+F42</f>
        <v>69.666666666666671</v>
      </c>
      <c r="F55" s="483">
        <v>90</v>
      </c>
      <c r="G55" s="196">
        <f>IF(F55/E55&gt;1,1,F55/E55)</f>
        <v>1</v>
      </c>
    </row>
    <row r="56" spans="2:11" s="412" customFormat="1" ht="15.75" thickBot="1" x14ac:dyDescent="0.3">
      <c r="D56" s="299" t="str">
        <f>+D44</f>
        <v>Permisos de emisiones atmosféricas</v>
      </c>
      <c r="E56" s="152" t="e">
        <f>+F49</f>
        <v>#DIV/0!</v>
      </c>
      <c r="F56" s="483">
        <v>90</v>
      </c>
      <c r="G56" s="196" t="e">
        <f>IF(F56/E56&gt;1,1,F56/E56)</f>
        <v>#DIV/0!</v>
      </c>
    </row>
    <row r="57" spans="2:11" s="412" customFormat="1" ht="24.75" thickBot="1" x14ac:dyDescent="0.3">
      <c r="D57" s="299" t="s">
        <v>1232</v>
      </c>
      <c r="E57" s="152">
        <f>AVERAGE(E53,E55)</f>
        <v>58.333333333333336</v>
      </c>
      <c r="F57" s="152">
        <f>AVERAGE(F52:F56)</f>
        <v>90</v>
      </c>
      <c r="G57" s="196">
        <f>AVERAGE(G53,G55)</f>
        <v>1</v>
      </c>
    </row>
    <row r="58" spans="2:11" s="412" customFormat="1" x14ac:dyDescent="0.25"/>
    <row r="59" spans="2:11" s="412" customFormat="1" ht="15.75" thickBot="1" x14ac:dyDescent="0.3"/>
    <row r="60" spans="2:11" ht="60" customHeight="1" thickBot="1" x14ac:dyDescent="0.3">
      <c r="B60" s="52" t="s">
        <v>34</v>
      </c>
      <c r="C60" s="214"/>
      <c r="D60" s="1816" t="s">
        <v>881</v>
      </c>
      <c r="E60" s="1817"/>
      <c r="F60" s="1817"/>
      <c r="G60" s="1817"/>
      <c r="H60" s="1817"/>
      <c r="I60" s="1818"/>
      <c r="J60" s="6"/>
      <c r="K60" s="6"/>
    </row>
    <row r="61" spans="2:11" ht="36" customHeight="1" thickBot="1" x14ac:dyDescent="0.3">
      <c r="B61" s="47" t="s">
        <v>36</v>
      </c>
      <c r="C61" s="93"/>
      <c r="D61" s="1816" t="s">
        <v>159</v>
      </c>
      <c r="E61" s="1817"/>
      <c r="F61" s="1817"/>
      <c r="G61" s="1817"/>
      <c r="H61" s="1817"/>
      <c r="I61" s="1818"/>
      <c r="J61" s="6"/>
      <c r="K61" s="6"/>
    </row>
    <row r="62" spans="2:11" ht="15.75" thickBot="1" x14ac:dyDescent="0.3">
      <c r="B62" s="2"/>
      <c r="C62" s="76"/>
      <c r="D62" s="6"/>
      <c r="E62" s="6"/>
      <c r="F62" s="6"/>
      <c r="G62" s="6"/>
      <c r="H62" s="6"/>
      <c r="I62" s="87"/>
      <c r="J62" s="6"/>
      <c r="K62" s="6"/>
    </row>
    <row r="63" spans="2:11" ht="24" customHeight="1" thickBot="1" x14ac:dyDescent="0.3">
      <c r="B63" s="1807" t="s">
        <v>38</v>
      </c>
      <c r="C63" s="1808"/>
      <c r="D63" s="1808"/>
      <c r="E63" s="1809"/>
      <c r="F63" s="6"/>
      <c r="G63" s="6"/>
      <c r="H63" s="6"/>
      <c r="I63" s="87"/>
      <c r="J63" s="6"/>
      <c r="K63" s="6"/>
    </row>
    <row r="64" spans="2:11" ht="15.75" thickBot="1" x14ac:dyDescent="0.3">
      <c r="B64" s="1804">
        <v>1</v>
      </c>
      <c r="C64" s="94"/>
      <c r="D64" s="48" t="s">
        <v>39</v>
      </c>
      <c r="E64" s="140" t="s">
        <v>2854</v>
      </c>
      <c r="F64" s="6"/>
      <c r="G64" s="6"/>
      <c r="H64" s="6"/>
      <c r="I64" s="87"/>
      <c r="J64" s="6"/>
      <c r="K64" s="6"/>
    </row>
    <row r="65" spans="2:11" ht="15.75" thickBot="1" x14ac:dyDescent="0.3">
      <c r="B65" s="1805"/>
      <c r="C65" s="94"/>
      <c r="D65" s="41" t="s">
        <v>40</v>
      </c>
      <c r="E65" s="140" t="s">
        <v>3255</v>
      </c>
      <c r="F65" s="6"/>
      <c r="G65" s="6"/>
      <c r="H65" s="6"/>
      <c r="I65" s="87"/>
      <c r="J65" s="6"/>
      <c r="K65" s="6"/>
    </row>
    <row r="66" spans="2:11" ht="15.75" thickBot="1" x14ac:dyDescent="0.3">
      <c r="B66" s="1805"/>
      <c r="C66" s="94"/>
      <c r="D66" s="41" t="s">
        <v>41</v>
      </c>
      <c r="E66" s="140" t="s">
        <v>3256</v>
      </c>
      <c r="F66" s="6"/>
      <c r="G66" s="6"/>
      <c r="H66" s="6"/>
      <c r="I66" s="87"/>
      <c r="J66" s="6"/>
      <c r="K66" s="6"/>
    </row>
    <row r="67" spans="2:11" ht="15.75" thickBot="1" x14ac:dyDescent="0.3">
      <c r="B67" s="1805"/>
      <c r="C67" s="94"/>
      <c r="D67" s="41" t="s">
        <v>42</v>
      </c>
      <c r="E67" s="140" t="s">
        <v>2855</v>
      </c>
      <c r="F67" s="6"/>
      <c r="G67" s="6"/>
      <c r="H67" s="6"/>
      <c r="I67" s="87"/>
      <c r="J67" s="6"/>
      <c r="K67" s="6"/>
    </row>
    <row r="68" spans="2:11" ht="15.75" thickBot="1" x14ac:dyDescent="0.3">
      <c r="B68" s="1805"/>
      <c r="C68" s="94"/>
      <c r="D68" s="41" t="s">
        <v>43</v>
      </c>
      <c r="E68" s="1251" t="s">
        <v>3257</v>
      </c>
      <c r="F68" s="6"/>
      <c r="G68" s="6"/>
      <c r="H68" s="6"/>
      <c r="I68" s="87"/>
      <c r="J68" s="6"/>
      <c r="K68" s="6"/>
    </row>
    <row r="69" spans="2:11" ht="15.75" thickBot="1" x14ac:dyDescent="0.3">
      <c r="B69" s="1805"/>
      <c r="C69" s="94"/>
      <c r="D69" s="41" t="s">
        <v>44</v>
      </c>
      <c r="E69" s="140" t="s">
        <v>3258</v>
      </c>
      <c r="F69" s="6"/>
      <c r="G69" s="6"/>
      <c r="H69" s="6"/>
      <c r="I69" s="87"/>
      <c r="J69" s="6"/>
      <c r="K69" s="6"/>
    </row>
    <row r="70" spans="2:11" ht="15.75" thickBot="1" x14ac:dyDescent="0.3">
      <c r="B70" s="1806"/>
      <c r="C70" s="3"/>
      <c r="D70" s="41" t="s">
        <v>45</v>
      </c>
      <c r="E70" s="140" t="s">
        <v>2857</v>
      </c>
      <c r="F70" s="6"/>
      <c r="G70" s="6"/>
      <c r="H70" s="6"/>
      <c r="I70" s="87"/>
      <c r="J70" s="6"/>
      <c r="K70" s="6"/>
    </row>
    <row r="71" spans="2:11" ht="15.75" thickBot="1" x14ac:dyDescent="0.3">
      <c r="B71" s="2"/>
      <c r="C71" s="76"/>
      <c r="D71" s="6"/>
      <c r="E71" s="6"/>
      <c r="F71" s="6"/>
      <c r="G71" s="6"/>
      <c r="H71" s="6"/>
      <c r="I71" s="87"/>
      <c r="J71" s="6"/>
      <c r="K71" s="6"/>
    </row>
    <row r="72" spans="2:11" ht="15.75" thickBot="1" x14ac:dyDescent="0.3">
      <c r="B72" s="1807" t="s">
        <v>46</v>
      </c>
      <c r="C72" s="1808"/>
      <c r="D72" s="1808"/>
      <c r="E72" s="1809"/>
      <c r="F72" s="6"/>
      <c r="G72" s="6"/>
      <c r="H72" s="6"/>
      <c r="I72" s="87"/>
      <c r="J72" s="6"/>
      <c r="K72" s="6"/>
    </row>
    <row r="73" spans="2:11" ht="15.75" thickBot="1" x14ac:dyDescent="0.3">
      <c r="B73" s="1804">
        <v>1</v>
      </c>
      <c r="C73" s="94"/>
      <c r="D73" s="48" t="s">
        <v>39</v>
      </c>
      <c r="E73" s="132" t="s">
        <v>47</v>
      </c>
      <c r="F73" s="6"/>
      <c r="G73" s="6"/>
      <c r="H73" s="6"/>
      <c r="I73" s="87"/>
      <c r="J73" s="6"/>
      <c r="K73" s="6"/>
    </row>
    <row r="74" spans="2:11" ht="15.75" thickBot="1" x14ac:dyDescent="0.3">
      <c r="B74" s="1805"/>
      <c r="C74" s="94"/>
      <c r="D74" s="41" t="s">
        <v>40</v>
      </c>
      <c r="E74" s="132" t="s">
        <v>160</v>
      </c>
      <c r="F74" s="6"/>
      <c r="G74" s="6"/>
      <c r="H74" s="6"/>
      <c r="I74" s="87"/>
      <c r="J74" s="6"/>
      <c r="K74" s="6"/>
    </row>
    <row r="75" spans="2:11" ht="15.75" thickBot="1" x14ac:dyDescent="0.3">
      <c r="B75" s="1805"/>
      <c r="C75" s="94"/>
      <c r="D75" s="41" t="s">
        <v>41</v>
      </c>
      <c r="E75" s="176"/>
      <c r="F75" s="6"/>
      <c r="G75" s="6"/>
      <c r="H75" s="6"/>
      <c r="I75" s="87"/>
      <c r="J75" s="6"/>
      <c r="K75" s="6"/>
    </row>
    <row r="76" spans="2:11" ht="15.75" thickBot="1" x14ac:dyDescent="0.3">
      <c r="B76" s="1805"/>
      <c r="C76" s="94"/>
      <c r="D76" s="41" t="s">
        <v>42</v>
      </c>
      <c r="E76" s="176"/>
      <c r="F76" s="6"/>
      <c r="G76" s="6"/>
      <c r="H76" s="6"/>
      <c r="I76" s="87"/>
      <c r="J76" s="6"/>
      <c r="K76" s="6"/>
    </row>
    <row r="77" spans="2:11" ht="15.75" thickBot="1" x14ac:dyDescent="0.3">
      <c r="B77" s="1805"/>
      <c r="C77" s="94"/>
      <c r="D77" s="41" t="s">
        <v>43</v>
      </c>
      <c r="E77" s="176"/>
      <c r="F77" s="6"/>
      <c r="G77" s="6"/>
      <c r="H77" s="6"/>
      <c r="I77" s="87"/>
      <c r="J77" s="6"/>
      <c r="K77" s="6"/>
    </row>
    <row r="78" spans="2:11" ht="15.75" thickBot="1" x14ac:dyDescent="0.3">
      <c r="B78" s="1805"/>
      <c r="C78" s="94"/>
      <c r="D78" s="41" t="s">
        <v>44</v>
      </c>
      <c r="E78" s="176"/>
      <c r="F78" s="6"/>
      <c r="G78" s="6"/>
      <c r="H78" s="6"/>
      <c r="I78" s="87"/>
      <c r="J78" s="6"/>
      <c r="K78" s="6"/>
    </row>
    <row r="79" spans="2:11" ht="15.75" thickBot="1" x14ac:dyDescent="0.3">
      <c r="B79" s="1806"/>
      <c r="C79" s="3"/>
      <c r="D79" s="41" t="s">
        <v>45</v>
      </c>
      <c r="E79" s="176"/>
      <c r="F79" s="6"/>
      <c r="G79" s="6"/>
      <c r="H79" s="6"/>
      <c r="I79" s="87"/>
      <c r="J79" s="6"/>
      <c r="K79" s="6"/>
    </row>
    <row r="80" spans="2:11" ht="15.75" thickBot="1" x14ac:dyDescent="0.3">
      <c r="B80" s="2"/>
      <c r="C80" s="76"/>
      <c r="D80" s="6"/>
      <c r="E80" s="6"/>
      <c r="F80" s="6"/>
      <c r="G80" s="6"/>
      <c r="H80" s="6"/>
      <c r="I80" s="87"/>
      <c r="J80" s="6"/>
      <c r="K80" s="6"/>
    </row>
    <row r="81" spans="2:11" ht="15" customHeight="1" thickBot="1" x14ac:dyDescent="0.3">
      <c r="B81" s="121" t="s">
        <v>49</v>
      </c>
      <c r="C81" s="122"/>
      <c r="D81" s="122"/>
      <c r="E81" s="123"/>
      <c r="G81" s="6"/>
      <c r="H81" s="6"/>
      <c r="I81" s="87"/>
      <c r="J81" s="6"/>
      <c r="K81" s="6"/>
    </row>
    <row r="82" spans="2:11" ht="24.75" thickBot="1" x14ac:dyDescent="0.3">
      <c r="B82" s="47" t="s">
        <v>50</v>
      </c>
      <c r="C82" s="41" t="s">
        <v>51</v>
      </c>
      <c r="D82" s="41" t="s">
        <v>52</v>
      </c>
      <c r="E82" s="41" t="s">
        <v>53</v>
      </c>
      <c r="F82" s="6"/>
      <c r="G82" s="6"/>
      <c r="H82" s="6"/>
      <c r="I82" s="87"/>
      <c r="J82" s="6"/>
    </row>
    <row r="83" spans="2:11" ht="72.75" thickBot="1" x14ac:dyDescent="0.3">
      <c r="B83" s="49">
        <v>42401</v>
      </c>
      <c r="C83" s="41">
        <v>0.01</v>
      </c>
      <c r="D83" s="50" t="s">
        <v>882</v>
      </c>
      <c r="E83" s="41"/>
      <c r="F83" s="6"/>
      <c r="G83" s="6"/>
      <c r="H83" s="6"/>
      <c r="I83" s="87"/>
      <c r="J83" s="6"/>
    </row>
    <row r="84" spans="2:11" ht="15.75" thickBot="1" x14ac:dyDescent="0.3">
      <c r="B84" s="2"/>
      <c r="C84" s="76"/>
      <c r="D84" s="6"/>
      <c r="E84" s="6"/>
      <c r="F84" s="6"/>
      <c r="G84" s="6"/>
      <c r="H84" s="6"/>
      <c r="I84" s="87"/>
      <c r="J84" s="6"/>
      <c r="K84" s="6"/>
    </row>
    <row r="85" spans="2:11" ht="15.75" thickBot="1" x14ac:dyDescent="0.3">
      <c r="B85" s="443" t="s">
        <v>55</v>
      </c>
      <c r="C85" s="96"/>
      <c r="D85" s="6"/>
      <c r="E85" s="6"/>
      <c r="F85" s="6"/>
      <c r="G85" s="6"/>
      <c r="H85" s="6"/>
      <c r="I85" s="87"/>
      <c r="J85" s="6"/>
      <c r="K85" s="6"/>
    </row>
    <row r="86" spans="2:11" x14ac:dyDescent="0.25">
      <c r="B86" s="1978"/>
      <c r="C86" s="1979"/>
      <c r="D86" s="1980"/>
      <c r="E86" s="6"/>
      <c r="F86" s="6"/>
      <c r="G86" s="6"/>
      <c r="H86" s="6"/>
      <c r="I86" s="87"/>
      <c r="J86" s="6"/>
      <c r="K86" s="6"/>
    </row>
    <row r="87" spans="2:11" ht="15.75" thickBot="1" x14ac:dyDescent="0.3">
      <c r="B87" s="1981"/>
      <c r="C87" s="1982"/>
      <c r="D87" s="1983"/>
      <c r="E87" s="6"/>
      <c r="F87" s="6"/>
      <c r="G87" s="6"/>
      <c r="H87" s="6"/>
      <c r="I87" s="87"/>
      <c r="J87" s="6"/>
      <c r="K87" s="6"/>
    </row>
    <row r="88" spans="2:11" ht="15.75" thickBot="1" x14ac:dyDescent="0.3">
      <c r="B88" s="6"/>
      <c r="D88" s="6"/>
      <c r="E88" s="6"/>
      <c r="F88" s="6"/>
      <c r="G88" s="6"/>
      <c r="H88" s="6"/>
      <c r="I88" s="87"/>
      <c r="J88" s="6"/>
      <c r="K88" s="6"/>
    </row>
    <row r="89" spans="2:11" ht="24.75" thickBot="1" x14ac:dyDescent="0.3">
      <c r="B89" s="51" t="s">
        <v>56</v>
      </c>
      <c r="C89" s="97"/>
      <c r="D89" s="6"/>
      <c r="E89" s="6"/>
      <c r="F89" s="6"/>
      <c r="G89" s="6"/>
      <c r="H89" s="6"/>
      <c r="I89" s="87"/>
      <c r="J89" s="6"/>
      <c r="K89" s="6"/>
    </row>
    <row r="90" spans="2:11" ht="15.75" thickBot="1" x14ac:dyDescent="0.3">
      <c r="B90" s="2"/>
      <c r="C90" s="76"/>
      <c r="D90" s="6"/>
      <c r="E90" s="6"/>
      <c r="F90" s="6"/>
      <c r="G90" s="6"/>
      <c r="H90" s="6"/>
      <c r="I90" s="87"/>
      <c r="J90" s="6"/>
      <c r="K90" s="6"/>
    </row>
    <row r="91" spans="2:11" ht="144" x14ac:dyDescent="0.25">
      <c r="B91" s="1804" t="s">
        <v>57</v>
      </c>
      <c r="C91" s="105"/>
      <c r="D91" s="63" t="s">
        <v>836</v>
      </c>
      <c r="E91" s="6"/>
      <c r="F91" s="6"/>
      <c r="G91" s="6"/>
      <c r="H91" s="6"/>
      <c r="I91" s="87"/>
      <c r="J91" s="6"/>
      <c r="K91" s="6"/>
    </row>
    <row r="92" spans="2:11" ht="120.75" thickBot="1" x14ac:dyDescent="0.3">
      <c r="B92" s="1806"/>
      <c r="C92" s="3"/>
      <c r="D92" s="41" t="s">
        <v>837</v>
      </c>
      <c r="E92" s="6"/>
      <c r="F92" s="6"/>
      <c r="G92" s="6"/>
      <c r="H92" s="6"/>
      <c r="I92" s="87"/>
      <c r="J92" s="6"/>
      <c r="K92" s="6"/>
    </row>
    <row r="93" spans="2:11" x14ac:dyDescent="0.25">
      <c r="B93" s="1804" t="s">
        <v>59</v>
      </c>
      <c r="C93" s="94"/>
      <c r="D93" s="53" t="s">
        <v>60</v>
      </c>
      <c r="E93" s="6"/>
      <c r="F93" s="6"/>
      <c r="G93" s="6"/>
      <c r="H93" s="6"/>
      <c r="I93" s="87"/>
      <c r="J93" s="6"/>
      <c r="K93" s="6"/>
    </row>
    <row r="94" spans="2:11" ht="108" x14ac:dyDescent="0.25">
      <c r="B94" s="1805"/>
      <c r="C94" s="94"/>
      <c r="D94" s="46" t="s">
        <v>838</v>
      </c>
      <c r="E94" s="6"/>
      <c r="F94" s="6"/>
      <c r="G94" s="6"/>
      <c r="H94" s="6"/>
      <c r="I94" s="87"/>
      <c r="J94" s="6"/>
      <c r="K94" s="6"/>
    </row>
    <row r="95" spans="2:11" x14ac:dyDescent="0.25">
      <c r="B95" s="1805"/>
      <c r="C95" s="94"/>
      <c r="D95" s="53" t="s">
        <v>134</v>
      </c>
      <c r="E95" s="6"/>
      <c r="F95" s="6"/>
      <c r="G95" s="6"/>
      <c r="H95" s="6"/>
      <c r="I95" s="87"/>
      <c r="J95" s="6"/>
      <c r="K95" s="6"/>
    </row>
    <row r="96" spans="2:11" x14ac:dyDescent="0.25">
      <c r="B96" s="1805"/>
      <c r="C96" s="94"/>
      <c r="D96" s="46" t="s">
        <v>64</v>
      </c>
      <c r="E96" s="6"/>
      <c r="F96" s="6"/>
      <c r="G96" s="6"/>
      <c r="H96" s="6"/>
      <c r="I96" s="87"/>
      <c r="J96" s="6"/>
      <c r="K96" s="6"/>
    </row>
    <row r="97" spans="2:11" x14ac:dyDescent="0.25">
      <c r="B97" s="1805"/>
      <c r="C97" s="94"/>
      <c r="D97" s="46" t="s">
        <v>65</v>
      </c>
      <c r="E97" s="6"/>
      <c r="F97" s="6"/>
      <c r="G97" s="6"/>
      <c r="H97" s="6"/>
      <c r="I97" s="87"/>
      <c r="J97" s="6"/>
      <c r="K97" s="6"/>
    </row>
    <row r="98" spans="2:11" x14ac:dyDescent="0.25">
      <c r="B98" s="1805"/>
      <c r="C98" s="94"/>
      <c r="D98" s="46" t="s">
        <v>839</v>
      </c>
      <c r="E98" s="6"/>
      <c r="F98" s="6"/>
      <c r="G98" s="6"/>
      <c r="H98" s="6"/>
      <c r="I98" s="87"/>
      <c r="J98" s="6"/>
      <c r="K98" s="6"/>
    </row>
    <row r="99" spans="2:11" ht="24" x14ac:dyDescent="0.25">
      <c r="B99" s="1805"/>
      <c r="C99" s="94"/>
      <c r="D99" s="46" t="s">
        <v>840</v>
      </c>
      <c r="E99" s="6"/>
      <c r="F99" s="6"/>
      <c r="G99" s="6"/>
      <c r="H99" s="6"/>
      <c r="I99" s="87"/>
      <c r="J99" s="6"/>
      <c r="K99" s="6"/>
    </row>
    <row r="100" spans="2:11" ht="24" x14ac:dyDescent="0.25">
      <c r="B100" s="1805"/>
      <c r="C100" s="94"/>
      <c r="D100" s="46" t="s">
        <v>841</v>
      </c>
      <c r="E100" s="6"/>
      <c r="F100" s="6"/>
      <c r="G100" s="6"/>
      <c r="H100" s="6"/>
      <c r="I100" s="87"/>
      <c r="J100" s="6"/>
      <c r="K100" s="6"/>
    </row>
    <row r="101" spans="2:11" ht="24" x14ac:dyDescent="0.25">
      <c r="B101" s="1805"/>
      <c r="C101" s="94"/>
      <c r="D101" s="46" t="s">
        <v>842</v>
      </c>
      <c r="E101" s="6"/>
      <c r="F101" s="6"/>
      <c r="G101" s="6"/>
      <c r="H101" s="6"/>
      <c r="I101" s="87"/>
      <c r="J101" s="6"/>
      <c r="K101" s="6"/>
    </row>
    <row r="102" spans="2:11" ht="48" x14ac:dyDescent="0.25">
      <c r="B102" s="1805"/>
      <c r="C102" s="94"/>
      <c r="D102" s="46" t="s">
        <v>843</v>
      </c>
      <c r="E102" s="6"/>
      <c r="F102" s="6"/>
      <c r="G102" s="6"/>
      <c r="H102" s="6"/>
      <c r="I102" s="87"/>
      <c r="J102" s="6"/>
      <c r="K102" s="6"/>
    </row>
    <row r="103" spans="2:11" ht="36.75" thickBot="1" x14ac:dyDescent="0.3">
      <c r="B103" s="1806"/>
      <c r="C103" s="3"/>
      <c r="D103" s="41" t="s">
        <v>844</v>
      </c>
      <c r="E103" s="6"/>
      <c r="F103" s="6"/>
      <c r="G103" s="6"/>
      <c r="H103" s="6"/>
      <c r="I103" s="87"/>
      <c r="J103" s="6"/>
      <c r="K103" s="6"/>
    </row>
    <row r="104" spans="2:11" ht="24.75" thickBot="1" x14ac:dyDescent="0.3">
      <c r="B104" s="47" t="s">
        <v>72</v>
      </c>
      <c r="C104" s="3"/>
      <c r="D104" s="41"/>
      <c r="E104" s="6"/>
      <c r="F104" s="6"/>
      <c r="G104" s="6"/>
      <c r="H104" s="6"/>
      <c r="I104" s="87"/>
      <c r="J104" s="6"/>
      <c r="K104" s="6"/>
    </row>
    <row r="105" spans="2:11" ht="252" x14ac:dyDescent="0.25">
      <c r="B105" s="1804" t="s">
        <v>73</v>
      </c>
      <c r="C105" s="94"/>
      <c r="D105" s="46" t="s">
        <v>845</v>
      </c>
      <c r="E105" s="6"/>
      <c r="F105" s="6"/>
      <c r="G105" s="6"/>
      <c r="H105" s="6"/>
      <c r="I105" s="87"/>
      <c r="J105" s="6"/>
      <c r="K105" s="6"/>
    </row>
    <row r="106" spans="2:11" ht="72" x14ac:dyDescent="0.25">
      <c r="B106" s="1805"/>
      <c r="C106" s="94"/>
      <c r="D106" s="46" t="s">
        <v>846</v>
      </c>
      <c r="E106" s="6"/>
      <c r="F106" s="6"/>
      <c r="G106" s="6"/>
      <c r="H106" s="6"/>
      <c r="I106" s="87"/>
      <c r="J106" s="6"/>
      <c r="K106" s="6"/>
    </row>
    <row r="107" spans="2:11" ht="72" x14ac:dyDescent="0.25">
      <c r="B107" s="1805"/>
      <c r="C107" s="94"/>
      <c r="D107" s="46" t="s">
        <v>847</v>
      </c>
      <c r="E107" s="6"/>
      <c r="F107" s="6"/>
      <c r="G107" s="6"/>
      <c r="H107" s="6"/>
      <c r="I107" s="87"/>
      <c r="J107" s="6"/>
      <c r="K107" s="6"/>
    </row>
    <row r="108" spans="2:11" ht="156" x14ac:dyDescent="0.25">
      <c r="B108" s="1805"/>
      <c r="C108" s="94"/>
      <c r="D108" s="46" t="s">
        <v>848</v>
      </c>
      <c r="E108" s="6"/>
      <c r="F108" s="6"/>
      <c r="G108" s="6"/>
      <c r="H108" s="6"/>
      <c r="I108" s="87"/>
      <c r="J108" s="6"/>
      <c r="K108" s="6"/>
    </row>
    <row r="109" spans="2:11" ht="168" x14ac:dyDescent="0.25">
      <c r="B109" s="1805"/>
      <c r="C109" s="94"/>
      <c r="D109" s="46" t="s">
        <v>849</v>
      </c>
      <c r="E109" s="6"/>
      <c r="F109" s="6"/>
      <c r="G109" s="6"/>
      <c r="H109" s="6"/>
      <c r="I109" s="87"/>
      <c r="J109" s="6"/>
      <c r="K109" s="6"/>
    </row>
    <row r="110" spans="2:11" ht="108" x14ac:dyDescent="0.25">
      <c r="B110" s="1805"/>
      <c r="C110" s="94"/>
      <c r="D110" s="46" t="s">
        <v>850</v>
      </c>
      <c r="E110" s="6"/>
      <c r="F110" s="6"/>
      <c r="G110" s="6"/>
      <c r="H110" s="6"/>
      <c r="I110" s="87"/>
      <c r="J110" s="6"/>
      <c r="K110" s="6"/>
    </row>
    <row r="111" spans="2:11" ht="60.75" thickBot="1" x14ac:dyDescent="0.3">
      <c r="B111" s="1806"/>
      <c r="C111" s="3"/>
      <c r="D111" s="41" t="s">
        <v>851</v>
      </c>
      <c r="E111" s="6"/>
      <c r="F111" s="6"/>
      <c r="G111" s="6"/>
      <c r="H111" s="6"/>
      <c r="I111" s="87"/>
      <c r="J111" s="6"/>
      <c r="K111" s="6"/>
    </row>
    <row r="112" spans="2:11" ht="36" x14ac:dyDescent="0.25">
      <c r="B112" s="1804" t="s">
        <v>90</v>
      </c>
      <c r="C112" s="94"/>
      <c r="D112" s="53" t="s">
        <v>835</v>
      </c>
      <c r="E112" s="6"/>
      <c r="F112" s="6"/>
      <c r="G112" s="6"/>
      <c r="H112" s="6"/>
      <c r="I112" s="87"/>
      <c r="J112" s="6"/>
      <c r="K112" s="6"/>
    </row>
    <row r="113" spans="2:11" x14ac:dyDescent="0.25">
      <c r="B113" s="1805"/>
      <c r="C113" s="94"/>
      <c r="D113" s="17"/>
      <c r="E113" s="6"/>
      <c r="F113" s="6"/>
      <c r="G113" s="6"/>
      <c r="H113" s="6"/>
      <c r="I113" s="87"/>
      <c r="J113" s="6"/>
      <c r="K113" s="6"/>
    </row>
    <row r="114" spans="2:11" x14ac:dyDescent="0.25">
      <c r="B114" s="1805"/>
      <c r="C114" s="94"/>
      <c r="D114" s="46" t="s">
        <v>91</v>
      </c>
      <c r="E114" s="6"/>
      <c r="F114" s="6"/>
      <c r="G114" s="6"/>
      <c r="H114" s="6"/>
      <c r="I114" s="87"/>
      <c r="J114" s="6"/>
      <c r="K114" s="6"/>
    </row>
    <row r="115" spans="2:11" ht="24" x14ac:dyDescent="0.25">
      <c r="B115" s="1805"/>
      <c r="C115" s="94"/>
      <c r="D115" s="46" t="s">
        <v>852</v>
      </c>
      <c r="E115" s="6"/>
      <c r="F115" s="6"/>
      <c r="G115" s="6"/>
      <c r="H115" s="6"/>
      <c r="I115" s="87"/>
      <c r="J115" s="6"/>
      <c r="K115" s="6"/>
    </row>
    <row r="116" spans="2:11" ht="24" x14ac:dyDescent="0.25">
      <c r="B116" s="1805"/>
      <c r="C116" s="94"/>
      <c r="D116" s="46" t="s">
        <v>853</v>
      </c>
      <c r="E116" s="6"/>
      <c r="F116" s="6"/>
      <c r="G116" s="6"/>
      <c r="H116" s="6"/>
      <c r="I116" s="87"/>
      <c r="J116" s="6"/>
      <c r="K116" s="6"/>
    </row>
    <row r="117" spans="2:11" ht="60" x14ac:dyDescent="0.25">
      <c r="B117" s="1805"/>
      <c r="C117" s="94"/>
      <c r="D117" s="46" t="s">
        <v>854</v>
      </c>
      <c r="E117" s="6"/>
      <c r="F117" s="6"/>
      <c r="G117" s="6"/>
      <c r="H117" s="6"/>
      <c r="I117" s="87"/>
      <c r="J117" s="6"/>
      <c r="K117" s="6"/>
    </row>
    <row r="118" spans="2:11" ht="60" x14ac:dyDescent="0.25">
      <c r="B118" s="1805"/>
      <c r="C118" s="94"/>
      <c r="D118" s="46" t="s">
        <v>855</v>
      </c>
      <c r="E118" s="6"/>
      <c r="F118" s="6"/>
      <c r="G118" s="6"/>
      <c r="H118" s="6"/>
      <c r="I118" s="87"/>
      <c r="J118" s="6"/>
      <c r="K118" s="6"/>
    </row>
    <row r="119" spans="2:11" ht="60" x14ac:dyDescent="0.25">
      <c r="B119" s="1805"/>
      <c r="C119" s="94"/>
      <c r="D119" s="58" t="s">
        <v>856</v>
      </c>
      <c r="E119" s="6"/>
      <c r="F119" s="6"/>
      <c r="G119" s="6"/>
      <c r="H119" s="6"/>
      <c r="I119" s="87"/>
      <c r="J119" s="6"/>
      <c r="K119" s="6"/>
    </row>
    <row r="120" spans="2:11" ht="36" x14ac:dyDescent="0.25">
      <c r="B120" s="1805"/>
      <c r="C120" s="94"/>
      <c r="D120" s="46" t="s">
        <v>857</v>
      </c>
      <c r="E120" s="6"/>
      <c r="F120" s="6"/>
      <c r="G120" s="6"/>
      <c r="H120" s="6"/>
      <c r="I120" s="87"/>
      <c r="J120" s="6"/>
      <c r="K120" s="6"/>
    </row>
    <row r="121" spans="2:11" ht="36" x14ac:dyDescent="0.25">
      <c r="B121" s="1805"/>
      <c r="C121" s="94"/>
      <c r="D121" s="46" t="s">
        <v>858</v>
      </c>
      <c r="E121" s="6"/>
      <c r="F121" s="6"/>
      <c r="G121" s="6"/>
      <c r="H121" s="6"/>
      <c r="I121" s="87"/>
      <c r="J121" s="6"/>
      <c r="K121" s="6"/>
    </row>
    <row r="122" spans="2:11" ht="36" x14ac:dyDescent="0.25">
      <c r="B122" s="1805"/>
      <c r="C122" s="94"/>
      <c r="D122" s="46" t="s">
        <v>859</v>
      </c>
      <c r="E122" s="6"/>
      <c r="F122" s="6"/>
      <c r="G122" s="6"/>
      <c r="H122" s="6"/>
      <c r="I122" s="87"/>
      <c r="J122" s="6"/>
      <c r="K122" s="6"/>
    </row>
    <row r="123" spans="2:11" ht="36" x14ac:dyDescent="0.25">
      <c r="B123" s="1805"/>
      <c r="C123" s="94"/>
      <c r="D123" s="46" t="s">
        <v>860</v>
      </c>
      <c r="E123" s="6"/>
      <c r="F123" s="6"/>
      <c r="G123" s="6"/>
      <c r="H123" s="6"/>
      <c r="I123" s="87"/>
      <c r="J123" s="6"/>
      <c r="K123" s="6"/>
    </row>
    <row r="124" spans="2:11" ht="36.75" thickBot="1" x14ac:dyDescent="0.3">
      <c r="B124" s="1806"/>
      <c r="C124" s="3"/>
      <c r="D124" s="41" t="s">
        <v>861</v>
      </c>
      <c r="E124" s="6"/>
      <c r="F124" s="6"/>
      <c r="G124" s="6"/>
      <c r="H124" s="6"/>
      <c r="I124" s="87"/>
      <c r="J124" s="6"/>
      <c r="K124" s="6"/>
    </row>
    <row r="125" spans="2:11" x14ac:dyDescent="0.25">
      <c r="B125" s="6"/>
      <c r="D125" s="6"/>
      <c r="E125" s="6"/>
      <c r="F125" s="6"/>
      <c r="G125" s="6"/>
      <c r="H125" s="6"/>
      <c r="I125" s="87"/>
      <c r="J125" s="6"/>
      <c r="K125" s="6"/>
    </row>
    <row r="126" spans="2:11" x14ac:dyDescent="0.25">
      <c r="B126" s="6"/>
      <c r="D126" s="6"/>
      <c r="E126" s="6"/>
      <c r="F126" s="6"/>
      <c r="G126" s="6"/>
      <c r="H126" s="6"/>
      <c r="I126" s="87"/>
      <c r="J126" s="6"/>
      <c r="K126" s="6"/>
    </row>
    <row r="127" spans="2:11" x14ac:dyDescent="0.25">
      <c r="B127" s="6"/>
      <c r="D127" s="6"/>
      <c r="E127" s="6"/>
      <c r="F127" s="6"/>
      <c r="G127" s="6"/>
      <c r="H127" s="6"/>
      <c r="I127" s="87"/>
      <c r="J127" s="6"/>
      <c r="K127" s="6"/>
    </row>
    <row r="128" spans="2:11" x14ac:dyDescent="0.25">
      <c r="B128" s="6"/>
      <c r="D128" s="6"/>
      <c r="E128" s="6"/>
      <c r="F128" s="6"/>
      <c r="G128" s="6"/>
      <c r="H128" s="6"/>
      <c r="I128" s="87"/>
      <c r="J128" s="6"/>
      <c r="K128" s="6"/>
    </row>
    <row r="129" spans="2:11" x14ac:dyDescent="0.25">
      <c r="B129" s="6"/>
      <c r="D129" s="6"/>
      <c r="E129" s="6"/>
      <c r="F129" s="6"/>
      <c r="G129" s="6"/>
      <c r="H129" s="6"/>
      <c r="I129" s="87"/>
      <c r="J129" s="6"/>
      <c r="K129" s="6"/>
    </row>
    <row r="130" spans="2:11" x14ac:dyDescent="0.25">
      <c r="B130" s="6"/>
      <c r="D130" s="6"/>
      <c r="E130" s="6"/>
      <c r="F130" s="6"/>
      <c r="G130" s="6"/>
      <c r="H130" s="6"/>
      <c r="I130" s="87"/>
      <c r="J130" s="6"/>
      <c r="K130" s="6"/>
    </row>
    <row r="131" spans="2:11" x14ac:dyDescent="0.25">
      <c r="B131" s="6"/>
      <c r="D131" s="6"/>
      <c r="E131" s="6"/>
      <c r="F131" s="6"/>
      <c r="G131" s="6"/>
      <c r="H131" s="6"/>
      <c r="I131" s="87"/>
      <c r="J131" s="6"/>
      <c r="K131" s="6"/>
    </row>
    <row r="132" spans="2:11" x14ac:dyDescent="0.25">
      <c r="B132" s="6"/>
      <c r="D132" s="6"/>
      <c r="E132" s="6"/>
      <c r="F132" s="6"/>
      <c r="G132" s="6"/>
      <c r="H132" s="6"/>
      <c r="I132" s="87"/>
      <c r="J132" s="6"/>
      <c r="K132" s="6"/>
    </row>
    <row r="133" spans="2:11" x14ac:dyDescent="0.25">
      <c r="B133" s="6"/>
      <c r="D133" s="6"/>
      <c r="E133" s="6"/>
      <c r="F133" s="6"/>
      <c r="G133" s="6"/>
      <c r="H133" s="6"/>
      <c r="I133" s="87"/>
      <c r="J133" s="6"/>
      <c r="K133" s="6"/>
    </row>
    <row r="134" spans="2:11" x14ac:dyDescent="0.25">
      <c r="B134" s="6"/>
      <c r="D134" s="6"/>
      <c r="E134" s="6"/>
      <c r="F134" s="6"/>
      <c r="G134" s="6"/>
      <c r="H134" s="6"/>
      <c r="I134" s="87"/>
      <c r="J134" s="6"/>
      <c r="K134" s="6"/>
    </row>
    <row r="135" spans="2:11" x14ac:dyDescent="0.25">
      <c r="B135" s="6"/>
      <c r="D135" s="6"/>
      <c r="E135" s="6"/>
      <c r="F135" s="6"/>
      <c r="G135" s="6"/>
      <c r="H135" s="6"/>
      <c r="I135" s="87"/>
      <c r="J135" s="6"/>
      <c r="K135" s="6"/>
    </row>
    <row r="136" spans="2:11" x14ac:dyDescent="0.25">
      <c r="B136" s="6"/>
      <c r="D136" s="6"/>
      <c r="E136" s="6"/>
      <c r="F136" s="6"/>
      <c r="G136" s="6"/>
      <c r="H136" s="6"/>
      <c r="I136" s="87"/>
      <c r="J136" s="6"/>
      <c r="K136" s="6"/>
    </row>
    <row r="137" spans="2:11" x14ac:dyDescent="0.25">
      <c r="B137" s="6"/>
      <c r="D137" s="6"/>
      <c r="E137" s="6"/>
      <c r="F137" s="6"/>
      <c r="G137" s="6"/>
      <c r="H137" s="6"/>
      <c r="I137" s="87"/>
      <c r="J137" s="6"/>
      <c r="K137" s="6"/>
    </row>
    <row r="138" spans="2:11" x14ac:dyDescent="0.25">
      <c r="B138" s="6"/>
      <c r="D138" s="6"/>
      <c r="E138" s="6"/>
      <c r="F138" s="6"/>
      <c r="G138" s="6"/>
      <c r="H138" s="6"/>
      <c r="I138" s="87"/>
      <c r="J138" s="6"/>
      <c r="K138" s="6"/>
    </row>
    <row r="139" spans="2:11" x14ac:dyDescent="0.25">
      <c r="B139" s="6"/>
      <c r="D139" s="6"/>
      <c r="E139" s="6"/>
      <c r="F139" s="6"/>
      <c r="G139" s="6"/>
      <c r="H139" s="6"/>
      <c r="I139" s="87"/>
      <c r="J139" s="6"/>
      <c r="K139" s="6"/>
    </row>
    <row r="140" spans="2:11" x14ac:dyDescent="0.25">
      <c r="B140" s="6"/>
      <c r="D140" s="6"/>
      <c r="E140" s="6"/>
      <c r="F140" s="6"/>
      <c r="G140" s="6"/>
      <c r="H140" s="6"/>
      <c r="I140" s="87"/>
      <c r="J140" s="6"/>
      <c r="K140" s="6"/>
    </row>
    <row r="141" spans="2:11" x14ac:dyDescent="0.25">
      <c r="B141" s="6"/>
      <c r="D141" s="6"/>
      <c r="E141" s="6"/>
      <c r="F141" s="6"/>
      <c r="G141" s="6"/>
      <c r="H141" s="6"/>
      <c r="I141" s="87"/>
      <c r="J141" s="6"/>
      <c r="K141" s="6"/>
    </row>
    <row r="142" spans="2:11" x14ac:dyDescent="0.25">
      <c r="B142" s="6"/>
      <c r="D142" s="6"/>
      <c r="E142" s="6"/>
      <c r="F142" s="6"/>
      <c r="G142" s="6"/>
      <c r="H142" s="6"/>
      <c r="I142" s="87"/>
      <c r="J142" s="6"/>
      <c r="K142" s="6"/>
    </row>
    <row r="143" spans="2:11" x14ac:dyDescent="0.25">
      <c r="B143" s="6"/>
      <c r="D143" s="6"/>
      <c r="E143" s="6"/>
      <c r="F143" s="6"/>
      <c r="G143" s="6"/>
      <c r="H143" s="6"/>
      <c r="I143" s="87"/>
      <c r="J143" s="6"/>
      <c r="K143" s="6"/>
    </row>
    <row r="144" spans="2:11" x14ac:dyDescent="0.25">
      <c r="B144" s="6"/>
      <c r="D144" s="6"/>
      <c r="E144" s="6"/>
      <c r="F144" s="6"/>
      <c r="G144" s="6"/>
      <c r="H144" s="6"/>
      <c r="I144" s="87"/>
      <c r="J144" s="6"/>
      <c r="K144" s="6"/>
    </row>
    <row r="145" spans="2:11" x14ac:dyDescent="0.25">
      <c r="B145" s="6"/>
      <c r="D145" s="6"/>
      <c r="E145" s="6"/>
      <c r="F145" s="6"/>
      <c r="G145" s="6"/>
      <c r="H145" s="6"/>
      <c r="I145" s="87"/>
      <c r="J145" s="6"/>
      <c r="K145" s="6"/>
    </row>
    <row r="146" spans="2:11" x14ac:dyDescent="0.25">
      <c r="B146" s="6"/>
      <c r="D146" s="6"/>
      <c r="E146" s="6"/>
      <c r="F146" s="6"/>
      <c r="G146" s="6"/>
      <c r="H146" s="6"/>
      <c r="I146" s="87"/>
      <c r="J146" s="6"/>
      <c r="K146" s="6"/>
    </row>
    <row r="147" spans="2:11" x14ac:dyDescent="0.25">
      <c r="B147" s="6"/>
      <c r="D147" s="6"/>
      <c r="E147" s="6"/>
      <c r="F147" s="6"/>
      <c r="G147" s="6"/>
      <c r="H147" s="6"/>
      <c r="I147" s="87"/>
      <c r="J147" s="6"/>
      <c r="K147" s="6"/>
    </row>
    <row r="148" spans="2:11" x14ac:dyDescent="0.25">
      <c r="B148" s="6"/>
      <c r="D148" s="6"/>
      <c r="E148" s="6"/>
      <c r="F148" s="6"/>
      <c r="G148" s="6"/>
      <c r="H148" s="6"/>
      <c r="I148" s="87"/>
      <c r="J148" s="6"/>
      <c r="K148" s="6"/>
    </row>
    <row r="149" spans="2:11" x14ac:dyDescent="0.25">
      <c r="B149" s="6"/>
      <c r="D149" s="6"/>
      <c r="E149" s="6"/>
      <c r="F149" s="6"/>
      <c r="G149" s="6"/>
      <c r="H149" s="6"/>
      <c r="I149" s="87"/>
      <c r="J149" s="6"/>
      <c r="K149" s="6"/>
    </row>
    <row r="150" spans="2:11" x14ac:dyDescent="0.25">
      <c r="B150" s="6"/>
      <c r="D150" s="6"/>
      <c r="E150" s="6"/>
      <c r="F150" s="6"/>
      <c r="G150" s="6"/>
      <c r="H150" s="6"/>
      <c r="I150" s="87"/>
      <c r="J150" s="6"/>
      <c r="K150" s="6"/>
    </row>
    <row r="151" spans="2:11" x14ac:dyDescent="0.25">
      <c r="B151" s="6"/>
      <c r="D151" s="6"/>
      <c r="E151" s="6"/>
      <c r="F151" s="6"/>
      <c r="G151" s="6"/>
      <c r="H151" s="6"/>
      <c r="I151" s="87"/>
      <c r="J151" s="6"/>
      <c r="K151" s="6"/>
    </row>
    <row r="152" spans="2:11" x14ac:dyDescent="0.25">
      <c r="B152" s="6"/>
      <c r="D152" s="6"/>
      <c r="E152" s="6"/>
      <c r="F152" s="6"/>
      <c r="G152" s="6"/>
      <c r="H152" s="6"/>
      <c r="I152" s="87"/>
      <c r="J152" s="6"/>
      <c r="K152" s="6"/>
    </row>
    <row r="153" spans="2:11" x14ac:dyDescent="0.25">
      <c r="B153" s="6"/>
      <c r="D153" s="6"/>
      <c r="E153" s="6"/>
      <c r="F153" s="6"/>
      <c r="G153" s="6"/>
      <c r="H153" s="6"/>
      <c r="I153" s="87"/>
      <c r="J153" s="6"/>
      <c r="K153" s="6"/>
    </row>
    <row r="154" spans="2:11" x14ac:dyDescent="0.25">
      <c r="B154" s="6"/>
      <c r="D154" s="6"/>
      <c r="E154" s="6"/>
      <c r="F154" s="6"/>
      <c r="G154" s="6"/>
      <c r="H154" s="6"/>
      <c r="I154" s="87"/>
      <c r="J154" s="6"/>
      <c r="K154" s="6"/>
    </row>
    <row r="155" spans="2:11" x14ac:dyDescent="0.25">
      <c r="B155" s="6"/>
      <c r="D155" s="6"/>
      <c r="E155" s="6"/>
      <c r="F155" s="6"/>
      <c r="G155" s="6"/>
      <c r="H155" s="6"/>
      <c r="I155" s="87"/>
      <c r="J155" s="6"/>
      <c r="K155" s="6"/>
    </row>
    <row r="156" spans="2:11" x14ac:dyDescent="0.25">
      <c r="B156" s="6"/>
      <c r="D156" s="6"/>
      <c r="E156" s="6"/>
      <c r="F156" s="6"/>
      <c r="G156" s="6"/>
      <c r="H156" s="6"/>
      <c r="I156" s="87"/>
      <c r="J156" s="6"/>
      <c r="K156" s="6"/>
    </row>
    <row r="157" spans="2:11" x14ac:dyDescent="0.25">
      <c r="B157" s="6"/>
      <c r="D157" s="6"/>
      <c r="E157" s="6"/>
      <c r="F157" s="6"/>
      <c r="G157" s="6"/>
      <c r="H157" s="6"/>
      <c r="I157" s="87"/>
      <c r="J157" s="6"/>
      <c r="K157" s="6"/>
    </row>
    <row r="158" spans="2:11" x14ac:dyDescent="0.25">
      <c r="B158" s="6"/>
      <c r="D158" s="6"/>
      <c r="E158" s="6"/>
      <c r="F158" s="6"/>
      <c r="G158" s="6"/>
      <c r="H158" s="6"/>
      <c r="I158" s="87"/>
      <c r="J158" s="6"/>
      <c r="K158" s="6"/>
    </row>
    <row r="159" spans="2:11" x14ac:dyDescent="0.25">
      <c r="B159" s="6"/>
      <c r="D159" s="6"/>
      <c r="E159" s="6"/>
      <c r="F159" s="6"/>
      <c r="G159" s="6"/>
      <c r="H159" s="6"/>
      <c r="I159" s="87"/>
      <c r="J159" s="6"/>
      <c r="K159" s="6"/>
    </row>
    <row r="160" spans="2:11" x14ac:dyDescent="0.25">
      <c r="B160" s="6"/>
      <c r="D160" s="6"/>
      <c r="E160" s="6"/>
      <c r="F160" s="6"/>
      <c r="G160" s="6"/>
      <c r="H160" s="6"/>
      <c r="I160" s="87"/>
      <c r="J160" s="6"/>
      <c r="K160" s="6"/>
    </row>
    <row r="161" spans="2:11" x14ac:dyDescent="0.25">
      <c r="B161" s="6"/>
      <c r="D161" s="6"/>
      <c r="E161" s="6"/>
      <c r="F161" s="6"/>
      <c r="G161" s="6"/>
      <c r="H161" s="6"/>
      <c r="I161" s="87"/>
      <c r="J161" s="6"/>
      <c r="K161" s="6"/>
    </row>
    <row r="162" spans="2:11" x14ac:dyDescent="0.25">
      <c r="B162" s="6"/>
      <c r="D162" s="6"/>
      <c r="E162" s="6"/>
      <c r="F162" s="6"/>
      <c r="G162" s="6"/>
      <c r="H162" s="6"/>
      <c r="I162" s="87"/>
      <c r="J162" s="6"/>
      <c r="K162" s="6"/>
    </row>
    <row r="163" spans="2:11" x14ac:dyDescent="0.25">
      <c r="B163" s="6"/>
      <c r="D163" s="6"/>
      <c r="E163" s="6"/>
      <c r="F163" s="6"/>
      <c r="G163" s="6"/>
      <c r="H163" s="6"/>
      <c r="I163" s="87"/>
      <c r="J163" s="6"/>
      <c r="K163" s="6"/>
    </row>
    <row r="164" spans="2:11" x14ac:dyDescent="0.25">
      <c r="B164" s="6"/>
      <c r="D164" s="6"/>
      <c r="E164" s="6"/>
      <c r="F164" s="6"/>
      <c r="G164" s="6"/>
      <c r="H164" s="6"/>
      <c r="I164" s="87"/>
      <c r="J164" s="6"/>
      <c r="K164" s="6"/>
    </row>
    <row r="165" spans="2:11" x14ac:dyDescent="0.25">
      <c r="B165" s="6"/>
      <c r="D165" s="6"/>
      <c r="E165" s="6"/>
      <c r="F165" s="6"/>
      <c r="G165" s="6"/>
      <c r="H165" s="6"/>
      <c r="I165" s="87"/>
      <c r="J165" s="6"/>
      <c r="K165" s="6"/>
    </row>
    <row r="166" spans="2:11" x14ac:dyDescent="0.25">
      <c r="B166" s="6"/>
      <c r="D166" s="6"/>
      <c r="E166" s="6"/>
      <c r="F166" s="6"/>
      <c r="G166" s="6"/>
      <c r="H166" s="6"/>
      <c r="I166" s="87"/>
      <c r="J166" s="6"/>
      <c r="K166" s="6"/>
    </row>
    <row r="167" spans="2:11" x14ac:dyDescent="0.25">
      <c r="B167" s="6"/>
      <c r="D167" s="6"/>
      <c r="E167" s="6"/>
      <c r="F167" s="6"/>
      <c r="G167" s="6"/>
      <c r="H167" s="6"/>
      <c r="I167" s="87"/>
      <c r="J167" s="6"/>
      <c r="K167" s="6"/>
    </row>
    <row r="168" spans="2:11" x14ac:dyDescent="0.25">
      <c r="B168" s="6"/>
      <c r="D168" s="6"/>
      <c r="E168" s="6"/>
      <c r="F168" s="6"/>
      <c r="G168" s="6"/>
      <c r="H168" s="6"/>
      <c r="I168" s="87"/>
      <c r="J168" s="6"/>
      <c r="K168" s="6"/>
    </row>
    <row r="169" spans="2:11" x14ac:dyDescent="0.25">
      <c r="B169" s="6"/>
      <c r="D169" s="6"/>
      <c r="E169" s="6"/>
      <c r="F169" s="6"/>
      <c r="G169" s="6"/>
      <c r="H169" s="6"/>
      <c r="I169" s="87"/>
      <c r="J169" s="6"/>
      <c r="K169" s="6"/>
    </row>
    <row r="170" spans="2:11" x14ac:dyDescent="0.25">
      <c r="B170" s="6"/>
      <c r="D170" s="6"/>
      <c r="E170" s="6"/>
      <c r="F170" s="6"/>
      <c r="G170" s="6"/>
      <c r="H170" s="6"/>
      <c r="I170" s="87"/>
      <c r="J170" s="6"/>
      <c r="K170" s="6"/>
    </row>
    <row r="171" spans="2:11" x14ac:dyDescent="0.25">
      <c r="B171" s="6"/>
      <c r="D171" s="6"/>
      <c r="E171" s="6"/>
      <c r="F171" s="6"/>
      <c r="G171" s="6"/>
      <c r="H171" s="6"/>
      <c r="I171" s="87"/>
      <c r="J171" s="6"/>
      <c r="K171" s="6"/>
    </row>
    <row r="172" spans="2:11" x14ac:dyDescent="0.25">
      <c r="B172" s="6"/>
      <c r="D172" s="6"/>
      <c r="E172" s="6"/>
      <c r="F172" s="6"/>
      <c r="G172" s="6"/>
      <c r="H172" s="6"/>
      <c r="I172" s="87"/>
      <c r="J172" s="6"/>
      <c r="K172" s="6"/>
    </row>
    <row r="173" spans="2:11" x14ac:dyDescent="0.25">
      <c r="B173" s="6"/>
      <c r="D173" s="6"/>
      <c r="E173" s="6"/>
      <c r="F173" s="6"/>
      <c r="G173" s="6"/>
      <c r="H173" s="6"/>
      <c r="I173" s="87"/>
      <c r="J173" s="6"/>
      <c r="K173" s="6"/>
    </row>
    <row r="174" spans="2:11" x14ac:dyDescent="0.25">
      <c r="B174" s="6"/>
      <c r="D174" s="6"/>
      <c r="E174" s="6"/>
      <c r="F174" s="6"/>
      <c r="G174" s="6"/>
      <c r="H174" s="6"/>
      <c r="I174" s="87"/>
      <c r="J174" s="6"/>
      <c r="K174" s="6"/>
    </row>
    <row r="175" spans="2:11" x14ac:dyDescent="0.25">
      <c r="B175" s="6"/>
      <c r="D175" s="6"/>
      <c r="E175" s="6"/>
      <c r="F175" s="6"/>
      <c r="G175" s="6"/>
      <c r="H175" s="6"/>
      <c r="I175" s="87"/>
      <c r="J175" s="6"/>
      <c r="K175" s="6"/>
    </row>
    <row r="176" spans="2:11" x14ac:dyDescent="0.25">
      <c r="B176" s="6"/>
      <c r="D176" s="6"/>
      <c r="E176" s="6"/>
      <c r="F176" s="6"/>
      <c r="G176" s="6"/>
      <c r="H176" s="6"/>
      <c r="I176" s="87"/>
      <c r="J176" s="6"/>
      <c r="K176" s="6"/>
    </row>
    <row r="177" spans="2:11" x14ac:dyDescent="0.25">
      <c r="B177" s="6"/>
      <c r="D177" s="6"/>
      <c r="E177" s="6"/>
      <c r="F177" s="6"/>
      <c r="G177" s="6"/>
      <c r="H177" s="6"/>
      <c r="I177" s="87"/>
      <c r="J177" s="6"/>
      <c r="K177" s="6"/>
    </row>
    <row r="178" spans="2:11" x14ac:dyDescent="0.25">
      <c r="B178" s="6"/>
      <c r="D178" s="6"/>
      <c r="E178" s="6"/>
      <c r="F178" s="6"/>
      <c r="G178" s="6"/>
      <c r="H178" s="6"/>
      <c r="I178" s="87"/>
      <c r="J178" s="6"/>
      <c r="K178" s="6"/>
    </row>
    <row r="179" spans="2:11" x14ac:dyDescent="0.25">
      <c r="B179" s="6"/>
      <c r="D179" s="6"/>
      <c r="E179" s="6"/>
      <c r="F179" s="6"/>
      <c r="G179" s="6"/>
      <c r="H179" s="6"/>
      <c r="I179" s="87"/>
      <c r="J179" s="6"/>
      <c r="K179" s="6"/>
    </row>
    <row r="180" spans="2:11" x14ac:dyDescent="0.25">
      <c r="B180" s="6"/>
      <c r="D180" s="6"/>
      <c r="E180" s="6"/>
      <c r="F180" s="6"/>
      <c r="G180" s="6"/>
      <c r="H180" s="6"/>
      <c r="I180" s="87"/>
      <c r="J180" s="6"/>
      <c r="K180" s="6"/>
    </row>
    <row r="181" spans="2:11" x14ac:dyDescent="0.25">
      <c r="B181" s="6"/>
      <c r="D181" s="6"/>
      <c r="E181" s="6"/>
      <c r="F181" s="6"/>
      <c r="G181" s="6"/>
      <c r="H181" s="6"/>
      <c r="I181" s="87"/>
      <c r="J181" s="6"/>
      <c r="K181" s="6"/>
    </row>
    <row r="182" spans="2:11" x14ac:dyDescent="0.25">
      <c r="B182" s="6"/>
      <c r="D182" s="6"/>
      <c r="E182" s="6"/>
      <c r="F182" s="6"/>
      <c r="G182" s="6"/>
      <c r="H182" s="6"/>
      <c r="I182" s="87"/>
      <c r="J182" s="6"/>
      <c r="K182" s="6"/>
    </row>
    <row r="183" spans="2:11" x14ac:dyDescent="0.25">
      <c r="B183" s="6"/>
      <c r="D183" s="6"/>
      <c r="E183" s="6"/>
      <c r="F183" s="6"/>
      <c r="G183" s="6"/>
      <c r="H183" s="6"/>
      <c r="I183" s="87"/>
      <c r="J183" s="6"/>
      <c r="K183" s="6"/>
    </row>
    <row r="184" spans="2:11" x14ac:dyDescent="0.25">
      <c r="B184" s="6"/>
      <c r="D184" s="6"/>
      <c r="E184" s="6"/>
      <c r="F184" s="6"/>
      <c r="G184" s="6"/>
      <c r="H184" s="6"/>
      <c r="I184" s="87"/>
      <c r="J184" s="6"/>
      <c r="K184" s="6"/>
    </row>
    <row r="185" spans="2:11" x14ac:dyDescent="0.25">
      <c r="B185" s="6"/>
      <c r="D185" s="6"/>
      <c r="E185" s="6"/>
      <c r="F185" s="6"/>
      <c r="G185" s="6"/>
      <c r="H185" s="6"/>
      <c r="I185" s="87"/>
      <c r="J185" s="6"/>
      <c r="K185" s="6"/>
    </row>
    <row r="186" spans="2:11" x14ac:dyDescent="0.25">
      <c r="B186" s="6"/>
      <c r="D186" s="6"/>
      <c r="E186" s="6"/>
      <c r="F186" s="6"/>
      <c r="G186" s="6"/>
      <c r="H186" s="6"/>
      <c r="I186" s="87"/>
      <c r="J186" s="6"/>
      <c r="K186" s="6"/>
    </row>
    <row r="187" spans="2:11" x14ac:dyDescent="0.25">
      <c r="B187" s="6"/>
      <c r="D187" s="6"/>
      <c r="E187" s="6"/>
      <c r="F187" s="6"/>
      <c r="G187" s="6"/>
      <c r="H187" s="6"/>
      <c r="I187" s="87"/>
      <c r="J187" s="6"/>
      <c r="K187" s="6"/>
    </row>
    <row r="188" spans="2:11" x14ac:dyDescent="0.25">
      <c r="B188" s="6"/>
      <c r="D188" s="6"/>
      <c r="E188" s="6"/>
      <c r="F188" s="6"/>
      <c r="G188" s="6"/>
      <c r="H188" s="6"/>
      <c r="I188" s="87"/>
      <c r="J188" s="6"/>
      <c r="K188" s="6"/>
    </row>
    <row r="189" spans="2:11" x14ac:dyDescent="0.25">
      <c r="B189" s="6"/>
      <c r="D189" s="6"/>
      <c r="E189" s="6"/>
      <c r="F189" s="6"/>
      <c r="G189" s="6"/>
      <c r="H189" s="6"/>
      <c r="I189" s="87"/>
      <c r="J189" s="6"/>
      <c r="K189" s="6"/>
    </row>
  </sheetData>
  <sheetProtection insertColumns="0" insertRows="0"/>
  <mergeCells count="37">
    <mergeCell ref="B10:D10"/>
    <mergeCell ref="F10:S10"/>
    <mergeCell ref="F11:S11"/>
    <mergeCell ref="E12:R12"/>
    <mergeCell ref="E13:R13"/>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D38:I38"/>
    <mergeCell ref="D43:I43"/>
    <mergeCell ref="D44:I44"/>
    <mergeCell ref="D45:I45"/>
    <mergeCell ref="D60:I60"/>
    <mergeCell ref="B86:D87"/>
    <mergeCell ref="D61:I61"/>
    <mergeCell ref="B63:E63"/>
    <mergeCell ref="B64:B70"/>
    <mergeCell ref="B72:E72"/>
    <mergeCell ref="B73:B79"/>
    <mergeCell ref="A1:P1"/>
    <mergeCell ref="A2:P2"/>
    <mergeCell ref="A3:P3"/>
    <mergeCell ref="A4:D4"/>
    <mergeCell ref="A5:P5"/>
  </mergeCells>
  <conditionalFormatting sqref="F10">
    <cfRule type="notContainsBlanks" dxfId="42" priority="4">
      <formula>LEN(TRIM(F10))&gt;0</formula>
    </cfRule>
  </conditionalFormatting>
  <conditionalFormatting sqref="F11:S11">
    <cfRule type="expression" dxfId="41" priority="2">
      <formula>E11="NO SE REPORTA"</formula>
    </cfRule>
    <cfRule type="expression" dxfId="40" priority="3">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40:H41 E19:H20 E26:H27 E33:H34 E47:H48">
      <formula1>0</formula1>
    </dataValidation>
    <dataValidation allowBlank="1" showInputMessage="1" showErrorMessage="1" sqref="E49:H49 E52:E57 G52:G57 F57 E21:H21 I26:I28 E28:H28 E35:I35 I33:I34 I40:I42 E42:H42 I47:I4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8" r:id="rId1"/>
  </hyperlinks>
  <pageMargins left="0.25" right="0.25" top="0.75" bottom="0.75" header="0.3" footer="0.3"/>
  <pageSetup paperSize="178" orientation="landscape" horizontalDpi="1200" verticalDpi="120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U197"/>
  <sheetViews>
    <sheetView showGridLines="0" topLeftCell="A4" zoomScale="98" zoomScaleNormal="98"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9" max="9" width="11.5703125" style="139"/>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883</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87"/>
      <c r="J6" s="6"/>
      <c r="K6" s="6"/>
    </row>
    <row r="7" spans="1:21" ht="15.75" thickBot="1" x14ac:dyDescent="0.3">
      <c r="B7" s="75"/>
      <c r="C7" s="77"/>
      <c r="D7" s="6"/>
      <c r="E7" s="18"/>
      <c r="F7" s="6" t="s">
        <v>129</v>
      </c>
      <c r="G7" s="6"/>
      <c r="H7" s="6"/>
      <c r="I7" s="87"/>
      <c r="J7" s="6"/>
      <c r="K7" s="6"/>
    </row>
    <row r="8" spans="1:21" ht="15.75" thickBot="1" x14ac:dyDescent="0.3">
      <c r="B8" s="178" t="s">
        <v>1188</v>
      </c>
      <c r="C8" s="222">
        <v>2021</v>
      </c>
      <c r="D8" s="226">
        <f>IF(E10="NO APLICA","NO APLICA",IF(E11="NO SE REPORTA","SIN INFORMACION",+G122))</f>
        <v>0.69494791888301011</v>
      </c>
      <c r="E8" s="223"/>
      <c r="F8" s="6" t="s">
        <v>130</v>
      </c>
      <c r="G8" s="6"/>
      <c r="H8" s="6"/>
      <c r="I8" s="87"/>
      <c r="J8" s="6"/>
      <c r="K8" s="6"/>
    </row>
    <row r="9" spans="1:21" x14ac:dyDescent="0.25">
      <c r="A9" s="245"/>
      <c r="B9" s="497" t="s">
        <v>1189</v>
      </c>
      <c r="C9" s="304"/>
      <c r="D9" s="248"/>
      <c r="E9" s="248"/>
      <c r="F9" s="248"/>
      <c r="G9" s="248"/>
      <c r="H9" s="248"/>
      <c r="I9" s="265"/>
      <c r="J9" s="248"/>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Gestión'!A180</f>
        <v>Proyecto 6.1. Evaluación, Seguimiento, Monitoreo y Control de la calidad de los recursos naturales y la biodiversidad.</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304"/>
      <c r="D14" s="248"/>
      <c r="E14" s="248"/>
      <c r="F14" s="248"/>
      <c r="G14" s="248"/>
      <c r="H14" s="248"/>
      <c r="I14" s="265"/>
      <c r="J14" s="248"/>
      <c r="K14" s="6"/>
    </row>
    <row r="15" spans="1:21" x14ac:dyDescent="0.25">
      <c r="A15" s="245"/>
      <c r="B15" s="1751" t="s">
        <v>2</v>
      </c>
      <c r="C15" s="268"/>
      <c r="D15" s="1742" t="s">
        <v>3</v>
      </c>
      <c r="E15" s="1743"/>
      <c r="F15" s="1743"/>
      <c r="G15" s="1743"/>
      <c r="H15" s="1743"/>
      <c r="I15" s="1744"/>
      <c r="J15" s="248"/>
      <c r="K15" s="6"/>
    </row>
    <row r="16" spans="1:21" x14ac:dyDescent="0.25">
      <c r="A16" s="245"/>
      <c r="B16" s="1752"/>
      <c r="C16" s="276"/>
      <c r="D16" s="1987" t="s">
        <v>901</v>
      </c>
      <c r="E16" s="1988"/>
      <c r="F16" s="1988"/>
      <c r="G16" s="1988"/>
      <c r="H16" s="1988"/>
      <c r="I16" s="1989"/>
      <c r="J16" s="248"/>
      <c r="K16" s="6"/>
    </row>
    <row r="17" spans="1:11" ht="15.75" thickBot="1" x14ac:dyDescent="0.3">
      <c r="A17" s="245"/>
      <c r="B17" s="1752"/>
      <c r="C17" s="276"/>
      <c r="D17" s="1733"/>
      <c r="E17" s="1776"/>
      <c r="F17" s="1776"/>
      <c r="G17" s="1776"/>
      <c r="H17" s="1776"/>
      <c r="I17" s="1735"/>
      <c r="J17" s="248"/>
      <c r="K17" s="6"/>
    </row>
    <row r="18" spans="1:11" ht="36.75" thickBot="1" x14ac:dyDescent="0.3">
      <c r="A18" s="245"/>
      <c r="B18" s="1752"/>
      <c r="C18" s="272"/>
      <c r="D18" s="421" t="s">
        <v>1776</v>
      </c>
      <c r="E18" s="1038">
        <v>33</v>
      </c>
      <c r="F18" s="248"/>
      <c r="G18" s="248"/>
      <c r="H18" s="248"/>
      <c r="I18" s="447"/>
      <c r="J18" s="248"/>
      <c r="K18" s="6"/>
    </row>
    <row r="19" spans="1:11" ht="36.75" thickBot="1" x14ac:dyDescent="0.3">
      <c r="A19" s="245"/>
      <c r="B19" s="1752"/>
      <c r="C19" s="272"/>
      <c r="D19" s="426" t="s">
        <v>902</v>
      </c>
      <c r="E19" s="1038">
        <v>33</v>
      </c>
      <c r="F19" s="248"/>
      <c r="G19" s="248"/>
      <c r="H19" s="248"/>
      <c r="I19" s="447"/>
      <c r="J19" s="248"/>
      <c r="K19" s="6"/>
    </row>
    <row r="20" spans="1:11" ht="15.75" thickBot="1" x14ac:dyDescent="0.3">
      <c r="A20" s="245"/>
      <c r="B20" s="1752"/>
      <c r="C20" s="276"/>
      <c r="D20" s="1757"/>
      <c r="E20" s="1758"/>
      <c r="F20" s="1758"/>
      <c r="G20" s="1758"/>
      <c r="H20" s="1758"/>
      <c r="I20" s="1759"/>
      <c r="J20" s="248"/>
      <c r="K20" s="6"/>
    </row>
    <row r="21" spans="1:11" ht="15.75" thickBot="1" x14ac:dyDescent="0.3">
      <c r="A21" s="245"/>
      <c r="B21" s="1752"/>
      <c r="C21" s="272"/>
      <c r="D21" s="421" t="s">
        <v>150</v>
      </c>
      <c r="E21" s="280" t="s">
        <v>20</v>
      </c>
      <c r="F21" s="280" t="s">
        <v>21</v>
      </c>
      <c r="G21" s="280" t="s">
        <v>22</v>
      </c>
      <c r="H21" s="280" t="s">
        <v>23</v>
      </c>
      <c r="I21" s="317" t="s">
        <v>151</v>
      </c>
      <c r="J21" s="248"/>
      <c r="K21" s="6"/>
    </row>
    <row r="22" spans="1:11" ht="24.75" thickBot="1" x14ac:dyDescent="0.3">
      <c r="A22" s="245"/>
      <c r="B22" s="1752"/>
      <c r="C22" s="272"/>
      <c r="D22" s="426" t="s">
        <v>903</v>
      </c>
      <c r="E22" s="1038">
        <v>20</v>
      </c>
      <c r="F22" s="1038">
        <v>33</v>
      </c>
      <c r="G22" s="153"/>
      <c r="H22" s="153"/>
      <c r="I22" s="448">
        <f>SUM(E22:H22)</f>
        <v>53</v>
      </c>
      <c r="J22" s="248"/>
      <c r="K22" s="6"/>
    </row>
    <row r="23" spans="1:11" ht="24.75" thickBot="1" x14ac:dyDescent="0.3">
      <c r="A23" s="245"/>
      <c r="B23" s="1752"/>
      <c r="C23" s="272"/>
      <c r="D23" s="426" t="s">
        <v>904</v>
      </c>
      <c r="E23" s="1038">
        <v>17</v>
      </c>
      <c r="F23" s="1038">
        <v>20</v>
      </c>
      <c r="G23" s="153"/>
      <c r="H23" s="153"/>
      <c r="I23" s="448">
        <f>SUM(E23:H23)</f>
        <v>37</v>
      </c>
      <c r="J23" s="248"/>
      <c r="K23" s="6"/>
    </row>
    <row r="24" spans="1:11" ht="24.75" thickBot="1" x14ac:dyDescent="0.3">
      <c r="A24" s="245"/>
      <c r="B24" s="1752"/>
      <c r="C24" s="272"/>
      <c r="D24" s="426" t="s">
        <v>905</v>
      </c>
      <c r="E24" s="196">
        <f>+E23/E22</f>
        <v>0.85</v>
      </c>
      <c r="F24" s="196">
        <f>+F23/F22</f>
        <v>0.60606060606060608</v>
      </c>
      <c r="G24" s="196" t="e">
        <f>+G23/G22</f>
        <v>#DIV/0!</v>
      </c>
      <c r="H24" s="196" t="e">
        <f>+H23/H22</f>
        <v>#DIV/0!</v>
      </c>
      <c r="I24" s="196">
        <f>+I23/I22</f>
        <v>0.69811320754716977</v>
      </c>
      <c r="J24" s="248"/>
      <c r="K24" s="6"/>
    </row>
    <row r="25" spans="1:11" x14ac:dyDescent="0.25">
      <c r="A25" s="245"/>
      <c r="B25" s="1752"/>
      <c r="C25" s="276"/>
      <c r="D25" s="1742" t="s">
        <v>906</v>
      </c>
      <c r="E25" s="1743"/>
      <c r="F25" s="1743"/>
      <c r="G25" s="1743"/>
      <c r="H25" s="1743"/>
      <c r="I25" s="1744"/>
      <c r="J25" s="248"/>
      <c r="K25" s="6"/>
    </row>
    <row r="26" spans="1:11" ht="15.75" thickBot="1" x14ac:dyDescent="0.3">
      <c r="A26" s="245"/>
      <c r="B26" s="1752"/>
      <c r="C26" s="276"/>
      <c r="D26" s="1733"/>
      <c r="E26" s="1776"/>
      <c r="F26" s="1776"/>
      <c r="G26" s="1776"/>
      <c r="H26" s="1776"/>
      <c r="I26" s="1735"/>
      <c r="J26" s="248"/>
      <c r="K26" s="6"/>
    </row>
    <row r="27" spans="1:11" ht="24" x14ac:dyDescent="0.25">
      <c r="A27" s="245"/>
      <c r="B27" s="1752"/>
      <c r="C27" s="272"/>
      <c r="D27" s="1744" t="s">
        <v>907</v>
      </c>
      <c r="E27" s="1751" t="s">
        <v>908</v>
      </c>
      <c r="F27" s="1751" t="s">
        <v>909</v>
      </c>
      <c r="G27" s="1751" t="s">
        <v>910</v>
      </c>
      <c r="H27" s="419" t="s">
        <v>911</v>
      </c>
      <c r="I27" s="447"/>
      <c r="J27" s="248"/>
      <c r="K27" s="6"/>
    </row>
    <row r="28" spans="1:11" ht="15.75" thickBot="1" x14ac:dyDescent="0.3">
      <c r="A28" s="245"/>
      <c r="B28" s="1752"/>
      <c r="C28" s="272"/>
      <c r="D28" s="1759"/>
      <c r="E28" s="1753"/>
      <c r="F28" s="1753"/>
      <c r="G28" s="1753"/>
      <c r="H28" s="426" t="s">
        <v>912</v>
      </c>
      <c r="I28" s="447"/>
      <c r="J28" s="248"/>
      <c r="K28" s="6"/>
    </row>
    <row r="29" spans="1:11" ht="15.75" thickBot="1" x14ac:dyDescent="0.3">
      <c r="A29" s="245"/>
      <c r="B29" s="1752"/>
      <c r="C29" s="272"/>
      <c r="D29" s="31" t="s">
        <v>1197</v>
      </c>
      <c r="E29" s="1039">
        <v>11</v>
      </c>
      <c r="F29" s="1039">
        <v>11</v>
      </c>
      <c r="G29" s="1039">
        <v>11</v>
      </c>
      <c r="H29" s="1039">
        <v>4</v>
      </c>
      <c r="I29" s="447"/>
      <c r="J29" s="248"/>
      <c r="K29" s="6"/>
    </row>
    <row r="30" spans="1:11" ht="15.75" thickBot="1" x14ac:dyDescent="0.3">
      <c r="A30" s="245"/>
      <c r="B30" s="1752"/>
      <c r="C30" s="272"/>
      <c r="D30" s="31" t="s">
        <v>2926</v>
      </c>
      <c r="E30" s="1039">
        <v>5</v>
      </c>
      <c r="F30" s="1039">
        <v>5</v>
      </c>
      <c r="G30" s="1039">
        <v>5</v>
      </c>
      <c r="H30" s="1039">
        <v>4</v>
      </c>
      <c r="I30" s="447"/>
      <c r="J30" s="248"/>
      <c r="K30" s="6"/>
    </row>
    <row r="31" spans="1:11" ht="15.75" thickBot="1" x14ac:dyDescent="0.3">
      <c r="A31" s="245"/>
      <c r="B31" s="1752"/>
      <c r="C31" s="272"/>
      <c r="D31" s="31" t="s">
        <v>2927</v>
      </c>
      <c r="E31" s="1039">
        <v>1</v>
      </c>
      <c r="F31" s="1039">
        <v>1</v>
      </c>
      <c r="G31" s="1039">
        <v>1</v>
      </c>
      <c r="H31" s="1039">
        <v>1</v>
      </c>
      <c r="I31" s="447"/>
      <c r="J31" s="248"/>
      <c r="K31" s="6"/>
    </row>
    <row r="32" spans="1:11" s="412" customFormat="1" ht="15.75" thickBot="1" x14ac:dyDescent="0.3">
      <c r="A32" s="245"/>
      <c r="B32" s="1752"/>
      <c r="C32" s="272"/>
      <c r="D32" s="31" t="s">
        <v>2928</v>
      </c>
      <c r="E32" s="1039">
        <v>1</v>
      </c>
      <c r="F32" s="1039">
        <v>1</v>
      </c>
      <c r="G32" s="1039">
        <v>1</v>
      </c>
      <c r="H32" s="1039"/>
      <c r="I32" s="447"/>
      <c r="J32" s="248"/>
      <c r="K32" s="6"/>
    </row>
    <row r="33" spans="1:11" s="412" customFormat="1" ht="15.75" thickBot="1" x14ac:dyDescent="0.3">
      <c r="A33" s="245"/>
      <c r="B33" s="1752"/>
      <c r="C33" s="272"/>
      <c r="D33" s="31" t="s">
        <v>2929</v>
      </c>
      <c r="E33" s="1039">
        <v>2</v>
      </c>
      <c r="F33" s="1039">
        <v>2</v>
      </c>
      <c r="G33" s="1039">
        <v>2</v>
      </c>
      <c r="H33" s="1039">
        <v>1</v>
      </c>
      <c r="I33" s="447"/>
      <c r="J33" s="248"/>
      <c r="K33" s="6"/>
    </row>
    <row r="34" spans="1:11" s="412" customFormat="1" ht="15.75" thickBot="1" x14ac:dyDescent="0.3">
      <c r="A34" s="245"/>
      <c r="B34" s="1752"/>
      <c r="C34" s="272"/>
      <c r="D34" s="31" t="s">
        <v>2930</v>
      </c>
      <c r="E34" s="1039">
        <v>8</v>
      </c>
      <c r="F34" s="1039">
        <v>8</v>
      </c>
      <c r="G34" s="1039">
        <v>8</v>
      </c>
      <c r="H34" s="1039">
        <v>7</v>
      </c>
      <c r="I34" s="447"/>
      <c r="J34" s="248"/>
      <c r="K34" s="6"/>
    </row>
    <row r="35" spans="1:11" s="412" customFormat="1" ht="15.75" thickBot="1" x14ac:dyDescent="0.3">
      <c r="A35" s="245"/>
      <c r="B35" s="1752"/>
      <c r="C35" s="272"/>
      <c r="D35" s="31" t="s">
        <v>2931</v>
      </c>
      <c r="E35" s="1039">
        <v>1</v>
      </c>
      <c r="F35" s="1039">
        <v>1</v>
      </c>
      <c r="G35" s="1039">
        <v>1</v>
      </c>
      <c r="H35" s="1039">
        <v>1</v>
      </c>
      <c r="I35" s="447"/>
      <c r="J35" s="248"/>
      <c r="K35" s="6"/>
    </row>
    <row r="36" spans="1:11" s="412" customFormat="1" ht="15.75" thickBot="1" x14ac:dyDescent="0.3">
      <c r="A36" s="245"/>
      <c r="B36" s="1752"/>
      <c r="C36" s="272"/>
      <c r="D36" s="31" t="s">
        <v>12</v>
      </c>
      <c r="E36" s="1039">
        <v>1</v>
      </c>
      <c r="F36" s="1039">
        <v>1</v>
      </c>
      <c r="G36" s="1039">
        <v>1</v>
      </c>
      <c r="H36" s="1039"/>
      <c r="I36" s="447"/>
      <c r="J36" s="248"/>
      <c r="K36" s="6"/>
    </row>
    <row r="37" spans="1:11" s="412" customFormat="1" ht="15.75" thickBot="1" x14ac:dyDescent="0.3">
      <c r="A37" s="245"/>
      <c r="B37" s="1752"/>
      <c r="C37" s="272"/>
      <c r="D37" s="31" t="s">
        <v>2932</v>
      </c>
      <c r="E37" s="1039">
        <v>1</v>
      </c>
      <c r="F37" s="1039">
        <v>1</v>
      </c>
      <c r="G37" s="1039">
        <v>1</v>
      </c>
      <c r="H37" s="1039"/>
      <c r="I37" s="447"/>
      <c r="J37" s="248"/>
      <c r="K37" s="6"/>
    </row>
    <row r="38" spans="1:11" s="412" customFormat="1" ht="15.75" thickBot="1" x14ac:dyDescent="0.3">
      <c r="A38" s="245"/>
      <c r="B38" s="1752"/>
      <c r="C38" s="272"/>
      <c r="D38" s="31" t="s">
        <v>2933</v>
      </c>
      <c r="E38" s="1039">
        <v>1</v>
      </c>
      <c r="F38" s="1039">
        <v>1</v>
      </c>
      <c r="G38" s="1039">
        <v>1</v>
      </c>
      <c r="H38" s="1039">
        <v>1</v>
      </c>
      <c r="I38" s="447"/>
      <c r="J38" s="248"/>
      <c r="K38" s="6"/>
    </row>
    <row r="39" spans="1:11" s="412" customFormat="1" ht="15.75" thickBot="1" x14ac:dyDescent="0.3">
      <c r="A39" s="245"/>
      <c r="B39" s="1752"/>
      <c r="C39" s="272"/>
      <c r="D39" s="31" t="s">
        <v>2934</v>
      </c>
      <c r="E39" s="1039">
        <v>1</v>
      </c>
      <c r="F39" s="1039">
        <v>1</v>
      </c>
      <c r="G39" s="1039">
        <v>1</v>
      </c>
      <c r="H39" s="1039">
        <v>1</v>
      </c>
      <c r="I39" s="447"/>
      <c r="J39" s="248"/>
      <c r="K39" s="6"/>
    </row>
    <row r="40" spans="1:11" ht="15.75" thickBot="1" x14ac:dyDescent="0.3">
      <c r="A40" s="245"/>
      <c r="B40" s="1752"/>
      <c r="C40" s="272"/>
      <c r="D40" s="31"/>
      <c r="E40" s="153"/>
      <c r="F40" s="153"/>
      <c r="G40" s="153"/>
      <c r="H40" s="153"/>
      <c r="I40" s="447"/>
      <c r="J40" s="248"/>
      <c r="K40" s="6"/>
    </row>
    <row r="41" spans="1:11" ht="15.75" thickBot="1" x14ac:dyDescent="0.3">
      <c r="A41" s="245"/>
      <c r="B41" s="1752"/>
      <c r="C41" s="272"/>
      <c r="D41" s="426" t="s">
        <v>151</v>
      </c>
      <c r="E41" s="449">
        <f>SUM(E29:E40)</f>
        <v>33</v>
      </c>
      <c r="F41" s="449">
        <f>SUM(F29:F40)</f>
        <v>33</v>
      </c>
      <c r="G41" s="449">
        <f>SUM(G29:G40)</f>
        <v>33</v>
      </c>
      <c r="H41" s="449">
        <f>SUM(H29:H40)</f>
        <v>20</v>
      </c>
      <c r="I41" s="447"/>
      <c r="J41" s="248"/>
      <c r="K41" s="6"/>
    </row>
    <row r="42" spans="1:11" x14ac:dyDescent="0.25">
      <c r="A42" s="245"/>
      <c r="B42" s="1752"/>
      <c r="C42" s="276"/>
      <c r="D42" s="1733"/>
      <c r="E42" s="1776"/>
      <c r="F42" s="1776"/>
      <c r="G42" s="1776"/>
      <c r="H42" s="1776"/>
      <c r="I42" s="1735"/>
      <c r="J42" s="248"/>
      <c r="K42" s="6"/>
    </row>
    <row r="43" spans="1:11" x14ac:dyDescent="0.25">
      <c r="A43" s="245"/>
      <c r="B43" s="1752"/>
      <c r="C43" s="276"/>
      <c r="D43" s="1987" t="s">
        <v>913</v>
      </c>
      <c r="E43" s="1988"/>
      <c r="F43" s="1988"/>
      <c r="G43" s="1988"/>
      <c r="H43" s="1988"/>
      <c r="I43" s="1989"/>
      <c r="J43" s="248"/>
      <c r="K43" s="6"/>
    </row>
    <row r="44" spans="1:11" ht="15.75" thickBot="1" x14ac:dyDescent="0.3">
      <c r="A44" s="245"/>
      <c r="B44" s="1752"/>
      <c r="C44" s="276"/>
      <c r="D44" s="1733"/>
      <c r="E44" s="1776"/>
      <c r="F44" s="1776"/>
      <c r="G44" s="1776"/>
      <c r="H44" s="1776"/>
      <c r="I44" s="1735"/>
      <c r="J44" s="248"/>
      <c r="K44" s="6"/>
    </row>
    <row r="45" spans="1:11" ht="15.75" thickBot="1" x14ac:dyDescent="0.3">
      <c r="A45" s="245"/>
      <c r="B45" s="1752"/>
      <c r="C45" s="272"/>
      <c r="D45" s="421" t="s">
        <v>150</v>
      </c>
      <c r="E45" s="280" t="s">
        <v>914</v>
      </c>
      <c r="F45" s="248"/>
      <c r="G45" s="248"/>
      <c r="H45" s="248"/>
      <c r="I45" s="447"/>
      <c r="J45" s="248"/>
      <c r="K45" s="6"/>
    </row>
    <row r="46" spans="1:11" ht="15.75" thickBot="1" x14ac:dyDescent="0.3">
      <c r="A46" s="245"/>
      <c r="B46" s="1752"/>
      <c r="C46" s="272"/>
      <c r="D46" s="426" t="s">
        <v>1777</v>
      </c>
      <c r="E46" s="1038">
        <v>1430</v>
      </c>
      <c r="F46" s="248"/>
      <c r="G46" s="248"/>
      <c r="H46" s="248"/>
      <c r="I46" s="447"/>
      <c r="J46" s="248"/>
      <c r="K46" s="6"/>
    </row>
    <row r="47" spans="1:11" ht="24.75" thickBot="1" x14ac:dyDescent="0.3">
      <c r="A47" s="245"/>
      <c r="B47" s="1752"/>
      <c r="C47" s="272"/>
      <c r="D47" s="426" t="s">
        <v>1778</v>
      </c>
      <c r="E47" s="1038">
        <v>1522</v>
      </c>
      <c r="F47" s="248"/>
      <c r="G47" s="248"/>
      <c r="H47" s="248"/>
      <c r="I47" s="447"/>
      <c r="J47" s="248"/>
      <c r="K47" s="6"/>
    </row>
    <row r="48" spans="1:11" ht="24.75" thickBot="1" x14ac:dyDescent="0.3">
      <c r="A48" s="245"/>
      <c r="B48" s="1752"/>
      <c r="C48" s="272"/>
      <c r="D48" s="426" t="s">
        <v>1779</v>
      </c>
      <c r="E48" s="1038">
        <v>1522</v>
      </c>
      <c r="F48" s="248"/>
      <c r="G48" s="248"/>
      <c r="H48" s="248"/>
      <c r="I48" s="447"/>
      <c r="J48" s="248"/>
      <c r="K48" s="6"/>
    </row>
    <row r="49" spans="1:11" x14ac:dyDescent="0.25">
      <c r="A49" s="245"/>
      <c r="B49" s="1752"/>
      <c r="C49" s="276"/>
      <c r="D49" s="1733"/>
      <c r="E49" s="1776"/>
      <c r="F49" s="1776"/>
      <c r="G49" s="1776"/>
      <c r="H49" s="1776"/>
      <c r="I49" s="1735"/>
      <c r="J49" s="248"/>
      <c r="K49" s="6"/>
    </row>
    <row r="50" spans="1:11" x14ac:dyDescent="0.25">
      <c r="A50" s="245"/>
      <c r="B50" s="1752"/>
      <c r="C50" s="276"/>
      <c r="D50" s="1733" t="s">
        <v>915</v>
      </c>
      <c r="E50" s="1776"/>
      <c r="F50" s="1776"/>
      <c r="G50" s="1776"/>
      <c r="H50" s="1776"/>
      <c r="I50" s="1735"/>
      <c r="J50" s="248"/>
      <c r="K50" s="6"/>
    </row>
    <row r="51" spans="1:11" ht="15.75" thickBot="1" x14ac:dyDescent="0.3">
      <c r="A51" s="245"/>
      <c r="B51" s="1752"/>
      <c r="C51" s="276"/>
      <c r="D51" s="1757"/>
      <c r="E51" s="1758"/>
      <c r="F51" s="1758"/>
      <c r="G51" s="1758"/>
      <c r="H51" s="1758"/>
      <c r="I51" s="1759"/>
      <c r="J51" s="248"/>
      <c r="K51" s="6"/>
    </row>
    <row r="52" spans="1:11" ht="15.75" thickBot="1" x14ac:dyDescent="0.3">
      <c r="A52" s="245"/>
      <c r="B52" s="1752"/>
      <c r="C52" s="272"/>
      <c r="D52" s="421" t="s">
        <v>150</v>
      </c>
      <c r="E52" s="280" t="s">
        <v>20</v>
      </c>
      <c r="F52" s="280" t="s">
        <v>21</v>
      </c>
      <c r="G52" s="280" t="s">
        <v>22</v>
      </c>
      <c r="H52" s="280" t="s">
        <v>23</v>
      </c>
      <c r="I52" s="317" t="s">
        <v>151</v>
      </c>
      <c r="J52" s="248"/>
      <c r="K52" s="6"/>
    </row>
    <row r="53" spans="1:11" ht="24.75" thickBot="1" x14ac:dyDescent="0.3">
      <c r="A53" s="245"/>
      <c r="B53" s="1752"/>
      <c r="C53" s="272"/>
      <c r="D53" s="426" t="s">
        <v>916</v>
      </c>
      <c r="E53" s="1039">
        <v>210</v>
      </c>
      <c r="F53" s="1039">
        <v>220</v>
      </c>
      <c r="G53" s="153"/>
      <c r="H53" s="153"/>
      <c r="I53" s="449">
        <f>SUM(E53:H53)</f>
        <v>430</v>
      </c>
      <c r="J53" s="248"/>
      <c r="K53" s="6"/>
    </row>
    <row r="54" spans="1:11" ht="24.75" thickBot="1" x14ac:dyDescent="0.3">
      <c r="A54" s="245"/>
      <c r="B54" s="1752"/>
      <c r="C54" s="272"/>
      <c r="D54" s="426" t="s">
        <v>917</v>
      </c>
      <c r="E54" s="1039">
        <v>201</v>
      </c>
      <c r="F54" s="1039">
        <v>145</v>
      </c>
      <c r="G54" s="153"/>
      <c r="H54" s="153"/>
      <c r="I54" s="449">
        <f>SUM(E54:H54)</f>
        <v>346</v>
      </c>
      <c r="J54" s="248"/>
      <c r="K54" s="6"/>
    </row>
    <row r="55" spans="1:11" ht="24.75" thickBot="1" x14ac:dyDescent="0.3">
      <c r="A55" s="245"/>
      <c r="B55" s="1752"/>
      <c r="C55" s="272"/>
      <c r="D55" s="426" t="s">
        <v>918</v>
      </c>
      <c r="E55" s="196">
        <f>+E54/E53</f>
        <v>0.95714285714285718</v>
      </c>
      <c r="F55" s="196">
        <f>+F54/F53</f>
        <v>0.65909090909090906</v>
      </c>
      <c r="G55" s="196" t="e">
        <f>+G54/G53</f>
        <v>#DIV/0!</v>
      </c>
      <c r="H55" s="196" t="e">
        <f>+H54/H53</f>
        <v>#DIV/0!</v>
      </c>
      <c r="I55" s="196">
        <f>+I54/I53</f>
        <v>0.8046511627906977</v>
      </c>
      <c r="J55" s="248"/>
      <c r="K55" s="6"/>
    </row>
    <row r="56" spans="1:11" x14ac:dyDescent="0.25">
      <c r="A56" s="245"/>
      <c r="B56" s="1752"/>
      <c r="C56" s="276"/>
      <c r="D56" s="1742"/>
      <c r="E56" s="1743"/>
      <c r="F56" s="1743"/>
      <c r="G56" s="1743"/>
      <c r="H56" s="1743"/>
      <c r="I56" s="1744"/>
      <c r="J56" s="248"/>
      <c r="K56" s="6"/>
    </row>
    <row r="57" spans="1:11" x14ac:dyDescent="0.25">
      <c r="A57" s="245"/>
      <c r="B57" s="1752"/>
      <c r="C57" s="276"/>
      <c r="D57" s="1733" t="s">
        <v>919</v>
      </c>
      <c r="E57" s="1776"/>
      <c r="F57" s="1776"/>
      <c r="G57" s="1776"/>
      <c r="H57" s="1776"/>
      <c r="I57" s="1735"/>
      <c r="J57" s="248"/>
      <c r="K57" s="6"/>
    </row>
    <row r="58" spans="1:11" ht="15.75" thickBot="1" x14ac:dyDescent="0.3">
      <c r="A58" s="245"/>
      <c r="B58" s="1752"/>
      <c r="C58" s="276"/>
      <c r="D58" s="1757"/>
      <c r="E58" s="1758"/>
      <c r="F58" s="1758"/>
      <c r="G58" s="1758"/>
      <c r="H58" s="1758"/>
      <c r="I58" s="1759"/>
      <c r="J58" s="248"/>
      <c r="K58" s="6"/>
    </row>
    <row r="59" spans="1:11" ht="15.75" thickBot="1" x14ac:dyDescent="0.3">
      <c r="A59" s="245"/>
      <c r="B59" s="1752"/>
      <c r="C59" s="272"/>
      <c r="D59" s="421" t="s">
        <v>150</v>
      </c>
      <c r="E59" s="280" t="s">
        <v>20</v>
      </c>
      <c r="F59" s="280" t="s">
        <v>21</v>
      </c>
      <c r="G59" s="280" t="s">
        <v>22</v>
      </c>
      <c r="H59" s="280" t="s">
        <v>23</v>
      </c>
      <c r="I59" s="317" t="s">
        <v>151</v>
      </c>
      <c r="J59" s="248"/>
      <c r="K59" s="6"/>
    </row>
    <row r="60" spans="1:11" ht="24.75" thickBot="1" x14ac:dyDescent="0.3">
      <c r="A60" s="245"/>
      <c r="B60" s="1752"/>
      <c r="C60" s="272"/>
      <c r="D60" s="426" t="s">
        <v>920</v>
      </c>
      <c r="E60" s="1039">
        <v>3</v>
      </c>
      <c r="F60" s="1039">
        <v>3</v>
      </c>
      <c r="G60" s="153"/>
      <c r="H60" s="153"/>
      <c r="I60" s="449">
        <f>SUM(E60:H60)</f>
        <v>6</v>
      </c>
      <c r="J60" s="248"/>
      <c r="K60" s="6"/>
    </row>
    <row r="61" spans="1:11" ht="24.75" thickBot="1" x14ac:dyDescent="0.3">
      <c r="A61" s="245"/>
      <c r="B61" s="1752"/>
      <c r="C61" s="272"/>
      <c r="D61" s="426" t="s">
        <v>921</v>
      </c>
      <c r="E61" s="1039">
        <v>2</v>
      </c>
      <c r="F61" s="1039">
        <v>2</v>
      </c>
      <c r="G61" s="153"/>
      <c r="H61" s="153"/>
      <c r="I61" s="449">
        <f>SUM(E61:H61)</f>
        <v>4</v>
      </c>
      <c r="J61" s="248"/>
      <c r="K61" s="6"/>
    </row>
    <row r="62" spans="1:11" ht="24.75" thickBot="1" x14ac:dyDescent="0.3">
      <c r="A62" s="245"/>
      <c r="B62" s="1752"/>
      <c r="C62" s="272"/>
      <c r="D62" s="426" t="s">
        <v>922</v>
      </c>
      <c r="E62" s="196">
        <f>+E61/E60</f>
        <v>0.66666666666666663</v>
      </c>
      <c r="F62" s="196">
        <f>+F61/F60</f>
        <v>0.66666666666666663</v>
      </c>
      <c r="G62" s="196" t="e">
        <f>+G61/G60</f>
        <v>#DIV/0!</v>
      </c>
      <c r="H62" s="196" t="e">
        <f>+H61/H60</f>
        <v>#DIV/0!</v>
      </c>
      <c r="I62" s="196">
        <f>+I61/I60</f>
        <v>0.66666666666666663</v>
      </c>
      <c r="J62" s="248"/>
      <c r="K62" s="6"/>
    </row>
    <row r="63" spans="1:11" x14ac:dyDescent="0.25">
      <c r="A63" s="245"/>
      <c r="B63" s="1752"/>
      <c r="C63" s="276"/>
      <c r="D63" s="1742"/>
      <c r="E63" s="1743"/>
      <c r="F63" s="1743"/>
      <c r="G63" s="1743"/>
      <c r="H63" s="1743"/>
      <c r="I63" s="1744"/>
      <c r="J63" s="248"/>
      <c r="K63" s="6"/>
    </row>
    <row r="64" spans="1:11" x14ac:dyDescent="0.25">
      <c r="A64" s="245"/>
      <c r="B64" s="1752"/>
      <c r="C64" s="276"/>
      <c r="D64" s="1987" t="s">
        <v>1231</v>
      </c>
      <c r="E64" s="1988"/>
      <c r="F64" s="1988"/>
      <c r="G64" s="1988"/>
      <c r="H64" s="1988"/>
      <c r="I64" s="1989"/>
      <c r="J64" s="248"/>
      <c r="K64" s="6"/>
    </row>
    <row r="65" spans="1:11" ht="15.75" thickBot="1" x14ac:dyDescent="0.3">
      <c r="A65" s="245"/>
      <c r="B65" s="1752"/>
      <c r="C65" s="276"/>
      <c r="D65" s="1733"/>
      <c r="E65" s="1776"/>
      <c r="F65" s="1776"/>
      <c r="G65" s="1776"/>
      <c r="H65" s="1776"/>
      <c r="I65" s="1735"/>
      <c r="J65" s="248"/>
      <c r="K65" s="6"/>
    </row>
    <row r="66" spans="1:11" ht="15.75" thickBot="1" x14ac:dyDescent="0.3">
      <c r="A66" s="245"/>
      <c r="B66" s="1752"/>
      <c r="C66" s="272"/>
      <c r="D66" s="421" t="s">
        <v>150</v>
      </c>
      <c r="E66" s="280" t="s">
        <v>914</v>
      </c>
      <c r="F66" s="248"/>
      <c r="G66" s="248"/>
      <c r="H66" s="248"/>
      <c r="I66" s="447"/>
      <c r="J66" s="248"/>
      <c r="K66" s="6"/>
    </row>
    <row r="67" spans="1:11" ht="24.75" thickBot="1" x14ac:dyDescent="0.3">
      <c r="A67" s="245"/>
      <c r="B67" s="1752"/>
      <c r="C67" s="272"/>
      <c r="D67" s="426" t="s">
        <v>1780</v>
      </c>
      <c r="E67" s="1038">
        <v>40</v>
      </c>
      <c r="F67" s="248"/>
      <c r="G67" s="248"/>
      <c r="H67" s="248"/>
      <c r="I67" s="447"/>
      <c r="J67" s="248"/>
      <c r="K67" s="6"/>
    </row>
    <row r="68" spans="1:11" ht="24.75" thickBot="1" x14ac:dyDescent="0.3">
      <c r="A68" s="245"/>
      <c r="B68" s="1752"/>
      <c r="C68" s="272"/>
      <c r="D68" s="426" t="s">
        <v>1781</v>
      </c>
      <c r="E68" s="1038">
        <v>68</v>
      </c>
      <c r="F68" s="248"/>
      <c r="G68" s="248"/>
      <c r="H68" s="248"/>
      <c r="I68" s="447"/>
      <c r="J68" s="248"/>
      <c r="K68" s="6"/>
    </row>
    <row r="69" spans="1:11" ht="24.75" thickBot="1" x14ac:dyDescent="0.3">
      <c r="A69" s="245"/>
      <c r="B69" s="1752"/>
      <c r="C69" s="272"/>
      <c r="D69" s="426" t="s">
        <v>1782</v>
      </c>
      <c r="E69" s="1038">
        <v>68</v>
      </c>
      <c r="F69" s="248"/>
      <c r="G69" s="248"/>
      <c r="H69" s="248"/>
      <c r="I69" s="447"/>
      <c r="J69" s="248"/>
      <c r="K69" s="6"/>
    </row>
    <row r="70" spans="1:11" x14ac:dyDescent="0.25">
      <c r="A70" s="245"/>
      <c r="B70" s="1752"/>
      <c r="C70" s="276"/>
      <c r="D70" s="1733"/>
      <c r="E70" s="1776"/>
      <c r="F70" s="1776"/>
      <c r="G70" s="1776"/>
      <c r="H70" s="1776"/>
      <c r="I70" s="1735"/>
      <c r="J70" s="248"/>
      <c r="K70" s="6"/>
    </row>
    <row r="71" spans="1:11" x14ac:dyDescent="0.25">
      <c r="A71" s="245"/>
      <c r="B71" s="1752"/>
      <c r="C71" s="276"/>
      <c r="D71" s="1733" t="s">
        <v>923</v>
      </c>
      <c r="E71" s="1776"/>
      <c r="F71" s="1776"/>
      <c r="G71" s="1776"/>
      <c r="H71" s="1776"/>
      <c r="I71" s="1735"/>
      <c r="J71" s="248"/>
      <c r="K71" s="6"/>
    </row>
    <row r="72" spans="1:11" ht="15.75" thickBot="1" x14ac:dyDescent="0.3">
      <c r="A72" s="245"/>
      <c r="B72" s="1752"/>
      <c r="C72" s="276"/>
      <c r="D72" s="1757"/>
      <c r="E72" s="1758"/>
      <c r="F72" s="1758"/>
      <c r="G72" s="1758"/>
      <c r="H72" s="1758"/>
      <c r="I72" s="1759"/>
      <c r="J72" s="248"/>
      <c r="K72" s="6"/>
    </row>
    <row r="73" spans="1:11" ht="15.75" thickBot="1" x14ac:dyDescent="0.3">
      <c r="A73" s="245"/>
      <c r="B73" s="1752"/>
      <c r="C73" s="272"/>
      <c r="D73" s="421" t="s">
        <v>150</v>
      </c>
      <c r="E73" s="280" t="s">
        <v>20</v>
      </c>
      <c r="F73" s="280" t="s">
        <v>21</v>
      </c>
      <c r="G73" s="280" t="s">
        <v>22</v>
      </c>
      <c r="H73" s="280" t="s">
        <v>23</v>
      </c>
      <c r="I73" s="317" t="s">
        <v>151</v>
      </c>
      <c r="J73" s="248"/>
      <c r="K73" s="6"/>
    </row>
    <row r="74" spans="1:11" ht="36.75" thickBot="1" x14ac:dyDescent="0.3">
      <c r="A74" s="245"/>
      <c r="B74" s="1752"/>
      <c r="C74" s="272"/>
      <c r="D74" s="426" t="s">
        <v>924</v>
      </c>
      <c r="E74" s="1038">
        <v>25</v>
      </c>
      <c r="F74" s="1038">
        <v>68</v>
      </c>
      <c r="G74" s="153"/>
      <c r="H74" s="153"/>
      <c r="I74" s="449">
        <f>SUM(E74:H74)</f>
        <v>93</v>
      </c>
      <c r="J74" s="248"/>
      <c r="K74" s="6"/>
    </row>
    <row r="75" spans="1:11" ht="24.75" thickBot="1" x14ac:dyDescent="0.3">
      <c r="A75" s="245"/>
      <c r="B75" s="1752"/>
      <c r="C75" s="272"/>
      <c r="D75" s="426" t="s">
        <v>925</v>
      </c>
      <c r="E75" s="1038">
        <v>17</v>
      </c>
      <c r="F75" s="1038">
        <v>57</v>
      </c>
      <c r="G75" s="153"/>
      <c r="H75" s="153"/>
      <c r="I75" s="449">
        <f>SUM(E75:H75)</f>
        <v>74</v>
      </c>
      <c r="J75" s="248"/>
      <c r="K75" s="6"/>
    </row>
    <row r="76" spans="1:11" ht="24.75" thickBot="1" x14ac:dyDescent="0.3">
      <c r="A76" s="245"/>
      <c r="B76" s="1752"/>
      <c r="C76" s="272"/>
      <c r="D76" s="426" t="s">
        <v>926</v>
      </c>
      <c r="E76" s="196">
        <f>+E75/E74</f>
        <v>0.68</v>
      </c>
      <c r="F76" s="196">
        <f>+F75/F74</f>
        <v>0.83823529411764708</v>
      </c>
      <c r="G76" s="196" t="e">
        <f>+G75/G74</f>
        <v>#DIV/0!</v>
      </c>
      <c r="H76" s="196" t="e">
        <f>+H75/H74</f>
        <v>#DIV/0!</v>
      </c>
      <c r="I76" s="196">
        <f>+I75/I74</f>
        <v>0.79569892473118276</v>
      </c>
      <c r="J76" s="248"/>
      <c r="K76" s="6"/>
    </row>
    <row r="77" spans="1:11" ht="15.75" thickBot="1" x14ac:dyDescent="0.3">
      <c r="A77" s="245"/>
      <c r="B77" s="1752"/>
      <c r="C77" s="404"/>
      <c r="D77" s="420"/>
      <c r="E77" s="450"/>
      <c r="F77" s="450"/>
      <c r="G77" s="450"/>
      <c r="H77" s="450"/>
      <c r="I77" s="451"/>
      <c r="J77" s="248"/>
      <c r="K77" s="6"/>
    </row>
    <row r="78" spans="1:11" x14ac:dyDescent="0.25">
      <c r="A78" s="245"/>
      <c r="B78" s="1752"/>
      <c r="C78" s="276"/>
      <c r="D78" s="1742" t="s">
        <v>927</v>
      </c>
      <c r="E78" s="1743"/>
      <c r="F78" s="1743"/>
      <c r="G78" s="1743"/>
      <c r="H78" s="1743"/>
      <c r="I78" s="1744"/>
      <c r="J78" s="248"/>
      <c r="K78" s="6"/>
    </row>
    <row r="79" spans="1:11" ht="15.75" thickBot="1" x14ac:dyDescent="0.3">
      <c r="A79" s="245"/>
      <c r="B79" s="1752"/>
      <c r="C79" s="276"/>
      <c r="D79" s="1757"/>
      <c r="E79" s="1758"/>
      <c r="F79" s="1758"/>
      <c r="G79" s="1758"/>
      <c r="H79" s="1758"/>
      <c r="I79" s="1759"/>
      <c r="J79" s="248"/>
      <c r="K79" s="6"/>
    </row>
    <row r="80" spans="1:11" ht="15.75" thickBot="1" x14ac:dyDescent="0.3">
      <c r="A80" s="245"/>
      <c r="B80" s="1752"/>
      <c r="C80" s="272"/>
      <c r="D80" s="421" t="s">
        <v>150</v>
      </c>
      <c r="E80" s="280" t="s">
        <v>20</v>
      </c>
      <c r="F80" s="280" t="s">
        <v>21</v>
      </c>
      <c r="G80" s="280" t="s">
        <v>22</v>
      </c>
      <c r="H80" s="280" t="s">
        <v>23</v>
      </c>
      <c r="I80" s="317" t="s">
        <v>151</v>
      </c>
      <c r="J80" s="248"/>
      <c r="K80" s="6"/>
    </row>
    <row r="81" spans="1:11" ht="24.75" thickBot="1" x14ac:dyDescent="0.3">
      <c r="A81" s="245"/>
      <c r="B81" s="1752"/>
      <c r="C81" s="272"/>
      <c r="D81" s="426" t="s">
        <v>928</v>
      </c>
      <c r="E81" s="1039">
        <v>1</v>
      </c>
      <c r="F81" s="1039">
        <v>2</v>
      </c>
      <c r="G81" s="153"/>
      <c r="H81" s="153"/>
      <c r="I81" s="449">
        <f>SUM(E81:H81)</f>
        <v>3</v>
      </c>
      <c r="J81" s="248"/>
      <c r="K81" s="6"/>
    </row>
    <row r="82" spans="1:11" ht="24.75" thickBot="1" x14ac:dyDescent="0.3">
      <c r="A82" s="245"/>
      <c r="B82" s="1752"/>
      <c r="C82" s="272"/>
      <c r="D82" s="426" t="s">
        <v>929</v>
      </c>
      <c r="E82" s="1039">
        <v>0</v>
      </c>
      <c r="F82" s="1039">
        <v>2</v>
      </c>
      <c r="G82" s="153"/>
      <c r="H82" s="153"/>
      <c r="I82" s="449">
        <f>SUM(E82:H82)</f>
        <v>2</v>
      </c>
      <c r="J82" s="248"/>
      <c r="K82" s="6"/>
    </row>
    <row r="83" spans="1:11" ht="24.75" thickBot="1" x14ac:dyDescent="0.3">
      <c r="A83" s="245"/>
      <c r="B83" s="1752"/>
      <c r="C83" s="272"/>
      <c r="D83" s="426" t="s">
        <v>930</v>
      </c>
      <c r="E83" s="196">
        <f>+E82/E81</f>
        <v>0</v>
      </c>
      <c r="F83" s="196">
        <f>+F82/F81</f>
        <v>1</v>
      </c>
      <c r="G83" s="196" t="e">
        <f>+G82/G81</f>
        <v>#DIV/0!</v>
      </c>
      <c r="H83" s="196" t="e">
        <f>+H82/H81</f>
        <v>#DIV/0!</v>
      </c>
      <c r="I83" s="196">
        <f>+I82/I81</f>
        <v>0.66666666666666663</v>
      </c>
      <c r="J83" s="248"/>
      <c r="K83" s="6"/>
    </row>
    <row r="84" spans="1:11" x14ac:dyDescent="0.25">
      <c r="A84" s="245"/>
      <c r="B84" s="1752"/>
      <c r="C84" s="276"/>
      <c r="D84" s="1742"/>
      <c r="E84" s="1743"/>
      <c r="F84" s="1743"/>
      <c r="G84" s="1743"/>
      <c r="H84" s="1743"/>
      <c r="I84" s="1744"/>
      <c r="J84" s="248"/>
      <c r="K84" s="6"/>
    </row>
    <row r="85" spans="1:11" ht="15.75" thickBot="1" x14ac:dyDescent="0.3">
      <c r="A85" s="245"/>
      <c r="B85" s="1752"/>
      <c r="C85" s="276"/>
      <c r="D85" s="1987" t="s">
        <v>931</v>
      </c>
      <c r="E85" s="1988"/>
      <c r="F85" s="1988"/>
      <c r="G85" s="1988"/>
      <c r="H85" s="1988"/>
      <c r="I85" s="1989"/>
      <c r="J85" s="248"/>
      <c r="K85" s="6"/>
    </row>
    <row r="86" spans="1:11" ht="15.75" thickBot="1" x14ac:dyDescent="0.3">
      <c r="A86" s="245"/>
      <c r="B86" s="1752"/>
      <c r="C86" s="272"/>
      <c r="D86" s="421" t="s">
        <v>150</v>
      </c>
      <c r="E86" s="280" t="s">
        <v>914</v>
      </c>
      <c r="F86" s="248"/>
      <c r="G86" s="248"/>
      <c r="H86" s="248"/>
      <c r="I86" s="447"/>
      <c r="J86" s="248"/>
      <c r="K86" s="6"/>
    </row>
    <row r="87" spans="1:11" ht="24.75" thickBot="1" x14ac:dyDescent="0.3">
      <c r="A87" s="245"/>
      <c r="B87" s="1752"/>
      <c r="C87" s="272"/>
      <c r="D87" s="426" t="s">
        <v>1783</v>
      </c>
      <c r="E87" s="153">
        <v>7</v>
      </c>
      <c r="F87" s="248"/>
      <c r="G87" s="248"/>
      <c r="H87" s="248"/>
      <c r="I87" s="447"/>
      <c r="J87" s="248"/>
      <c r="K87" s="6"/>
    </row>
    <row r="88" spans="1:11" ht="24.75" thickBot="1" x14ac:dyDescent="0.3">
      <c r="A88" s="245"/>
      <c r="B88" s="1752"/>
      <c r="C88" s="272"/>
      <c r="D88" s="426" t="s">
        <v>1784</v>
      </c>
      <c r="E88" s="153">
        <v>13</v>
      </c>
      <c r="F88" s="248"/>
      <c r="G88" s="248"/>
      <c r="H88" s="248"/>
      <c r="I88" s="447"/>
      <c r="J88" s="248"/>
      <c r="K88" s="6"/>
    </row>
    <row r="89" spans="1:11" x14ac:dyDescent="0.25">
      <c r="A89" s="245"/>
      <c r="B89" s="1752"/>
      <c r="C89" s="276"/>
      <c r="D89" s="1733"/>
      <c r="E89" s="1776"/>
      <c r="F89" s="1776"/>
      <c r="G89" s="1776"/>
      <c r="H89" s="1776"/>
      <c r="I89" s="1735"/>
      <c r="J89" s="248"/>
      <c r="K89" s="6"/>
    </row>
    <row r="90" spans="1:11" ht="15.75" thickBot="1" x14ac:dyDescent="0.3">
      <c r="A90" s="245"/>
      <c r="B90" s="1752"/>
      <c r="C90" s="276"/>
      <c r="D90" s="1757" t="s">
        <v>932</v>
      </c>
      <c r="E90" s="1758"/>
      <c r="F90" s="1758"/>
      <c r="G90" s="1758"/>
      <c r="H90" s="1758"/>
      <c r="I90" s="1759"/>
      <c r="J90" s="248"/>
      <c r="K90" s="6"/>
    </row>
    <row r="91" spans="1:11" ht="15.75" thickBot="1" x14ac:dyDescent="0.3">
      <c r="A91" s="245"/>
      <c r="B91" s="1752"/>
      <c r="C91" s="272"/>
      <c r="D91" s="421" t="s">
        <v>150</v>
      </c>
      <c r="E91" s="280" t="s">
        <v>20</v>
      </c>
      <c r="F91" s="280" t="s">
        <v>21</v>
      </c>
      <c r="G91" s="280" t="s">
        <v>22</v>
      </c>
      <c r="H91" s="280" t="s">
        <v>23</v>
      </c>
      <c r="I91" s="317" t="s">
        <v>151</v>
      </c>
      <c r="J91" s="248"/>
      <c r="K91" s="6"/>
    </row>
    <row r="92" spans="1:11" ht="36.75" thickBot="1" x14ac:dyDescent="0.3">
      <c r="A92" s="245"/>
      <c r="B92" s="1752"/>
      <c r="C92" s="272"/>
      <c r="D92" s="426" t="s">
        <v>933</v>
      </c>
      <c r="E92" s="153">
        <v>16</v>
      </c>
      <c r="F92" s="153">
        <v>13</v>
      </c>
      <c r="G92" s="153"/>
      <c r="H92" s="153"/>
      <c r="I92" s="449">
        <f>SUM(E92:H92)</f>
        <v>29</v>
      </c>
      <c r="J92" s="248"/>
      <c r="K92" s="6"/>
    </row>
    <row r="93" spans="1:11" ht="24.75" thickBot="1" x14ac:dyDescent="0.3">
      <c r="A93" s="245"/>
      <c r="B93" s="1752"/>
      <c r="C93" s="272"/>
      <c r="D93" s="426" t="s">
        <v>934</v>
      </c>
      <c r="E93" s="153">
        <v>12</v>
      </c>
      <c r="F93" s="153">
        <v>12</v>
      </c>
      <c r="G93" s="153"/>
      <c r="H93" s="153"/>
      <c r="I93" s="449">
        <f>SUM(E93:H93)</f>
        <v>24</v>
      </c>
      <c r="J93" s="248"/>
      <c r="K93" s="6"/>
    </row>
    <row r="94" spans="1:11" ht="36.75" thickBot="1" x14ac:dyDescent="0.3">
      <c r="A94" s="245"/>
      <c r="B94" s="1752"/>
      <c r="C94" s="272"/>
      <c r="D94" s="426" t="s">
        <v>935</v>
      </c>
      <c r="E94" s="196">
        <f>+E93/E92</f>
        <v>0.75</v>
      </c>
      <c r="F94" s="196">
        <f>+F93/F92</f>
        <v>0.92307692307692313</v>
      </c>
      <c r="G94" s="196" t="e">
        <f>+G93/G92</f>
        <v>#DIV/0!</v>
      </c>
      <c r="H94" s="196" t="e">
        <f>+H93/H92</f>
        <v>#DIV/0!</v>
      </c>
      <c r="I94" s="196">
        <f>+I93/I92</f>
        <v>0.82758620689655171</v>
      </c>
      <c r="J94" s="248"/>
      <c r="K94" s="6"/>
    </row>
    <row r="95" spans="1:11" x14ac:dyDescent="0.25">
      <c r="A95" s="245"/>
      <c r="B95" s="1752"/>
      <c r="C95" s="276"/>
      <c r="D95" s="1742"/>
      <c r="E95" s="1743"/>
      <c r="F95" s="1743"/>
      <c r="G95" s="1743"/>
      <c r="H95" s="1743"/>
      <c r="I95" s="1744"/>
      <c r="J95" s="248"/>
      <c r="K95" s="6"/>
    </row>
    <row r="96" spans="1:11" x14ac:dyDescent="0.25">
      <c r="A96" s="245"/>
      <c r="B96" s="1752"/>
      <c r="C96" s="276"/>
      <c r="D96" s="1733" t="s">
        <v>936</v>
      </c>
      <c r="E96" s="1776"/>
      <c r="F96" s="1776"/>
      <c r="G96" s="1776"/>
      <c r="H96" s="1776"/>
      <c r="I96" s="1735"/>
      <c r="J96" s="248"/>
      <c r="K96" s="6"/>
    </row>
    <row r="97" spans="1:11" ht="15.75" thickBot="1" x14ac:dyDescent="0.3">
      <c r="A97" s="245"/>
      <c r="B97" s="1752"/>
      <c r="C97" s="276"/>
      <c r="D97" s="1757"/>
      <c r="E97" s="1758"/>
      <c r="F97" s="1758"/>
      <c r="G97" s="1758"/>
      <c r="H97" s="1758"/>
      <c r="I97" s="1759"/>
      <c r="J97" s="248"/>
      <c r="K97" s="6"/>
    </row>
    <row r="98" spans="1:11" ht="15.75" thickBot="1" x14ac:dyDescent="0.3">
      <c r="A98" s="245"/>
      <c r="B98" s="1752"/>
      <c r="C98" s="272"/>
      <c r="D98" s="421" t="s">
        <v>150</v>
      </c>
      <c r="E98" s="280" t="s">
        <v>20</v>
      </c>
      <c r="F98" s="280" t="s">
        <v>21</v>
      </c>
      <c r="G98" s="280" t="s">
        <v>22</v>
      </c>
      <c r="H98" s="280" t="s">
        <v>23</v>
      </c>
      <c r="I98" s="317" t="s">
        <v>151</v>
      </c>
      <c r="J98" s="248"/>
      <c r="K98" s="6"/>
    </row>
    <row r="99" spans="1:11" ht="24.75" thickBot="1" x14ac:dyDescent="0.3">
      <c r="A99" s="245"/>
      <c r="B99" s="1752"/>
      <c r="C99" s="272"/>
      <c r="D99" s="426" t="s">
        <v>937</v>
      </c>
      <c r="E99" s="153">
        <v>250000</v>
      </c>
      <c r="F99" s="153">
        <v>250000</v>
      </c>
      <c r="G99" s="153"/>
      <c r="H99" s="153"/>
      <c r="I99" s="449">
        <f>SUM(E99:H99)</f>
        <v>500000</v>
      </c>
      <c r="J99" s="248"/>
      <c r="K99" s="6"/>
    </row>
    <row r="100" spans="1:11" ht="24.75" thickBot="1" x14ac:dyDescent="0.3">
      <c r="A100" s="245"/>
      <c r="B100" s="1752"/>
      <c r="C100" s="272"/>
      <c r="D100" s="426" t="s">
        <v>938</v>
      </c>
      <c r="E100" s="153">
        <v>400</v>
      </c>
      <c r="F100" s="153">
        <v>240000</v>
      </c>
      <c r="G100" s="153"/>
      <c r="H100" s="153"/>
      <c r="I100" s="449">
        <f>SUM(E100:H100)</f>
        <v>240400</v>
      </c>
      <c r="J100" s="248"/>
      <c r="K100" s="6"/>
    </row>
    <row r="101" spans="1:11" ht="36.75" thickBot="1" x14ac:dyDescent="0.3">
      <c r="A101" s="245"/>
      <c r="B101" s="1752"/>
      <c r="C101" s="272"/>
      <c r="D101" s="426" t="s">
        <v>939</v>
      </c>
      <c r="E101" s="196">
        <f>+E100/E99</f>
        <v>1.6000000000000001E-3</v>
      </c>
      <c r="F101" s="196">
        <f>+F100/F99</f>
        <v>0.96</v>
      </c>
      <c r="G101" s="196" t="e">
        <f>+G100/G99</f>
        <v>#DIV/0!</v>
      </c>
      <c r="H101" s="196" t="e">
        <f>+H100/H99</f>
        <v>#DIV/0!</v>
      </c>
      <c r="I101" s="196">
        <f>+I100/I99</f>
        <v>0.48080000000000001</v>
      </c>
      <c r="J101" s="248"/>
      <c r="K101" s="6"/>
    </row>
    <row r="102" spans="1:11" x14ac:dyDescent="0.25">
      <c r="A102" s="245"/>
      <c r="B102" s="1752"/>
      <c r="C102" s="276"/>
      <c r="D102" s="1742"/>
      <c r="E102" s="1743"/>
      <c r="F102" s="1743"/>
      <c r="G102" s="1743"/>
      <c r="H102" s="1743"/>
      <c r="I102" s="1744"/>
      <c r="J102" s="248"/>
      <c r="K102" s="6"/>
    </row>
    <row r="103" spans="1:11" x14ac:dyDescent="0.25">
      <c r="A103" s="245"/>
      <c r="B103" s="1752"/>
      <c r="C103" s="276"/>
      <c r="D103" s="1987" t="s">
        <v>940</v>
      </c>
      <c r="E103" s="1988"/>
      <c r="F103" s="1988"/>
      <c r="G103" s="1988"/>
      <c r="H103" s="1988"/>
      <c r="I103" s="1989"/>
      <c r="J103" s="248"/>
      <c r="K103" s="6"/>
    </row>
    <row r="104" spans="1:11" ht="15.75" thickBot="1" x14ac:dyDescent="0.3">
      <c r="A104" s="245"/>
      <c r="B104" s="1752"/>
      <c r="C104" s="276"/>
      <c r="D104" s="1733"/>
      <c r="E104" s="1776"/>
      <c r="F104" s="1776"/>
      <c r="G104" s="1776"/>
      <c r="H104" s="1776"/>
      <c r="I104" s="1735"/>
      <c r="J104" s="248"/>
      <c r="K104" s="6"/>
    </row>
    <row r="105" spans="1:11" ht="15.75" thickBot="1" x14ac:dyDescent="0.3">
      <c r="A105" s="245"/>
      <c r="B105" s="1752"/>
      <c r="C105" s="272"/>
      <c r="D105" s="421" t="s">
        <v>150</v>
      </c>
      <c r="E105" s="280" t="s">
        <v>914</v>
      </c>
      <c r="F105" s="248"/>
      <c r="G105" s="248"/>
      <c r="H105" s="248"/>
      <c r="I105" s="447"/>
      <c r="J105" s="248"/>
      <c r="K105" s="6"/>
    </row>
    <row r="106" spans="1:11" ht="24.75" thickBot="1" x14ac:dyDescent="0.3">
      <c r="A106" s="245"/>
      <c r="B106" s="1752"/>
      <c r="C106" s="272"/>
      <c r="D106" s="426" t="s">
        <v>1785</v>
      </c>
      <c r="E106" s="153">
        <v>25</v>
      </c>
      <c r="F106" s="248"/>
      <c r="G106" s="248"/>
      <c r="H106" s="248"/>
      <c r="I106" s="447"/>
      <c r="J106" s="248"/>
      <c r="K106" s="6"/>
    </row>
    <row r="107" spans="1:11" ht="24.75" thickBot="1" x14ac:dyDescent="0.3">
      <c r="A107" s="245"/>
      <c r="B107" s="1752"/>
      <c r="C107" s="272"/>
      <c r="D107" s="426" t="s">
        <v>1786</v>
      </c>
      <c r="E107" s="153">
        <v>29</v>
      </c>
      <c r="F107" s="248"/>
      <c r="G107" s="248"/>
      <c r="H107" s="248"/>
      <c r="I107" s="447"/>
      <c r="J107" s="248"/>
      <c r="K107" s="6"/>
    </row>
    <row r="108" spans="1:11" x14ac:dyDescent="0.25">
      <c r="A108" s="245"/>
      <c r="B108" s="1752"/>
      <c r="C108" s="276"/>
      <c r="D108" s="1733"/>
      <c r="E108" s="1776"/>
      <c r="F108" s="1776"/>
      <c r="G108" s="1776"/>
      <c r="H108" s="1776"/>
      <c r="I108" s="1735"/>
      <c r="J108" s="248"/>
      <c r="K108" s="6"/>
    </row>
    <row r="109" spans="1:11" x14ac:dyDescent="0.25">
      <c r="A109" s="245"/>
      <c r="B109" s="1752"/>
      <c r="C109" s="276"/>
      <c r="D109" s="1733" t="s">
        <v>941</v>
      </c>
      <c r="E109" s="1776"/>
      <c r="F109" s="1776"/>
      <c r="G109" s="1776"/>
      <c r="H109" s="1776"/>
      <c r="I109" s="1735"/>
      <c r="J109" s="248"/>
      <c r="K109" s="6"/>
    </row>
    <row r="110" spans="1:11" ht="15.75" thickBot="1" x14ac:dyDescent="0.3">
      <c r="A110" s="245"/>
      <c r="B110" s="1752"/>
      <c r="C110" s="276"/>
      <c r="D110" s="1757"/>
      <c r="E110" s="1758"/>
      <c r="F110" s="1758"/>
      <c r="G110" s="1758"/>
      <c r="H110" s="1758"/>
      <c r="I110" s="1759"/>
      <c r="J110" s="248"/>
      <c r="K110" s="6"/>
    </row>
    <row r="111" spans="1:11" ht="15.75" thickBot="1" x14ac:dyDescent="0.3">
      <c r="A111" s="245"/>
      <c r="B111" s="1752"/>
      <c r="C111" s="272"/>
      <c r="D111" s="421" t="s">
        <v>150</v>
      </c>
      <c r="E111" s="280" t="s">
        <v>20</v>
      </c>
      <c r="F111" s="280" t="s">
        <v>21</v>
      </c>
      <c r="G111" s="280" t="s">
        <v>22</v>
      </c>
      <c r="H111" s="280" t="s">
        <v>23</v>
      </c>
      <c r="I111" s="317" t="s">
        <v>151</v>
      </c>
      <c r="J111" s="248"/>
      <c r="K111" s="6"/>
    </row>
    <row r="112" spans="1:11" ht="36.75" thickBot="1" x14ac:dyDescent="0.3">
      <c r="A112" s="245"/>
      <c r="B112" s="1752"/>
      <c r="C112" s="272"/>
      <c r="D112" s="426" t="s">
        <v>942</v>
      </c>
      <c r="E112" s="153">
        <v>15</v>
      </c>
      <c r="F112" s="153">
        <v>29</v>
      </c>
      <c r="G112" s="153"/>
      <c r="H112" s="153"/>
      <c r="I112" s="449">
        <f>SUM(E112:H112)</f>
        <v>44</v>
      </c>
      <c r="J112" s="248"/>
      <c r="K112" s="6"/>
    </row>
    <row r="113" spans="1:11" ht="24.75" thickBot="1" x14ac:dyDescent="0.3">
      <c r="A113" s="245"/>
      <c r="B113" s="1752"/>
      <c r="C113" s="272"/>
      <c r="D113" s="426" t="s">
        <v>943</v>
      </c>
      <c r="E113" s="153">
        <v>12</v>
      </c>
      <c r="F113" s="153">
        <v>13</v>
      </c>
      <c r="G113" s="153"/>
      <c r="H113" s="153"/>
      <c r="I113" s="449">
        <f>SUM(E113:H113)</f>
        <v>25</v>
      </c>
      <c r="J113" s="248"/>
      <c r="K113" s="6"/>
    </row>
    <row r="114" spans="1:11" ht="24.75" thickBot="1" x14ac:dyDescent="0.3">
      <c r="A114" s="245"/>
      <c r="B114" s="1753"/>
      <c r="C114" s="428"/>
      <c r="D114" s="426" t="s">
        <v>944</v>
      </c>
      <c r="E114" s="196">
        <f>+E113/E112</f>
        <v>0.8</v>
      </c>
      <c r="F114" s="196">
        <f>+F113/F112</f>
        <v>0.44827586206896552</v>
      </c>
      <c r="G114" s="196" t="e">
        <f>+G113/G112</f>
        <v>#DIV/0!</v>
      </c>
      <c r="H114" s="196" t="e">
        <f>+H113/H112</f>
        <v>#DIV/0!</v>
      </c>
      <c r="I114" s="196">
        <f>+I113/I112</f>
        <v>0.56818181818181823</v>
      </c>
      <c r="J114" s="248"/>
      <c r="K114" s="6"/>
    </row>
    <row r="115" spans="1:11" ht="15.75" thickBot="1" x14ac:dyDescent="0.3">
      <c r="A115" s="245"/>
      <c r="B115" s="318"/>
      <c r="C115" s="304"/>
      <c r="D115" s="248"/>
      <c r="E115" s="248"/>
      <c r="F115" s="248"/>
      <c r="G115" s="248"/>
      <c r="H115" s="248"/>
      <c r="I115" s="265"/>
      <c r="J115" s="248"/>
      <c r="K115" s="6"/>
    </row>
    <row r="116" spans="1:11" s="412" customFormat="1" ht="24.75" thickBot="1" x14ac:dyDescent="0.3">
      <c r="A116" s="245"/>
      <c r="B116" s="318"/>
      <c r="C116" s="304"/>
      <c r="D116" s="299" t="s">
        <v>1233</v>
      </c>
      <c r="E116" s="299" t="s">
        <v>1234</v>
      </c>
      <c r="F116" s="299" t="s">
        <v>697</v>
      </c>
      <c r="G116" s="299" t="s">
        <v>1235</v>
      </c>
      <c r="H116" s="248"/>
      <c r="I116" s="265"/>
      <c r="J116" s="248"/>
      <c r="K116" s="6"/>
    </row>
    <row r="117" spans="1:11" s="412" customFormat="1" ht="24.75" thickBot="1" x14ac:dyDescent="0.3">
      <c r="A117" s="245"/>
      <c r="B117" s="318"/>
      <c r="C117" s="304"/>
      <c r="D117" s="299" t="str">
        <f>+D24</f>
        <v>Porcentaje de licencias ambientales con seguimiento (PLACS)</v>
      </c>
      <c r="E117" s="196">
        <f>+F24</f>
        <v>0.60606060606060608</v>
      </c>
      <c r="F117" s="445">
        <v>0.2</v>
      </c>
      <c r="G117" s="196">
        <f>+E117*F117</f>
        <v>0.12121212121212122</v>
      </c>
      <c r="H117" s="248"/>
      <c r="I117" s="265"/>
      <c r="J117" s="248"/>
      <c r="K117" s="6"/>
    </row>
    <row r="118" spans="1:11" s="412" customFormat="1" ht="24.75" thickBot="1" x14ac:dyDescent="0.3">
      <c r="A118" s="245"/>
      <c r="B118" s="318"/>
      <c r="C118" s="304"/>
      <c r="D118" s="299" t="str">
        <f>+D55</f>
        <v>Porcentaje de concesiones de agua con seguimiento (PCACS)</v>
      </c>
      <c r="E118" s="196">
        <f>+F55</f>
        <v>0.65909090909090906</v>
      </c>
      <c r="F118" s="445">
        <v>0.2</v>
      </c>
      <c r="G118" s="196">
        <f>+E118*F118</f>
        <v>0.13181818181818181</v>
      </c>
      <c r="H118" s="248"/>
      <c r="I118" s="265"/>
      <c r="J118" s="248"/>
      <c r="K118" s="6"/>
    </row>
    <row r="119" spans="1:11" s="412" customFormat="1" ht="24.75" thickBot="1" x14ac:dyDescent="0.3">
      <c r="A119" s="245"/>
      <c r="B119" s="318"/>
      <c r="C119" s="304"/>
      <c r="D119" s="299" t="str">
        <f>+D76</f>
        <v>Porcentaje de permisos de vertimiento de agua con seguimiento (PVACS)</v>
      </c>
      <c r="E119" s="196">
        <f>+F76</f>
        <v>0.83823529411764708</v>
      </c>
      <c r="F119" s="445">
        <v>0.2</v>
      </c>
      <c r="G119" s="196">
        <f>+E119*F119</f>
        <v>0.16764705882352943</v>
      </c>
      <c r="H119" s="248"/>
      <c r="I119" s="265"/>
      <c r="J119" s="248"/>
      <c r="K119" s="6"/>
    </row>
    <row r="120" spans="1:11" s="412" customFormat="1" ht="36.75" thickBot="1" x14ac:dyDescent="0.3">
      <c r="A120" s="245"/>
      <c r="B120" s="318"/>
      <c r="C120" s="304"/>
      <c r="D120" s="299" t="str">
        <f>+D94</f>
        <v>Porcentaje de permisos de aprovechamiento forestal con seguimiento (PPAFCS)</v>
      </c>
      <c r="E120" s="196">
        <f>+F94</f>
        <v>0.92307692307692313</v>
      </c>
      <c r="F120" s="445">
        <v>0.2</v>
      </c>
      <c r="G120" s="196">
        <f>+E120*F120</f>
        <v>0.18461538461538463</v>
      </c>
      <c r="H120" s="248"/>
      <c r="I120" s="265"/>
      <c r="J120" s="248"/>
      <c r="K120" s="6"/>
    </row>
    <row r="121" spans="1:11" s="412" customFormat="1" ht="24.75" thickBot="1" x14ac:dyDescent="0.3">
      <c r="A121" s="245"/>
      <c r="B121" s="318"/>
      <c r="C121" s="304"/>
      <c r="D121" s="299" t="str">
        <f>+D114</f>
        <v>Porcentaje de permisos de emisiones atmosféricas con seguimiento (PEACS)</v>
      </c>
      <c r="E121" s="196">
        <f>+F114</f>
        <v>0.44827586206896552</v>
      </c>
      <c r="F121" s="445">
        <v>0.2</v>
      </c>
      <c r="G121" s="196">
        <f>+E121*F121</f>
        <v>8.9655172413793116E-2</v>
      </c>
      <c r="H121" s="248"/>
      <c r="I121" s="265"/>
      <c r="J121" s="248"/>
      <c r="K121" s="6"/>
    </row>
    <row r="122" spans="1:11" s="412" customFormat="1" ht="24.75" thickBot="1" x14ac:dyDescent="0.3">
      <c r="A122" s="245"/>
      <c r="B122" s="318"/>
      <c r="C122" s="304"/>
      <c r="D122" s="299" t="s">
        <v>1232</v>
      </c>
      <c r="E122" s="299"/>
      <c r="F122" s="446">
        <f>+Formulas!D26</f>
        <v>1</v>
      </c>
      <c r="G122" s="196">
        <f>SUM(G117:G121)</f>
        <v>0.69494791888301011</v>
      </c>
      <c r="H122" s="248"/>
      <c r="I122" s="265"/>
      <c r="J122" s="248"/>
      <c r="K122" s="6"/>
    </row>
    <row r="123" spans="1:11" s="412" customFormat="1" ht="15.75" thickBot="1" x14ac:dyDescent="0.3">
      <c r="B123" s="38"/>
      <c r="C123" s="88"/>
      <c r="D123" s="6"/>
      <c r="E123" s="6"/>
      <c r="F123" s="6"/>
      <c r="G123" s="6"/>
      <c r="H123" s="6"/>
      <c r="I123" s="87"/>
      <c r="J123" s="6"/>
      <c r="K123" s="6"/>
    </row>
    <row r="124" spans="1:11" ht="108.75" thickBot="1" x14ac:dyDescent="0.3">
      <c r="B124" s="52" t="s">
        <v>34</v>
      </c>
      <c r="C124" s="98"/>
      <c r="D124" s="43" t="s">
        <v>945</v>
      </c>
      <c r="E124" s="6"/>
      <c r="F124" s="6"/>
      <c r="G124" s="6"/>
      <c r="H124" s="6"/>
      <c r="I124" s="87"/>
      <c r="J124" s="6"/>
      <c r="K124" s="6"/>
    </row>
    <row r="125" spans="1:11" ht="72.75" thickBot="1" x14ac:dyDescent="0.3">
      <c r="B125" s="47" t="s">
        <v>36</v>
      </c>
      <c r="C125" s="3"/>
      <c r="D125" s="41" t="s">
        <v>159</v>
      </c>
      <c r="E125" s="6"/>
      <c r="F125" s="6"/>
      <c r="G125" s="6"/>
      <c r="H125" s="6"/>
      <c r="I125" s="87"/>
      <c r="J125" s="6"/>
      <c r="K125" s="6"/>
    </row>
    <row r="126" spans="1:11" ht="15.75" thickBot="1" x14ac:dyDescent="0.3">
      <c r="B126" s="2"/>
      <c r="C126" s="76"/>
      <c r="D126" s="6"/>
      <c r="E126" s="6"/>
      <c r="F126" s="6"/>
      <c r="G126" s="6"/>
      <c r="H126" s="6"/>
      <c r="I126" s="87"/>
      <c r="J126" s="6"/>
      <c r="K126" s="6"/>
    </row>
    <row r="127" spans="1:11" ht="24" customHeight="1" thickBot="1" x14ac:dyDescent="0.3">
      <c r="B127" s="1807" t="s">
        <v>38</v>
      </c>
      <c r="C127" s="1808"/>
      <c r="D127" s="1808"/>
      <c r="E127" s="1809"/>
      <c r="F127" s="6"/>
      <c r="G127" s="6"/>
      <c r="H127" s="6"/>
      <c r="I127" s="87"/>
      <c r="J127" s="6"/>
      <c r="K127" s="6"/>
    </row>
    <row r="128" spans="1:11" ht="15.75" thickBot="1" x14ac:dyDescent="0.3">
      <c r="B128" s="1804">
        <v>1</v>
      </c>
      <c r="C128" s="94"/>
      <c r="D128" s="48" t="s">
        <v>39</v>
      </c>
      <c r="E128" s="167"/>
      <c r="F128" s="6"/>
      <c r="G128" s="6"/>
      <c r="H128" s="6"/>
      <c r="I128" s="87"/>
      <c r="J128" s="6"/>
      <c r="K128" s="6"/>
    </row>
    <row r="129" spans="2:11" ht="15.75" thickBot="1" x14ac:dyDescent="0.3">
      <c r="B129" s="1805"/>
      <c r="C129" s="94"/>
      <c r="D129" s="41" t="s">
        <v>40</v>
      </c>
      <c r="E129" s="167"/>
      <c r="F129" s="6"/>
      <c r="G129" s="6"/>
      <c r="H129" s="6"/>
      <c r="I129" s="87"/>
      <c r="J129" s="6"/>
      <c r="K129" s="6"/>
    </row>
    <row r="130" spans="2:11" ht="15.75" thickBot="1" x14ac:dyDescent="0.3">
      <c r="B130" s="1805"/>
      <c r="C130" s="94"/>
      <c r="D130" s="41" t="s">
        <v>41</v>
      </c>
      <c r="E130" s="167"/>
      <c r="F130" s="6"/>
      <c r="G130" s="6"/>
      <c r="H130" s="6"/>
      <c r="I130" s="87"/>
      <c r="J130" s="6"/>
      <c r="K130" s="6"/>
    </row>
    <row r="131" spans="2:11" ht="15.75" thickBot="1" x14ac:dyDescent="0.3">
      <c r="B131" s="1805"/>
      <c r="C131" s="94"/>
      <c r="D131" s="41" t="s">
        <v>42</v>
      </c>
      <c r="E131" s="167"/>
      <c r="F131" s="6"/>
      <c r="G131" s="6"/>
      <c r="H131" s="6"/>
      <c r="I131" s="87"/>
      <c r="J131" s="6"/>
      <c r="K131" s="6"/>
    </row>
    <row r="132" spans="2:11" ht="15.75" thickBot="1" x14ac:dyDescent="0.3">
      <c r="B132" s="1805"/>
      <c r="C132" s="94"/>
      <c r="D132" s="41" t="s">
        <v>43</v>
      </c>
      <c r="E132" s="167"/>
      <c r="F132" s="6"/>
      <c r="G132" s="6"/>
      <c r="H132" s="6"/>
      <c r="I132" s="87"/>
      <c r="J132" s="6"/>
      <c r="K132" s="6"/>
    </row>
    <row r="133" spans="2:11" ht="15.75" thickBot="1" x14ac:dyDescent="0.3">
      <c r="B133" s="1805"/>
      <c r="C133" s="94"/>
      <c r="D133" s="41" t="s">
        <v>44</v>
      </c>
      <c r="E133" s="167"/>
      <c r="F133" s="6"/>
      <c r="G133" s="6"/>
      <c r="H133" s="6"/>
      <c r="I133" s="87"/>
      <c r="J133" s="6"/>
      <c r="K133" s="6"/>
    </row>
    <row r="134" spans="2:11" ht="15.75" thickBot="1" x14ac:dyDescent="0.3">
      <c r="B134" s="1806"/>
      <c r="C134" s="3"/>
      <c r="D134" s="41" t="s">
        <v>45</v>
      </c>
      <c r="E134" s="167"/>
      <c r="F134" s="6"/>
      <c r="G134" s="6"/>
      <c r="H134" s="6"/>
      <c r="I134" s="87"/>
      <c r="J134" s="6"/>
      <c r="K134" s="6"/>
    </row>
    <row r="135" spans="2:11" ht="15.75" thickBot="1" x14ac:dyDescent="0.3">
      <c r="B135" s="2"/>
      <c r="C135" s="76"/>
      <c r="D135" s="6"/>
      <c r="E135" s="6"/>
      <c r="F135" s="6"/>
      <c r="G135" s="6"/>
      <c r="H135" s="6"/>
      <c r="I135" s="87"/>
      <c r="J135" s="6"/>
      <c r="K135" s="6"/>
    </row>
    <row r="136" spans="2:11" ht="15.75" thickBot="1" x14ac:dyDescent="0.3">
      <c r="B136" s="1807" t="s">
        <v>46</v>
      </c>
      <c r="C136" s="1808"/>
      <c r="D136" s="1808"/>
      <c r="E136" s="1809"/>
      <c r="F136" s="6"/>
      <c r="G136" s="6"/>
      <c r="H136" s="6"/>
      <c r="I136" s="87"/>
      <c r="J136" s="6"/>
      <c r="K136" s="6"/>
    </row>
    <row r="137" spans="2:11" ht="15.75" thickBot="1" x14ac:dyDescent="0.3">
      <c r="B137" s="1804">
        <v>1</v>
      </c>
      <c r="C137" s="94"/>
      <c r="D137" s="48" t="s">
        <v>39</v>
      </c>
      <c r="E137" s="432" t="s">
        <v>47</v>
      </c>
      <c r="F137" s="6"/>
      <c r="G137" s="6"/>
      <c r="H137" s="6"/>
      <c r="I137" s="87"/>
      <c r="J137" s="6"/>
      <c r="K137" s="6"/>
    </row>
    <row r="138" spans="2:11" ht="15.75" thickBot="1" x14ac:dyDescent="0.3">
      <c r="B138" s="1805"/>
      <c r="C138" s="94"/>
      <c r="D138" s="41" t="s">
        <v>40</v>
      </c>
      <c r="E138" s="432" t="s">
        <v>160</v>
      </c>
      <c r="F138" s="6"/>
      <c r="G138" s="6"/>
      <c r="H138" s="6"/>
      <c r="I138" s="87"/>
      <c r="J138" s="6"/>
      <c r="K138" s="6"/>
    </row>
    <row r="139" spans="2:11" ht="15.75" thickBot="1" x14ac:dyDescent="0.3">
      <c r="B139" s="1805"/>
      <c r="C139" s="94"/>
      <c r="D139" s="41" t="s">
        <v>41</v>
      </c>
      <c r="E139" s="172"/>
      <c r="F139" s="6"/>
      <c r="G139" s="6"/>
      <c r="H139" s="6"/>
      <c r="I139" s="87"/>
      <c r="J139" s="6"/>
      <c r="K139" s="6"/>
    </row>
    <row r="140" spans="2:11" ht="15.75" thickBot="1" x14ac:dyDescent="0.3">
      <c r="B140" s="1805"/>
      <c r="C140" s="94"/>
      <c r="D140" s="41" t="s">
        <v>42</v>
      </c>
      <c r="E140" s="172"/>
      <c r="F140" s="6"/>
      <c r="G140" s="6"/>
      <c r="H140" s="6"/>
      <c r="I140" s="87"/>
      <c r="J140" s="6"/>
      <c r="K140" s="6"/>
    </row>
    <row r="141" spans="2:11" ht="15.75" thickBot="1" x14ac:dyDescent="0.3">
      <c r="B141" s="1805"/>
      <c r="C141" s="94"/>
      <c r="D141" s="41" t="s">
        <v>43</v>
      </c>
      <c r="E141" s="172"/>
      <c r="F141" s="6"/>
      <c r="G141" s="6"/>
      <c r="H141" s="6"/>
      <c r="I141" s="87"/>
      <c r="J141" s="6"/>
      <c r="K141" s="6"/>
    </row>
    <row r="142" spans="2:11" ht="15.75" thickBot="1" x14ac:dyDescent="0.3">
      <c r="B142" s="1805"/>
      <c r="C142" s="94"/>
      <c r="D142" s="41" t="s">
        <v>44</v>
      </c>
      <c r="E142" s="172"/>
      <c r="F142" s="6"/>
      <c r="G142" s="6"/>
      <c r="H142" s="6"/>
      <c r="I142" s="87"/>
      <c r="J142" s="6"/>
      <c r="K142" s="6"/>
    </row>
    <row r="143" spans="2:11" ht="15.75" thickBot="1" x14ac:dyDescent="0.3">
      <c r="B143" s="1806"/>
      <c r="C143" s="3"/>
      <c r="D143" s="41" t="s">
        <v>45</v>
      </c>
      <c r="E143" s="172"/>
      <c r="F143" s="6"/>
      <c r="G143" s="6"/>
      <c r="H143" s="6"/>
      <c r="I143" s="87"/>
      <c r="J143" s="6"/>
      <c r="K143" s="6"/>
    </row>
    <row r="144" spans="2:11" ht="15.75" thickBot="1" x14ac:dyDescent="0.3">
      <c r="B144" s="2"/>
      <c r="C144" s="76"/>
      <c r="D144" s="6"/>
      <c r="E144" s="6"/>
      <c r="F144" s="6"/>
      <c r="G144" s="6"/>
      <c r="H144" s="6"/>
      <c r="I144" s="87"/>
      <c r="J144" s="6"/>
      <c r="K144" s="6"/>
    </row>
    <row r="145" spans="2:11" ht="15" customHeight="1" thickBot="1" x14ac:dyDescent="0.3">
      <c r="B145" s="171" t="s">
        <v>49</v>
      </c>
      <c r="C145" s="126"/>
      <c r="D145" s="126"/>
      <c r="E145" s="127"/>
      <c r="G145" s="6"/>
      <c r="H145" s="6"/>
      <c r="I145" s="87"/>
      <c r="J145" s="6"/>
      <c r="K145" s="6"/>
    </row>
    <row r="146" spans="2:11" ht="24.75" thickBot="1" x14ac:dyDescent="0.3">
      <c r="B146" s="47" t="s">
        <v>50</v>
      </c>
      <c r="C146" s="41" t="s">
        <v>51</v>
      </c>
      <c r="D146" s="41" t="s">
        <v>52</v>
      </c>
      <c r="E146" s="41" t="s">
        <v>53</v>
      </c>
      <c r="F146" s="6"/>
      <c r="G146" s="6"/>
      <c r="H146" s="6"/>
      <c r="I146" s="87"/>
      <c r="J146" s="6"/>
    </row>
    <row r="147" spans="2:11" ht="60.75" thickBot="1" x14ac:dyDescent="0.3">
      <c r="B147" s="49">
        <v>42401</v>
      </c>
      <c r="C147" s="41">
        <v>0.01</v>
      </c>
      <c r="D147" s="50" t="s">
        <v>946</v>
      </c>
      <c r="E147" s="41"/>
      <c r="F147" s="6"/>
      <c r="G147" s="6"/>
      <c r="H147" s="6"/>
      <c r="I147" s="87"/>
      <c r="J147" s="6"/>
    </row>
    <row r="148" spans="2:11" ht="15.75" thickBot="1" x14ac:dyDescent="0.3">
      <c r="B148" s="4"/>
      <c r="C148" s="95"/>
      <c r="D148" s="6"/>
      <c r="E148" s="6"/>
      <c r="F148" s="6"/>
      <c r="G148" s="6"/>
      <c r="H148" s="6"/>
      <c r="I148" s="87"/>
      <c r="J148" s="6"/>
      <c r="K148" s="6"/>
    </row>
    <row r="149" spans="2:11" ht="15.75" thickBot="1" x14ac:dyDescent="0.3">
      <c r="B149" s="443" t="s">
        <v>55</v>
      </c>
      <c r="C149" s="96"/>
      <c r="D149" s="6"/>
      <c r="E149" s="6"/>
      <c r="F149" s="6"/>
      <c r="G149" s="6"/>
      <c r="H149" s="6"/>
      <c r="I149" s="87"/>
      <c r="J149" s="6"/>
      <c r="K149" s="6"/>
    </row>
    <row r="150" spans="2:11" ht="63" customHeight="1" thickBot="1" x14ac:dyDescent="0.3">
      <c r="B150" s="1990"/>
      <c r="C150" s="1991"/>
      <c r="D150" s="1991"/>
      <c r="E150" s="1992"/>
      <c r="F150" s="6"/>
      <c r="G150" s="6"/>
      <c r="H150" s="6"/>
      <c r="I150" s="87"/>
      <c r="J150" s="6"/>
      <c r="K150" s="6"/>
    </row>
    <row r="151" spans="2:11" ht="15.75" thickBot="1" x14ac:dyDescent="0.3">
      <c r="B151" s="6"/>
      <c r="D151" s="6"/>
      <c r="E151" s="6"/>
      <c r="F151" s="6"/>
      <c r="G151" s="6"/>
      <c r="H151" s="6"/>
      <c r="I151" s="87"/>
      <c r="J151" s="6"/>
      <c r="K151" s="6"/>
    </row>
    <row r="152" spans="2:11" ht="24.75" thickBot="1" x14ac:dyDescent="0.3">
      <c r="B152" s="51" t="s">
        <v>56</v>
      </c>
      <c r="C152" s="97"/>
      <c r="D152" s="6"/>
      <c r="E152" s="6"/>
      <c r="F152" s="6"/>
      <c r="G152" s="6"/>
      <c r="H152" s="6"/>
      <c r="I152" s="87"/>
      <c r="J152" s="6"/>
      <c r="K152" s="6"/>
    </row>
    <row r="153" spans="2:11" ht="15.75" thickBot="1" x14ac:dyDescent="0.3">
      <c r="B153" s="2" t="s">
        <v>884</v>
      </c>
      <c r="C153" s="76"/>
      <c r="D153" s="6"/>
      <c r="E153" s="6"/>
      <c r="F153" s="6"/>
      <c r="G153" s="6"/>
      <c r="H153" s="6"/>
      <c r="I153" s="87"/>
      <c r="J153" s="6"/>
      <c r="K153" s="6"/>
    </row>
    <row r="154" spans="2:11" ht="60.75" thickBot="1" x14ac:dyDescent="0.3">
      <c r="B154" s="52" t="s">
        <v>57</v>
      </c>
      <c r="C154" s="98"/>
      <c r="D154" s="43" t="s">
        <v>885</v>
      </c>
      <c r="E154" s="6"/>
      <c r="F154" s="6"/>
      <c r="G154" s="6"/>
      <c r="H154" s="6"/>
      <c r="I154" s="87"/>
      <c r="J154" s="6"/>
      <c r="K154" s="6"/>
    </row>
    <row r="155" spans="2:11" x14ac:dyDescent="0.25">
      <c r="B155" s="1804" t="s">
        <v>59</v>
      </c>
      <c r="C155" s="94"/>
      <c r="D155" s="53" t="s">
        <v>60</v>
      </c>
      <c r="E155" s="6"/>
      <c r="F155" s="6"/>
      <c r="G155" s="6"/>
      <c r="H155" s="6"/>
      <c r="I155" s="87"/>
      <c r="J155" s="6"/>
      <c r="K155" s="6"/>
    </row>
    <row r="156" spans="2:11" ht="108" x14ac:dyDescent="0.25">
      <c r="B156" s="1805"/>
      <c r="C156" s="94"/>
      <c r="D156" s="46" t="s">
        <v>886</v>
      </c>
      <c r="E156" s="6"/>
      <c r="F156" s="6"/>
      <c r="G156" s="6"/>
      <c r="H156" s="6"/>
      <c r="I156" s="87"/>
      <c r="J156" s="6"/>
      <c r="K156" s="6"/>
    </row>
    <row r="157" spans="2:11" x14ac:dyDescent="0.25">
      <c r="B157" s="1805"/>
      <c r="C157" s="94"/>
      <c r="D157" s="53" t="s">
        <v>134</v>
      </c>
      <c r="E157" s="6"/>
      <c r="F157" s="6"/>
      <c r="G157" s="6"/>
      <c r="H157" s="6"/>
      <c r="I157" s="87"/>
      <c r="J157" s="6"/>
      <c r="K157" s="6"/>
    </row>
    <row r="158" spans="2:11" x14ac:dyDescent="0.25">
      <c r="B158" s="1805"/>
      <c r="C158" s="94"/>
      <c r="D158" s="46" t="s">
        <v>64</v>
      </c>
      <c r="E158" s="6"/>
      <c r="F158" s="6"/>
      <c r="G158" s="6"/>
      <c r="H158" s="6"/>
      <c r="I158" s="87"/>
      <c r="J158" s="6"/>
      <c r="K158" s="6"/>
    </row>
    <row r="159" spans="2:11" x14ac:dyDescent="0.25">
      <c r="B159" s="1805"/>
      <c r="C159" s="94"/>
      <c r="D159" s="46" t="s">
        <v>65</v>
      </c>
      <c r="E159" s="6"/>
      <c r="F159" s="6"/>
      <c r="G159" s="6"/>
      <c r="H159" s="6"/>
      <c r="I159" s="87"/>
      <c r="J159" s="6"/>
      <c r="K159" s="6"/>
    </row>
    <row r="160" spans="2:11" x14ac:dyDescent="0.25">
      <c r="B160" s="1805"/>
      <c r="C160" s="94"/>
      <c r="D160" s="46" t="s">
        <v>839</v>
      </c>
      <c r="E160" s="6"/>
      <c r="F160" s="6"/>
      <c r="G160" s="6"/>
      <c r="H160" s="6"/>
      <c r="I160" s="87"/>
      <c r="J160" s="6"/>
      <c r="K160" s="6"/>
    </row>
    <row r="161" spans="2:11" ht="36.75" thickBot="1" x14ac:dyDescent="0.3">
      <c r="B161" s="1806"/>
      <c r="C161" s="3"/>
      <c r="D161" s="41" t="s">
        <v>887</v>
      </c>
      <c r="E161" s="6"/>
      <c r="F161" s="6"/>
      <c r="G161" s="6"/>
      <c r="H161" s="6"/>
      <c r="I161" s="87"/>
      <c r="J161" s="6"/>
      <c r="K161" s="6"/>
    </row>
    <row r="162" spans="2:11" ht="24.75" thickBot="1" x14ac:dyDescent="0.3">
      <c r="B162" s="47" t="s">
        <v>72</v>
      </c>
      <c r="C162" s="3"/>
      <c r="D162" s="41"/>
      <c r="E162" s="6"/>
      <c r="F162" s="6"/>
      <c r="G162" s="6"/>
      <c r="H162" s="6"/>
      <c r="I162" s="87"/>
      <c r="J162" s="6"/>
      <c r="K162" s="6"/>
    </row>
    <row r="163" spans="2:11" ht="312" x14ac:dyDescent="0.25">
      <c r="B163" s="1804" t="s">
        <v>73</v>
      </c>
      <c r="C163" s="94"/>
      <c r="D163" s="46" t="s">
        <v>888</v>
      </c>
      <c r="E163" s="6"/>
      <c r="F163" s="6"/>
      <c r="G163" s="6"/>
      <c r="H163" s="6"/>
      <c r="I163" s="87"/>
      <c r="J163" s="6"/>
      <c r="K163" s="6"/>
    </row>
    <row r="164" spans="2:11" ht="324" x14ac:dyDescent="0.25">
      <c r="B164" s="1805"/>
      <c r="C164" s="94"/>
      <c r="D164" s="46" t="s">
        <v>889</v>
      </c>
      <c r="E164" s="6"/>
      <c r="F164" s="6"/>
      <c r="G164" s="6"/>
      <c r="H164" s="6"/>
      <c r="I164" s="87"/>
      <c r="J164" s="6"/>
      <c r="K164" s="6"/>
    </row>
    <row r="165" spans="2:11" ht="108" x14ac:dyDescent="0.25">
      <c r="B165" s="1805"/>
      <c r="C165" s="94"/>
      <c r="D165" s="46" t="s">
        <v>890</v>
      </c>
      <c r="E165" s="6"/>
      <c r="F165" s="6"/>
      <c r="G165" s="6"/>
      <c r="H165" s="6"/>
      <c r="I165" s="87"/>
      <c r="J165" s="6"/>
      <c r="K165" s="6"/>
    </row>
    <row r="166" spans="2:11" ht="72.75" thickBot="1" x14ac:dyDescent="0.3">
      <c r="B166" s="1806"/>
      <c r="C166" s="3"/>
      <c r="D166" s="41" t="s">
        <v>891</v>
      </c>
      <c r="E166" s="6"/>
      <c r="F166" s="6"/>
      <c r="G166" s="6"/>
      <c r="H166" s="6"/>
      <c r="I166" s="87"/>
      <c r="J166" s="6"/>
      <c r="K166" s="6"/>
    </row>
    <row r="167" spans="2:11" ht="24" x14ac:dyDescent="0.25">
      <c r="B167" s="1804" t="s">
        <v>90</v>
      </c>
      <c r="C167" s="94"/>
      <c r="D167" s="53" t="s">
        <v>883</v>
      </c>
      <c r="E167" s="6"/>
      <c r="F167" s="6"/>
      <c r="G167" s="6"/>
      <c r="H167" s="6"/>
      <c r="I167" s="87"/>
      <c r="J167" s="6"/>
      <c r="K167" s="6"/>
    </row>
    <row r="168" spans="2:11" x14ac:dyDescent="0.25">
      <c r="B168" s="1805"/>
      <c r="C168" s="94"/>
      <c r="D168" s="17"/>
      <c r="E168" s="6"/>
      <c r="F168" s="6"/>
      <c r="G168" s="6"/>
      <c r="H168" s="6"/>
      <c r="I168" s="87"/>
      <c r="J168" s="6"/>
      <c r="K168" s="6"/>
    </row>
    <row r="169" spans="2:11" x14ac:dyDescent="0.25">
      <c r="B169" s="1805"/>
      <c r="C169" s="94"/>
      <c r="D169" s="46" t="s">
        <v>91</v>
      </c>
      <c r="E169" s="6"/>
      <c r="F169" s="6"/>
      <c r="G169" s="6"/>
      <c r="H169" s="6"/>
      <c r="I169" s="87"/>
      <c r="J169" s="6"/>
      <c r="K169" s="6"/>
    </row>
    <row r="170" spans="2:11" ht="37.5" x14ac:dyDescent="0.25">
      <c r="B170" s="1805"/>
      <c r="C170" s="94"/>
      <c r="D170" s="46" t="s">
        <v>892</v>
      </c>
      <c r="E170" s="6"/>
      <c r="F170" s="6"/>
      <c r="G170" s="6"/>
      <c r="H170" s="6"/>
      <c r="I170" s="87"/>
      <c r="J170" s="6"/>
      <c r="K170" s="6"/>
    </row>
    <row r="171" spans="2:11" ht="37.5" x14ac:dyDescent="0.25">
      <c r="B171" s="1805"/>
      <c r="C171" s="94"/>
      <c r="D171" s="46" t="s">
        <v>893</v>
      </c>
      <c r="E171" s="6"/>
      <c r="F171" s="6"/>
      <c r="G171" s="6"/>
      <c r="H171" s="6"/>
      <c r="I171" s="87"/>
      <c r="J171" s="6"/>
      <c r="K171" s="6"/>
    </row>
    <row r="172" spans="2:11" ht="60" x14ac:dyDescent="0.25">
      <c r="B172" s="1805"/>
      <c r="C172" s="94"/>
      <c r="D172" s="46" t="s">
        <v>894</v>
      </c>
      <c r="E172" s="6"/>
      <c r="F172" s="6"/>
      <c r="G172" s="6"/>
      <c r="H172" s="6"/>
      <c r="I172" s="87"/>
      <c r="J172" s="6"/>
      <c r="K172" s="6"/>
    </row>
    <row r="173" spans="2:11" ht="97.5" x14ac:dyDescent="0.25">
      <c r="B173" s="1805"/>
      <c r="C173" s="94"/>
      <c r="D173" s="46" t="s">
        <v>895</v>
      </c>
      <c r="E173" s="6"/>
      <c r="F173" s="6"/>
      <c r="G173" s="6"/>
      <c r="H173" s="6"/>
      <c r="I173" s="87"/>
      <c r="J173" s="6"/>
      <c r="K173" s="6"/>
    </row>
    <row r="174" spans="2:11" ht="24" x14ac:dyDescent="0.25">
      <c r="B174" s="1805"/>
      <c r="C174" s="94"/>
      <c r="D174" s="53" t="s">
        <v>896</v>
      </c>
      <c r="E174" s="6"/>
      <c r="F174" s="6"/>
      <c r="G174" s="6"/>
      <c r="H174" s="6"/>
      <c r="I174" s="87"/>
      <c r="J174" s="6"/>
      <c r="K174" s="6"/>
    </row>
    <row r="175" spans="2:11" x14ac:dyDescent="0.25">
      <c r="B175" s="1805"/>
      <c r="C175" s="94"/>
      <c r="D175" s="17"/>
      <c r="E175" s="6"/>
      <c r="F175" s="6"/>
      <c r="G175" s="6"/>
      <c r="H175" s="6"/>
      <c r="I175" s="87"/>
      <c r="J175" s="6"/>
      <c r="K175" s="6"/>
    </row>
    <row r="176" spans="2:11" x14ac:dyDescent="0.25">
      <c r="B176" s="1805"/>
      <c r="C176" s="94"/>
      <c r="D176" s="46" t="s">
        <v>91</v>
      </c>
      <c r="E176" s="6"/>
      <c r="F176" s="6"/>
      <c r="G176" s="6"/>
      <c r="H176" s="6"/>
      <c r="I176" s="87"/>
      <c r="J176" s="6"/>
      <c r="K176" s="6"/>
    </row>
    <row r="177" spans="2:11" ht="37.5" x14ac:dyDescent="0.25">
      <c r="B177" s="1805"/>
      <c r="C177" s="94"/>
      <c r="D177" s="46" t="s">
        <v>897</v>
      </c>
      <c r="E177" s="6"/>
      <c r="F177" s="6"/>
      <c r="G177" s="6"/>
      <c r="H177" s="6"/>
      <c r="I177" s="87"/>
      <c r="J177" s="6"/>
      <c r="K177" s="6"/>
    </row>
    <row r="178" spans="2:11" ht="37.5" x14ac:dyDescent="0.25">
      <c r="B178" s="1805"/>
      <c r="C178" s="94"/>
      <c r="D178" s="46" t="s">
        <v>898</v>
      </c>
      <c r="E178" s="6"/>
      <c r="F178" s="6"/>
      <c r="G178" s="6"/>
      <c r="H178" s="6"/>
      <c r="I178" s="87"/>
      <c r="J178" s="6"/>
      <c r="K178" s="6"/>
    </row>
    <row r="179" spans="2:11" ht="37.5" x14ac:dyDescent="0.25">
      <c r="B179" s="1805"/>
      <c r="C179" s="94"/>
      <c r="D179" s="46" t="s">
        <v>899</v>
      </c>
      <c r="E179" s="6"/>
      <c r="F179" s="6"/>
      <c r="G179" s="6"/>
      <c r="H179" s="6"/>
      <c r="I179" s="87"/>
      <c r="J179" s="6"/>
      <c r="K179" s="6"/>
    </row>
    <row r="180" spans="2:11" ht="60" x14ac:dyDescent="0.25">
      <c r="B180" s="1805"/>
      <c r="C180" s="94"/>
      <c r="D180" s="46" t="s">
        <v>894</v>
      </c>
      <c r="E180" s="6"/>
      <c r="F180" s="6"/>
      <c r="G180" s="6"/>
      <c r="H180" s="6"/>
      <c r="I180" s="87"/>
      <c r="J180" s="6"/>
      <c r="K180" s="6"/>
    </row>
    <row r="181" spans="2:11" ht="60.75" thickBot="1" x14ac:dyDescent="0.3">
      <c r="B181" s="1806"/>
      <c r="C181" s="3"/>
      <c r="D181" s="41" t="s">
        <v>900</v>
      </c>
      <c r="E181" s="6"/>
      <c r="F181" s="6"/>
      <c r="G181" s="6"/>
      <c r="H181" s="6"/>
      <c r="I181" s="87"/>
      <c r="J181" s="6"/>
      <c r="K181" s="6"/>
    </row>
    <row r="182" spans="2:11" x14ac:dyDescent="0.25">
      <c r="B182" s="6"/>
      <c r="D182" s="6"/>
      <c r="E182" s="6"/>
      <c r="F182" s="6"/>
      <c r="G182" s="6"/>
      <c r="H182" s="6"/>
      <c r="I182" s="87"/>
      <c r="J182" s="6"/>
      <c r="K182" s="6"/>
    </row>
    <row r="183" spans="2:11" x14ac:dyDescent="0.25">
      <c r="B183" s="6"/>
      <c r="D183" s="6"/>
      <c r="E183" s="6"/>
      <c r="F183" s="6"/>
      <c r="G183" s="6"/>
      <c r="H183" s="6"/>
      <c r="I183" s="87"/>
      <c r="J183" s="6"/>
      <c r="K183" s="6"/>
    </row>
    <row r="184" spans="2:11" x14ac:dyDescent="0.25">
      <c r="B184" s="6"/>
      <c r="D184" s="6"/>
      <c r="E184" s="6"/>
      <c r="F184" s="6"/>
      <c r="G184" s="6"/>
      <c r="H184" s="6"/>
      <c r="I184" s="87"/>
      <c r="J184" s="6"/>
      <c r="K184" s="6"/>
    </row>
    <row r="185" spans="2:11" x14ac:dyDescent="0.25">
      <c r="B185" s="6"/>
      <c r="D185" s="6"/>
      <c r="E185" s="6"/>
      <c r="F185" s="6"/>
      <c r="G185" s="6"/>
      <c r="H185" s="6"/>
      <c r="I185" s="87"/>
      <c r="J185" s="6"/>
      <c r="K185" s="6"/>
    </row>
    <row r="186" spans="2:11" x14ac:dyDescent="0.25">
      <c r="B186" s="6"/>
      <c r="D186" s="6"/>
      <c r="E186" s="6"/>
      <c r="F186" s="6"/>
      <c r="G186" s="6"/>
      <c r="H186" s="6"/>
      <c r="I186" s="87"/>
      <c r="J186" s="6"/>
      <c r="K186" s="6"/>
    </row>
    <row r="187" spans="2:11" x14ac:dyDescent="0.25">
      <c r="B187" s="6"/>
      <c r="D187" s="6"/>
      <c r="E187" s="6"/>
      <c r="F187" s="6"/>
      <c r="G187" s="6"/>
      <c r="H187" s="6"/>
      <c r="I187" s="87"/>
      <c r="J187" s="6"/>
      <c r="K187" s="6"/>
    </row>
    <row r="188" spans="2:11" x14ac:dyDescent="0.25">
      <c r="B188" s="6"/>
      <c r="D188" s="6"/>
      <c r="E188" s="6"/>
      <c r="F188" s="6"/>
      <c r="G188" s="6"/>
      <c r="H188" s="6"/>
      <c r="I188" s="87"/>
      <c r="J188" s="6"/>
      <c r="K188" s="6"/>
    </row>
    <row r="189" spans="2:11" x14ac:dyDescent="0.25">
      <c r="B189" s="6"/>
      <c r="D189" s="6"/>
      <c r="E189" s="6"/>
      <c r="F189" s="6"/>
      <c r="G189" s="6"/>
      <c r="H189" s="6"/>
      <c r="I189" s="87"/>
      <c r="J189" s="6"/>
      <c r="K189" s="6"/>
    </row>
    <row r="190" spans="2:11" x14ac:dyDescent="0.25">
      <c r="B190" s="6"/>
      <c r="D190" s="6"/>
      <c r="E190" s="6"/>
      <c r="F190" s="6"/>
      <c r="G190" s="6"/>
      <c r="H190" s="6"/>
      <c r="I190" s="87"/>
      <c r="J190" s="6"/>
      <c r="K190" s="6"/>
    </row>
    <row r="191" spans="2:11" x14ac:dyDescent="0.25">
      <c r="B191" s="6"/>
      <c r="D191" s="6"/>
      <c r="E191" s="6"/>
      <c r="F191" s="6"/>
      <c r="G191" s="6"/>
      <c r="H191" s="6"/>
      <c r="I191" s="87"/>
      <c r="J191" s="6"/>
      <c r="K191" s="6"/>
    </row>
    <row r="192" spans="2:11" x14ac:dyDescent="0.25">
      <c r="B192" s="6"/>
      <c r="D192" s="6"/>
      <c r="E192" s="6"/>
      <c r="F192" s="6"/>
      <c r="G192" s="6"/>
      <c r="H192" s="6"/>
      <c r="I192" s="87"/>
      <c r="J192" s="6"/>
      <c r="K192" s="6"/>
    </row>
    <row r="193" spans="2:11" x14ac:dyDescent="0.25">
      <c r="B193" s="6"/>
      <c r="D193" s="6"/>
      <c r="E193" s="6"/>
      <c r="F193" s="6"/>
      <c r="G193" s="6"/>
      <c r="H193" s="6"/>
      <c r="I193" s="87"/>
      <c r="J193" s="6"/>
      <c r="K193" s="6"/>
    </row>
    <row r="194" spans="2:11" x14ac:dyDescent="0.25">
      <c r="B194" s="6"/>
      <c r="D194" s="6"/>
      <c r="E194" s="6"/>
      <c r="F194" s="6"/>
      <c r="G194" s="6"/>
      <c r="H194" s="6"/>
      <c r="I194" s="87"/>
      <c r="J194" s="6"/>
      <c r="K194" s="6"/>
    </row>
    <row r="195" spans="2:11" x14ac:dyDescent="0.25">
      <c r="B195" s="6"/>
      <c r="D195" s="6"/>
      <c r="E195" s="6"/>
      <c r="F195" s="6"/>
      <c r="G195" s="6"/>
      <c r="H195" s="6"/>
      <c r="I195" s="87"/>
      <c r="J195" s="6"/>
      <c r="K195" s="6"/>
    </row>
    <row r="196" spans="2:11" x14ac:dyDescent="0.25">
      <c r="B196" s="6"/>
      <c r="D196" s="6"/>
      <c r="E196" s="6"/>
      <c r="F196" s="6"/>
      <c r="G196" s="6"/>
      <c r="H196" s="6"/>
      <c r="I196" s="87"/>
      <c r="J196" s="6"/>
      <c r="K196" s="6"/>
    </row>
    <row r="197" spans="2:11" x14ac:dyDescent="0.25">
      <c r="B197" s="6"/>
      <c r="D197" s="6"/>
      <c r="E197" s="6"/>
      <c r="F197" s="6"/>
      <c r="G197" s="6"/>
      <c r="H197" s="6"/>
      <c r="I197" s="87"/>
      <c r="J197" s="6"/>
      <c r="K197" s="6"/>
    </row>
  </sheetData>
  <mergeCells count="59">
    <mergeCell ref="A1:P1"/>
    <mergeCell ref="A2:P2"/>
    <mergeCell ref="A3:P3"/>
    <mergeCell ref="A4:D4"/>
    <mergeCell ref="A5:P5"/>
    <mergeCell ref="B10:D10"/>
    <mergeCell ref="F10:S10"/>
    <mergeCell ref="F11:S11"/>
    <mergeCell ref="E12:R12"/>
    <mergeCell ref="E13:R13"/>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D84:I84"/>
    <mergeCell ref="D85:I85"/>
    <mergeCell ref="D89:I89"/>
    <mergeCell ref="D90:I90"/>
    <mergeCell ref="D79:I79"/>
    <mergeCell ref="D95:I95"/>
    <mergeCell ref="D96:I96"/>
    <mergeCell ref="D97:I97"/>
    <mergeCell ref="D102:I102"/>
    <mergeCell ref="B136:E136"/>
    <mergeCell ref="B137:B143"/>
    <mergeCell ref="D104:I104"/>
    <mergeCell ref="D108:I108"/>
    <mergeCell ref="D109:I109"/>
    <mergeCell ref="D110:I110"/>
    <mergeCell ref="B127:E127"/>
    <mergeCell ref="B128:B134"/>
  </mergeCells>
  <conditionalFormatting sqref="F122">
    <cfRule type="containsText" dxfId="38" priority="5" operator="containsText" text="ERROR">
      <formula>NOT(ISERROR(SEARCH("ERROR",F122)))</formula>
    </cfRule>
  </conditionalFormatting>
  <conditionalFormatting sqref="F10">
    <cfRule type="notContainsBlanks" dxfId="37" priority="4">
      <formula>LEN(TRIM(F10))&gt;0</formula>
    </cfRule>
  </conditionalFormatting>
  <conditionalFormatting sqref="F11:S11">
    <cfRule type="expression" dxfId="36" priority="2">
      <formula>E11="NO SE REPORTA"</formula>
    </cfRule>
    <cfRule type="expression" dxfId="35" priority="3">
      <formula>E10="NO APLICA"</formula>
    </cfRule>
  </conditionalFormatting>
  <conditionalFormatting sqref="E12:R12">
    <cfRule type="expression" dxfId="34"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99:H100 E60:H61 E92:H93 E29:H40 E18:E19 E46:E48 E53:H54 E67:E69 E74:H75 E81:H82 E106:E107 E87:E88 E22:H23 E112:H113">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U179"/>
  <sheetViews>
    <sheetView showGridLines="0" topLeftCell="A4" zoomScaleNormal="100" workbookViewId="0">
      <selection activeCell="E13" sqref="E13:R13"/>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947</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6"/>
    </row>
    <row r="7" spans="1:21" ht="15.75" thickBot="1" x14ac:dyDescent="0.3">
      <c r="A7" s="245"/>
      <c r="B7" s="251"/>
      <c r="C7" s="252"/>
      <c r="D7" s="248"/>
      <c r="E7" s="253"/>
      <c r="F7" s="248" t="s">
        <v>129</v>
      </c>
      <c r="G7" s="248"/>
      <c r="H7" s="248"/>
      <c r="I7" s="248"/>
      <c r="J7" s="248"/>
      <c r="K7" s="6"/>
    </row>
    <row r="8" spans="1:21" ht="15.75" thickBot="1" x14ac:dyDescent="0.3">
      <c r="A8" s="245"/>
      <c r="B8" s="261" t="s">
        <v>1188</v>
      </c>
      <c r="C8" s="262">
        <v>2021</v>
      </c>
      <c r="D8" s="257">
        <f>IF(E10="NO APLICA","NO APLICA",IF(E11="NO SE REPORTA","SIN INFORMACION",+F21))</f>
        <v>2.2260273972602738E-2</v>
      </c>
      <c r="E8" s="264"/>
      <c r="F8" s="248" t="s">
        <v>130</v>
      </c>
      <c r="G8" s="248"/>
      <c r="H8" s="248"/>
      <c r="I8" s="248"/>
      <c r="J8" s="248"/>
      <c r="K8" s="6"/>
    </row>
    <row r="9" spans="1:21" x14ac:dyDescent="0.25">
      <c r="A9" s="245"/>
      <c r="B9" s="497" t="s">
        <v>1189</v>
      </c>
      <c r="C9" s="265"/>
      <c r="D9" s="248"/>
      <c r="E9" s="248"/>
      <c r="F9" s="248"/>
      <c r="G9" s="248"/>
      <c r="H9" s="248"/>
      <c r="I9" s="248"/>
      <c r="J9" s="248"/>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Gestión'!A180</f>
        <v>Proyecto 6.1. Evaluación, Seguimiento, Monitoreo y Control de la calidad de los recursos naturales y la biodiversidad.</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A14" s="245"/>
      <c r="B14" s="497"/>
      <c r="C14" s="265"/>
      <c r="D14" s="248"/>
      <c r="E14" s="248"/>
      <c r="F14" s="248"/>
      <c r="G14" s="248"/>
      <c r="H14" s="248"/>
      <c r="I14" s="248"/>
      <c r="J14" s="248"/>
      <c r="K14" s="6"/>
    </row>
    <row r="15" spans="1:21" x14ac:dyDescent="0.25">
      <c r="A15" s="245"/>
      <c r="B15" s="1751" t="s">
        <v>2</v>
      </c>
      <c r="C15" s="268"/>
      <c r="D15" s="1742"/>
      <c r="E15" s="1743"/>
      <c r="F15" s="1743"/>
      <c r="G15" s="1743"/>
      <c r="H15" s="1743"/>
      <c r="I15" s="1744"/>
      <c r="J15" s="248"/>
      <c r="K15" s="6"/>
    </row>
    <row r="16" spans="1:21" ht="15.75" thickBot="1" x14ac:dyDescent="0.3">
      <c r="A16" s="245"/>
      <c r="B16" s="1752"/>
      <c r="C16" s="276"/>
      <c r="D16" s="1757" t="s">
        <v>3</v>
      </c>
      <c r="E16" s="1758"/>
      <c r="F16" s="1758"/>
      <c r="G16" s="1758"/>
      <c r="H16" s="1758"/>
      <c r="I16" s="1759"/>
      <c r="J16" s="248"/>
      <c r="K16" s="6"/>
    </row>
    <row r="17" spans="1:11" ht="15.75" thickBot="1" x14ac:dyDescent="0.3">
      <c r="A17" s="245"/>
      <c r="B17" s="1752"/>
      <c r="C17" s="272"/>
      <c r="D17" s="421" t="s">
        <v>150</v>
      </c>
      <c r="E17" s="280" t="s">
        <v>20</v>
      </c>
      <c r="F17" s="280" t="s">
        <v>21</v>
      </c>
      <c r="G17" s="280" t="s">
        <v>22</v>
      </c>
      <c r="H17" s="280" t="s">
        <v>23</v>
      </c>
      <c r="I17" s="280" t="s">
        <v>151</v>
      </c>
      <c r="J17" s="248"/>
      <c r="K17" s="6"/>
    </row>
    <row r="18" spans="1:11" ht="36.75" thickBot="1" x14ac:dyDescent="0.3">
      <c r="A18" s="245"/>
      <c r="B18" s="1752"/>
      <c r="C18" s="272"/>
      <c r="D18" s="426" t="s">
        <v>962</v>
      </c>
      <c r="E18" s="1039">
        <v>600</v>
      </c>
      <c r="F18" s="1039">
        <f>574+10</f>
        <v>584</v>
      </c>
      <c r="G18" s="153"/>
      <c r="H18" s="153"/>
      <c r="I18" s="448">
        <f>SUM(E18:H18)</f>
        <v>1184</v>
      </c>
      <c r="J18" s="248"/>
      <c r="K18" s="6"/>
    </row>
    <row r="19" spans="1:11" ht="36.75" thickBot="1" x14ac:dyDescent="0.3">
      <c r="A19" s="245"/>
      <c r="B19" s="1752"/>
      <c r="C19" s="272"/>
      <c r="D19" s="426" t="s">
        <v>963</v>
      </c>
      <c r="E19" s="1039">
        <v>19</v>
      </c>
      <c r="F19" s="1039">
        <v>7</v>
      </c>
      <c r="G19" s="153"/>
      <c r="H19" s="153"/>
      <c r="I19" s="448">
        <f>SUM(E19:H19)</f>
        <v>26</v>
      </c>
      <c r="J19" s="248"/>
      <c r="K19" s="6"/>
    </row>
    <row r="20" spans="1:11" ht="36.75" thickBot="1" x14ac:dyDescent="0.3">
      <c r="A20" s="245"/>
      <c r="B20" s="1752"/>
      <c r="C20" s="272"/>
      <c r="D20" s="426" t="s">
        <v>964</v>
      </c>
      <c r="E20" s="1039">
        <v>7</v>
      </c>
      <c r="F20" s="1039">
        <v>6</v>
      </c>
      <c r="G20" s="153"/>
      <c r="H20" s="153"/>
      <c r="I20" s="448">
        <f>SUM(E20:H20)</f>
        <v>13</v>
      </c>
      <c r="J20" s="248"/>
      <c r="K20" s="6"/>
    </row>
    <row r="21" spans="1:11" ht="24.75" thickBot="1" x14ac:dyDescent="0.3">
      <c r="A21" s="245"/>
      <c r="B21" s="1753"/>
      <c r="C21" s="428"/>
      <c r="D21" s="426" t="s">
        <v>965</v>
      </c>
      <c r="E21" s="453">
        <f>+(E19+E20)/E18</f>
        <v>4.3333333333333335E-2</v>
      </c>
      <c r="F21" s="453">
        <f>+(F19+F20)/F18</f>
        <v>2.2260273972602738E-2</v>
      </c>
      <c r="G21" s="453" t="e">
        <f>+(G19+G20)/G18</f>
        <v>#DIV/0!</v>
      </c>
      <c r="H21" s="453" t="e">
        <f>+(H19+H20)/H18</f>
        <v>#DIV/0!</v>
      </c>
      <c r="I21" s="453">
        <f>+(I19+I20)/I18</f>
        <v>3.2939189189189186E-2</v>
      </c>
      <c r="J21" s="248"/>
      <c r="K21" s="6"/>
    </row>
    <row r="22" spans="1:11" ht="36" customHeight="1" thickBot="1" x14ac:dyDescent="0.3">
      <c r="A22" s="245"/>
      <c r="B22" s="425" t="s">
        <v>34</v>
      </c>
      <c r="C22" s="286"/>
      <c r="D22" s="1754" t="s">
        <v>966</v>
      </c>
      <c r="E22" s="1755"/>
      <c r="F22" s="1755"/>
      <c r="G22" s="1755"/>
      <c r="H22" s="1755"/>
      <c r="I22" s="1756"/>
      <c r="J22" s="248"/>
      <c r="K22" s="6"/>
    </row>
    <row r="23" spans="1:11" ht="36" customHeight="1" thickBot="1" x14ac:dyDescent="0.3">
      <c r="A23" s="245"/>
      <c r="B23" s="425" t="s">
        <v>36</v>
      </c>
      <c r="C23" s="286"/>
      <c r="D23" s="1754" t="s">
        <v>159</v>
      </c>
      <c r="E23" s="1755"/>
      <c r="F23" s="1755"/>
      <c r="G23" s="1755"/>
      <c r="H23" s="1755"/>
      <c r="I23" s="1756"/>
      <c r="J23" s="248"/>
      <c r="K23" s="6"/>
    </row>
    <row r="24" spans="1:11" ht="15.75" thickBot="1" x14ac:dyDescent="0.3">
      <c r="A24" s="245"/>
      <c r="B24" s="249"/>
      <c r="C24" s="250"/>
      <c r="D24" s="248"/>
      <c r="E24" s="248"/>
      <c r="F24" s="248"/>
      <c r="G24" s="248"/>
      <c r="H24" s="248"/>
      <c r="I24" s="248"/>
      <c r="J24" s="248"/>
      <c r="K24" s="6"/>
    </row>
    <row r="25" spans="1:11" ht="24" customHeight="1" thickBot="1" x14ac:dyDescent="0.3">
      <c r="A25" s="245"/>
      <c r="B25" s="1760" t="s">
        <v>38</v>
      </c>
      <c r="C25" s="1761"/>
      <c r="D25" s="1761"/>
      <c r="E25" s="1762"/>
      <c r="F25" s="248"/>
      <c r="G25" s="248"/>
      <c r="H25" s="248"/>
      <c r="I25" s="248"/>
      <c r="J25" s="248"/>
      <c r="K25" s="6"/>
    </row>
    <row r="26" spans="1:11" ht="15.75" thickBot="1" x14ac:dyDescent="0.3">
      <c r="A26" s="245"/>
      <c r="B26" s="1751">
        <v>1</v>
      </c>
      <c r="C26" s="272"/>
      <c r="D26" s="289" t="s">
        <v>39</v>
      </c>
      <c r="E26" s="167" t="s">
        <v>2854</v>
      </c>
      <c r="F26" s="248"/>
      <c r="G26" s="248"/>
      <c r="H26" s="248"/>
      <c r="I26" s="248"/>
      <c r="J26" s="248"/>
      <c r="K26" s="6"/>
    </row>
    <row r="27" spans="1:11" ht="15.75" thickBot="1" x14ac:dyDescent="0.3">
      <c r="A27" s="245"/>
      <c r="B27" s="1752"/>
      <c r="C27" s="272"/>
      <c r="D27" s="426" t="s">
        <v>40</v>
      </c>
      <c r="E27" s="167" t="s">
        <v>3259</v>
      </c>
      <c r="F27" s="248"/>
      <c r="G27" s="248"/>
      <c r="H27" s="248"/>
      <c r="I27" s="248"/>
      <c r="J27" s="248"/>
      <c r="K27" s="6"/>
    </row>
    <row r="28" spans="1:11" ht="15.75" thickBot="1" x14ac:dyDescent="0.3">
      <c r="A28" s="245"/>
      <c r="B28" s="1752"/>
      <c r="C28" s="272"/>
      <c r="D28" s="426" t="s">
        <v>41</v>
      </c>
      <c r="E28" s="167" t="s">
        <v>3260</v>
      </c>
      <c r="F28" s="248"/>
      <c r="G28" s="248"/>
      <c r="H28" s="248"/>
      <c r="I28" s="248"/>
      <c r="J28" s="248"/>
      <c r="K28" s="6"/>
    </row>
    <row r="29" spans="1:11" ht="15.75" thickBot="1" x14ac:dyDescent="0.3">
      <c r="A29" s="245"/>
      <c r="B29" s="1752"/>
      <c r="C29" s="272"/>
      <c r="D29" s="426" t="s">
        <v>42</v>
      </c>
      <c r="E29" s="167" t="s">
        <v>3261</v>
      </c>
      <c r="F29" s="248"/>
      <c r="G29" s="248"/>
      <c r="H29" s="248"/>
      <c r="I29" s="248"/>
      <c r="J29" s="248"/>
      <c r="K29" s="6"/>
    </row>
    <row r="30" spans="1:11" ht="15.75" thickBot="1" x14ac:dyDescent="0.3">
      <c r="A30" s="245"/>
      <c r="B30" s="1752"/>
      <c r="C30" s="272"/>
      <c r="D30" s="426" t="s">
        <v>43</v>
      </c>
      <c r="E30" s="167" t="s">
        <v>3257</v>
      </c>
      <c r="F30" s="248"/>
      <c r="G30" s="248"/>
      <c r="H30" s="248"/>
      <c r="I30" s="248"/>
      <c r="J30" s="248"/>
      <c r="K30" s="6"/>
    </row>
    <row r="31" spans="1:11" ht="15.75" thickBot="1" x14ac:dyDescent="0.3">
      <c r="A31" s="245"/>
      <c r="B31" s="1752"/>
      <c r="C31" s="272"/>
      <c r="D31" s="426" t="s">
        <v>44</v>
      </c>
      <c r="E31" s="167" t="s">
        <v>3262</v>
      </c>
      <c r="F31" s="248"/>
      <c r="G31" s="248"/>
      <c r="H31" s="248"/>
      <c r="I31" s="248"/>
      <c r="J31" s="248"/>
      <c r="K31" s="6"/>
    </row>
    <row r="32" spans="1:11" ht="15.75" thickBot="1" x14ac:dyDescent="0.3">
      <c r="A32" s="245"/>
      <c r="B32" s="1753"/>
      <c r="C32" s="428"/>
      <c r="D32" s="426" t="s">
        <v>45</v>
      </c>
      <c r="E32" s="167" t="s">
        <v>2886</v>
      </c>
      <c r="F32" s="248"/>
      <c r="G32" s="248"/>
      <c r="H32" s="248"/>
      <c r="I32" s="248"/>
      <c r="J32" s="248"/>
      <c r="K32" s="6"/>
    </row>
    <row r="33" spans="1:11" ht="15.75" thickBot="1" x14ac:dyDescent="0.3">
      <c r="A33" s="245"/>
      <c r="B33" s="249"/>
      <c r="C33" s="250"/>
      <c r="D33" s="248"/>
      <c r="E33" s="248"/>
      <c r="F33" s="248"/>
      <c r="G33" s="248"/>
      <c r="H33" s="248"/>
      <c r="I33" s="248"/>
      <c r="J33" s="248"/>
      <c r="K33" s="6"/>
    </row>
    <row r="34" spans="1:11" ht="15.75" thickBot="1" x14ac:dyDescent="0.3">
      <c r="A34" s="245"/>
      <c r="B34" s="1760" t="s">
        <v>46</v>
      </c>
      <c r="C34" s="1761"/>
      <c r="D34" s="1761"/>
      <c r="E34" s="1762"/>
      <c r="F34" s="248"/>
      <c r="G34" s="248"/>
      <c r="H34" s="248"/>
      <c r="I34" s="248"/>
      <c r="J34" s="248"/>
      <c r="K34" s="6"/>
    </row>
    <row r="35" spans="1:11" ht="15.75" thickBot="1" x14ac:dyDescent="0.3">
      <c r="A35" s="245"/>
      <c r="B35" s="1751">
        <v>1</v>
      </c>
      <c r="C35" s="272"/>
      <c r="D35" s="289" t="s">
        <v>39</v>
      </c>
      <c r="E35" s="432" t="s">
        <v>47</v>
      </c>
      <c r="F35" s="248"/>
      <c r="G35" s="248"/>
      <c r="H35" s="248"/>
      <c r="I35" s="248"/>
      <c r="J35" s="248"/>
      <c r="K35" s="6"/>
    </row>
    <row r="36" spans="1:11" ht="15.75" thickBot="1" x14ac:dyDescent="0.3">
      <c r="A36" s="245"/>
      <c r="B36" s="1752"/>
      <c r="C36" s="272"/>
      <c r="D36" s="426" t="s">
        <v>40</v>
      </c>
      <c r="E36" s="452" t="s">
        <v>48</v>
      </c>
      <c r="F36" s="248"/>
      <c r="G36" s="248"/>
      <c r="H36" s="248"/>
      <c r="I36" s="248"/>
      <c r="J36" s="248"/>
      <c r="K36" s="6"/>
    </row>
    <row r="37" spans="1:11" ht="15.75" thickBot="1" x14ac:dyDescent="0.3">
      <c r="A37" s="245"/>
      <c r="B37" s="1752"/>
      <c r="C37" s="272"/>
      <c r="D37" s="426" t="s">
        <v>41</v>
      </c>
      <c r="E37" s="172"/>
      <c r="F37" s="248"/>
      <c r="G37" s="248"/>
      <c r="H37" s="248"/>
      <c r="I37" s="248"/>
      <c r="J37" s="248"/>
      <c r="K37" s="6"/>
    </row>
    <row r="38" spans="1:11" ht="15.75" thickBot="1" x14ac:dyDescent="0.3">
      <c r="A38" s="245"/>
      <c r="B38" s="1752"/>
      <c r="C38" s="272"/>
      <c r="D38" s="426" t="s">
        <v>42</v>
      </c>
      <c r="E38" s="172"/>
      <c r="F38" s="248"/>
      <c r="G38" s="248"/>
      <c r="H38" s="248"/>
      <c r="I38" s="248"/>
      <c r="J38" s="248"/>
      <c r="K38" s="6"/>
    </row>
    <row r="39" spans="1:11" ht="15.75" thickBot="1" x14ac:dyDescent="0.3">
      <c r="A39" s="245"/>
      <c r="B39" s="1752"/>
      <c r="C39" s="272"/>
      <c r="D39" s="426" t="s">
        <v>43</v>
      </c>
      <c r="E39" s="172"/>
      <c r="F39" s="248"/>
      <c r="G39" s="248"/>
      <c r="H39" s="248"/>
      <c r="I39" s="248"/>
      <c r="J39" s="248"/>
      <c r="K39" s="6"/>
    </row>
    <row r="40" spans="1:11" ht="15.75" thickBot="1" x14ac:dyDescent="0.3">
      <c r="A40" s="245"/>
      <c r="B40" s="1752"/>
      <c r="C40" s="272"/>
      <c r="D40" s="426" t="s">
        <v>44</v>
      </c>
      <c r="E40" s="172"/>
      <c r="F40" s="248"/>
      <c r="G40" s="248"/>
      <c r="H40" s="248"/>
      <c r="I40" s="248"/>
      <c r="J40" s="248"/>
      <c r="K40" s="6"/>
    </row>
    <row r="41" spans="1:11" ht="15.75" thickBot="1" x14ac:dyDescent="0.3">
      <c r="A41" s="245"/>
      <c r="B41" s="1753"/>
      <c r="C41" s="428"/>
      <c r="D41" s="426" t="s">
        <v>45</v>
      </c>
      <c r="E41" s="172"/>
      <c r="F41" s="248"/>
      <c r="G41" s="248"/>
      <c r="H41" s="248"/>
      <c r="I41" s="248"/>
      <c r="J41" s="248"/>
      <c r="K41" s="6"/>
    </row>
    <row r="42" spans="1:11" ht="15.75" thickBot="1" x14ac:dyDescent="0.3">
      <c r="A42" s="245"/>
      <c r="B42" s="249"/>
      <c r="C42" s="250"/>
      <c r="D42" s="248"/>
      <c r="E42" s="248"/>
      <c r="F42" s="248"/>
      <c r="G42" s="248"/>
      <c r="H42" s="248"/>
      <c r="I42" s="248"/>
      <c r="J42" s="248"/>
      <c r="K42" s="6"/>
    </row>
    <row r="43" spans="1:11" ht="15" customHeight="1" thickBot="1" x14ac:dyDescent="0.3">
      <c r="A43" s="245"/>
      <c r="B43" s="422" t="s">
        <v>49</v>
      </c>
      <c r="C43" s="423"/>
      <c r="D43" s="423"/>
      <c r="E43" s="424"/>
      <c r="F43" s="245"/>
      <c r="G43" s="248"/>
      <c r="H43" s="248"/>
      <c r="I43" s="248"/>
      <c r="J43" s="248"/>
      <c r="K43" s="6"/>
    </row>
    <row r="44" spans="1:11" ht="24.75" thickBot="1" x14ac:dyDescent="0.3">
      <c r="A44" s="245"/>
      <c r="B44" s="425" t="s">
        <v>50</v>
      </c>
      <c r="C44" s="426" t="s">
        <v>51</v>
      </c>
      <c r="D44" s="426" t="s">
        <v>52</v>
      </c>
      <c r="E44" s="426" t="s">
        <v>53</v>
      </c>
      <c r="F44" s="248"/>
      <c r="G44" s="248"/>
      <c r="H44" s="248"/>
      <c r="I44" s="248"/>
      <c r="J44" s="248"/>
    </row>
    <row r="45" spans="1:11" ht="60.75" thickBot="1" x14ac:dyDescent="0.3">
      <c r="A45" s="245"/>
      <c r="B45" s="295">
        <v>42401</v>
      </c>
      <c r="C45" s="426">
        <v>0.01</v>
      </c>
      <c r="D45" s="427" t="s">
        <v>967</v>
      </c>
      <c r="E45" s="426"/>
      <c r="F45" s="248"/>
      <c r="G45" s="248"/>
      <c r="H45" s="248"/>
      <c r="I45" s="248"/>
      <c r="J45" s="248"/>
    </row>
    <row r="46" spans="1:11" ht="15.75" thickBot="1" x14ac:dyDescent="0.3">
      <c r="A46" s="245"/>
      <c r="B46" s="249"/>
      <c r="C46" s="250"/>
      <c r="D46" s="248"/>
      <c r="E46" s="248"/>
      <c r="F46" s="248"/>
      <c r="G46" s="248"/>
      <c r="H46" s="248"/>
      <c r="I46" s="248"/>
      <c r="J46" s="248"/>
      <c r="K46" s="6"/>
    </row>
    <row r="47" spans="1:11" x14ac:dyDescent="0.25">
      <c r="A47" s="245"/>
      <c r="B47" s="297" t="s">
        <v>55</v>
      </c>
      <c r="C47" s="298"/>
      <c r="D47" s="248"/>
      <c r="E47" s="248"/>
      <c r="F47" s="248"/>
      <c r="G47" s="248"/>
      <c r="H47" s="248"/>
      <c r="I47" s="248"/>
      <c r="J47" s="248"/>
      <c r="K47" s="6"/>
    </row>
    <row r="48" spans="1:11" x14ac:dyDescent="0.25">
      <c r="A48" s="245"/>
      <c r="B48" s="1993"/>
      <c r="C48" s="1994"/>
      <c r="D48" s="1994"/>
      <c r="E48" s="1995"/>
      <c r="F48" s="248"/>
      <c r="G48" s="248"/>
      <c r="H48" s="248"/>
      <c r="I48" s="248"/>
      <c r="J48" s="248"/>
      <c r="K48" s="6"/>
    </row>
    <row r="49" spans="1:11" x14ac:dyDescent="0.25">
      <c r="A49" s="245"/>
      <c r="B49" s="1996"/>
      <c r="C49" s="1997"/>
      <c r="D49" s="1997"/>
      <c r="E49" s="1998"/>
      <c r="F49" s="248"/>
      <c r="G49" s="248"/>
      <c r="H49" s="248"/>
      <c r="I49" s="248"/>
      <c r="J49" s="248"/>
      <c r="K49" s="6"/>
    </row>
    <row r="50" spans="1:11" ht="15.75" thickBot="1" x14ac:dyDescent="0.3">
      <c r="A50" s="245"/>
      <c r="B50" s="248"/>
      <c r="C50" s="265"/>
      <c r="D50" s="248"/>
      <c r="E50" s="248"/>
      <c r="F50" s="248"/>
      <c r="G50" s="248"/>
      <c r="H50" s="248"/>
      <c r="I50" s="248"/>
      <c r="J50" s="248"/>
      <c r="K50" s="6"/>
    </row>
    <row r="51" spans="1:11" ht="24.75" thickBot="1" x14ac:dyDescent="0.3">
      <c r="B51" s="51" t="s">
        <v>56</v>
      </c>
      <c r="C51" s="97"/>
      <c r="D51" s="6"/>
      <c r="E51" s="6"/>
      <c r="F51" s="6"/>
      <c r="G51" s="6"/>
      <c r="H51" s="6"/>
      <c r="I51" s="6"/>
      <c r="J51" s="6"/>
      <c r="K51" s="6"/>
    </row>
    <row r="52" spans="1:11" ht="15.75" thickBot="1" x14ac:dyDescent="0.3">
      <c r="B52" s="2"/>
      <c r="C52" s="76"/>
      <c r="D52" s="6"/>
      <c r="E52" s="6"/>
      <c r="F52" s="6"/>
      <c r="G52" s="6"/>
      <c r="H52" s="6"/>
      <c r="I52" s="6"/>
      <c r="J52" s="6"/>
      <c r="K52" s="6"/>
    </row>
    <row r="53" spans="1:11" ht="84.75" thickBot="1" x14ac:dyDescent="0.3">
      <c r="B53" s="52" t="s">
        <v>57</v>
      </c>
      <c r="C53" s="98"/>
      <c r="D53" s="43" t="s">
        <v>948</v>
      </c>
      <c r="E53" s="6"/>
      <c r="F53" s="6"/>
      <c r="G53" s="6"/>
      <c r="H53" s="6"/>
      <c r="I53" s="6"/>
      <c r="J53" s="6"/>
      <c r="K53" s="6"/>
    </row>
    <row r="54" spans="1:11" x14ac:dyDescent="0.25">
      <c r="B54" s="1804" t="s">
        <v>59</v>
      </c>
      <c r="C54" s="94"/>
      <c r="D54" s="53" t="s">
        <v>60</v>
      </c>
      <c r="E54" s="6"/>
      <c r="F54" s="6"/>
      <c r="G54" s="6"/>
      <c r="H54" s="6"/>
      <c r="I54" s="6"/>
      <c r="J54" s="6"/>
      <c r="K54" s="6"/>
    </row>
    <row r="55" spans="1:11" ht="72" x14ac:dyDescent="0.25">
      <c r="B55" s="1805"/>
      <c r="C55" s="94"/>
      <c r="D55" s="53" t="s">
        <v>949</v>
      </c>
      <c r="E55" s="6"/>
      <c r="F55" s="6"/>
      <c r="G55" s="6"/>
      <c r="H55" s="6"/>
      <c r="I55" s="6"/>
      <c r="J55" s="6"/>
      <c r="K55" s="6"/>
    </row>
    <row r="56" spans="1:11" x14ac:dyDescent="0.25">
      <c r="B56" s="1805"/>
      <c r="C56" s="94"/>
      <c r="D56" s="53" t="s">
        <v>134</v>
      </c>
      <c r="E56" s="6"/>
      <c r="F56" s="6"/>
      <c r="G56" s="6"/>
      <c r="H56" s="6"/>
      <c r="I56" s="6"/>
      <c r="J56" s="6"/>
      <c r="K56" s="6"/>
    </row>
    <row r="57" spans="1:11" ht="24" x14ac:dyDescent="0.25">
      <c r="B57" s="1805"/>
      <c r="C57" s="94"/>
      <c r="D57" s="46" t="s">
        <v>950</v>
      </c>
      <c r="E57" s="6"/>
      <c r="F57" s="6"/>
      <c r="G57" s="6"/>
      <c r="H57" s="6"/>
      <c r="I57" s="6"/>
      <c r="J57" s="6"/>
      <c r="K57" s="6"/>
    </row>
    <row r="58" spans="1:11" ht="24" x14ac:dyDescent="0.25">
      <c r="B58" s="1805"/>
      <c r="C58" s="94"/>
      <c r="D58" s="46" t="s">
        <v>951</v>
      </c>
      <c r="E58" s="6"/>
      <c r="F58" s="6"/>
      <c r="G58" s="6"/>
      <c r="H58" s="6"/>
      <c r="I58" s="6"/>
      <c r="J58" s="6"/>
      <c r="K58" s="6"/>
    </row>
    <row r="59" spans="1:11" ht="15.75" thickBot="1" x14ac:dyDescent="0.3">
      <c r="B59" s="1806"/>
      <c r="C59" s="3"/>
      <c r="D59" s="41" t="s">
        <v>65</v>
      </c>
      <c r="E59" s="6"/>
      <c r="F59" s="6"/>
      <c r="G59" s="6"/>
      <c r="H59" s="6"/>
      <c r="I59" s="6"/>
      <c r="J59" s="6"/>
      <c r="K59" s="6"/>
    </row>
    <row r="60" spans="1:11" ht="24.75" thickBot="1" x14ac:dyDescent="0.3">
      <c r="B60" s="47" t="s">
        <v>72</v>
      </c>
      <c r="C60" s="3"/>
      <c r="D60" s="41"/>
      <c r="E60" s="6"/>
      <c r="F60" s="6"/>
      <c r="G60" s="6"/>
      <c r="H60" s="6"/>
      <c r="I60" s="6"/>
      <c r="J60" s="6"/>
      <c r="K60" s="6"/>
    </row>
    <row r="61" spans="1:11" ht="132" x14ac:dyDescent="0.25">
      <c r="B61" s="1804" t="s">
        <v>73</v>
      </c>
      <c r="C61" s="94"/>
      <c r="D61" s="46" t="s">
        <v>952</v>
      </c>
      <c r="E61" s="6"/>
      <c r="F61" s="6"/>
      <c r="G61" s="6"/>
      <c r="H61" s="6"/>
      <c r="I61" s="6"/>
      <c r="J61" s="6"/>
      <c r="K61" s="6"/>
    </row>
    <row r="62" spans="1:11" ht="324" x14ac:dyDescent="0.25">
      <c r="B62" s="1805"/>
      <c r="C62" s="94"/>
      <c r="D62" s="46" t="s">
        <v>953</v>
      </c>
      <c r="E62" s="6"/>
      <c r="F62" s="6"/>
      <c r="G62" s="6"/>
      <c r="H62" s="6"/>
      <c r="I62" s="6"/>
      <c r="J62" s="6"/>
      <c r="K62" s="6"/>
    </row>
    <row r="63" spans="1:11" ht="84" x14ac:dyDescent="0.25">
      <c r="B63" s="1805"/>
      <c r="C63" s="94"/>
      <c r="D63" s="46" t="s">
        <v>954</v>
      </c>
      <c r="E63" s="6"/>
      <c r="F63" s="6"/>
      <c r="G63" s="6"/>
      <c r="H63" s="6"/>
      <c r="I63" s="6"/>
      <c r="J63" s="6"/>
      <c r="K63" s="6"/>
    </row>
    <row r="64" spans="1:11" ht="72" x14ac:dyDescent="0.25">
      <c r="B64" s="1805"/>
      <c r="C64" s="94"/>
      <c r="D64" s="46" t="s">
        <v>955</v>
      </c>
      <c r="E64" s="6"/>
      <c r="F64" s="6"/>
      <c r="G64" s="6"/>
      <c r="H64" s="6"/>
      <c r="I64" s="6"/>
      <c r="J64" s="6"/>
      <c r="K64" s="6"/>
    </row>
    <row r="65" spans="2:11" ht="60.75" thickBot="1" x14ac:dyDescent="0.3">
      <c r="B65" s="1806"/>
      <c r="C65" s="3"/>
      <c r="D65" s="41" t="s">
        <v>956</v>
      </c>
      <c r="E65" s="6"/>
      <c r="F65" s="6"/>
      <c r="G65" s="6"/>
      <c r="H65" s="6"/>
      <c r="I65" s="6"/>
      <c r="J65" s="6"/>
      <c r="K65" s="6"/>
    </row>
    <row r="66" spans="2:11" x14ac:dyDescent="0.25">
      <c r="B66" s="1804" t="s">
        <v>90</v>
      </c>
      <c r="C66" s="94"/>
      <c r="D66" s="46"/>
      <c r="E66" s="6"/>
      <c r="F66" s="6"/>
      <c r="G66" s="6"/>
      <c r="H66" s="6"/>
      <c r="I66" s="6"/>
      <c r="J66" s="6"/>
      <c r="K66" s="6"/>
    </row>
    <row r="67" spans="2:11" x14ac:dyDescent="0.25">
      <c r="B67" s="1805"/>
      <c r="C67" s="94"/>
      <c r="D67" s="17"/>
      <c r="E67" s="6"/>
      <c r="F67" s="6"/>
      <c r="G67" s="6"/>
      <c r="H67" s="6"/>
      <c r="I67" s="6"/>
      <c r="J67" s="6"/>
      <c r="K67" s="6"/>
    </row>
    <row r="68" spans="2:11" x14ac:dyDescent="0.25">
      <c r="B68" s="1805"/>
      <c r="C68" s="94"/>
      <c r="D68" s="46" t="s">
        <v>91</v>
      </c>
      <c r="E68" s="6"/>
      <c r="F68" s="6"/>
      <c r="G68" s="6"/>
      <c r="H68" s="6"/>
      <c r="I68" s="6"/>
      <c r="J68" s="6"/>
      <c r="K68" s="6"/>
    </row>
    <row r="69" spans="2:11" ht="25.5" x14ac:dyDescent="0.25">
      <c r="B69" s="1805"/>
      <c r="C69" s="94"/>
      <c r="D69" s="46" t="s">
        <v>957</v>
      </c>
      <c r="E69" s="6"/>
      <c r="F69" s="6"/>
      <c r="G69" s="6"/>
      <c r="H69" s="6"/>
      <c r="I69" s="6"/>
      <c r="J69" s="6"/>
      <c r="K69" s="6"/>
    </row>
    <row r="70" spans="2:11" ht="37.5" x14ac:dyDescent="0.25">
      <c r="B70" s="1805"/>
      <c r="C70" s="94"/>
      <c r="D70" s="46" t="s">
        <v>958</v>
      </c>
      <c r="E70" s="6"/>
      <c r="F70" s="6"/>
      <c r="G70" s="6"/>
      <c r="H70" s="6"/>
      <c r="I70" s="6"/>
      <c r="J70" s="6"/>
      <c r="K70" s="6"/>
    </row>
    <row r="71" spans="2:11" ht="37.5" x14ac:dyDescent="0.25">
      <c r="B71" s="1805"/>
      <c r="C71" s="94"/>
      <c r="D71" s="46" t="s">
        <v>959</v>
      </c>
      <c r="E71" s="6"/>
      <c r="F71" s="6"/>
      <c r="G71" s="6"/>
      <c r="H71" s="6"/>
      <c r="I71" s="6"/>
      <c r="J71" s="6"/>
      <c r="K71" s="6"/>
    </row>
    <row r="72" spans="2:11" ht="36" x14ac:dyDescent="0.25">
      <c r="B72" s="1805"/>
      <c r="C72" s="94"/>
      <c r="D72" s="46" t="s">
        <v>960</v>
      </c>
      <c r="E72" s="6"/>
      <c r="F72" s="6"/>
      <c r="G72" s="6"/>
      <c r="H72" s="6"/>
      <c r="I72" s="6"/>
      <c r="J72" s="6"/>
      <c r="K72" s="6"/>
    </row>
    <row r="73" spans="2:11" ht="120.75" thickBot="1" x14ac:dyDescent="0.3">
      <c r="B73" s="1806"/>
      <c r="C73" s="3"/>
      <c r="D73" s="41" t="s">
        <v>961</v>
      </c>
      <c r="E73" s="6"/>
      <c r="F73" s="6"/>
      <c r="G73" s="6"/>
      <c r="H73" s="6"/>
      <c r="I73" s="6"/>
      <c r="J73" s="6"/>
      <c r="K73" s="6"/>
    </row>
    <row r="74" spans="2:11" x14ac:dyDescent="0.25">
      <c r="B74" s="6"/>
      <c r="D74" s="6"/>
      <c r="E74" s="6"/>
      <c r="F74" s="6"/>
      <c r="G74" s="6"/>
      <c r="H74" s="6"/>
      <c r="I74" s="6"/>
      <c r="J74" s="6"/>
      <c r="K74" s="6"/>
    </row>
    <row r="75" spans="2:11" x14ac:dyDescent="0.25">
      <c r="B75" s="6"/>
      <c r="D75" s="6"/>
      <c r="E75" s="6"/>
      <c r="F75" s="6"/>
      <c r="G75" s="6"/>
      <c r="H75" s="6"/>
      <c r="I75" s="6"/>
      <c r="J75" s="6"/>
      <c r="K75" s="6"/>
    </row>
    <row r="76" spans="2:11" x14ac:dyDescent="0.25">
      <c r="B76" s="6"/>
      <c r="D76" s="6"/>
      <c r="E76" s="6"/>
      <c r="F76" s="6"/>
      <c r="G76" s="6"/>
      <c r="H76" s="6"/>
      <c r="I76" s="6"/>
      <c r="J76" s="6"/>
      <c r="K76" s="6"/>
    </row>
    <row r="77" spans="2:11" x14ac:dyDescent="0.25">
      <c r="B77" s="6"/>
      <c r="D77" s="6"/>
      <c r="E77" s="6"/>
      <c r="F77" s="6"/>
      <c r="G77" s="6"/>
      <c r="H77" s="6"/>
      <c r="I77" s="6"/>
      <c r="J77" s="6"/>
      <c r="K77" s="6"/>
    </row>
    <row r="78" spans="2:11" x14ac:dyDescent="0.25">
      <c r="B78" s="6"/>
      <c r="D78" s="6"/>
      <c r="E78" s="6"/>
      <c r="F78" s="6"/>
      <c r="G78" s="6"/>
      <c r="H78" s="6"/>
      <c r="I78" s="6"/>
      <c r="J78" s="6"/>
      <c r="K78" s="6"/>
    </row>
    <row r="79" spans="2:11" x14ac:dyDescent="0.25">
      <c r="B79" s="6"/>
      <c r="D79" s="6"/>
      <c r="E79" s="6"/>
      <c r="F79" s="6"/>
      <c r="G79" s="6"/>
      <c r="H79" s="6"/>
      <c r="I79" s="6"/>
      <c r="J79" s="6"/>
      <c r="K79" s="6"/>
    </row>
    <row r="80" spans="2:11" x14ac:dyDescent="0.25">
      <c r="B80" s="6"/>
      <c r="D80" s="6"/>
      <c r="E80" s="6"/>
      <c r="F80" s="6"/>
      <c r="G80" s="6"/>
      <c r="H80" s="6"/>
      <c r="I80" s="6"/>
      <c r="J80" s="6"/>
      <c r="K80" s="6"/>
    </row>
    <row r="81" spans="2:11" x14ac:dyDescent="0.25">
      <c r="B81" s="6"/>
      <c r="D81" s="6"/>
      <c r="E81" s="6"/>
      <c r="F81" s="6"/>
      <c r="G81" s="6"/>
      <c r="H81" s="6"/>
      <c r="I81" s="6"/>
      <c r="J81" s="6"/>
      <c r="K81" s="6"/>
    </row>
    <row r="82" spans="2:11" x14ac:dyDescent="0.25">
      <c r="B82" s="6"/>
      <c r="D82" s="6"/>
      <c r="E82" s="6"/>
      <c r="F82" s="6"/>
      <c r="G82" s="6"/>
      <c r="H82" s="6"/>
      <c r="I82" s="6"/>
      <c r="J82" s="6"/>
      <c r="K82" s="6"/>
    </row>
    <row r="83" spans="2:11" x14ac:dyDescent="0.25">
      <c r="B83" s="6"/>
      <c r="D83" s="6"/>
      <c r="E83" s="6"/>
      <c r="F83" s="6"/>
      <c r="G83" s="6"/>
      <c r="H83" s="6"/>
      <c r="I83" s="6"/>
      <c r="J83" s="6"/>
      <c r="K83" s="6"/>
    </row>
    <row r="84" spans="2:11" x14ac:dyDescent="0.25">
      <c r="B84" s="6"/>
      <c r="D84" s="6"/>
      <c r="E84" s="6"/>
      <c r="F84" s="6"/>
      <c r="G84" s="6"/>
      <c r="H84" s="6"/>
      <c r="I84" s="6"/>
      <c r="J84" s="6"/>
      <c r="K84" s="6"/>
    </row>
    <row r="85" spans="2:11" x14ac:dyDescent="0.25">
      <c r="B85" s="6"/>
      <c r="D85" s="6"/>
      <c r="E85" s="6"/>
      <c r="F85" s="6"/>
      <c r="G85" s="6"/>
      <c r="H85" s="6"/>
      <c r="I85" s="6"/>
      <c r="J85" s="6"/>
      <c r="K85" s="6"/>
    </row>
    <row r="86" spans="2:11" x14ac:dyDescent="0.25">
      <c r="B86" s="6"/>
      <c r="D86" s="6"/>
      <c r="E86" s="6"/>
      <c r="F86" s="6"/>
      <c r="G86" s="6"/>
      <c r="H86" s="6"/>
      <c r="I86" s="6"/>
      <c r="J86" s="6"/>
      <c r="K86" s="6"/>
    </row>
    <row r="87" spans="2:11" x14ac:dyDescent="0.25">
      <c r="B87" s="6"/>
      <c r="D87" s="6"/>
      <c r="E87" s="6"/>
      <c r="F87" s="6"/>
      <c r="G87" s="6"/>
      <c r="H87" s="6"/>
      <c r="I87" s="6"/>
      <c r="J87" s="6"/>
      <c r="K87" s="6"/>
    </row>
    <row r="88" spans="2:11" x14ac:dyDescent="0.25">
      <c r="B88" s="6"/>
      <c r="D88" s="6"/>
      <c r="E88" s="6"/>
      <c r="F88" s="6"/>
      <c r="G88" s="6"/>
      <c r="H88" s="6"/>
      <c r="I88" s="6"/>
      <c r="J88" s="6"/>
      <c r="K88" s="6"/>
    </row>
    <row r="89" spans="2:11" x14ac:dyDescent="0.25">
      <c r="B89" s="6"/>
      <c r="D89" s="6"/>
      <c r="E89" s="6"/>
      <c r="F89" s="6"/>
      <c r="G89" s="6"/>
      <c r="H89" s="6"/>
      <c r="I89" s="6"/>
      <c r="J89" s="6"/>
      <c r="K89" s="6"/>
    </row>
    <row r="90" spans="2:11" x14ac:dyDescent="0.25">
      <c r="B90" s="6"/>
      <c r="D90" s="6"/>
      <c r="E90" s="6"/>
      <c r="F90" s="6"/>
      <c r="G90" s="6"/>
      <c r="H90" s="6"/>
      <c r="I90" s="6"/>
      <c r="J90" s="6"/>
      <c r="K90" s="6"/>
    </row>
    <row r="91" spans="2:11" x14ac:dyDescent="0.25">
      <c r="B91" s="6"/>
      <c r="D91" s="6"/>
      <c r="E91" s="6"/>
      <c r="F91" s="6"/>
      <c r="G91" s="6"/>
      <c r="H91" s="6"/>
      <c r="I91" s="6"/>
      <c r="J91" s="6"/>
      <c r="K91" s="6"/>
    </row>
    <row r="92" spans="2:11" x14ac:dyDescent="0.25">
      <c r="B92" s="6"/>
      <c r="D92" s="6"/>
      <c r="E92" s="6"/>
      <c r="F92" s="6"/>
      <c r="G92" s="6"/>
      <c r="H92" s="6"/>
      <c r="I92" s="6"/>
      <c r="J92" s="6"/>
      <c r="K92" s="6"/>
    </row>
    <row r="93" spans="2:11" x14ac:dyDescent="0.25">
      <c r="B93" s="6"/>
      <c r="D93" s="6"/>
      <c r="E93" s="6"/>
      <c r="F93" s="6"/>
      <c r="G93" s="6"/>
      <c r="H93" s="6"/>
      <c r="I93" s="6"/>
      <c r="J93" s="6"/>
      <c r="K93" s="6"/>
    </row>
    <row r="94" spans="2:11" x14ac:dyDescent="0.25">
      <c r="B94" s="6"/>
      <c r="D94" s="6"/>
      <c r="E94" s="6"/>
      <c r="F94" s="6"/>
      <c r="G94" s="6"/>
      <c r="H94" s="6"/>
      <c r="I94" s="6"/>
      <c r="J94" s="6"/>
      <c r="K94" s="6"/>
    </row>
    <row r="95" spans="2:11" x14ac:dyDescent="0.25">
      <c r="B95" s="6"/>
      <c r="D95" s="6"/>
      <c r="E95" s="6"/>
      <c r="F95" s="6"/>
      <c r="G95" s="6"/>
      <c r="H95" s="6"/>
      <c r="I95" s="6"/>
      <c r="J95" s="6"/>
      <c r="K95" s="6"/>
    </row>
    <row r="96" spans="2:11" x14ac:dyDescent="0.25">
      <c r="B96" s="6"/>
      <c r="D96" s="6"/>
      <c r="E96" s="6"/>
      <c r="F96" s="6"/>
      <c r="G96" s="6"/>
      <c r="H96" s="6"/>
      <c r="I96" s="6"/>
      <c r="J96" s="6"/>
      <c r="K96" s="6"/>
    </row>
    <row r="97" spans="2:11" x14ac:dyDescent="0.25">
      <c r="B97" s="6"/>
      <c r="D97" s="6"/>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sheetData>
  <mergeCells count="23">
    <mergeCell ref="A1:P1"/>
    <mergeCell ref="A2:P2"/>
    <mergeCell ref="A3:P3"/>
    <mergeCell ref="A4:D4"/>
    <mergeCell ref="A5:P5"/>
    <mergeCell ref="B10:D10"/>
    <mergeCell ref="F10:S10"/>
    <mergeCell ref="F11:S11"/>
    <mergeCell ref="E12:R12"/>
    <mergeCell ref="E13:R13"/>
    <mergeCell ref="B54:B59"/>
    <mergeCell ref="B61:B65"/>
    <mergeCell ref="B66:B73"/>
    <mergeCell ref="B15:B21"/>
    <mergeCell ref="D15:I15"/>
    <mergeCell ref="D16:I16"/>
    <mergeCell ref="D22:I22"/>
    <mergeCell ref="D23:I23"/>
    <mergeCell ref="B25:E25"/>
    <mergeCell ref="B26:B32"/>
    <mergeCell ref="B34:E34"/>
    <mergeCell ref="B35:B41"/>
    <mergeCell ref="B48:E49"/>
  </mergeCells>
  <conditionalFormatting sqref="F10">
    <cfRule type="notContainsBlanks" dxfId="33" priority="4">
      <formula>LEN(TRIM(F10))&gt;0</formula>
    </cfRule>
  </conditionalFormatting>
  <conditionalFormatting sqref="F11:S11">
    <cfRule type="expression" dxfId="32" priority="2">
      <formula>E11="NO SE REPORTA"</formula>
    </cfRule>
    <cfRule type="expression" dxfId="31" priority="3">
      <formula>E10="NO APLICA"</formula>
    </cfRule>
  </conditionalFormatting>
  <conditionalFormatting sqref="E12:R12">
    <cfRule type="expression" dxfId="3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U91"/>
  <sheetViews>
    <sheetView showGridLines="0" zoomScale="70" zoomScaleNormal="70" workbookViewId="0">
      <selection activeCell="E12" sqref="E12:R12"/>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968</v>
      </c>
      <c r="B5" s="1713"/>
      <c r="C5" s="1713"/>
      <c r="D5" s="1713"/>
      <c r="E5" s="1713"/>
      <c r="F5" s="1713"/>
      <c r="G5" s="1713"/>
      <c r="H5" s="1713"/>
      <c r="I5" s="1713"/>
      <c r="J5" s="1713"/>
      <c r="K5" s="1713"/>
      <c r="L5" s="1713"/>
      <c r="M5" s="1713"/>
      <c r="N5" s="1713"/>
      <c r="O5" s="1713"/>
      <c r="P5" s="1714"/>
    </row>
    <row r="6" spans="1:21" ht="15.75" thickBot="1" x14ac:dyDescent="0.3">
      <c r="B6" s="249" t="s">
        <v>1</v>
      </c>
      <c r="C6" s="76"/>
      <c r="D6" s="6"/>
      <c r="E6" s="74"/>
      <c r="F6" s="6" t="s">
        <v>128</v>
      </c>
      <c r="G6" s="6"/>
      <c r="H6" s="6"/>
      <c r="I6" s="6"/>
      <c r="J6" s="6"/>
      <c r="K6" s="6"/>
    </row>
    <row r="7" spans="1:21" ht="15.75" thickBot="1" x14ac:dyDescent="0.3">
      <c r="B7" s="261" t="s">
        <v>1188</v>
      </c>
      <c r="C7" s="222">
        <v>2021</v>
      </c>
      <c r="D7" s="224">
        <f>IF(E9="NO APLICA","NO APLICA",IF(E10="NO SE REPORTA","SIN INFORMACION",+F17))</f>
        <v>0.13333333333333333</v>
      </c>
      <c r="E7" s="241"/>
      <c r="F7" s="6" t="s">
        <v>129</v>
      </c>
      <c r="G7" s="6"/>
      <c r="H7" s="6"/>
      <c r="I7" s="6"/>
      <c r="J7" s="6"/>
      <c r="K7" s="6"/>
    </row>
    <row r="8" spans="1:21" x14ac:dyDescent="0.25">
      <c r="B8" s="497" t="s">
        <v>1189</v>
      </c>
      <c r="E8" s="223"/>
      <c r="F8" s="6" t="s">
        <v>130</v>
      </c>
      <c r="G8" s="6"/>
      <c r="H8" s="6"/>
      <c r="I8" s="6"/>
      <c r="J8" s="6"/>
      <c r="K8" s="6"/>
    </row>
    <row r="9" spans="1:21" s="412" customFormat="1" x14ac:dyDescent="0.25">
      <c r="A9" s="245"/>
      <c r="B9" s="1720" t="s">
        <v>1244</v>
      </c>
      <c r="C9" s="1720"/>
      <c r="D9" s="1720"/>
      <c r="E9" s="503" t="s">
        <v>1241</v>
      </c>
      <c r="F9" s="1726"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1727"/>
      <c r="H9" s="1727"/>
      <c r="I9" s="1727"/>
      <c r="J9" s="1727"/>
      <c r="K9" s="1727"/>
      <c r="L9" s="1727"/>
      <c r="M9" s="1727"/>
      <c r="N9" s="1727"/>
      <c r="O9" s="1727"/>
      <c r="P9" s="1727"/>
      <c r="Q9" s="1727"/>
      <c r="R9" s="1727"/>
      <c r="S9" s="1727"/>
      <c r="T9" s="499"/>
      <c r="U9" s="499"/>
    </row>
    <row r="10" spans="1:21" s="412" customFormat="1" ht="14.45" customHeight="1" x14ac:dyDescent="0.25">
      <c r="A10" s="245"/>
      <c r="B10" s="500"/>
      <c r="C10" s="501"/>
      <c r="D10" s="502" t="str">
        <f>IF(E9="SI APLICA","¿El indicador no se reporta por limitaciones de información disponible? ","")</f>
        <v xml:space="preserve">¿El indicador no se reporta por limitaciones de información disponible? </v>
      </c>
      <c r="E10" s="504" t="s">
        <v>1243</v>
      </c>
      <c r="F10" s="1721"/>
      <c r="G10" s="1722"/>
      <c r="H10" s="1722"/>
      <c r="I10" s="1722"/>
      <c r="J10" s="1722"/>
      <c r="K10" s="1722"/>
      <c r="L10" s="1722"/>
      <c r="M10" s="1722"/>
      <c r="N10" s="1722"/>
      <c r="O10" s="1722"/>
      <c r="P10" s="1722"/>
      <c r="Q10" s="1722"/>
      <c r="R10" s="1722"/>
      <c r="S10" s="1722"/>
    </row>
    <row r="11" spans="1:21" s="412" customFormat="1" ht="23.45" customHeight="1" x14ac:dyDescent="0.25">
      <c r="A11" s="245"/>
      <c r="B11" s="497"/>
      <c r="C11" s="304"/>
      <c r="D11" s="502" t="str">
        <f>IF(E10="SI SE REPORTA","¿Qué programas o proyectos del Plan de Acción están asociados al indicador? ","")</f>
        <v xml:space="preserve">¿Qué programas o proyectos del Plan de Acción están asociados al indicador? </v>
      </c>
      <c r="E11" s="1781" t="str">
        <f>'Anexo 1 Matriz Inf Gestión'!A9</f>
        <v>Proyecto No 1.1.Planificación, Ordenamiento e Información Ambiental Territorial (1)</v>
      </c>
      <c r="F11" s="1781"/>
      <c r="G11" s="1781"/>
      <c r="H11" s="1781"/>
      <c r="I11" s="1781"/>
      <c r="J11" s="1781"/>
      <c r="K11" s="1781"/>
      <c r="L11" s="1781"/>
      <c r="M11" s="1781"/>
      <c r="N11" s="1781"/>
      <c r="O11" s="1781"/>
      <c r="P11" s="1781"/>
      <c r="Q11" s="1781"/>
      <c r="R11" s="1781"/>
    </row>
    <row r="12" spans="1:21" s="412" customFormat="1" ht="21.95" customHeight="1" thickBot="1" x14ac:dyDescent="0.3">
      <c r="A12" s="245"/>
      <c r="B12" s="497"/>
      <c r="C12" s="304"/>
      <c r="D12" s="502" t="s">
        <v>1246</v>
      </c>
      <c r="E12" s="1723" t="s">
        <v>3086</v>
      </c>
      <c r="F12" s="1724"/>
      <c r="G12" s="1724"/>
      <c r="H12" s="1724"/>
      <c r="I12" s="1724"/>
      <c r="J12" s="1724"/>
      <c r="K12" s="1724"/>
      <c r="L12" s="1724"/>
      <c r="M12" s="1724"/>
      <c r="N12" s="1724"/>
      <c r="O12" s="1724"/>
      <c r="P12" s="1724"/>
      <c r="Q12" s="1724"/>
      <c r="R12" s="1725"/>
    </row>
    <row r="13" spans="1:21" ht="15.75" customHeight="1" thickBot="1" x14ac:dyDescent="0.3">
      <c r="B13" s="1864" t="s">
        <v>2</v>
      </c>
      <c r="C13" s="102"/>
      <c r="D13" s="1816" t="s">
        <v>3</v>
      </c>
      <c r="E13" s="1817"/>
      <c r="F13" s="1817"/>
      <c r="G13" s="1817"/>
      <c r="H13" s="1817"/>
      <c r="I13" s="1826"/>
      <c r="J13" s="1827"/>
      <c r="K13" s="6"/>
    </row>
    <row r="14" spans="1:21" ht="15.75" thickBot="1" x14ac:dyDescent="0.3">
      <c r="B14" s="1912"/>
      <c r="C14" s="98" t="s">
        <v>19</v>
      </c>
      <c r="D14" s="43" t="s">
        <v>150</v>
      </c>
      <c r="E14" s="39" t="s">
        <v>20</v>
      </c>
      <c r="F14" s="39" t="s">
        <v>21</v>
      </c>
      <c r="G14" s="39" t="s">
        <v>22</v>
      </c>
      <c r="H14" s="440" t="s">
        <v>23</v>
      </c>
      <c r="I14" s="470"/>
      <c r="J14" s="471"/>
      <c r="K14" s="6"/>
    </row>
    <row r="15" spans="1:21" ht="84.75" thickBot="1" x14ac:dyDescent="0.3">
      <c r="B15" s="1912"/>
      <c r="C15" s="3" t="s">
        <v>152</v>
      </c>
      <c r="D15" s="194" t="s">
        <v>989</v>
      </c>
      <c r="E15" s="1025">
        <v>15</v>
      </c>
      <c r="F15" s="1025">
        <v>15</v>
      </c>
      <c r="G15" s="1025">
        <v>15</v>
      </c>
      <c r="H15" s="1164">
        <v>15</v>
      </c>
      <c r="I15" s="472"/>
      <c r="J15" s="22"/>
      <c r="K15" s="6"/>
    </row>
    <row r="16" spans="1:21" ht="84.75" thickBot="1" x14ac:dyDescent="0.3">
      <c r="B16" s="1912"/>
      <c r="C16" s="3" t="s">
        <v>154</v>
      </c>
      <c r="D16" s="194" t="s">
        <v>990</v>
      </c>
      <c r="E16" s="1025">
        <v>15</v>
      </c>
      <c r="F16" s="1025">
        <v>2</v>
      </c>
      <c r="G16" s="1025">
        <v>0</v>
      </c>
      <c r="H16" s="1164">
        <v>0</v>
      </c>
      <c r="I16" s="472"/>
      <c r="J16" s="22"/>
      <c r="K16" s="6"/>
    </row>
    <row r="17" spans="2:11" ht="72.599999999999994" customHeight="1" thickBot="1" x14ac:dyDescent="0.3">
      <c r="B17" s="1912"/>
      <c r="C17" s="3" t="s">
        <v>156</v>
      </c>
      <c r="D17" s="129" t="s">
        <v>991</v>
      </c>
      <c r="E17" s="154">
        <f>+E16/E15</f>
        <v>1</v>
      </c>
      <c r="F17" s="154">
        <f>+F16/F15</f>
        <v>0.13333333333333333</v>
      </c>
      <c r="G17" s="154">
        <f>+G16/G15</f>
        <v>0</v>
      </c>
      <c r="H17" s="469">
        <f>+H16/H15</f>
        <v>0</v>
      </c>
      <c r="I17" s="473"/>
      <c r="J17" s="24"/>
      <c r="K17" s="6"/>
    </row>
    <row r="18" spans="2:11" x14ac:dyDescent="0.25">
      <c r="B18" s="1912"/>
      <c r="C18" s="103"/>
      <c r="D18" s="1825"/>
      <c r="E18" s="1826"/>
      <c r="F18" s="1826"/>
      <c r="G18" s="1826"/>
      <c r="H18" s="1826"/>
      <c r="I18" s="1999"/>
      <c r="J18" s="1830"/>
      <c r="K18" s="6"/>
    </row>
    <row r="19" spans="2:11" ht="24" customHeight="1" thickBot="1" x14ac:dyDescent="0.3">
      <c r="B19" s="1912"/>
      <c r="C19" s="103"/>
      <c r="D19" s="1828" t="s">
        <v>992</v>
      </c>
      <c r="E19" s="1829"/>
      <c r="F19" s="1829"/>
      <c r="G19" s="1829"/>
      <c r="H19" s="1829"/>
      <c r="I19" s="1829"/>
      <c r="J19" s="1830"/>
      <c r="K19" s="6"/>
    </row>
    <row r="20" spans="2:11" ht="24.75" thickBot="1" x14ac:dyDescent="0.3">
      <c r="B20" s="1912"/>
      <c r="C20" s="98" t="s">
        <v>19</v>
      </c>
      <c r="D20" s="39" t="s">
        <v>309</v>
      </c>
      <c r="E20" s="124" t="s">
        <v>993</v>
      </c>
      <c r="F20" s="43" t="s">
        <v>994</v>
      </c>
      <c r="G20" s="43" t="s">
        <v>55</v>
      </c>
      <c r="H20" s="6"/>
      <c r="J20" s="22"/>
      <c r="K20" s="6"/>
    </row>
    <row r="21" spans="2:11" ht="192.75" thickBot="1" x14ac:dyDescent="0.3">
      <c r="B21" s="1912"/>
      <c r="C21" s="3">
        <v>1</v>
      </c>
      <c r="D21" s="1161" t="s">
        <v>3120</v>
      </c>
      <c r="E21" s="7">
        <v>15</v>
      </c>
      <c r="F21" s="1165" t="s">
        <v>3121</v>
      </c>
      <c r="G21" s="30"/>
      <c r="H21" s="6"/>
      <c r="J21" s="22"/>
      <c r="K21" s="6"/>
    </row>
    <row r="22" spans="2:11" ht="15.75" thickBot="1" x14ac:dyDescent="0.3">
      <c r="B22" s="1912"/>
      <c r="C22" s="3">
        <v>2</v>
      </c>
      <c r="D22" s="31"/>
      <c r="E22" s="7"/>
      <c r="F22" s="30"/>
      <c r="G22" s="30"/>
      <c r="H22" s="6"/>
      <c r="J22" s="22"/>
      <c r="K22" s="6"/>
    </row>
    <row r="23" spans="2:11" s="412" customFormat="1" ht="15.75" thickBot="1" x14ac:dyDescent="0.3">
      <c r="B23" s="1912"/>
      <c r="C23" s="441">
        <v>3</v>
      </c>
      <c r="D23" s="31"/>
      <c r="E23" s="7"/>
      <c r="F23" s="30"/>
      <c r="G23" s="30"/>
      <c r="H23" s="6"/>
      <c r="J23" s="22"/>
      <c r="K23" s="6"/>
    </row>
    <row r="24" spans="2:11" s="412" customFormat="1" ht="15.75" thickBot="1" x14ac:dyDescent="0.3">
      <c r="B24" s="1912"/>
      <c r="C24" s="441">
        <v>4</v>
      </c>
      <c r="D24" s="31"/>
      <c r="E24" s="7"/>
      <c r="F24" s="30"/>
      <c r="G24" s="30"/>
      <c r="H24" s="6"/>
      <c r="J24" s="22"/>
      <c r="K24" s="6"/>
    </row>
    <row r="25" spans="2:11" s="412" customFormat="1" ht="15.75" thickBot="1" x14ac:dyDescent="0.3">
      <c r="B25" s="1912"/>
      <c r="C25" s="441">
        <v>5</v>
      </c>
      <c r="D25" s="31"/>
      <c r="E25" s="7"/>
      <c r="F25" s="30"/>
      <c r="G25" s="30"/>
      <c r="H25" s="6"/>
      <c r="J25" s="22"/>
      <c r="K25" s="6"/>
    </row>
    <row r="26" spans="2:11" s="412" customFormat="1" ht="15.75" thickBot="1" x14ac:dyDescent="0.3">
      <c r="B26" s="1912"/>
      <c r="C26" s="441">
        <v>6</v>
      </c>
      <c r="D26" s="31"/>
      <c r="E26" s="7"/>
      <c r="F26" s="30"/>
      <c r="G26" s="30"/>
      <c r="H26" s="6"/>
      <c r="J26" s="22"/>
      <c r="K26" s="6"/>
    </row>
    <row r="27" spans="2:11" s="412" customFormat="1" ht="15.75" thickBot="1" x14ac:dyDescent="0.3">
      <c r="B27" s="1912"/>
      <c r="C27" s="441">
        <v>7</v>
      </c>
      <c r="D27" s="31"/>
      <c r="E27" s="7"/>
      <c r="F27" s="30"/>
      <c r="G27" s="30"/>
      <c r="H27" s="6"/>
      <c r="J27" s="22"/>
      <c r="K27" s="6"/>
    </row>
    <row r="28" spans="2:11" s="412" customFormat="1" ht="15.75" thickBot="1" x14ac:dyDescent="0.3">
      <c r="B28" s="1912"/>
      <c r="C28" s="441">
        <v>8</v>
      </c>
      <c r="D28" s="31"/>
      <c r="E28" s="7"/>
      <c r="F28" s="30"/>
      <c r="G28" s="30"/>
      <c r="H28" s="6"/>
      <c r="J28" s="22"/>
      <c r="K28" s="6"/>
    </row>
    <row r="29" spans="2:11" ht="15.75" thickBot="1" x14ac:dyDescent="0.3">
      <c r="B29" s="1912"/>
      <c r="C29" s="441">
        <v>9</v>
      </c>
      <c r="D29" s="31"/>
      <c r="E29" s="7"/>
      <c r="F29" s="30"/>
      <c r="G29" s="30"/>
      <c r="H29" s="6"/>
      <c r="J29" s="22"/>
      <c r="K29" s="6"/>
    </row>
    <row r="30" spans="2:11" ht="15.75" thickBot="1" x14ac:dyDescent="0.3">
      <c r="B30" s="1865"/>
      <c r="C30" s="441">
        <v>10</v>
      </c>
      <c r="D30" s="31"/>
      <c r="E30" s="7"/>
      <c r="F30" s="30"/>
      <c r="G30" s="30"/>
      <c r="H30" s="23"/>
      <c r="J30" s="24"/>
      <c r="K30" s="6"/>
    </row>
    <row r="31" spans="2:11" ht="24" customHeight="1" thickBot="1" x14ac:dyDescent="0.3">
      <c r="B31" s="60" t="s">
        <v>34</v>
      </c>
      <c r="C31" s="104"/>
      <c r="D31" s="1816" t="s">
        <v>995</v>
      </c>
      <c r="E31" s="1817"/>
      <c r="F31" s="1817"/>
      <c r="G31" s="1817"/>
      <c r="H31" s="1817"/>
      <c r="I31" s="1817"/>
      <c r="J31" s="1818"/>
      <c r="K31" s="6"/>
    </row>
    <row r="32" spans="2:11" ht="18.75" thickBot="1" x14ac:dyDescent="0.3">
      <c r="B32" s="60" t="s">
        <v>36</v>
      </c>
      <c r="C32" s="104"/>
      <c r="D32" s="1816" t="s">
        <v>278</v>
      </c>
      <c r="E32" s="1817"/>
      <c r="F32" s="1817"/>
      <c r="G32" s="1817"/>
      <c r="H32" s="1817"/>
      <c r="I32" s="1817"/>
      <c r="J32" s="1818"/>
      <c r="K32" s="6"/>
    </row>
    <row r="33" spans="2:11" ht="15.75" thickBot="1" x14ac:dyDescent="0.3">
      <c r="B33" s="2"/>
      <c r="C33" s="76"/>
      <c r="D33" s="6"/>
      <c r="E33" s="6"/>
      <c r="F33" s="6"/>
      <c r="G33" s="6"/>
      <c r="H33" s="6"/>
      <c r="I33" s="6"/>
      <c r="J33" s="6"/>
      <c r="K33" s="6"/>
    </row>
    <row r="34" spans="2:11" ht="24" customHeight="1" thickBot="1" x14ac:dyDescent="0.3">
      <c r="B34" s="1807" t="s">
        <v>38</v>
      </c>
      <c r="C34" s="1808"/>
      <c r="D34" s="1808"/>
      <c r="E34" s="1809"/>
      <c r="F34" s="6"/>
      <c r="G34" s="6"/>
      <c r="H34" s="6"/>
      <c r="I34" s="6"/>
      <c r="J34" s="6"/>
      <c r="K34" s="6"/>
    </row>
    <row r="35" spans="2:11" ht="15.75" thickBot="1" x14ac:dyDescent="0.3">
      <c r="B35" s="1804">
        <v>1</v>
      </c>
      <c r="C35" s="94"/>
      <c r="D35" s="48" t="s">
        <v>39</v>
      </c>
      <c r="E35" s="31" t="s">
        <v>2854</v>
      </c>
      <c r="F35" s="6"/>
      <c r="G35" s="6"/>
      <c r="H35" s="6"/>
      <c r="I35" s="6"/>
      <c r="J35" s="6"/>
      <c r="K35" s="6"/>
    </row>
    <row r="36" spans="2:11" ht="15.75" thickBot="1" x14ac:dyDescent="0.3">
      <c r="B36" s="1805"/>
      <c r="C36" s="94"/>
      <c r="D36" s="41" t="s">
        <v>40</v>
      </c>
      <c r="E36" s="31" t="s">
        <v>3122</v>
      </c>
      <c r="F36" s="6"/>
      <c r="G36" s="6"/>
      <c r="H36" s="6"/>
      <c r="I36" s="6"/>
      <c r="J36" s="6"/>
      <c r="K36" s="6"/>
    </row>
    <row r="37" spans="2:11" ht="15.75" thickBot="1" x14ac:dyDescent="0.3">
      <c r="B37" s="1805"/>
      <c r="C37" s="94"/>
      <c r="D37" s="41" t="s">
        <v>41</v>
      </c>
      <c r="E37" s="31" t="s">
        <v>3116</v>
      </c>
      <c r="F37" s="6"/>
      <c r="G37" s="6"/>
      <c r="H37" s="6"/>
      <c r="I37" s="6"/>
      <c r="J37" s="6"/>
      <c r="K37" s="6"/>
    </row>
    <row r="38" spans="2:11" ht="15.75" thickBot="1" x14ac:dyDescent="0.3">
      <c r="B38" s="1805"/>
      <c r="C38" s="94"/>
      <c r="D38" s="41" t="s">
        <v>42</v>
      </c>
      <c r="E38" s="31" t="s">
        <v>2855</v>
      </c>
      <c r="F38" s="6"/>
      <c r="G38" s="6"/>
      <c r="H38" s="6"/>
      <c r="I38" s="6"/>
      <c r="J38" s="6"/>
      <c r="K38" s="6"/>
    </row>
    <row r="39" spans="2:11" ht="15.75" thickBot="1" x14ac:dyDescent="0.3">
      <c r="B39" s="1805"/>
      <c r="C39" s="94"/>
      <c r="D39" s="41" t="s">
        <v>43</v>
      </c>
      <c r="E39" s="1004" t="s">
        <v>3123</v>
      </c>
      <c r="F39" s="6"/>
      <c r="G39" s="6"/>
      <c r="H39" s="6"/>
      <c r="I39" s="6"/>
      <c r="J39" s="6"/>
      <c r="K39" s="6"/>
    </row>
    <row r="40" spans="2:11" ht="15.75" thickBot="1" x14ac:dyDescent="0.3">
      <c r="B40" s="1805"/>
      <c r="C40" s="94"/>
      <c r="D40" s="41" t="s">
        <v>44</v>
      </c>
      <c r="E40" s="31" t="s">
        <v>3124</v>
      </c>
      <c r="F40" s="6"/>
      <c r="G40" s="6"/>
      <c r="H40" s="6"/>
      <c r="I40" s="6"/>
      <c r="J40" s="6"/>
      <c r="K40" s="6"/>
    </row>
    <row r="41" spans="2:11" ht="15.75" thickBot="1" x14ac:dyDescent="0.3">
      <c r="B41" s="1806"/>
      <c r="C41" s="3"/>
      <c r="D41" s="41" t="s">
        <v>45</v>
      </c>
      <c r="E41" s="31" t="s">
        <v>2886</v>
      </c>
      <c r="F41" s="6"/>
      <c r="G41" s="6"/>
      <c r="H41" s="6"/>
      <c r="I41" s="6"/>
      <c r="J41" s="6"/>
      <c r="K41" s="6"/>
    </row>
    <row r="42" spans="2:11" ht="15.75" thickBot="1" x14ac:dyDescent="0.3">
      <c r="B42" s="2"/>
      <c r="C42" s="76"/>
      <c r="D42" s="6"/>
      <c r="E42" s="6"/>
      <c r="F42" s="6"/>
      <c r="G42" s="6"/>
      <c r="H42" s="6"/>
      <c r="I42" s="6"/>
      <c r="J42" s="6"/>
      <c r="K42" s="6"/>
    </row>
    <row r="43" spans="2:11" ht="15.75" thickBot="1" x14ac:dyDescent="0.3">
      <c r="B43" s="1807" t="s">
        <v>46</v>
      </c>
      <c r="C43" s="1808"/>
      <c r="D43" s="1808"/>
      <c r="E43" s="1809"/>
      <c r="F43" s="6"/>
      <c r="G43" s="6"/>
      <c r="H43" s="6"/>
      <c r="I43" s="6"/>
      <c r="J43" s="6"/>
      <c r="K43" s="6"/>
    </row>
    <row r="44" spans="2:11" ht="15.75" thickBot="1" x14ac:dyDescent="0.3">
      <c r="B44" s="1804">
        <v>1</v>
      </c>
      <c r="C44" s="94"/>
      <c r="D44" s="48" t="s">
        <v>39</v>
      </c>
      <c r="E44" s="444" t="s">
        <v>47</v>
      </c>
      <c r="F44" s="6"/>
      <c r="G44" s="6"/>
      <c r="H44" s="6"/>
      <c r="I44" s="6"/>
      <c r="J44" s="6"/>
      <c r="K44" s="6"/>
    </row>
    <row r="45" spans="2:11" ht="15.75" thickBot="1" x14ac:dyDescent="0.3">
      <c r="B45" s="1805"/>
      <c r="C45" s="94"/>
      <c r="D45" s="41" t="s">
        <v>40</v>
      </c>
      <c r="E45" s="444" t="s">
        <v>48</v>
      </c>
      <c r="F45" s="6"/>
      <c r="G45" s="6"/>
      <c r="H45" s="6"/>
      <c r="I45" s="6"/>
      <c r="J45" s="6"/>
      <c r="K45" s="6"/>
    </row>
    <row r="46" spans="2:11" ht="15.75" thickBot="1" x14ac:dyDescent="0.3">
      <c r="B46" s="1805"/>
      <c r="C46" s="94"/>
      <c r="D46" s="41" t="s">
        <v>41</v>
      </c>
      <c r="E46" s="474"/>
      <c r="F46" s="6"/>
      <c r="G46" s="6"/>
      <c r="H46" s="6"/>
      <c r="I46" s="6"/>
      <c r="J46" s="6"/>
      <c r="K46" s="6"/>
    </row>
    <row r="47" spans="2:11" ht="15.75" thickBot="1" x14ac:dyDescent="0.3">
      <c r="B47" s="1805"/>
      <c r="C47" s="94"/>
      <c r="D47" s="41" t="s">
        <v>42</v>
      </c>
      <c r="E47" s="474"/>
      <c r="F47" s="6"/>
      <c r="G47" s="6"/>
      <c r="H47" s="6"/>
      <c r="I47" s="6"/>
      <c r="J47" s="6"/>
      <c r="K47" s="6"/>
    </row>
    <row r="48" spans="2:11" ht="15.75" thickBot="1" x14ac:dyDescent="0.3">
      <c r="B48" s="1805"/>
      <c r="C48" s="94"/>
      <c r="D48" s="41" t="s">
        <v>43</v>
      </c>
      <c r="E48" s="474"/>
      <c r="F48" s="6"/>
      <c r="G48" s="6"/>
      <c r="H48" s="6"/>
      <c r="I48" s="6"/>
      <c r="J48" s="6"/>
      <c r="K48" s="6"/>
    </row>
    <row r="49" spans="2:11" ht="15.75" thickBot="1" x14ac:dyDescent="0.3">
      <c r="B49" s="1805"/>
      <c r="C49" s="94"/>
      <c r="D49" s="41" t="s">
        <v>44</v>
      </c>
      <c r="E49" s="474"/>
      <c r="F49" s="6"/>
      <c r="G49" s="6"/>
      <c r="H49" s="6"/>
      <c r="I49" s="6"/>
      <c r="J49" s="6"/>
      <c r="K49" s="6"/>
    </row>
    <row r="50" spans="2:11" ht="15.75" thickBot="1" x14ac:dyDescent="0.3">
      <c r="B50" s="1806"/>
      <c r="C50" s="3"/>
      <c r="D50" s="41" t="s">
        <v>45</v>
      </c>
      <c r="E50" s="474"/>
      <c r="F50" s="6"/>
      <c r="G50" s="6"/>
      <c r="H50" s="6"/>
      <c r="I50" s="6"/>
      <c r="J50" s="6"/>
      <c r="K50" s="6"/>
    </row>
    <row r="51" spans="2:11" x14ac:dyDescent="0.25">
      <c r="B51" s="2"/>
      <c r="C51" s="76"/>
      <c r="D51" s="6"/>
      <c r="E51" s="6"/>
      <c r="F51" s="6"/>
      <c r="G51" s="6"/>
      <c r="H51" s="6"/>
      <c r="I51" s="6"/>
      <c r="J51" s="6"/>
      <c r="K51" s="6"/>
    </row>
    <row r="52" spans="2:11" ht="15.75" thickBot="1" x14ac:dyDescent="0.3">
      <c r="B52" s="2"/>
      <c r="C52" s="76"/>
      <c r="D52" s="6"/>
      <c r="E52" s="6"/>
      <c r="F52" s="6"/>
      <c r="G52" s="6"/>
      <c r="H52" s="6"/>
      <c r="I52" s="6"/>
      <c r="J52" s="6"/>
      <c r="K52" s="6"/>
    </row>
    <row r="53" spans="2:11" ht="15" customHeight="1" thickBot="1" x14ac:dyDescent="0.3">
      <c r="B53" s="121" t="s">
        <v>49</v>
      </c>
      <c r="C53" s="122"/>
      <c r="D53" s="122"/>
      <c r="E53" s="123"/>
      <c r="G53" s="6"/>
      <c r="H53" s="6"/>
      <c r="I53" s="6"/>
      <c r="J53" s="6"/>
      <c r="K53" s="6"/>
    </row>
    <row r="54" spans="2:11" ht="24.75" thickBot="1" x14ac:dyDescent="0.3">
      <c r="B54" s="47" t="s">
        <v>50</v>
      </c>
      <c r="C54" s="41" t="s">
        <v>51</v>
      </c>
      <c r="D54" s="41" t="s">
        <v>52</v>
      </c>
      <c r="E54" s="41" t="s">
        <v>53</v>
      </c>
      <c r="F54" s="6"/>
      <c r="G54" s="6"/>
      <c r="H54" s="6"/>
      <c r="I54" s="6"/>
      <c r="J54" s="6"/>
    </row>
    <row r="55" spans="2:11" ht="120.75" thickBot="1" x14ac:dyDescent="0.3">
      <c r="B55" s="49">
        <v>42401</v>
      </c>
      <c r="C55" s="41">
        <v>0.01</v>
      </c>
      <c r="D55" s="50" t="s">
        <v>996</v>
      </c>
      <c r="E55" s="41"/>
      <c r="F55" s="6"/>
      <c r="G55" s="6"/>
      <c r="H55" s="6"/>
      <c r="I55" s="6"/>
      <c r="J55" s="6"/>
    </row>
    <row r="56" spans="2:11" ht="15.75" thickBot="1" x14ac:dyDescent="0.3">
      <c r="B56" s="4"/>
      <c r="C56" s="95"/>
      <c r="D56" s="6"/>
      <c r="E56" s="6"/>
      <c r="F56" s="6"/>
      <c r="G56" s="6"/>
      <c r="H56" s="6"/>
      <c r="I56" s="6"/>
      <c r="J56" s="6"/>
      <c r="K56" s="6"/>
    </row>
    <row r="57" spans="2:11" x14ac:dyDescent="0.25">
      <c r="B57" s="135" t="s">
        <v>55</v>
      </c>
      <c r="C57" s="96"/>
      <c r="D57" s="6"/>
      <c r="E57" s="6"/>
      <c r="F57" s="6"/>
      <c r="G57" s="6"/>
      <c r="H57" s="6"/>
      <c r="I57" s="6"/>
      <c r="J57" s="6"/>
      <c r="K57" s="6"/>
    </row>
    <row r="58" spans="2:11" x14ac:dyDescent="0.25">
      <c r="B58" s="1993"/>
      <c r="C58" s="1994"/>
      <c r="D58" s="1994"/>
      <c r="E58" s="1995"/>
      <c r="F58" s="6"/>
      <c r="G58" s="6"/>
      <c r="H58" s="6"/>
      <c r="I58" s="6"/>
      <c r="J58" s="6"/>
      <c r="K58" s="6"/>
    </row>
    <row r="59" spans="2:11" x14ac:dyDescent="0.25">
      <c r="B59" s="1996"/>
      <c r="C59" s="1997"/>
      <c r="D59" s="1997"/>
      <c r="E59" s="1998"/>
      <c r="F59" s="6"/>
      <c r="G59" s="6"/>
      <c r="H59" s="6"/>
      <c r="I59" s="6"/>
      <c r="J59" s="6"/>
      <c r="K59" s="6"/>
    </row>
    <row r="60" spans="2:11" x14ac:dyDescent="0.25">
      <c r="B60" s="2"/>
      <c r="C60" s="76"/>
      <c r="D60" s="6"/>
      <c r="E60" s="6"/>
      <c r="F60" s="6"/>
      <c r="G60" s="6"/>
      <c r="H60" s="6"/>
      <c r="I60" s="6"/>
      <c r="J60" s="6"/>
      <c r="K60" s="6"/>
    </row>
    <row r="61" spans="2:11" ht="15.75" thickBot="1" x14ac:dyDescent="0.3">
      <c r="B61" s="6"/>
      <c r="D61" s="6"/>
      <c r="E61" s="6"/>
      <c r="F61" s="6"/>
      <c r="G61" s="6"/>
      <c r="H61" s="6"/>
      <c r="I61" s="6"/>
      <c r="J61" s="6"/>
      <c r="K61" s="6"/>
    </row>
    <row r="62" spans="2:11" ht="15.75" thickBot="1" x14ac:dyDescent="0.3">
      <c r="B62" s="1807" t="s">
        <v>56</v>
      </c>
      <c r="C62" s="1808"/>
      <c r="D62" s="1809"/>
      <c r="E62" s="6"/>
      <c r="F62" s="6"/>
      <c r="G62" s="6"/>
      <c r="H62" s="6"/>
      <c r="I62" s="6"/>
      <c r="J62" s="6"/>
      <c r="K62" s="6"/>
    </row>
    <row r="63" spans="2:11" ht="120" x14ac:dyDescent="0.25">
      <c r="B63" s="1804" t="s">
        <v>57</v>
      </c>
      <c r="C63" s="94"/>
      <c r="D63" s="46" t="s">
        <v>969</v>
      </c>
      <c r="E63" s="6"/>
      <c r="F63" s="6"/>
      <c r="G63" s="6"/>
      <c r="H63" s="6"/>
      <c r="I63" s="6"/>
      <c r="J63" s="6"/>
      <c r="K63" s="6"/>
    </row>
    <row r="64" spans="2:11" x14ac:dyDescent="0.25">
      <c r="B64" s="1805"/>
      <c r="C64" s="94"/>
      <c r="D64" s="53" t="s">
        <v>60</v>
      </c>
      <c r="E64" s="6"/>
      <c r="F64" s="6"/>
      <c r="G64" s="6"/>
      <c r="H64" s="6"/>
      <c r="I64" s="6"/>
      <c r="J64" s="6"/>
      <c r="K64" s="6"/>
    </row>
    <row r="65" spans="2:11" ht="144" x14ac:dyDescent="0.25">
      <c r="B65" s="1805"/>
      <c r="C65" s="94"/>
      <c r="D65" s="46" t="s">
        <v>970</v>
      </c>
      <c r="E65" s="6"/>
      <c r="F65" s="6"/>
      <c r="G65" s="6"/>
      <c r="H65" s="6"/>
      <c r="I65" s="6"/>
      <c r="J65" s="6"/>
      <c r="K65" s="6"/>
    </row>
    <row r="66" spans="2:11" x14ac:dyDescent="0.25">
      <c r="B66" s="1805"/>
      <c r="C66" s="94"/>
      <c r="D66" s="53" t="s">
        <v>63</v>
      </c>
      <c r="E66" s="6"/>
      <c r="F66" s="6"/>
      <c r="G66" s="6"/>
      <c r="H66" s="6"/>
      <c r="I66" s="6"/>
      <c r="J66" s="6"/>
      <c r="K66" s="6"/>
    </row>
    <row r="67" spans="2:11" ht="372.75" thickBot="1" x14ac:dyDescent="0.3">
      <c r="B67" s="1806"/>
      <c r="C67" s="3"/>
      <c r="D67" s="41" t="s">
        <v>971</v>
      </c>
      <c r="E67" s="6"/>
      <c r="F67" s="6"/>
      <c r="G67" s="6"/>
      <c r="H67" s="6"/>
      <c r="I67" s="6"/>
      <c r="J67" s="6"/>
      <c r="K67" s="6"/>
    </row>
    <row r="68" spans="2:11" ht="348" x14ac:dyDescent="0.25">
      <c r="B68" s="1804" t="s">
        <v>59</v>
      </c>
      <c r="C68" s="94"/>
      <c r="D68" s="26" t="s">
        <v>972</v>
      </c>
      <c r="E68" s="6"/>
      <c r="F68" s="6"/>
      <c r="G68" s="6"/>
      <c r="H68" s="6"/>
      <c r="I68" s="6"/>
      <c r="J68" s="6"/>
      <c r="K68" s="6"/>
    </row>
    <row r="69" spans="2:11" ht="264" x14ac:dyDescent="0.25">
      <c r="B69" s="1805"/>
      <c r="C69" s="94"/>
      <c r="D69" s="26" t="s">
        <v>973</v>
      </c>
      <c r="E69" s="6"/>
      <c r="F69" s="6"/>
      <c r="G69" s="6"/>
      <c r="H69" s="6"/>
      <c r="I69" s="6"/>
      <c r="J69" s="6"/>
      <c r="K69" s="6"/>
    </row>
    <row r="70" spans="2:11" ht="36" x14ac:dyDescent="0.25">
      <c r="B70" s="1805"/>
      <c r="C70" s="94"/>
      <c r="D70" s="26" t="s">
        <v>974</v>
      </c>
      <c r="E70" s="6"/>
      <c r="F70" s="6"/>
      <c r="G70" s="6"/>
      <c r="H70" s="6"/>
      <c r="I70" s="6"/>
      <c r="J70" s="6"/>
      <c r="K70" s="6"/>
    </row>
    <row r="71" spans="2:11" ht="24" x14ac:dyDescent="0.25">
      <c r="B71" s="1805"/>
      <c r="C71" s="94"/>
      <c r="D71" s="26" t="s">
        <v>975</v>
      </c>
      <c r="E71" s="6"/>
      <c r="F71" s="6"/>
      <c r="G71" s="6"/>
      <c r="H71" s="6"/>
      <c r="I71" s="6"/>
      <c r="J71" s="6"/>
      <c r="K71" s="6"/>
    </row>
    <row r="72" spans="2:11" x14ac:dyDescent="0.25">
      <c r="B72" s="1805"/>
      <c r="C72" s="94"/>
      <c r="D72" s="53" t="s">
        <v>288</v>
      </c>
      <c r="E72" s="6"/>
      <c r="F72" s="6"/>
      <c r="G72" s="6"/>
      <c r="H72" s="6"/>
      <c r="I72" s="6"/>
      <c r="J72" s="6"/>
      <c r="K72" s="6"/>
    </row>
    <row r="73" spans="2:11" ht="15.75" thickBot="1" x14ac:dyDescent="0.3">
      <c r="B73" s="1806"/>
      <c r="C73" s="3"/>
      <c r="D73" s="41" t="s">
        <v>289</v>
      </c>
      <c r="E73" s="6"/>
      <c r="F73" s="6"/>
      <c r="G73" s="6"/>
      <c r="H73" s="6"/>
      <c r="I73" s="6"/>
      <c r="J73" s="6"/>
      <c r="K73" s="6"/>
    </row>
    <row r="74" spans="2:11" ht="24.75" thickBot="1" x14ac:dyDescent="0.3">
      <c r="B74" s="47" t="s">
        <v>72</v>
      </c>
      <c r="C74" s="3"/>
      <c r="D74" s="41"/>
      <c r="E74" s="6"/>
      <c r="F74" s="6"/>
      <c r="G74" s="6"/>
      <c r="H74" s="6"/>
      <c r="I74" s="6"/>
      <c r="J74" s="6"/>
      <c r="K74" s="6"/>
    </row>
    <row r="75" spans="2:11" ht="396" x14ac:dyDescent="0.25">
      <c r="B75" s="1804" t="s">
        <v>73</v>
      </c>
      <c r="C75" s="94"/>
      <c r="D75" s="46" t="s">
        <v>976</v>
      </c>
      <c r="E75" s="6"/>
      <c r="F75" s="6"/>
      <c r="G75" s="6"/>
      <c r="H75" s="6"/>
      <c r="I75" s="6"/>
      <c r="J75" s="6"/>
      <c r="K75" s="6"/>
    </row>
    <row r="76" spans="2:11" ht="216" x14ac:dyDescent="0.25">
      <c r="B76" s="1805"/>
      <c r="C76" s="94"/>
      <c r="D76" s="46" t="s">
        <v>977</v>
      </c>
      <c r="E76" s="6"/>
      <c r="F76" s="6"/>
      <c r="G76" s="6"/>
      <c r="H76" s="6"/>
      <c r="I76" s="6"/>
      <c r="J76" s="6"/>
      <c r="K76" s="6"/>
    </row>
    <row r="77" spans="2:11" ht="120" x14ac:dyDescent="0.25">
      <c r="B77" s="1805"/>
      <c r="C77" s="94"/>
      <c r="D77" s="46" t="s">
        <v>978</v>
      </c>
      <c r="E77" s="6"/>
      <c r="F77" s="6"/>
      <c r="G77" s="6"/>
      <c r="H77" s="6"/>
      <c r="I77" s="6"/>
      <c r="J77" s="6"/>
      <c r="K77" s="6"/>
    </row>
    <row r="78" spans="2:11" ht="108" x14ac:dyDescent="0.25">
      <c r="B78" s="1805"/>
      <c r="C78" s="94"/>
      <c r="D78" s="46" t="s">
        <v>979</v>
      </c>
      <c r="E78" s="6"/>
      <c r="F78" s="6"/>
      <c r="G78" s="6"/>
      <c r="H78" s="6"/>
      <c r="I78" s="6"/>
      <c r="J78" s="6"/>
      <c r="K78" s="6"/>
    </row>
    <row r="79" spans="2:11" ht="252" x14ac:dyDescent="0.25">
      <c r="B79" s="1805"/>
      <c r="C79" s="94"/>
      <c r="D79" s="46" t="s">
        <v>980</v>
      </c>
      <c r="E79" s="6"/>
      <c r="F79" s="6"/>
      <c r="G79" s="6"/>
      <c r="H79" s="6"/>
      <c r="I79" s="6"/>
      <c r="J79" s="6"/>
      <c r="K79" s="6"/>
    </row>
    <row r="80" spans="2:11" ht="48" x14ac:dyDescent="0.25">
      <c r="B80" s="1805"/>
      <c r="C80" s="94"/>
      <c r="D80" s="46" t="s">
        <v>981</v>
      </c>
      <c r="E80" s="6"/>
      <c r="F80" s="6"/>
      <c r="G80" s="6"/>
      <c r="H80" s="6"/>
      <c r="I80" s="6"/>
      <c r="J80" s="6"/>
      <c r="K80" s="6"/>
    </row>
    <row r="81" spans="2:11" ht="96" x14ac:dyDescent="0.25">
      <c r="B81" s="1805"/>
      <c r="C81" s="94"/>
      <c r="D81" s="61" t="s">
        <v>982</v>
      </c>
      <c r="E81" s="6"/>
      <c r="F81" s="6"/>
      <c r="G81" s="6"/>
      <c r="H81" s="6"/>
      <c r="I81" s="6"/>
      <c r="J81" s="6"/>
      <c r="K81" s="6"/>
    </row>
    <row r="82" spans="2:11" ht="60" x14ac:dyDescent="0.25">
      <c r="B82" s="1805"/>
      <c r="C82" s="94"/>
      <c r="D82" s="61" t="s">
        <v>983</v>
      </c>
      <c r="E82" s="6"/>
      <c r="F82" s="6"/>
      <c r="G82" s="6"/>
      <c r="H82" s="6"/>
      <c r="I82" s="6"/>
      <c r="J82" s="6"/>
      <c r="K82" s="6"/>
    </row>
    <row r="83" spans="2:11" ht="52.5" thickBot="1" x14ac:dyDescent="0.3">
      <c r="B83" s="1806"/>
      <c r="C83" s="3"/>
      <c r="D83" s="62" t="s">
        <v>984</v>
      </c>
      <c r="E83" s="6"/>
      <c r="F83" s="6"/>
      <c r="G83" s="6"/>
      <c r="H83" s="6"/>
      <c r="I83" s="6"/>
      <c r="J83" s="6"/>
      <c r="K83" s="6"/>
    </row>
    <row r="84" spans="2:11" ht="15.75" thickBot="1" x14ac:dyDescent="0.3">
      <c r="B84" s="2"/>
      <c r="C84" s="76"/>
      <c r="D84" s="6"/>
      <c r="E84" s="6"/>
      <c r="F84" s="6"/>
      <c r="G84" s="6"/>
      <c r="H84" s="6"/>
      <c r="I84" s="6"/>
      <c r="J84" s="6"/>
      <c r="K84" s="6"/>
    </row>
    <row r="85" spans="2:11" ht="48" x14ac:dyDescent="0.25">
      <c r="B85" s="1804" t="s">
        <v>90</v>
      </c>
      <c r="C85" s="105"/>
      <c r="D85" s="64" t="s">
        <v>985</v>
      </c>
      <c r="E85" s="6"/>
      <c r="F85" s="6"/>
      <c r="G85" s="6"/>
      <c r="H85" s="6"/>
      <c r="I85" s="6"/>
      <c r="J85" s="6"/>
      <c r="K85" s="6"/>
    </row>
    <row r="86" spans="2:11" x14ac:dyDescent="0.25">
      <c r="B86" s="1805"/>
      <c r="C86" s="94"/>
      <c r="D86" s="17"/>
      <c r="E86" s="6"/>
      <c r="F86" s="6"/>
      <c r="G86" s="6"/>
      <c r="H86" s="6"/>
      <c r="I86" s="6"/>
      <c r="J86" s="6"/>
      <c r="K86" s="6"/>
    </row>
    <row r="87" spans="2:11" x14ac:dyDescent="0.25">
      <c r="B87" s="1805"/>
      <c r="C87" s="94"/>
      <c r="D87" s="46" t="s">
        <v>91</v>
      </c>
      <c r="E87" s="6"/>
      <c r="F87" s="6"/>
      <c r="G87" s="6"/>
      <c r="H87" s="6"/>
      <c r="I87" s="6"/>
      <c r="J87" s="6"/>
      <c r="K87" s="6"/>
    </row>
    <row r="88" spans="2:11" ht="109.5" x14ac:dyDescent="0.25">
      <c r="B88" s="1805"/>
      <c r="C88" s="94"/>
      <c r="D88" s="46" t="s">
        <v>986</v>
      </c>
      <c r="E88" s="6"/>
      <c r="F88" s="6"/>
      <c r="G88" s="6"/>
      <c r="H88" s="6"/>
      <c r="I88" s="6"/>
      <c r="J88" s="6"/>
      <c r="K88" s="6"/>
    </row>
    <row r="89" spans="2:11" ht="97.5" x14ac:dyDescent="0.25">
      <c r="B89" s="1805"/>
      <c r="C89" s="94"/>
      <c r="D89" s="46" t="s">
        <v>987</v>
      </c>
      <c r="E89" s="6"/>
      <c r="F89" s="6"/>
      <c r="G89" s="6"/>
      <c r="H89" s="6"/>
      <c r="I89" s="6"/>
      <c r="J89" s="6"/>
      <c r="K89" s="6"/>
    </row>
    <row r="90" spans="2:11" ht="98.25" thickBot="1" x14ac:dyDescent="0.3">
      <c r="B90" s="1806"/>
      <c r="C90" s="3"/>
      <c r="D90" s="41" t="s">
        <v>988</v>
      </c>
      <c r="E90" s="6"/>
      <c r="F90" s="6"/>
      <c r="G90" s="6"/>
      <c r="H90" s="6"/>
      <c r="I90" s="6"/>
      <c r="J90" s="6"/>
      <c r="K90" s="6"/>
    </row>
    <row r="91" spans="2:11" x14ac:dyDescent="0.25">
      <c r="B91" s="6"/>
      <c r="D91" s="6"/>
      <c r="E91" s="6"/>
      <c r="F91" s="6"/>
      <c r="G91" s="6"/>
      <c r="H91" s="6"/>
      <c r="I91" s="6"/>
      <c r="J91" s="6"/>
      <c r="K91" s="6"/>
    </row>
  </sheetData>
  <sheetProtection insertRows="0"/>
  <mergeCells count="26">
    <mergeCell ref="A1:P1"/>
    <mergeCell ref="A2:P2"/>
    <mergeCell ref="A3:P3"/>
    <mergeCell ref="A4:D4"/>
    <mergeCell ref="A5:P5"/>
    <mergeCell ref="B9:D9"/>
    <mergeCell ref="F9:S9"/>
    <mergeCell ref="F10:S10"/>
    <mergeCell ref="E11:R11"/>
    <mergeCell ref="E12:R12"/>
    <mergeCell ref="D13:J13"/>
    <mergeCell ref="D18:J18"/>
    <mergeCell ref="D19:J19"/>
    <mergeCell ref="B62:D62"/>
    <mergeCell ref="D31:J31"/>
    <mergeCell ref="D32:J32"/>
    <mergeCell ref="B34:E34"/>
    <mergeCell ref="B35:B41"/>
    <mergeCell ref="B43:E43"/>
    <mergeCell ref="B44:B50"/>
    <mergeCell ref="B58:E59"/>
    <mergeCell ref="B63:B67"/>
    <mergeCell ref="B68:B73"/>
    <mergeCell ref="B75:B83"/>
    <mergeCell ref="B85:B90"/>
    <mergeCell ref="B13:B30"/>
  </mergeCells>
  <conditionalFormatting sqref="F9">
    <cfRule type="notContainsBlanks" dxfId="29" priority="4">
      <formula>LEN(TRIM(F9))&gt;0</formula>
    </cfRule>
  </conditionalFormatting>
  <conditionalFormatting sqref="F10:S10">
    <cfRule type="expression" dxfId="28" priority="2">
      <formula>E10="NO SE REPORTA"</formula>
    </cfRule>
    <cfRule type="expression" dxfId="27" priority="3">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0">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 ref="E39" r:id="rId1"/>
  </hyperlinks>
  <pageMargins left="0.25" right="0.25" top="0.75" bottom="0.75" header="0.3" footer="0.3"/>
  <pageSetup paperSize="178" orientation="landscape" horizontalDpi="1200" verticalDpi="1200" r:id="rId2"/>
  <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5"/>
  <dimension ref="A1:U139"/>
  <sheetViews>
    <sheetView showGridLines="0" zoomScale="80" zoomScaleNormal="80" workbookViewId="0">
      <selection activeCell="E13" sqref="E13:R13"/>
    </sheetView>
  </sheetViews>
  <sheetFormatPr baseColWidth="10" defaultRowHeight="15" x14ac:dyDescent="0.25"/>
  <cols>
    <col min="1" max="1" width="1.85546875" customWidth="1"/>
    <col min="2" max="2" width="10.5703125" customWidth="1"/>
    <col min="3" max="3" width="5" style="87" bestFit="1" customWidth="1"/>
    <col min="4" max="4" width="34.85546875" customWidth="1"/>
    <col min="5" max="5" width="12.140625"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997</v>
      </c>
      <c r="B5" s="1713"/>
      <c r="C5" s="1713"/>
      <c r="D5" s="1713"/>
      <c r="E5" s="1713"/>
      <c r="F5" s="1713"/>
      <c r="G5" s="1713"/>
      <c r="H5" s="1713"/>
      <c r="I5" s="1713"/>
      <c r="J5" s="1713"/>
      <c r="K5" s="1713"/>
      <c r="L5" s="1713"/>
      <c r="M5" s="1713"/>
      <c r="N5" s="1713"/>
      <c r="O5" s="1713"/>
      <c r="P5" s="1714"/>
    </row>
    <row r="6" spans="1:21" x14ac:dyDescent="0.25">
      <c r="B6" s="2" t="s">
        <v>1</v>
      </c>
      <c r="C6" s="76"/>
      <c r="D6" s="6"/>
      <c r="E6" s="221"/>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1188</v>
      </c>
      <c r="C8" s="222">
        <v>2021</v>
      </c>
      <c r="D8" s="226">
        <f>IF(E10="NO APLICA","NO APLICA",IF(E11="NO SE REPORTA","SIN INFORMACION",+F81))</f>
        <v>3.8461538461538464E-2</v>
      </c>
      <c r="E8" s="223"/>
      <c r="F8" s="6" t="s">
        <v>130</v>
      </c>
      <c r="G8" s="6"/>
      <c r="H8" s="6"/>
      <c r="I8" s="6"/>
      <c r="J8" s="6"/>
      <c r="K8" s="6"/>
    </row>
    <row r="9" spans="1:21" x14ac:dyDescent="0.25">
      <c r="B9" s="497" t="s">
        <v>1189</v>
      </c>
      <c r="C9" s="88"/>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81" t="str">
        <f>'Anexo 1 Matriz Inf Gestión'!A19</f>
        <v>Proyecto No 1.2. Gestión del Riesgo y adaptación al Cambio Climático (2)</v>
      </c>
      <c r="F12" s="1781"/>
      <c r="G12" s="1781"/>
      <c r="H12" s="1781"/>
      <c r="I12" s="1781"/>
      <c r="J12" s="1781"/>
      <c r="K12" s="1781"/>
      <c r="L12" s="1781"/>
      <c r="M12" s="1781"/>
      <c r="N12" s="1781"/>
      <c r="O12" s="1781"/>
      <c r="P12" s="1781"/>
      <c r="Q12" s="1781"/>
      <c r="R12" s="1781"/>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8"/>
      <c r="D14" s="6"/>
      <c r="E14" s="6"/>
      <c r="F14" s="6"/>
      <c r="G14" s="6"/>
      <c r="H14" s="6"/>
      <c r="I14" s="6"/>
      <c r="J14" s="6"/>
      <c r="K14" s="6"/>
    </row>
    <row r="15" spans="1:21" ht="15" customHeight="1" thickTop="1" x14ac:dyDescent="0.25">
      <c r="B15" s="1823" t="s">
        <v>2</v>
      </c>
      <c r="C15" s="89"/>
      <c r="D15" s="1825" t="s">
        <v>3</v>
      </c>
      <c r="E15" s="1826"/>
      <c r="F15" s="1826"/>
      <c r="G15" s="1826"/>
      <c r="H15" s="1826"/>
      <c r="I15" s="1826"/>
      <c r="J15" s="1826"/>
      <c r="K15" s="1826"/>
      <c r="L15" s="1913"/>
      <c r="M15" s="1876"/>
    </row>
    <row r="16" spans="1:21" x14ac:dyDescent="0.25">
      <c r="B16" s="1824"/>
      <c r="C16" s="92"/>
      <c r="D16" s="1940" t="s">
        <v>1016</v>
      </c>
      <c r="E16" s="1941"/>
      <c r="F16" s="1941"/>
      <c r="G16" s="1941"/>
      <c r="H16" s="1941"/>
      <c r="I16" s="1941"/>
      <c r="J16" s="1941"/>
      <c r="K16" s="1941"/>
      <c r="L16" s="2000"/>
      <c r="M16" s="1964"/>
    </row>
    <row r="17" spans="2:14" ht="15.75" thickBot="1" x14ac:dyDescent="0.3">
      <c r="B17" s="1824"/>
      <c r="C17" s="92"/>
      <c r="D17" s="1828" t="s">
        <v>1017</v>
      </c>
      <c r="E17" s="1829"/>
      <c r="F17" s="1829"/>
      <c r="G17" s="1829"/>
      <c r="H17" s="1829"/>
      <c r="I17" s="1829"/>
      <c r="J17" s="1829"/>
      <c r="K17" s="1829"/>
      <c r="L17" s="1893"/>
      <c r="M17" s="1861"/>
    </row>
    <row r="18" spans="2:14" ht="15.75" thickBot="1" x14ac:dyDescent="0.3">
      <c r="B18" s="1824"/>
      <c r="C18" s="94"/>
      <c r="D18" s="2002" t="s">
        <v>1018</v>
      </c>
      <c r="E18" s="1909" t="s">
        <v>1019</v>
      </c>
      <c r="F18" s="1911"/>
      <c r="G18" s="1909" t="s">
        <v>1020</v>
      </c>
      <c r="H18" s="1911"/>
      <c r="I18" s="1909" t="s">
        <v>151</v>
      </c>
      <c r="J18" s="1911"/>
      <c r="K18" s="59"/>
      <c r="M18" s="14"/>
    </row>
    <row r="19" spans="2:14" ht="15.75" thickBot="1" x14ac:dyDescent="0.3">
      <c r="B19" s="1824"/>
      <c r="C19" s="94"/>
      <c r="D19" s="2003"/>
      <c r="E19" s="40" t="s">
        <v>1021</v>
      </c>
      <c r="F19" s="40" t="s">
        <v>1022</v>
      </c>
      <c r="G19" s="40" t="s">
        <v>1021</v>
      </c>
      <c r="H19" s="40" t="s">
        <v>1022</v>
      </c>
      <c r="I19" s="40" t="s">
        <v>1021</v>
      </c>
      <c r="J19" s="40" t="s">
        <v>1022</v>
      </c>
      <c r="M19" s="14"/>
    </row>
    <row r="20" spans="2:14" ht="15.75" thickBot="1" x14ac:dyDescent="0.3">
      <c r="B20" s="436"/>
      <c r="C20" s="94"/>
      <c r="D20" s="40" t="s">
        <v>1023</v>
      </c>
      <c r="E20" s="7">
        <v>9</v>
      </c>
      <c r="F20" s="7">
        <v>2</v>
      </c>
      <c r="G20" s="7">
        <v>17</v>
      </c>
      <c r="H20" s="7">
        <v>0</v>
      </c>
      <c r="I20" s="219">
        <f>+E20+G20</f>
        <v>26</v>
      </c>
      <c r="J20" s="219">
        <f>+F20+H20</f>
        <v>2</v>
      </c>
      <c r="M20" s="14"/>
    </row>
    <row r="21" spans="2:14" x14ac:dyDescent="0.25">
      <c r="B21" s="436"/>
      <c r="C21" s="101"/>
      <c r="D21" s="1828"/>
      <c r="E21" s="1829"/>
      <c r="F21" s="1829"/>
      <c r="G21" s="1829"/>
      <c r="H21" s="1829"/>
      <c r="I21" s="1829"/>
      <c r="J21" s="1829"/>
      <c r="K21" s="1829"/>
      <c r="L21" s="1893"/>
      <c r="M21" s="1861"/>
    </row>
    <row r="22" spans="2:14" ht="15.75" thickBot="1" x14ac:dyDescent="0.3">
      <c r="B22" s="436"/>
      <c r="C22" s="92"/>
      <c r="D22" s="438"/>
      <c r="E22" s="438"/>
      <c r="F22" s="488" t="s">
        <v>55</v>
      </c>
      <c r="G22" s="438"/>
      <c r="H22" s="438"/>
      <c r="I22" s="438"/>
      <c r="J22" s="438"/>
      <c r="K22" s="438"/>
      <c r="L22" s="485"/>
      <c r="M22" s="486"/>
    </row>
    <row r="23" spans="2:14" ht="24.75" thickBot="1" x14ac:dyDescent="0.3">
      <c r="B23" s="436"/>
      <c r="C23" s="94"/>
      <c r="D23" s="43" t="s">
        <v>1024</v>
      </c>
      <c r="E23" s="484">
        <f>+I20</f>
        <v>26</v>
      </c>
      <c r="F23" s="487"/>
      <c r="G23" s="6"/>
      <c r="H23" s="6"/>
      <c r="I23" s="6"/>
      <c r="J23" s="6"/>
      <c r="K23" s="6"/>
      <c r="M23" s="14"/>
    </row>
    <row r="24" spans="2:14" ht="24.75" thickBot="1" x14ac:dyDescent="0.3">
      <c r="B24" s="436"/>
      <c r="C24" s="94"/>
      <c r="D24" s="41" t="s">
        <v>1025</v>
      </c>
      <c r="E24" s="484">
        <f>+J20</f>
        <v>2</v>
      </c>
      <c r="F24" s="198"/>
      <c r="G24" s="6"/>
      <c r="H24" s="6"/>
      <c r="I24" s="6"/>
      <c r="J24" s="6"/>
      <c r="K24" s="6"/>
      <c r="M24" s="14"/>
    </row>
    <row r="25" spans="2:14" ht="24.75" thickBot="1" x14ac:dyDescent="0.3">
      <c r="B25" s="436"/>
      <c r="C25" s="94"/>
      <c r="D25" s="41" t="s">
        <v>1026</v>
      </c>
      <c r="E25" s="469">
        <f>+E24/E23</f>
        <v>7.6923076923076927E-2</v>
      </c>
      <c r="F25" s="198"/>
      <c r="G25" s="6"/>
      <c r="H25" s="6"/>
      <c r="I25" s="6"/>
      <c r="J25" s="6"/>
      <c r="K25" s="6"/>
      <c r="M25" s="14"/>
    </row>
    <row r="26" spans="2:14" x14ac:dyDescent="0.25">
      <c r="B26" s="436"/>
      <c r="C26" s="92"/>
      <c r="D26" s="1940" t="s">
        <v>1027</v>
      </c>
      <c r="E26" s="1941"/>
      <c r="F26" s="1941"/>
      <c r="G26" s="1941"/>
      <c r="H26" s="1941"/>
      <c r="I26" s="1941"/>
      <c r="J26" s="1941"/>
      <c r="K26" s="1941"/>
      <c r="L26" s="2000"/>
      <c r="M26" s="1964"/>
    </row>
    <row r="27" spans="2:14" ht="15.75" thickBot="1" x14ac:dyDescent="0.3">
      <c r="B27" s="436"/>
      <c r="C27" s="92"/>
      <c r="D27" s="1810" t="s">
        <v>1028</v>
      </c>
      <c r="E27" s="1811"/>
      <c r="F27" s="1811"/>
      <c r="G27" s="1811"/>
      <c r="H27" s="1811"/>
      <c r="I27" s="1811"/>
      <c r="J27" s="1811"/>
      <c r="K27" s="1811"/>
      <c r="L27" s="1892"/>
      <c r="M27" s="1862"/>
    </row>
    <row r="28" spans="2:14" ht="24.75" thickBot="1" x14ac:dyDescent="0.3">
      <c r="B28" s="436"/>
      <c r="C28" s="94"/>
      <c r="D28" s="43" t="s">
        <v>1029</v>
      </c>
      <c r="E28" s="465">
        <v>1</v>
      </c>
      <c r="F28" s="6"/>
      <c r="G28" s="6"/>
      <c r="H28" s="6"/>
      <c r="I28" s="6"/>
      <c r="J28" s="6"/>
      <c r="K28" s="6"/>
      <c r="M28" s="14"/>
    </row>
    <row r="29" spans="2:14" ht="24.75" thickBot="1" x14ac:dyDescent="0.3">
      <c r="B29" s="436"/>
      <c r="C29" s="94"/>
      <c r="D29" s="41" t="s">
        <v>1030</v>
      </c>
      <c r="E29" s="465">
        <v>10</v>
      </c>
      <c r="F29" s="6"/>
      <c r="G29" s="6"/>
      <c r="H29" s="6"/>
      <c r="I29" s="6"/>
      <c r="J29" s="6"/>
      <c r="K29" s="6"/>
      <c r="M29" s="14"/>
    </row>
    <row r="30" spans="2:14" ht="24.75" thickBot="1" x14ac:dyDescent="0.3">
      <c r="B30" s="436"/>
      <c r="C30" s="94"/>
      <c r="D30" s="41" t="s">
        <v>1031</v>
      </c>
      <c r="E30" s="465">
        <v>1</v>
      </c>
      <c r="F30" s="6"/>
      <c r="G30" s="6"/>
      <c r="H30" s="6"/>
      <c r="I30" s="6"/>
      <c r="J30" s="6"/>
      <c r="K30" s="6"/>
      <c r="M30" s="14"/>
    </row>
    <row r="31" spans="2:14" ht="15.75" thickBot="1" x14ac:dyDescent="0.3">
      <c r="B31" s="436"/>
      <c r="C31" s="92"/>
      <c r="D31" s="1856" t="s">
        <v>1032</v>
      </c>
      <c r="E31" s="1857"/>
      <c r="F31" s="1857"/>
      <c r="G31" s="1857"/>
      <c r="H31" s="1857"/>
      <c r="I31" s="1857"/>
      <c r="J31" s="1857"/>
      <c r="K31" s="1857"/>
      <c r="L31" s="2001"/>
      <c r="M31" s="1863"/>
    </row>
    <row r="32" spans="2:14" ht="15.75" thickBot="1" x14ac:dyDescent="0.3">
      <c r="B32" s="436"/>
      <c r="C32" s="98" t="s">
        <v>19</v>
      </c>
      <c r="D32" s="43" t="s">
        <v>1033</v>
      </c>
      <c r="E32" s="1154">
        <v>1</v>
      </c>
      <c r="F32" s="1154" t="s">
        <v>3125</v>
      </c>
      <c r="G32" s="1154" t="s">
        <v>3125</v>
      </c>
      <c r="H32" s="1154" t="s">
        <v>3125</v>
      </c>
      <c r="I32" s="1154" t="s">
        <v>3125</v>
      </c>
      <c r="J32" s="1154" t="s">
        <v>3125</v>
      </c>
      <c r="K32" s="1154" t="s">
        <v>3125</v>
      </c>
      <c r="L32" s="1154" t="s">
        <v>3125</v>
      </c>
      <c r="M32" s="1154" t="s">
        <v>3125</v>
      </c>
      <c r="N32" s="1154" t="s">
        <v>3125</v>
      </c>
    </row>
    <row r="33" spans="2:14" ht="15.75" thickBot="1" x14ac:dyDescent="0.3">
      <c r="B33" s="436"/>
      <c r="C33" s="3" t="s">
        <v>152</v>
      </c>
      <c r="D33" s="41" t="s">
        <v>1034</v>
      </c>
      <c r="E33" s="489" t="s">
        <v>3126</v>
      </c>
      <c r="F33" s="489" t="s">
        <v>3127</v>
      </c>
      <c r="G33" s="489" t="s">
        <v>3128</v>
      </c>
      <c r="H33" s="489" t="s">
        <v>3129</v>
      </c>
      <c r="I33" s="489" t="s">
        <v>3130</v>
      </c>
      <c r="J33" s="489" t="s">
        <v>3131</v>
      </c>
      <c r="K33" s="489" t="s">
        <v>3132</v>
      </c>
      <c r="L33" s="490" t="s">
        <v>3133</v>
      </c>
      <c r="M33" s="1280" t="s">
        <v>3134</v>
      </c>
      <c r="N33" s="1280" t="s">
        <v>3390</v>
      </c>
    </row>
    <row r="34" spans="2:14" ht="15.75" thickBot="1" x14ac:dyDescent="0.3">
      <c r="B34" s="436"/>
      <c r="C34" s="3" t="s">
        <v>154</v>
      </c>
      <c r="D34" s="439" t="s">
        <v>1035</v>
      </c>
      <c r="E34" s="394" t="s">
        <v>3126</v>
      </c>
      <c r="F34" s="394" t="s">
        <v>3127</v>
      </c>
      <c r="G34" s="394" t="s">
        <v>3128</v>
      </c>
      <c r="H34" s="492" t="s">
        <v>3135</v>
      </c>
      <c r="I34" s="492" t="s">
        <v>3136</v>
      </c>
      <c r="J34" s="492" t="s">
        <v>3136</v>
      </c>
      <c r="K34" s="492" t="s">
        <v>3128</v>
      </c>
      <c r="L34" s="493" t="s">
        <v>3128</v>
      </c>
      <c r="M34" s="1280" t="s">
        <v>3137</v>
      </c>
      <c r="N34" s="1280" t="s">
        <v>3128</v>
      </c>
    </row>
    <row r="35" spans="2:14" ht="24.75" thickBot="1" x14ac:dyDescent="0.3">
      <c r="B35" s="436"/>
      <c r="C35" s="3" t="s">
        <v>156</v>
      </c>
      <c r="D35" s="439" t="s">
        <v>1036</v>
      </c>
      <c r="E35" s="1166"/>
      <c r="F35" s="1166"/>
      <c r="G35" s="1166"/>
      <c r="H35" s="1166"/>
      <c r="I35" s="1166"/>
      <c r="J35" s="1166"/>
      <c r="K35" s="1166"/>
      <c r="L35" s="1166"/>
      <c r="M35" s="1166">
        <v>0</v>
      </c>
      <c r="N35" s="1166">
        <v>96</v>
      </c>
    </row>
    <row r="36" spans="2:14" ht="24.75" thickBot="1" x14ac:dyDescent="0.3">
      <c r="B36" s="436"/>
      <c r="C36" s="3" t="s">
        <v>258</v>
      </c>
      <c r="D36" s="439" t="s">
        <v>1037</v>
      </c>
      <c r="E36" s="1166"/>
      <c r="F36" s="1166"/>
      <c r="G36" s="1166"/>
      <c r="H36" s="1166"/>
      <c r="I36" s="1166"/>
      <c r="J36" s="1166"/>
      <c r="K36" s="1166"/>
      <c r="L36" s="1166"/>
      <c r="M36" s="1166">
        <v>0</v>
      </c>
      <c r="N36" s="1167">
        <v>69</v>
      </c>
    </row>
    <row r="37" spans="2:14" ht="24.75" thickBot="1" x14ac:dyDescent="0.3">
      <c r="B37" s="436"/>
      <c r="C37" s="1894" t="s">
        <v>260</v>
      </c>
      <c r="D37" s="46" t="s">
        <v>1038</v>
      </c>
      <c r="E37" s="491" t="str">
        <f>IFERROR(E36/E35,"N.A.")</f>
        <v>N.A.</v>
      </c>
      <c r="F37" s="491" t="str">
        <f t="shared" ref="F37:N37" si="0">IFERROR(F36/F35,"N.A.")</f>
        <v>N.A.</v>
      </c>
      <c r="G37" s="491" t="str">
        <f t="shared" si="0"/>
        <v>N.A.</v>
      </c>
      <c r="H37" s="491" t="str">
        <f t="shared" si="0"/>
        <v>N.A.</v>
      </c>
      <c r="I37" s="491" t="str">
        <f t="shared" si="0"/>
        <v>N.A.</v>
      </c>
      <c r="J37" s="491" t="str">
        <f t="shared" si="0"/>
        <v>N.A.</v>
      </c>
      <c r="K37" s="491" t="str">
        <f t="shared" si="0"/>
        <v>N.A.</v>
      </c>
      <c r="L37" s="491" t="str">
        <f t="shared" si="0"/>
        <v>N.A.</v>
      </c>
      <c r="M37" s="491" t="str">
        <f t="shared" si="0"/>
        <v>N.A.</v>
      </c>
      <c r="N37" s="491">
        <f t="shared" si="0"/>
        <v>0.71875</v>
      </c>
    </row>
    <row r="38" spans="2:14" ht="24.75" thickBot="1" x14ac:dyDescent="0.3">
      <c r="B38" s="436"/>
      <c r="C38" s="1895"/>
      <c r="D38" s="41" t="s">
        <v>1039</v>
      </c>
      <c r="E38" s="156" t="str">
        <f>+IF(E37="N.A.","N.A.",IF(E37&gt;=75%,1,0))</f>
        <v>N.A.</v>
      </c>
      <c r="F38" s="156" t="str">
        <f t="shared" ref="F38:N38" si="1">+IF(F37="N.A.","N.A.",IF(F37&gt;=75%,1,0))</f>
        <v>N.A.</v>
      </c>
      <c r="G38" s="156" t="str">
        <f t="shared" si="1"/>
        <v>N.A.</v>
      </c>
      <c r="H38" s="156" t="str">
        <f t="shared" si="1"/>
        <v>N.A.</v>
      </c>
      <c r="I38" s="156" t="str">
        <f t="shared" si="1"/>
        <v>N.A.</v>
      </c>
      <c r="J38" s="156" t="str">
        <f t="shared" si="1"/>
        <v>N.A.</v>
      </c>
      <c r="K38" s="156" t="str">
        <f t="shared" si="1"/>
        <v>N.A.</v>
      </c>
      <c r="L38" s="156" t="str">
        <f t="shared" si="1"/>
        <v>N.A.</v>
      </c>
      <c r="M38" s="156" t="str">
        <f t="shared" si="1"/>
        <v>N.A.</v>
      </c>
      <c r="N38" s="156">
        <f t="shared" si="1"/>
        <v>0</v>
      </c>
    </row>
    <row r="39" spans="2:14" ht="15.75" thickBot="1" x14ac:dyDescent="0.3">
      <c r="B39" s="436"/>
      <c r="C39" s="3" t="s">
        <v>262</v>
      </c>
      <c r="D39" s="41" t="s">
        <v>1040</v>
      </c>
      <c r="E39" s="1168">
        <v>1</v>
      </c>
      <c r="F39" s="1169">
        <v>2</v>
      </c>
      <c r="G39" s="1169">
        <v>3</v>
      </c>
      <c r="H39" s="1169">
        <v>4</v>
      </c>
      <c r="I39" s="1169">
        <v>5</v>
      </c>
      <c r="J39" s="1169">
        <v>6</v>
      </c>
      <c r="K39" s="1169">
        <v>7</v>
      </c>
      <c r="L39" s="1169">
        <v>8</v>
      </c>
      <c r="M39" s="1169">
        <v>9</v>
      </c>
      <c r="N39" s="1169">
        <v>10</v>
      </c>
    </row>
    <row r="40" spans="2:14" x14ac:dyDescent="0.25">
      <c r="B40" s="436"/>
      <c r="C40" s="92"/>
      <c r="D40" s="1825"/>
      <c r="E40" s="1826"/>
      <c r="F40" s="1826"/>
      <c r="G40" s="1826"/>
      <c r="H40" s="1826"/>
      <c r="I40" s="1826"/>
      <c r="J40" s="1826"/>
      <c r="K40" s="1826"/>
      <c r="L40" s="1913"/>
      <c r="M40" s="1876"/>
    </row>
    <row r="41" spans="2:14" ht="15.75" thickBot="1" x14ac:dyDescent="0.3">
      <c r="B41" s="436"/>
      <c r="C41" s="92"/>
      <c r="D41" s="1828" t="s">
        <v>1041</v>
      </c>
      <c r="E41" s="1829"/>
      <c r="F41" s="1829"/>
      <c r="G41" s="1829"/>
      <c r="H41" s="1829"/>
      <c r="I41" s="1829"/>
      <c r="J41" s="1829"/>
      <c r="K41" s="1829"/>
      <c r="L41" s="1893"/>
      <c r="M41" s="1861"/>
    </row>
    <row r="42" spans="2:14" ht="15.75" thickBot="1" x14ac:dyDescent="0.3">
      <c r="B42" s="436"/>
      <c r="C42" s="98" t="s">
        <v>19</v>
      </c>
      <c r="D42" s="43" t="s">
        <v>1042</v>
      </c>
      <c r="E42" s="7">
        <v>1</v>
      </c>
      <c r="F42" s="7"/>
      <c r="G42" s="7"/>
      <c r="H42" s="43" t="s">
        <v>151</v>
      </c>
      <c r="I42" s="6"/>
      <c r="J42" s="163" t="s">
        <v>1182</v>
      </c>
      <c r="K42" s="6"/>
      <c r="M42" s="14"/>
    </row>
    <row r="43" spans="2:14" ht="15.75" thickBot="1" x14ac:dyDescent="0.3">
      <c r="B43" s="436"/>
      <c r="C43" s="3" t="s">
        <v>264</v>
      </c>
      <c r="D43" s="41" t="s">
        <v>1043</v>
      </c>
      <c r="E43" s="1202">
        <v>1</v>
      </c>
      <c r="F43" s="31"/>
      <c r="G43" s="31"/>
      <c r="H43" s="157">
        <f>MAX(E42:G42)</f>
        <v>1</v>
      </c>
      <c r="I43" s="6"/>
      <c r="K43" s="6"/>
      <c r="M43" s="14"/>
    </row>
    <row r="44" spans="2:14" ht="15.75" thickBot="1" x14ac:dyDescent="0.3">
      <c r="B44" s="436"/>
      <c r="C44" s="3" t="s">
        <v>266</v>
      </c>
      <c r="D44" s="41" t="s">
        <v>1047</v>
      </c>
      <c r="E44" s="7">
        <v>10</v>
      </c>
      <c r="F44" s="7"/>
      <c r="G44" s="7"/>
      <c r="H44" s="158">
        <f>SUM(E44:G44)</f>
        <v>10</v>
      </c>
      <c r="I44" s="6"/>
      <c r="J44" s="6"/>
      <c r="K44" s="6"/>
      <c r="M44" s="14"/>
    </row>
    <row r="45" spans="2:14" ht="36.75" thickBot="1" x14ac:dyDescent="0.3">
      <c r="B45" s="436"/>
      <c r="C45" s="3" t="s">
        <v>268</v>
      </c>
      <c r="D45" s="41" t="s">
        <v>1048</v>
      </c>
      <c r="E45" s="7">
        <v>0</v>
      </c>
      <c r="F45" s="7"/>
      <c r="G45" s="7"/>
      <c r="H45" s="158">
        <f>SUM(E45:G45)</f>
        <v>0</v>
      </c>
      <c r="I45" s="6"/>
      <c r="J45" s="6"/>
      <c r="K45" s="6"/>
      <c r="M45" s="14"/>
    </row>
    <row r="46" spans="2:14" ht="24.75" thickBot="1" x14ac:dyDescent="0.3">
      <c r="B46" s="436"/>
      <c r="C46" s="1894" t="s">
        <v>1049</v>
      </c>
      <c r="D46" s="46" t="s">
        <v>1050</v>
      </c>
      <c r="E46" s="155">
        <f>IFERROR(E45/E44,"N.A.")</f>
        <v>0</v>
      </c>
      <c r="F46" s="155" t="str">
        <f>IFERROR(F45/F44,"N.A.")</f>
        <v>N.A.</v>
      </c>
      <c r="G46" s="155" t="str">
        <f>IFERROR(G45/G44,"N.A.")</f>
        <v>N.A.</v>
      </c>
      <c r="H46" s="159"/>
      <c r="I46" s="6"/>
      <c r="J46" s="6"/>
      <c r="K46" s="6"/>
      <c r="M46" s="14"/>
    </row>
    <row r="47" spans="2:14" ht="24.75" thickBot="1" x14ac:dyDescent="0.3">
      <c r="B47" s="436"/>
      <c r="C47" s="1895"/>
      <c r="D47" s="41" t="s">
        <v>1051</v>
      </c>
      <c r="E47" s="156">
        <f>+IF(E46="N.A.","N.A.",IF(E46&gt;=75%,1,0))</f>
        <v>0</v>
      </c>
      <c r="F47" s="156" t="str">
        <f>+IF(F46="N.A.","N.A.",IF(F46&gt;=75%,1,0))</f>
        <v>N.A.</v>
      </c>
      <c r="G47" s="156" t="str">
        <f>+IF(G46="N.A.","N.A.",IF(G46&gt;=75%,1,0))</f>
        <v>N.A.</v>
      </c>
      <c r="H47" s="158">
        <f>SUM(E47:G47)</f>
        <v>0</v>
      </c>
      <c r="I47" s="6"/>
      <c r="J47" s="6"/>
      <c r="K47" s="6"/>
      <c r="M47" s="14"/>
    </row>
    <row r="48" spans="2:14" ht="15.75" thickBot="1" x14ac:dyDescent="0.3">
      <c r="B48" s="436"/>
      <c r="C48" s="3" t="s">
        <v>1052</v>
      </c>
      <c r="D48" s="1816" t="s">
        <v>1053</v>
      </c>
      <c r="E48" s="1817"/>
      <c r="F48" s="1817"/>
      <c r="G48" s="1818"/>
      <c r="H48" s="220">
        <f>IFERROR(H47/H43,"N.A.")</f>
        <v>0</v>
      </c>
      <c r="I48" s="6"/>
      <c r="J48" s="6"/>
      <c r="K48" s="6"/>
      <c r="M48" s="14"/>
    </row>
    <row r="49" spans="2:13" ht="15.75" thickBot="1" x14ac:dyDescent="0.3">
      <c r="B49" s="436"/>
      <c r="C49" s="92"/>
      <c r="D49" s="1940" t="s">
        <v>1054</v>
      </c>
      <c r="E49" s="1941"/>
      <c r="F49" s="1941"/>
      <c r="G49" s="1941"/>
      <c r="H49" s="1941"/>
      <c r="I49" s="1941"/>
      <c r="J49" s="1941"/>
      <c r="K49" s="1941"/>
      <c r="L49" s="2000"/>
      <c r="M49" s="1964"/>
    </row>
    <row r="50" spans="2:13" ht="24.75" thickBot="1" x14ac:dyDescent="0.3">
      <c r="B50" s="436"/>
      <c r="C50" s="94"/>
      <c r="D50" s="43" t="s">
        <v>1029</v>
      </c>
      <c r="E50" s="7">
        <v>1</v>
      </c>
      <c r="F50" s="6"/>
      <c r="G50" s="6"/>
      <c r="H50" s="6"/>
      <c r="I50" s="6"/>
      <c r="J50" s="6"/>
      <c r="K50" s="6"/>
      <c r="M50" s="14"/>
    </row>
    <row r="51" spans="2:13" ht="24.75" thickBot="1" x14ac:dyDescent="0.3">
      <c r="B51" s="436"/>
      <c r="C51" s="94"/>
      <c r="D51" s="41" t="s">
        <v>1030</v>
      </c>
      <c r="E51" s="7">
        <v>1</v>
      </c>
      <c r="F51" s="6"/>
      <c r="G51" s="6"/>
      <c r="H51" s="6"/>
      <c r="I51" s="6"/>
      <c r="J51" s="6"/>
      <c r="K51" s="6"/>
      <c r="M51" s="14"/>
    </row>
    <row r="52" spans="2:13" ht="24.75" thickBot="1" x14ac:dyDescent="0.3">
      <c r="B52" s="436"/>
      <c r="C52" s="94"/>
      <c r="D52" s="41" t="s">
        <v>1031</v>
      </c>
      <c r="E52" s="7">
        <v>0</v>
      </c>
      <c r="F52" s="6"/>
      <c r="G52" s="6"/>
      <c r="H52" s="6"/>
      <c r="I52" s="6"/>
      <c r="J52" s="6"/>
      <c r="K52" s="6"/>
      <c r="M52" s="14"/>
    </row>
    <row r="53" spans="2:13" ht="15.75" thickBot="1" x14ac:dyDescent="0.3">
      <c r="B53" s="436"/>
      <c r="C53" s="92"/>
      <c r="D53" s="1856" t="s">
        <v>1032</v>
      </c>
      <c r="E53" s="1857"/>
      <c r="F53" s="1857"/>
      <c r="G53" s="1857"/>
      <c r="H53" s="1857"/>
      <c r="I53" s="1857"/>
      <c r="J53" s="1857"/>
      <c r="K53" s="1857"/>
      <c r="L53" s="2001"/>
      <c r="M53" s="1863"/>
    </row>
    <row r="54" spans="2:13" ht="15.75" thickBot="1" x14ac:dyDescent="0.3">
      <c r="B54" s="436"/>
      <c r="C54" s="98" t="s">
        <v>19</v>
      </c>
      <c r="D54" s="43" t="s">
        <v>1033</v>
      </c>
      <c r="E54" s="999">
        <v>1</v>
      </c>
      <c r="F54" s="435"/>
      <c r="G54" s="435"/>
      <c r="H54" s="435"/>
      <c r="I54" s="435"/>
      <c r="J54" s="435"/>
      <c r="K54" s="435"/>
      <c r="L54" s="466"/>
      <c r="M54" s="119"/>
    </row>
    <row r="55" spans="2:13" ht="15.75" thickBot="1" x14ac:dyDescent="0.3">
      <c r="B55" s="436"/>
      <c r="C55" s="3" t="s">
        <v>152</v>
      </c>
      <c r="D55" s="41" t="s">
        <v>1034</v>
      </c>
      <c r="E55" s="1202" t="s">
        <v>3390</v>
      </c>
      <c r="F55" s="31"/>
      <c r="G55" s="31"/>
      <c r="H55" s="31"/>
      <c r="I55" s="31"/>
      <c r="J55" s="31"/>
      <c r="K55" s="31"/>
      <c r="L55" s="467"/>
      <c r="M55" s="12"/>
    </row>
    <row r="56" spans="2:13" ht="15.75" thickBot="1" x14ac:dyDescent="0.3">
      <c r="B56" s="436"/>
      <c r="C56" s="3" t="s">
        <v>154</v>
      </c>
      <c r="D56" s="41" t="s">
        <v>1035</v>
      </c>
      <c r="E56" s="1202" t="s">
        <v>3128</v>
      </c>
      <c r="F56" s="31"/>
      <c r="G56" s="31"/>
      <c r="H56" s="31"/>
      <c r="I56" s="31"/>
      <c r="J56" s="31"/>
      <c r="K56" s="31"/>
      <c r="L56" s="467"/>
      <c r="M56" s="12"/>
    </row>
    <row r="57" spans="2:13" ht="24.75" thickBot="1" x14ac:dyDescent="0.3">
      <c r="B57" s="436"/>
      <c r="C57" s="3" t="s">
        <v>156</v>
      </c>
      <c r="D57" s="41" t="s">
        <v>1036</v>
      </c>
      <c r="E57" s="468">
        <v>96</v>
      </c>
      <c r="F57" s="468"/>
      <c r="G57" s="468"/>
      <c r="H57" s="468"/>
      <c r="I57" s="468"/>
      <c r="J57" s="468"/>
      <c r="K57" s="468"/>
      <c r="L57" s="468"/>
      <c r="M57" s="12"/>
    </row>
    <row r="58" spans="2:13" ht="24.75" thickBot="1" x14ac:dyDescent="0.3">
      <c r="B58" s="436"/>
      <c r="C58" s="3" t="s">
        <v>258</v>
      </c>
      <c r="D58" s="41" t="s">
        <v>1037</v>
      </c>
      <c r="E58" s="468">
        <v>69</v>
      </c>
      <c r="F58" s="468"/>
      <c r="G58" s="468"/>
      <c r="H58" s="468"/>
      <c r="I58" s="468"/>
      <c r="J58" s="468"/>
      <c r="K58" s="468"/>
      <c r="L58" s="468"/>
      <c r="M58" s="12"/>
    </row>
    <row r="59" spans="2:13" ht="24.75" thickBot="1" x14ac:dyDescent="0.3">
      <c r="B59" s="436"/>
      <c r="C59" s="1894" t="s">
        <v>260</v>
      </c>
      <c r="D59" s="46" t="s">
        <v>1038</v>
      </c>
      <c r="E59" s="155">
        <f t="shared" ref="E59:L59" si="2">IFERROR(E58/E57,"N.A.")</f>
        <v>0.71875</v>
      </c>
      <c r="F59" s="155" t="str">
        <f t="shared" si="2"/>
        <v>N.A.</v>
      </c>
      <c r="G59" s="155" t="str">
        <f t="shared" si="2"/>
        <v>N.A.</v>
      </c>
      <c r="H59" s="155" t="str">
        <f t="shared" si="2"/>
        <v>N.A.</v>
      </c>
      <c r="I59" s="155" t="str">
        <f t="shared" si="2"/>
        <v>N.A.</v>
      </c>
      <c r="J59" s="155" t="str">
        <f t="shared" si="2"/>
        <v>N.A.</v>
      </c>
      <c r="K59" s="155" t="str">
        <f t="shared" si="2"/>
        <v>N.A.</v>
      </c>
      <c r="L59" s="155" t="str">
        <f t="shared" si="2"/>
        <v>N.A.</v>
      </c>
      <c r="M59" s="12"/>
    </row>
    <row r="60" spans="2:13" ht="24.75" thickBot="1" x14ac:dyDescent="0.3">
      <c r="B60" s="436"/>
      <c r="C60" s="1895"/>
      <c r="D60" s="41" t="s">
        <v>1055</v>
      </c>
      <c r="E60" s="156">
        <f>+IF(E59="N.A.","N.A.",IF(E59&gt;=75%,1,0))</f>
        <v>0</v>
      </c>
      <c r="F60" s="156" t="str">
        <f t="shared" ref="F60:L60" si="3">+IF(F59="N.A.","N.A.",IF(F59&gt;=75%,1,0))</f>
        <v>N.A.</v>
      </c>
      <c r="G60" s="156" t="str">
        <f t="shared" si="3"/>
        <v>N.A.</v>
      </c>
      <c r="H60" s="156" t="str">
        <f t="shared" si="3"/>
        <v>N.A.</v>
      </c>
      <c r="I60" s="156" t="str">
        <f t="shared" si="3"/>
        <v>N.A.</v>
      </c>
      <c r="J60" s="156" t="str">
        <f t="shared" si="3"/>
        <v>N.A.</v>
      </c>
      <c r="K60" s="156" t="str">
        <f t="shared" si="3"/>
        <v>N.A.</v>
      </c>
      <c r="L60" s="156" t="str">
        <f t="shared" si="3"/>
        <v>N.A.</v>
      </c>
      <c r="M60" s="12"/>
    </row>
    <row r="61" spans="2:13" ht="15.75" thickBot="1" x14ac:dyDescent="0.3">
      <c r="B61" s="436"/>
      <c r="C61" s="3" t="s">
        <v>262</v>
      </c>
      <c r="D61" s="41" t="s">
        <v>1040</v>
      </c>
      <c r="E61" s="30"/>
      <c r="F61" s="31"/>
      <c r="G61" s="31"/>
      <c r="H61" s="31"/>
      <c r="I61" s="31"/>
      <c r="J61" s="31"/>
      <c r="K61" s="31"/>
      <c r="L61" s="467"/>
      <c r="M61" s="13"/>
    </row>
    <row r="62" spans="2:13" x14ac:dyDescent="0.25">
      <c r="B62" s="436"/>
      <c r="C62" s="92"/>
      <c r="D62" s="1825"/>
      <c r="E62" s="1826"/>
      <c r="F62" s="1826"/>
      <c r="G62" s="1826"/>
      <c r="H62" s="1826"/>
      <c r="I62" s="1826"/>
      <c r="J62" s="1826"/>
      <c r="K62" s="1826"/>
      <c r="L62" s="1913"/>
      <c r="M62" s="1876"/>
    </row>
    <row r="63" spans="2:13" ht="15.75" thickBot="1" x14ac:dyDescent="0.3">
      <c r="B63" s="436"/>
      <c r="C63" s="92"/>
      <c r="D63" s="1828" t="s">
        <v>1041</v>
      </c>
      <c r="E63" s="1829"/>
      <c r="F63" s="1829"/>
      <c r="G63" s="1829"/>
      <c r="H63" s="1829"/>
      <c r="I63" s="1829"/>
      <c r="J63" s="1829"/>
      <c r="K63" s="1829"/>
      <c r="L63" s="1893"/>
      <c r="M63" s="1861"/>
    </row>
    <row r="64" spans="2:13" ht="15.75" thickBot="1" x14ac:dyDescent="0.3">
      <c r="B64" s="436"/>
      <c r="C64" s="98" t="s">
        <v>19</v>
      </c>
      <c r="D64" s="43" t="s">
        <v>1042</v>
      </c>
      <c r="E64" s="124">
        <v>1</v>
      </c>
      <c r="F64" s="124"/>
      <c r="G64" s="124"/>
      <c r="H64" s="124" t="s">
        <v>151</v>
      </c>
      <c r="I64" s="6"/>
      <c r="J64" s="6"/>
      <c r="K64" s="6"/>
      <c r="M64" s="14"/>
    </row>
    <row r="65" spans="2:13" ht="15.75" thickBot="1" x14ac:dyDescent="0.3">
      <c r="B65" s="436"/>
      <c r="C65" s="3" t="s">
        <v>264</v>
      </c>
      <c r="D65" s="41" t="s">
        <v>1043</v>
      </c>
      <c r="E65" s="40" t="s">
        <v>1044</v>
      </c>
      <c r="F65" s="40" t="s">
        <v>1045</v>
      </c>
      <c r="G65" s="40" t="s">
        <v>1046</v>
      </c>
      <c r="H65" s="157">
        <f>MAX(E64:G64)</f>
        <v>1</v>
      </c>
      <c r="I65" s="6"/>
      <c r="J65" s="6"/>
      <c r="K65" s="6"/>
      <c r="M65" s="14"/>
    </row>
    <row r="66" spans="2:13" ht="15.75" thickBot="1" x14ac:dyDescent="0.3">
      <c r="B66" s="436"/>
      <c r="C66" s="3" t="s">
        <v>266</v>
      </c>
      <c r="D66" s="41" t="s">
        <v>1047</v>
      </c>
      <c r="E66" s="7">
        <v>1</v>
      </c>
      <c r="F66" s="7"/>
      <c r="G66" s="7"/>
      <c r="H66" s="158">
        <f>SUM(E66:G66)</f>
        <v>1</v>
      </c>
      <c r="I66" s="6"/>
      <c r="J66" s="6"/>
      <c r="K66" s="6"/>
      <c r="M66" s="14"/>
    </row>
    <row r="67" spans="2:13" ht="36.75" thickBot="1" x14ac:dyDescent="0.3">
      <c r="B67" s="436"/>
      <c r="C67" s="3" t="s">
        <v>268</v>
      </c>
      <c r="D67" s="41" t="s">
        <v>1056</v>
      </c>
      <c r="E67" s="7">
        <v>0</v>
      </c>
      <c r="F67" s="7"/>
      <c r="G67" s="7"/>
      <c r="H67" s="158">
        <f>SUM(E67:G67)</f>
        <v>0</v>
      </c>
      <c r="I67" s="6"/>
      <c r="J67" s="6"/>
      <c r="K67" s="6"/>
      <c r="M67" s="14"/>
    </row>
    <row r="68" spans="2:13" ht="24.75" thickBot="1" x14ac:dyDescent="0.3">
      <c r="B68" s="436"/>
      <c r="C68" s="1894" t="s">
        <v>1049</v>
      </c>
      <c r="D68" s="46" t="s">
        <v>1050</v>
      </c>
      <c r="E68" s="155">
        <f>+E67/E66</f>
        <v>0</v>
      </c>
      <c r="F68" s="155" t="e">
        <f>+F67/F66</f>
        <v>#DIV/0!</v>
      </c>
      <c r="G68" s="155" t="e">
        <f>+G67/G66</f>
        <v>#DIV/0!</v>
      </c>
      <c r="H68" s="159"/>
      <c r="I68" s="6"/>
      <c r="J68" s="6"/>
      <c r="K68" s="6"/>
      <c r="M68" s="14"/>
    </row>
    <row r="69" spans="2:13" ht="24.75" thickBot="1" x14ac:dyDescent="0.3">
      <c r="B69" s="436"/>
      <c r="C69" s="1895"/>
      <c r="D69" s="41" t="s">
        <v>1051</v>
      </c>
      <c r="E69" s="156">
        <f>+IF(E68&gt;=75%,1,0)</f>
        <v>0</v>
      </c>
      <c r="F69" s="156" t="e">
        <f>+IF(F68&gt;=75%,1,0)</f>
        <v>#DIV/0!</v>
      </c>
      <c r="G69" s="156" t="e">
        <f>+IF(G68&gt;=75%,1,0)</f>
        <v>#DIV/0!</v>
      </c>
      <c r="H69" s="158" t="e">
        <f>SUM(E69:G69)</f>
        <v>#DIV/0!</v>
      </c>
      <c r="I69" s="6"/>
      <c r="J69" s="6"/>
      <c r="K69" s="6"/>
      <c r="M69" s="14"/>
    </row>
    <row r="70" spans="2:13" ht="15.75" thickBot="1" x14ac:dyDescent="0.3">
      <c r="B70" s="436"/>
      <c r="C70" s="3" t="s">
        <v>1052</v>
      </c>
      <c r="D70" s="1816" t="s">
        <v>1053</v>
      </c>
      <c r="E70" s="1817"/>
      <c r="F70" s="1817"/>
      <c r="G70" s="1818"/>
      <c r="H70" s="160" t="str">
        <f>IFERROR(H69/H65,"N.A.")</f>
        <v>N.A.</v>
      </c>
      <c r="I70" s="6"/>
      <c r="J70" s="6"/>
      <c r="K70" s="6"/>
      <c r="M70" s="14"/>
    </row>
    <row r="71" spans="2:13" x14ac:dyDescent="0.25">
      <c r="B71" s="436"/>
      <c r="C71" s="92"/>
      <c r="D71" s="1828"/>
      <c r="E71" s="1829"/>
      <c r="F71" s="1829"/>
      <c r="G71" s="1829"/>
      <c r="H71" s="1829"/>
      <c r="I71" s="1829"/>
      <c r="J71" s="1829"/>
      <c r="K71" s="1829"/>
      <c r="L71" s="1893"/>
      <c r="M71" s="1861"/>
    </row>
    <row r="72" spans="2:13" ht="15.75" thickBot="1" x14ac:dyDescent="0.3">
      <c r="B72" s="436"/>
      <c r="C72" s="92"/>
      <c r="D72" s="1810" t="s">
        <v>1057</v>
      </c>
      <c r="E72" s="1811"/>
      <c r="F72" s="1811"/>
      <c r="G72" s="1811"/>
      <c r="H72" s="1811"/>
      <c r="I72" s="1811"/>
      <c r="J72" s="1811"/>
      <c r="K72" s="1811"/>
      <c r="L72" s="1892"/>
      <c r="M72" s="1862"/>
    </row>
    <row r="73" spans="2:13" ht="15.75" thickBot="1" x14ac:dyDescent="0.3">
      <c r="B73" s="436"/>
      <c r="C73" s="98" t="s">
        <v>1058</v>
      </c>
      <c r="D73" s="39" t="s">
        <v>1059</v>
      </c>
      <c r="E73" s="161">
        <f>+H48</f>
        <v>0</v>
      </c>
      <c r="F73" s="6"/>
      <c r="G73" s="6"/>
      <c r="H73" s="6"/>
      <c r="I73" s="6"/>
      <c r="J73" s="6"/>
      <c r="K73" s="6"/>
      <c r="M73" s="14"/>
    </row>
    <row r="74" spans="2:13" ht="15.75" thickBot="1" x14ac:dyDescent="0.3">
      <c r="B74" s="436"/>
      <c r="C74" s="3" t="s">
        <v>1060</v>
      </c>
      <c r="D74" s="40" t="s">
        <v>1061</v>
      </c>
      <c r="E74" s="162" t="str">
        <f>+H70</f>
        <v>N.A.</v>
      </c>
      <c r="F74" s="6"/>
      <c r="G74" s="6"/>
      <c r="H74" s="6"/>
      <c r="I74" s="6"/>
      <c r="J74" s="6"/>
      <c r="K74" s="6"/>
      <c r="M74" s="14"/>
    </row>
    <row r="75" spans="2:13" ht="36.75" thickBot="1" x14ac:dyDescent="0.3">
      <c r="B75" s="436"/>
      <c r="C75" s="3" t="s">
        <v>19</v>
      </c>
      <c r="D75" s="129" t="s">
        <v>1062</v>
      </c>
      <c r="E75" s="162">
        <f>AVERAGE(E73:E74)</f>
        <v>0</v>
      </c>
      <c r="F75" s="6"/>
      <c r="G75" s="6"/>
      <c r="H75" s="6"/>
      <c r="I75" s="6"/>
      <c r="J75" s="6"/>
      <c r="K75" s="6"/>
      <c r="M75" s="14"/>
    </row>
    <row r="76" spans="2:13" x14ac:dyDescent="0.25">
      <c r="B76" s="436"/>
      <c r="C76" s="92"/>
      <c r="D76" s="1828"/>
      <c r="E76" s="1829"/>
      <c r="F76" s="1829"/>
      <c r="G76" s="1829"/>
      <c r="H76" s="1829"/>
      <c r="I76" s="1829"/>
      <c r="J76" s="1829"/>
      <c r="K76" s="1829"/>
      <c r="L76" s="1893"/>
      <c r="M76" s="1861"/>
    </row>
    <row r="77" spans="2:13" ht="15.75" thickBot="1" x14ac:dyDescent="0.3">
      <c r="B77" s="436"/>
      <c r="C77" s="92"/>
      <c r="D77" s="1810" t="s">
        <v>1063</v>
      </c>
      <c r="E77" s="1811"/>
      <c r="F77" s="1811"/>
      <c r="G77" s="1811"/>
      <c r="H77" s="1811"/>
      <c r="I77" s="1811"/>
      <c r="J77" s="1811"/>
      <c r="K77" s="1811"/>
      <c r="L77" s="1892"/>
      <c r="M77" s="1862"/>
    </row>
    <row r="78" spans="2:13" ht="15.75" thickBot="1" x14ac:dyDescent="0.3">
      <c r="B78" s="436"/>
      <c r="C78" s="94"/>
      <c r="D78" s="25"/>
      <c r="E78" s="39" t="s">
        <v>1064</v>
      </c>
      <c r="F78" s="39" t="s">
        <v>1065</v>
      </c>
      <c r="H78" s="6"/>
      <c r="I78" s="6"/>
      <c r="J78" s="6"/>
      <c r="K78" s="6"/>
      <c r="M78" s="14"/>
    </row>
    <row r="79" spans="2:13" ht="24.75" thickBot="1" x14ac:dyDescent="0.3">
      <c r="B79" s="436"/>
      <c r="C79" s="94"/>
      <c r="D79" s="129" t="s">
        <v>1066</v>
      </c>
      <c r="E79" s="149">
        <f>+E25</f>
        <v>7.6923076923076927E-2</v>
      </c>
      <c r="F79" s="32">
        <v>0.5</v>
      </c>
      <c r="G79" s="6"/>
      <c r="H79" s="6"/>
      <c r="I79" s="6"/>
      <c r="J79" s="6"/>
      <c r="K79" s="6"/>
      <c r="M79" s="14"/>
    </row>
    <row r="80" spans="2:13" ht="24.75" thickBot="1" x14ac:dyDescent="0.3">
      <c r="B80" s="436"/>
      <c r="C80" s="94"/>
      <c r="D80" s="129" t="s">
        <v>1067</v>
      </c>
      <c r="E80" s="149">
        <f>+E75</f>
        <v>0</v>
      </c>
      <c r="F80" s="32">
        <v>0.5</v>
      </c>
      <c r="G80" s="6"/>
      <c r="H80" s="6"/>
      <c r="I80" s="6"/>
      <c r="J80" s="6"/>
      <c r="K80" s="6"/>
      <c r="M80" s="14"/>
    </row>
    <row r="81" spans="2:13" ht="24.75" thickBot="1" x14ac:dyDescent="0.3">
      <c r="B81" s="437"/>
      <c r="C81" s="3"/>
      <c r="D81" s="129" t="s">
        <v>997</v>
      </c>
      <c r="E81" s="216" t="str">
        <f>Formulas!$D$29</f>
        <v/>
      </c>
      <c r="F81" s="208">
        <f>IFERROR(Formulas!$E$29,0)</f>
        <v>3.8461538461538464E-2</v>
      </c>
      <c r="G81" s="23"/>
      <c r="H81" s="23"/>
      <c r="I81" s="23"/>
      <c r="J81" s="23"/>
      <c r="K81" s="23"/>
      <c r="L81" s="15"/>
      <c r="M81" s="11"/>
    </row>
    <row r="82" spans="2:13" ht="24" customHeight="1" thickBot="1" x14ac:dyDescent="0.3">
      <c r="B82" s="47" t="s">
        <v>34</v>
      </c>
      <c r="C82" s="93"/>
      <c r="D82" s="1816" t="s">
        <v>1068</v>
      </c>
      <c r="E82" s="1817"/>
      <c r="F82" s="1817"/>
      <c r="G82" s="1817"/>
      <c r="H82" s="1817"/>
      <c r="I82" s="1817"/>
      <c r="J82" s="1817"/>
      <c r="K82" s="1817"/>
      <c r="L82" s="1891"/>
      <c r="M82" s="1860"/>
    </row>
    <row r="83" spans="2:13" ht="48.75" thickBot="1" x14ac:dyDescent="0.3">
      <c r="B83" s="47" t="s">
        <v>36</v>
      </c>
      <c r="C83" s="93"/>
      <c r="D83" s="1816" t="s">
        <v>159</v>
      </c>
      <c r="E83" s="1817"/>
      <c r="F83" s="1817"/>
      <c r="G83" s="1817"/>
      <c r="H83" s="1817"/>
      <c r="I83" s="1817"/>
      <c r="J83" s="1817"/>
      <c r="K83" s="1817"/>
      <c r="L83" s="1891"/>
      <c r="M83" s="1860"/>
    </row>
    <row r="84" spans="2:13" ht="15.75" thickBot="1" x14ac:dyDescent="0.3">
      <c r="B84" s="2"/>
      <c r="C84" s="76"/>
      <c r="D84" s="6"/>
      <c r="E84" s="6"/>
      <c r="F84" s="6"/>
      <c r="G84" s="6"/>
      <c r="H84" s="6"/>
      <c r="I84" s="6"/>
      <c r="J84" s="6"/>
      <c r="K84" s="6"/>
    </row>
    <row r="85" spans="2:13" ht="24" customHeight="1" thickBot="1" x14ac:dyDescent="0.3">
      <c r="B85" s="1807" t="s">
        <v>38</v>
      </c>
      <c r="C85" s="1808"/>
      <c r="D85" s="1808"/>
      <c r="E85" s="1809"/>
      <c r="F85" s="6"/>
      <c r="G85" s="6"/>
      <c r="H85" s="6"/>
      <c r="I85" s="6"/>
      <c r="J85" s="6"/>
      <c r="K85" s="6"/>
    </row>
    <row r="86" spans="2:13" ht="15.75" thickBot="1" x14ac:dyDescent="0.3">
      <c r="B86" s="1804">
        <v>1</v>
      </c>
      <c r="C86" s="94"/>
      <c r="D86" s="48" t="s">
        <v>39</v>
      </c>
      <c r="E86" s="167" t="s">
        <v>2854</v>
      </c>
      <c r="F86" s="6"/>
      <c r="G86" s="6"/>
      <c r="H86" s="6"/>
      <c r="I86" s="6"/>
      <c r="J86" s="6"/>
      <c r="K86" s="6"/>
    </row>
    <row r="87" spans="2:13" ht="15.75" thickBot="1" x14ac:dyDescent="0.3">
      <c r="B87" s="1805"/>
      <c r="C87" s="94"/>
      <c r="D87" s="41" t="s">
        <v>40</v>
      </c>
      <c r="E87" s="167" t="s">
        <v>3138</v>
      </c>
      <c r="F87" s="6"/>
      <c r="G87" s="6"/>
      <c r="H87" s="6"/>
      <c r="I87" s="6"/>
      <c r="J87" s="6"/>
      <c r="K87" s="6"/>
    </row>
    <row r="88" spans="2:13" ht="15.75" thickBot="1" x14ac:dyDescent="0.3">
      <c r="B88" s="1805"/>
      <c r="C88" s="94"/>
      <c r="D88" s="41" t="s">
        <v>41</v>
      </c>
      <c r="E88" s="167" t="s">
        <v>3139</v>
      </c>
      <c r="F88" s="6"/>
      <c r="G88" s="6"/>
      <c r="H88" s="6"/>
      <c r="I88" s="6"/>
      <c r="J88" s="6"/>
      <c r="K88" s="6"/>
    </row>
    <row r="89" spans="2:13" ht="15.75" thickBot="1" x14ac:dyDescent="0.3">
      <c r="B89" s="1805"/>
      <c r="C89" s="94"/>
      <c r="D89" s="41" t="s">
        <v>42</v>
      </c>
      <c r="E89" s="167" t="s">
        <v>3140</v>
      </c>
      <c r="F89" s="6"/>
      <c r="G89" s="6"/>
      <c r="H89" s="6"/>
      <c r="I89" s="6"/>
      <c r="J89" s="6"/>
      <c r="K89" s="6"/>
    </row>
    <row r="90" spans="2:13" ht="15.75" thickBot="1" x14ac:dyDescent="0.3">
      <c r="B90" s="1805"/>
      <c r="C90" s="94"/>
      <c r="D90" s="41" t="s">
        <v>43</v>
      </c>
      <c r="E90" s="167" t="s">
        <v>3141</v>
      </c>
      <c r="F90" s="6"/>
      <c r="G90" s="6"/>
      <c r="H90" s="6"/>
      <c r="I90" s="6"/>
      <c r="J90" s="6"/>
      <c r="K90" s="6"/>
    </row>
    <row r="91" spans="2:13" ht="15.75" thickBot="1" x14ac:dyDescent="0.3">
      <c r="B91" s="1805"/>
      <c r="C91" s="94"/>
      <c r="D91" s="41" t="s">
        <v>44</v>
      </c>
      <c r="E91" s="167" t="s">
        <v>3142</v>
      </c>
      <c r="F91" s="6"/>
      <c r="G91" s="6"/>
      <c r="H91" s="6"/>
      <c r="I91" s="6"/>
      <c r="J91" s="6"/>
      <c r="K91" s="6"/>
    </row>
    <row r="92" spans="2:13" ht="15.75" thickBot="1" x14ac:dyDescent="0.3">
      <c r="B92" s="1806"/>
      <c r="C92" s="3"/>
      <c r="D92" s="41" t="s">
        <v>45</v>
      </c>
      <c r="E92" s="167" t="s">
        <v>2857</v>
      </c>
      <c r="F92" s="6"/>
      <c r="G92" s="6"/>
      <c r="H92" s="6"/>
      <c r="I92" s="6"/>
      <c r="J92" s="6"/>
      <c r="K92" s="6"/>
    </row>
    <row r="93" spans="2:13" ht="15.75" thickBot="1" x14ac:dyDescent="0.3">
      <c r="B93" s="2"/>
      <c r="C93" s="76"/>
      <c r="D93" s="6"/>
      <c r="E93" s="6"/>
      <c r="F93" s="6"/>
      <c r="G93" s="6"/>
      <c r="H93" s="6"/>
      <c r="I93" s="6"/>
      <c r="J93" s="6"/>
      <c r="K93" s="6"/>
    </row>
    <row r="94" spans="2:13" ht="15.75" thickBot="1" x14ac:dyDescent="0.3">
      <c r="B94" s="1807" t="s">
        <v>46</v>
      </c>
      <c r="C94" s="1808"/>
      <c r="D94" s="1808"/>
      <c r="E94" s="1809"/>
      <c r="F94" s="6"/>
      <c r="G94" s="6"/>
      <c r="H94" s="6"/>
      <c r="I94" s="6"/>
      <c r="J94" s="6"/>
      <c r="K94" s="6"/>
    </row>
    <row r="95" spans="2:13" ht="15.75" thickBot="1" x14ac:dyDescent="0.3">
      <c r="B95" s="1804">
        <v>1</v>
      </c>
      <c r="C95" s="94"/>
      <c r="D95" s="48" t="s">
        <v>39</v>
      </c>
      <c r="E95" s="444" t="s">
        <v>47</v>
      </c>
      <c r="F95" s="6"/>
      <c r="G95" s="6"/>
      <c r="H95" s="6"/>
      <c r="I95" s="6"/>
      <c r="J95" s="6"/>
      <c r="K95" s="6"/>
    </row>
    <row r="96" spans="2:13" ht="15.75" thickBot="1" x14ac:dyDescent="0.3">
      <c r="B96" s="1805"/>
      <c r="C96" s="94"/>
      <c r="D96" s="41" t="s">
        <v>40</v>
      </c>
      <c r="E96" s="444" t="s">
        <v>160</v>
      </c>
      <c r="F96" s="6"/>
      <c r="G96" s="6"/>
      <c r="H96" s="6"/>
      <c r="I96" s="6"/>
      <c r="J96" s="6"/>
      <c r="K96" s="6"/>
    </row>
    <row r="97" spans="2:11" ht="15.75" thickBot="1" x14ac:dyDescent="0.3">
      <c r="B97" s="1805"/>
      <c r="C97" s="94"/>
      <c r="D97" s="41" t="s">
        <v>41</v>
      </c>
      <c r="E97" s="172"/>
      <c r="F97" s="6"/>
      <c r="G97" s="6"/>
      <c r="H97" s="6"/>
      <c r="I97" s="6"/>
      <c r="J97" s="6"/>
      <c r="K97" s="6"/>
    </row>
    <row r="98" spans="2:11" ht="15.75" thickBot="1" x14ac:dyDescent="0.3">
      <c r="B98" s="1805"/>
      <c r="C98" s="94"/>
      <c r="D98" s="41" t="s">
        <v>42</v>
      </c>
      <c r="E98" s="172"/>
      <c r="F98" s="6"/>
      <c r="G98" s="6"/>
      <c r="H98" s="6"/>
      <c r="I98" s="6"/>
      <c r="J98" s="6"/>
      <c r="K98" s="6"/>
    </row>
    <row r="99" spans="2:11" ht="15.75" thickBot="1" x14ac:dyDescent="0.3">
      <c r="B99" s="1805"/>
      <c r="C99" s="94"/>
      <c r="D99" s="41" t="s">
        <v>43</v>
      </c>
      <c r="E99" s="172"/>
      <c r="F99" s="6"/>
      <c r="G99" s="6"/>
      <c r="H99" s="6"/>
      <c r="I99" s="6"/>
      <c r="J99" s="6"/>
      <c r="K99" s="6"/>
    </row>
    <row r="100" spans="2:11" ht="15.75" thickBot="1" x14ac:dyDescent="0.3">
      <c r="B100" s="1805"/>
      <c r="C100" s="94"/>
      <c r="D100" s="41" t="s">
        <v>44</v>
      </c>
      <c r="E100" s="172"/>
      <c r="F100" s="6"/>
      <c r="G100" s="6"/>
      <c r="H100" s="6"/>
      <c r="I100" s="6"/>
      <c r="J100" s="6"/>
      <c r="K100" s="6"/>
    </row>
    <row r="101" spans="2:11" ht="15.75" thickBot="1" x14ac:dyDescent="0.3">
      <c r="B101" s="1806"/>
      <c r="C101" s="3"/>
      <c r="D101" s="41" t="s">
        <v>45</v>
      </c>
      <c r="E101" s="172"/>
      <c r="F101" s="6"/>
      <c r="G101" s="6"/>
      <c r="H101" s="6"/>
      <c r="I101" s="6"/>
      <c r="J101" s="6"/>
      <c r="K101" s="6"/>
    </row>
    <row r="102" spans="2:11" ht="15.75" thickBot="1" x14ac:dyDescent="0.3">
      <c r="B102" s="2"/>
      <c r="C102" s="76"/>
      <c r="D102" s="6"/>
      <c r="E102" s="6"/>
      <c r="F102" s="6"/>
      <c r="G102" s="6"/>
      <c r="H102" s="6"/>
      <c r="I102" s="6"/>
      <c r="J102" s="6"/>
      <c r="K102" s="6"/>
    </row>
    <row r="103" spans="2:11" ht="15" customHeight="1" thickBot="1" x14ac:dyDescent="0.3">
      <c r="B103" s="125" t="s">
        <v>49</v>
      </c>
      <c r="C103" s="126"/>
      <c r="D103" s="126"/>
      <c r="E103" s="127"/>
      <c r="G103" s="6"/>
      <c r="H103" s="6"/>
      <c r="I103" s="6"/>
      <c r="J103" s="6"/>
      <c r="K103" s="6"/>
    </row>
    <row r="104" spans="2:11" ht="24.75" thickBot="1" x14ac:dyDescent="0.3">
      <c r="B104" s="47" t="s">
        <v>50</v>
      </c>
      <c r="C104" s="41" t="s">
        <v>51</v>
      </c>
      <c r="D104" s="41" t="s">
        <v>52</v>
      </c>
      <c r="E104" s="41" t="s">
        <v>53</v>
      </c>
      <c r="F104" s="6"/>
      <c r="G104" s="6"/>
      <c r="H104" s="6"/>
      <c r="I104" s="6"/>
      <c r="J104" s="6"/>
    </row>
    <row r="105" spans="2:11" ht="72.75" thickBot="1" x14ac:dyDescent="0.3">
      <c r="B105" s="49">
        <v>42401</v>
      </c>
      <c r="C105" s="41">
        <v>1</v>
      </c>
      <c r="D105" s="50" t="s">
        <v>1069</v>
      </c>
      <c r="E105" s="41"/>
      <c r="F105" s="6"/>
      <c r="G105" s="6"/>
      <c r="H105" s="6"/>
      <c r="I105" s="6"/>
      <c r="J105" s="6"/>
    </row>
    <row r="106" spans="2:11" ht="15.75" thickBot="1" x14ac:dyDescent="0.3">
      <c r="B106" s="4"/>
      <c r="C106" s="95"/>
      <c r="D106" s="6"/>
      <c r="E106" s="6"/>
      <c r="F106" s="6"/>
      <c r="G106" s="6"/>
      <c r="H106" s="6"/>
      <c r="I106" s="6"/>
      <c r="J106" s="6"/>
      <c r="K106" s="6"/>
    </row>
    <row r="107" spans="2:11" ht="24.75" thickBot="1" x14ac:dyDescent="0.3">
      <c r="B107" s="135" t="s">
        <v>55</v>
      </c>
      <c r="C107" s="96"/>
      <c r="D107" s="6"/>
      <c r="E107" s="6"/>
      <c r="F107" s="6"/>
      <c r="G107" s="6"/>
      <c r="H107" s="6"/>
      <c r="I107" s="6"/>
      <c r="J107" s="6"/>
      <c r="K107" s="6"/>
    </row>
    <row r="108" spans="2:11" x14ac:dyDescent="0.25">
      <c r="B108" s="1978"/>
      <c r="C108" s="1979"/>
      <c r="D108" s="1979"/>
      <c r="E108" s="1979"/>
      <c r="F108" s="1979"/>
      <c r="G108" s="1979"/>
      <c r="H108" s="1979"/>
      <c r="I108" s="1980"/>
      <c r="J108" s="6"/>
      <c r="K108" s="6"/>
    </row>
    <row r="109" spans="2:11" ht="15.75" thickBot="1" x14ac:dyDescent="0.3">
      <c r="B109" s="1981"/>
      <c r="C109" s="1982"/>
      <c r="D109" s="1982"/>
      <c r="E109" s="1982"/>
      <c r="F109" s="1982"/>
      <c r="G109" s="1982"/>
      <c r="H109" s="1982"/>
      <c r="I109" s="1983"/>
      <c r="J109" s="6"/>
      <c r="K109" s="6"/>
    </row>
    <row r="110" spans="2:11" ht="15.75" thickBot="1" x14ac:dyDescent="0.3">
      <c r="B110" s="6"/>
      <c r="D110" s="6"/>
      <c r="E110" s="6"/>
      <c r="F110" s="6"/>
      <c r="G110" s="6"/>
      <c r="H110" s="6"/>
      <c r="I110" s="6"/>
      <c r="J110" s="6"/>
      <c r="K110" s="6"/>
    </row>
    <row r="111" spans="2:11" ht="24.75" thickBot="1" x14ac:dyDescent="0.3">
      <c r="B111" s="51" t="s">
        <v>56</v>
      </c>
      <c r="C111" s="97"/>
      <c r="D111" s="6"/>
      <c r="E111" s="6"/>
      <c r="F111" s="6"/>
      <c r="G111" s="6"/>
      <c r="H111" s="6"/>
      <c r="I111" s="6"/>
      <c r="J111" s="6"/>
      <c r="K111" s="6"/>
    </row>
    <row r="112" spans="2:11" ht="15.75" thickBot="1" x14ac:dyDescent="0.3">
      <c r="B112" s="2"/>
      <c r="C112" s="76"/>
      <c r="D112" s="6"/>
      <c r="E112" s="6"/>
      <c r="F112" s="6"/>
      <c r="G112" s="6"/>
      <c r="H112" s="6"/>
      <c r="I112" s="6"/>
      <c r="J112" s="6"/>
      <c r="K112" s="6"/>
    </row>
    <row r="113" spans="2:11" ht="72.75" thickBot="1" x14ac:dyDescent="0.3">
      <c r="B113" s="52" t="s">
        <v>57</v>
      </c>
      <c r="C113" s="98"/>
      <c r="D113" s="43" t="s">
        <v>998</v>
      </c>
      <c r="E113" s="6"/>
      <c r="F113" s="6"/>
      <c r="G113" s="6"/>
      <c r="H113" s="6"/>
      <c r="I113" s="6"/>
      <c r="J113" s="6"/>
      <c r="K113" s="6"/>
    </row>
    <row r="114" spans="2:11" x14ac:dyDescent="0.25">
      <c r="B114" s="1804" t="s">
        <v>59</v>
      </c>
      <c r="C114" s="94"/>
      <c r="D114" s="53" t="s">
        <v>60</v>
      </c>
      <c r="E114" s="6"/>
      <c r="F114" s="6"/>
      <c r="G114" s="6"/>
      <c r="H114" s="6"/>
      <c r="I114" s="6"/>
      <c r="J114" s="6"/>
      <c r="K114" s="6"/>
    </row>
    <row r="115" spans="2:11" ht="108" x14ac:dyDescent="0.25">
      <c r="B115" s="1805"/>
      <c r="C115" s="94"/>
      <c r="D115" s="46" t="s">
        <v>999</v>
      </c>
      <c r="E115" s="6"/>
      <c r="F115" s="6"/>
      <c r="G115" s="6"/>
      <c r="H115" s="6"/>
      <c r="I115" s="6"/>
      <c r="J115" s="6"/>
      <c r="K115" s="6"/>
    </row>
    <row r="116" spans="2:11" x14ac:dyDescent="0.25">
      <c r="B116" s="1805"/>
      <c r="C116" s="94"/>
      <c r="D116" s="53" t="s">
        <v>134</v>
      </c>
      <c r="E116" s="6"/>
      <c r="F116" s="6"/>
      <c r="G116" s="6"/>
      <c r="H116" s="6"/>
      <c r="I116" s="6"/>
      <c r="J116" s="6"/>
      <c r="K116" s="6"/>
    </row>
    <row r="117" spans="2:11" x14ac:dyDescent="0.25">
      <c r="B117" s="1805"/>
      <c r="C117" s="94"/>
      <c r="D117" s="46" t="s">
        <v>1000</v>
      </c>
      <c r="E117" s="6"/>
      <c r="F117" s="6"/>
      <c r="G117" s="6"/>
      <c r="H117" s="6"/>
      <c r="I117" s="6"/>
      <c r="J117" s="6"/>
      <c r="K117" s="6"/>
    </row>
    <row r="118" spans="2:11" ht="48" x14ac:dyDescent="0.25">
      <c r="B118" s="1805"/>
      <c r="C118" s="94"/>
      <c r="D118" s="46" t="s">
        <v>1001</v>
      </c>
      <c r="E118" s="6"/>
      <c r="F118" s="6"/>
      <c r="G118" s="6"/>
      <c r="H118" s="6"/>
      <c r="I118" s="6"/>
      <c r="J118" s="6"/>
      <c r="K118" s="6"/>
    </row>
    <row r="119" spans="2:11" x14ac:dyDescent="0.25">
      <c r="B119" s="1805"/>
      <c r="C119" s="94"/>
      <c r="D119" s="55" t="s">
        <v>1002</v>
      </c>
      <c r="E119" s="6"/>
      <c r="F119" s="6"/>
      <c r="G119" s="6"/>
      <c r="H119" s="6"/>
      <c r="I119" s="6"/>
      <c r="J119" s="6"/>
      <c r="K119" s="6"/>
    </row>
    <row r="120" spans="2:11" ht="15.75" thickBot="1" x14ac:dyDescent="0.3">
      <c r="B120" s="1806"/>
      <c r="C120" s="3"/>
      <c r="D120" s="56" t="s">
        <v>1003</v>
      </c>
      <c r="E120" s="6"/>
      <c r="F120" s="6"/>
      <c r="G120" s="6"/>
      <c r="H120" s="6"/>
      <c r="I120" s="6"/>
      <c r="J120" s="6"/>
      <c r="K120" s="6"/>
    </row>
    <row r="121" spans="2:11" ht="24.75" thickBot="1" x14ac:dyDescent="0.3">
      <c r="B121" s="47" t="s">
        <v>72</v>
      </c>
      <c r="C121" s="3"/>
      <c r="D121" s="41"/>
      <c r="E121" s="6"/>
      <c r="F121" s="6"/>
      <c r="G121" s="6"/>
      <c r="H121" s="6"/>
      <c r="I121" s="6"/>
      <c r="J121" s="6"/>
      <c r="K121" s="6"/>
    </row>
    <row r="122" spans="2:11" ht="72" x14ac:dyDescent="0.25">
      <c r="B122" s="1804" t="s">
        <v>73</v>
      </c>
      <c r="C122" s="94"/>
      <c r="D122" s="46" t="s">
        <v>1004</v>
      </c>
      <c r="E122" s="6"/>
      <c r="F122" s="6"/>
      <c r="G122" s="6"/>
      <c r="H122" s="6"/>
      <c r="I122" s="6"/>
      <c r="J122" s="6"/>
      <c r="K122" s="6"/>
    </row>
    <row r="123" spans="2:11" ht="228" x14ac:dyDescent="0.25">
      <c r="B123" s="1805"/>
      <c r="C123" s="94"/>
      <c r="D123" s="46" t="s">
        <v>1005</v>
      </c>
      <c r="E123" s="6"/>
      <c r="F123" s="6"/>
      <c r="G123" s="6"/>
      <c r="H123" s="6"/>
      <c r="I123" s="6"/>
      <c r="J123" s="6"/>
      <c r="K123" s="6"/>
    </row>
    <row r="124" spans="2:11" ht="84" x14ac:dyDescent="0.25">
      <c r="B124" s="1805"/>
      <c r="C124" s="94"/>
      <c r="D124" s="46" t="s">
        <v>1006</v>
      </c>
      <c r="E124" s="6"/>
      <c r="F124" s="6"/>
      <c r="G124" s="6"/>
      <c r="H124" s="6"/>
      <c r="I124" s="6"/>
      <c r="J124" s="6"/>
      <c r="K124" s="6"/>
    </row>
    <row r="125" spans="2:11" ht="216.75" thickBot="1" x14ac:dyDescent="0.3">
      <c r="B125" s="1806"/>
      <c r="C125" s="3"/>
      <c r="D125" s="41" t="s">
        <v>1007</v>
      </c>
      <c r="E125" s="6"/>
      <c r="F125" s="6"/>
      <c r="G125" s="6"/>
      <c r="H125" s="6"/>
      <c r="I125" s="6"/>
      <c r="J125" s="6"/>
      <c r="K125" s="6"/>
    </row>
    <row r="126" spans="2:11" x14ac:dyDescent="0.25">
      <c r="B126" s="1804" t="s">
        <v>90</v>
      </c>
      <c r="C126" s="94"/>
      <c r="D126" s="46"/>
      <c r="E126" s="6"/>
      <c r="F126" s="6"/>
      <c r="G126" s="6"/>
      <c r="H126" s="6"/>
      <c r="I126" s="6"/>
      <c r="J126" s="6"/>
      <c r="K126" s="6"/>
    </row>
    <row r="127" spans="2:11" x14ac:dyDescent="0.25">
      <c r="B127" s="1805"/>
      <c r="C127" s="94"/>
      <c r="D127" s="17"/>
      <c r="E127" s="6"/>
      <c r="F127" s="6"/>
      <c r="G127" s="6"/>
      <c r="H127" s="6"/>
      <c r="I127" s="6"/>
      <c r="J127" s="6"/>
      <c r="K127" s="6"/>
    </row>
    <row r="128" spans="2:11" x14ac:dyDescent="0.25">
      <c r="B128" s="1805"/>
      <c r="C128" s="94"/>
      <c r="D128" s="46" t="s">
        <v>91</v>
      </c>
      <c r="E128" s="6"/>
      <c r="F128" s="6"/>
      <c r="G128" s="6"/>
      <c r="H128" s="6"/>
      <c r="I128" s="6"/>
      <c r="J128" s="6"/>
      <c r="K128" s="6"/>
    </row>
    <row r="129" spans="2:11" ht="37.5" x14ac:dyDescent="0.25">
      <c r="B129" s="1805"/>
      <c r="C129" s="94"/>
      <c r="D129" s="46" t="s">
        <v>1008</v>
      </c>
      <c r="E129" s="6"/>
      <c r="F129" s="6"/>
      <c r="G129" s="6"/>
      <c r="H129" s="6"/>
      <c r="I129" s="6"/>
      <c r="J129" s="6"/>
      <c r="K129" s="6"/>
    </row>
    <row r="130" spans="2:11" ht="37.5" x14ac:dyDescent="0.25">
      <c r="B130" s="1805"/>
      <c r="C130" s="94"/>
      <c r="D130" s="46" t="s">
        <v>1009</v>
      </c>
      <c r="E130" s="6"/>
      <c r="F130" s="6"/>
      <c r="G130" s="6"/>
      <c r="H130" s="6"/>
      <c r="I130" s="6"/>
      <c r="J130" s="6"/>
      <c r="K130" s="6"/>
    </row>
    <row r="131" spans="2:11" ht="37.5" x14ac:dyDescent="0.25">
      <c r="B131" s="1805"/>
      <c r="C131" s="94"/>
      <c r="D131" s="46" t="s">
        <v>1010</v>
      </c>
      <c r="E131" s="6"/>
      <c r="F131" s="6"/>
      <c r="G131" s="6"/>
      <c r="H131" s="6"/>
      <c r="I131" s="6"/>
      <c r="J131" s="6"/>
      <c r="K131" s="6"/>
    </row>
    <row r="132" spans="2:11" ht="37.5" x14ac:dyDescent="0.25">
      <c r="B132" s="1805"/>
      <c r="C132" s="94"/>
      <c r="D132" s="46" t="s">
        <v>1011</v>
      </c>
      <c r="E132" s="6"/>
      <c r="F132" s="6"/>
      <c r="G132" s="6"/>
      <c r="H132" s="6"/>
      <c r="I132" s="6"/>
      <c r="J132" s="6"/>
      <c r="K132" s="6"/>
    </row>
    <row r="133" spans="2:11" x14ac:dyDescent="0.25">
      <c r="B133" s="1805"/>
      <c r="C133" s="94"/>
      <c r="D133" s="46" t="s">
        <v>1012</v>
      </c>
      <c r="E133" s="6"/>
      <c r="F133" s="6"/>
      <c r="G133" s="6"/>
      <c r="H133" s="6"/>
      <c r="I133" s="6"/>
      <c r="J133" s="6"/>
      <c r="K133" s="6"/>
    </row>
    <row r="134" spans="2:11" x14ac:dyDescent="0.25">
      <c r="B134" s="1805"/>
      <c r="C134" s="94"/>
      <c r="D134" s="46" t="s">
        <v>1013</v>
      </c>
      <c r="E134" s="6"/>
      <c r="F134" s="6"/>
      <c r="G134" s="6"/>
      <c r="H134" s="6"/>
      <c r="I134" s="6"/>
      <c r="J134" s="6"/>
      <c r="K134" s="6"/>
    </row>
    <row r="135" spans="2:11" x14ac:dyDescent="0.25">
      <c r="B135" s="1805"/>
      <c r="C135" s="94"/>
      <c r="D135" s="46" t="s">
        <v>1014</v>
      </c>
      <c r="E135" s="6"/>
      <c r="F135" s="6"/>
      <c r="G135" s="6"/>
      <c r="H135" s="6"/>
      <c r="I135" s="6"/>
      <c r="J135" s="6"/>
      <c r="K135" s="6"/>
    </row>
    <row r="136" spans="2:11" x14ac:dyDescent="0.25">
      <c r="B136" s="1805"/>
      <c r="C136" s="94"/>
      <c r="D136" s="46" t="s">
        <v>99</v>
      </c>
      <c r="E136" s="6"/>
      <c r="F136" s="6"/>
      <c r="G136" s="6"/>
      <c r="H136" s="6"/>
      <c r="I136" s="6"/>
      <c r="J136" s="6"/>
      <c r="K136" s="6"/>
    </row>
    <row r="137" spans="2:11" ht="60.75" thickBot="1" x14ac:dyDescent="0.3">
      <c r="B137" s="1806"/>
      <c r="C137" s="3"/>
      <c r="D137" s="41" t="s">
        <v>1015</v>
      </c>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sheetData>
  <sheetProtection insertColumns="0" insertRows="0"/>
  <mergeCells count="48">
    <mergeCell ref="A1:P1"/>
    <mergeCell ref="A2:P2"/>
    <mergeCell ref="A3:P3"/>
    <mergeCell ref="A4:D4"/>
    <mergeCell ref="A5:P5"/>
    <mergeCell ref="B10:D10"/>
    <mergeCell ref="F10:S10"/>
    <mergeCell ref="F11:S11"/>
    <mergeCell ref="E12:R12"/>
    <mergeCell ref="E13:R13"/>
    <mergeCell ref="D76:M76"/>
    <mergeCell ref="D70:G70"/>
    <mergeCell ref="C68:C69"/>
    <mergeCell ref="D63:M63"/>
    <mergeCell ref="D71:M71"/>
    <mergeCell ref="D72:M72"/>
    <mergeCell ref="D77:M77"/>
    <mergeCell ref="B114:B120"/>
    <mergeCell ref="B122:B125"/>
    <mergeCell ref="B126:B137"/>
    <mergeCell ref="D82:M82"/>
    <mergeCell ref="E18:F18"/>
    <mergeCell ref="D62:M62"/>
    <mergeCell ref="D48:G48"/>
    <mergeCell ref="C59:C60"/>
    <mergeCell ref="D49:M49"/>
    <mergeCell ref="D53:M53"/>
    <mergeCell ref="I18:J18"/>
    <mergeCell ref="C37:C38"/>
    <mergeCell ref="G18:H18"/>
    <mergeCell ref="D21:M21"/>
    <mergeCell ref="C46:C47"/>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s>
  <conditionalFormatting sqref="E81">
    <cfRule type="containsText" dxfId="25" priority="5" operator="containsText" text="ERROR">
      <formula>NOT(ISERROR(SEARCH("ERROR",E81)))</formula>
    </cfRule>
  </conditionalFormatting>
  <conditionalFormatting sqref="F10">
    <cfRule type="notContainsBlanks" dxfId="24" priority="4">
      <formula>LEN(TRIM(F10))&gt;0</formula>
    </cfRule>
  </conditionalFormatting>
  <conditionalFormatting sqref="F11:S11">
    <cfRule type="expression" dxfId="23" priority="2">
      <formula>E11="NO SE REPORTA"</formula>
    </cfRule>
    <cfRule type="expression" dxfId="22" priority="3">
      <formula>E10="NO APLICA"</formula>
    </cfRule>
  </conditionalFormatting>
  <conditionalFormatting sqref="E12:R12">
    <cfRule type="expression" dxfId="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M35:N35 E35:L36 E20:J20 E50:E52 E57:L58 E44:G45 E28:E30 M36 E66:G67">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legacyDrawing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rgb="FFFF0000"/>
  </sheetPr>
  <dimension ref="A1:U183"/>
  <sheetViews>
    <sheetView showGridLines="0" topLeftCell="G7" zoomScale="98" zoomScaleNormal="98" workbookViewId="0">
      <selection activeCell="K12" sqref="K12:R12"/>
    </sheetView>
  </sheetViews>
  <sheetFormatPr baseColWidth="10" defaultRowHeight="15" x14ac:dyDescent="0.25"/>
  <cols>
    <col min="1" max="1" width="1.85546875" customWidth="1"/>
    <col min="2" max="2" width="12.85546875" customWidth="1"/>
    <col min="3" max="3" width="5.140625" style="87" bestFit="1" customWidth="1"/>
    <col min="4" max="4" width="34.85546875" customWidth="1"/>
    <col min="5" max="5" width="12.140625" customWidth="1"/>
    <col min="11" max="11" width="22"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1070</v>
      </c>
      <c r="B5" s="1713"/>
      <c r="C5" s="1713"/>
      <c r="D5" s="1713"/>
      <c r="E5" s="1713"/>
      <c r="F5" s="1713"/>
      <c r="G5" s="1713"/>
      <c r="H5" s="1713"/>
      <c r="I5" s="1713"/>
      <c r="J5" s="1713"/>
      <c r="K5" s="1713"/>
      <c r="L5" s="1713"/>
      <c r="M5" s="1713"/>
      <c r="N5" s="1713"/>
      <c r="O5" s="1713"/>
      <c r="P5" s="1714"/>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1188</v>
      </c>
      <c r="C8" s="222">
        <v>2021</v>
      </c>
      <c r="D8" s="226">
        <f>IF(E10="NO APLICA","NO APLICA",IF(E11="NO SE REPORTA","SIN INFORMACION",+E30))</f>
        <v>0.5785239624007813</v>
      </c>
      <c r="E8" s="223"/>
      <c r="F8" s="6" t="s">
        <v>130</v>
      </c>
      <c r="G8" s="6"/>
      <c r="H8" s="6"/>
      <c r="I8" s="6"/>
      <c r="J8" s="6"/>
      <c r="K8" s="6"/>
    </row>
    <row r="9" spans="1:21" x14ac:dyDescent="0.25">
      <c r="B9" s="497" t="s">
        <v>1189</v>
      </c>
      <c r="D9" s="6"/>
      <c r="E9" s="6"/>
      <c r="F9" s="6"/>
      <c r="G9" s="6"/>
      <c r="H9" s="6"/>
      <c r="I9" s="6"/>
      <c r="J9" s="6"/>
      <c r="K9" s="6"/>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00"/>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497"/>
      <c r="C12" s="304"/>
      <c r="D12" s="502" t="str">
        <f>IF(E11="SI SE REPORTA","¿Qué programas o proyectos del Plan de Acción están asociados al indicador? ","")</f>
        <v xml:space="preserve">¿Qué programas o proyectos del Plan de Acción están asociados al indicador? </v>
      </c>
      <c r="E12" s="1728" t="str">
        <f>'Anexo 1 Matriz Inf Gestión'!A9</f>
        <v>Proyecto No 1.1.Planificación, Ordenamiento e Información Ambiental Territorial (1)</v>
      </c>
      <c r="F12" s="1728"/>
      <c r="G12" s="1728"/>
      <c r="H12" s="1728"/>
      <c r="I12" s="1728"/>
      <c r="J12" s="1728"/>
      <c r="K12" s="1729" t="str">
        <f>'Anexo 1 Matriz Inf Gestión'!A179</f>
        <v>Programa No 6. Autoridad Ambiental</v>
      </c>
      <c r="L12" s="1729"/>
      <c r="M12" s="1729"/>
      <c r="N12" s="1729"/>
      <c r="O12" s="1729"/>
      <c r="P12" s="1729"/>
      <c r="Q12" s="1729"/>
      <c r="R12" s="1729"/>
    </row>
    <row r="13" spans="1:21" s="412" customFormat="1" ht="21.95" customHeight="1" x14ac:dyDescent="0.25">
      <c r="A13" s="245"/>
      <c r="B13" s="497"/>
      <c r="C13" s="304"/>
      <c r="D13" s="502" t="s">
        <v>1246</v>
      </c>
      <c r="E13" s="1723" t="s">
        <v>3086</v>
      </c>
      <c r="F13" s="1724"/>
      <c r="G13" s="1724"/>
      <c r="H13" s="1724"/>
      <c r="I13" s="1724"/>
      <c r="J13" s="1724"/>
      <c r="K13" s="1724"/>
      <c r="L13" s="1724"/>
      <c r="M13" s="1724"/>
      <c r="N13" s="1724"/>
      <c r="O13" s="1724"/>
      <c r="P13" s="1724"/>
      <c r="Q13" s="1724"/>
      <c r="R13" s="1725"/>
    </row>
    <row r="14" spans="1:21" s="412" customFormat="1" ht="6.95" customHeight="1" thickBot="1" x14ac:dyDescent="0.3">
      <c r="B14" s="497"/>
      <c r="C14" s="87"/>
      <c r="D14" s="6"/>
      <c r="E14" s="6"/>
      <c r="F14" s="6"/>
      <c r="G14" s="6"/>
      <c r="H14" s="6"/>
      <c r="I14" s="6"/>
      <c r="J14" s="6"/>
      <c r="K14" s="6"/>
    </row>
    <row r="15" spans="1:21" x14ac:dyDescent="0.25">
      <c r="B15" s="1804" t="s">
        <v>2</v>
      </c>
      <c r="C15" s="89"/>
      <c r="D15" s="2004" t="s">
        <v>1084</v>
      </c>
      <c r="E15" s="2005"/>
      <c r="F15" s="2005"/>
      <c r="G15" s="2005"/>
      <c r="H15" s="1958"/>
      <c r="I15" s="6"/>
      <c r="J15" s="6"/>
      <c r="K15" s="6"/>
      <c r="L15" s="6"/>
      <c r="M15" s="6"/>
      <c r="N15" s="6"/>
      <c r="O15" s="6"/>
    </row>
    <row r="16" spans="1:21" x14ac:dyDescent="0.25">
      <c r="B16" s="1805"/>
      <c r="C16" s="92"/>
      <c r="D16" s="1810" t="s">
        <v>1102</v>
      </c>
      <c r="E16" s="1811"/>
      <c r="F16" s="1811"/>
      <c r="G16" s="1811"/>
      <c r="H16" s="1812"/>
      <c r="I16" s="6"/>
      <c r="J16" s="6"/>
      <c r="K16" s="6"/>
      <c r="L16" s="6"/>
      <c r="M16" s="6"/>
      <c r="N16" s="6"/>
      <c r="O16" s="6"/>
    </row>
    <row r="17" spans="1:15" ht="15.75" thickBot="1" x14ac:dyDescent="0.3">
      <c r="B17" s="1805"/>
      <c r="C17" s="92"/>
      <c r="D17" s="1856" t="s">
        <v>3</v>
      </c>
      <c r="E17" s="1857"/>
      <c r="F17" s="1857"/>
      <c r="G17" s="1857"/>
      <c r="H17" s="1858"/>
      <c r="I17" s="6"/>
      <c r="J17" s="6"/>
      <c r="K17" s="6"/>
      <c r="L17" s="6"/>
      <c r="M17" s="6"/>
      <c r="N17" s="6"/>
      <c r="O17" s="6"/>
    </row>
    <row r="18" spans="1:15" ht="15.75" thickBot="1" x14ac:dyDescent="0.3">
      <c r="B18" s="1805"/>
      <c r="C18" s="98" t="s">
        <v>19</v>
      </c>
      <c r="D18" s="39" t="s">
        <v>1103</v>
      </c>
      <c r="E18" s="39" t="s">
        <v>1104</v>
      </c>
      <c r="F18" s="39" t="s">
        <v>1105</v>
      </c>
      <c r="G18" s="39" t="s">
        <v>1106</v>
      </c>
      <c r="H18" s="116"/>
      <c r="I18" s="6"/>
      <c r="J18" s="6"/>
      <c r="K18" s="6"/>
      <c r="L18" s="6"/>
      <c r="M18" s="6"/>
      <c r="N18" s="6"/>
      <c r="O18" s="6"/>
    </row>
    <row r="19" spans="1:15" ht="24.75" thickBot="1" x14ac:dyDescent="0.3">
      <c r="B19" s="1805"/>
      <c r="C19" s="3" t="s">
        <v>152</v>
      </c>
      <c r="D19" s="129" t="s">
        <v>1107</v>
      </c>
      <c r="E19" s="153">
        <v>935</v>
      </c>
      <c r="F19" s="153">
        <v>96</v>
      </c>
      <c r="G19" s="153">
        <v>14</v>
      </c>
      <c r="H19" s="117"/>
      <c r="I19" s="6"/>
      <c r="J19" s="6"/>
      <c r="K19" s="6"/>
      <c r="L19" s="6"/>
      <c r="M19" s="6"/>
      <c r="N19" s="6"/>
      <c r="O19" s="6"/>
    </row>
    <row r="20" spans="1:15" ht="24.75" thickBot="1" x14ac:dyDescent="0.3">
      <c r="B20" s="1805"/>
      <c r="C20" s="3" t="s">
        <v>154</v>
      </c>
      <c r="D20" s="129" t="s">
        <v>1108</v>
      </c>
      <c r="E20" s="153">
        <v>1644</v>
      </c>
      <c r="F20" s="153">
        <v>276</v>
      </c>
      <c r="G20" s="153">
        <v>21</v>
      </c>
      <c r="H20" s="117"/>
      <c r="I20" s="6"/>
      <c r="J20" s="6"/>
      <c r="K20" s="6"/>
      <c r="L20" s="6"/>
      <c r="M20" s="6"/>
      <c r="N20" s="6"/>
      <c r="O20" s="6"/>
    </row>
    <row r="21" spans="1:15" ht="24.75" thickBot="1" x14ac:dyDescent="0.3">
      <c r="B21" s="1805"/>
      <c r="C21" s="3" t="s">
        <v>156</v>
      </c>
      <c r="D21" s="129" t="s">
        <v>1109</v>
      </c>
      <c r="E21" s="154">
        <f>IFERROR(E19/E20,"N.A")</f>
        <v>0.56873479318734799</v>
      </c>
      <c r="F21" s="154">
        <f>IFERROR(F19/F20,"N.A")</f>
        <v>0.34782608695652173</v>
      </c>
      <c r="G21" s="154">
        <f>IFERROR(G19/G20,"N.A")</f>
        <v>0.66666666666666663</v>
      </c>
      <c r="H21" s="118"/>
      <c r="I21" s="6"/>
      <c r="J21" s="6" t="s">
        <v>1198</v>
      </c>
      <c r="K21" s="6"/>
      <c r="L21" s="6"/>
      <c r="M21" s="6"/>
      <c r="N21" s="6"/>
      <c r="O21" s="6"/>
    </row>
    <row r="22" spans="1:15" x14ac:dyDescent="0.25">
      <c r="B22" s="1805"/>
      <c r="C22" s="92"/>
      <c r="D22" s="1825"/>
      <c r="E22" s="1826"/>
      <c r="F22" s="1826"/>
      <c r="G22" s="1826"/>
      <c r="H22" s="1827"/>
      <c r="I22" s="6"/>
      <c r="J22" s="6"/>
      <c r="K22" s="6"/>
      <c r="L22" s="6"/>
      <c r="M22" s="6"/>
      <c r="N22" s="6"/>
      <c r="O22" s="6"/>
    </row>
    <row r="23" spans="1:15" ht="24" customHeight="1" thickBot="1" x14ac:dyDescent="0.3">
      <c r="B23" s="1805"/>
      <c r="C23" s="92"/>
      <c r="D23" s="1810" t="s">
        <v>1097</v>
      </c>
      <c r="E23" s="1811"/>
      <c r="F23" s="1811"/>
      <c r="G23" s="1811"/>
      <c r="H23" s="1812"/>
      <c r="I23" s="6"/>
      <c r="J23" s="6"/>
      <c r="K23" s="6"/>
      <c r="L23" s="6"/>
      <c r="M23" s="6"/>
      <c r="N23" s="6"/>
      <c r="O23" s="6"/>
    </row>
    <row r="24" spans="1:15" ht="15.75" thickBot="1" x14ac:dyDescent="0.3">
      <c r="B24" s="1805"/>
      <c r="C24" s="98" t="s">
        <v>19</v>
      </c>
      <c r="D24" s="39" t="s">
        <v>1103</v>
      </c>
      <c r="E24" s="39" t="s">
        <v>1110</v>
      </c>
      <c r="F24" s="39" t="s">
        <v>1111</v>
      </c>
      <c r="H24" s="22"/>
      <c r="I24" s="6"/>
      <c r="J24" s="6"/>
      <c r="K24" s="6"/>
      <c r="L24" s="6"/>
      <c r="M24" s="6"/>
      <c r="N24" s="6"/>
      <c r="O24" s="6"/>
    </row>
    <row r="25" spans="1:15" ht="24.75" thickBot="1" x14ac:dyDescent="0.3">
      <c r="B25" s="1805"/>
      <c r="C25" s="3" t="s">
        <v>152</v>
      </c>
      <c r="D25" s="129" t="s">
        <v>1112</v>
      </c>
      <c r="E25" s="153">
        <v>56</v>
      </c>
      <c r="F25" s="153">
        <v>9</v>
      </c>
      <c r="H25" s="22"/>
      <c r="I25" s="6"/>
      <c r="J25" s="6"/>
      <c r="K25" s="6"/>
      <c r="L25" s="6"/>
      <c r="M25" s="6"/>
      <c r="N25" s="6"/>
      <c r="O25" s="6"/>
    </row>
    <row r="26" spans="1:15" ht="24.75" thickBot="1" x14ac:dyDescent="0.3">
      <c r="B26" s="1805"/>
      <c r="C26" s="3" t="s">
        <v>154</v>
      </c>
      <c r="D26" s="129" t="s">
        <v>1113</v>
      </c>
      <c r="E26" s="153">
        <v>181</v>
      </c>
      <c r="F26" s="153">
        <v>9</v>
      </c>
      <c r="H26" s="22"/>
      <c r="I26" s="6"/>
      <c r="J26" s="6"/>
      <c r="K26" s="6"/>
      <c r="L26" s="6"/>
      <c r="M26" s="6"/>
      <c r="N26" s="6"/>
      <c r="O26" s="6"/>
    </row>
    <row r="27" spans="1:15" ht="24.75" thickBot="1" x14ac:dyDescent="0.3">
      <c r="B27" s="1805"/>
      <c r="C27" s="130" t="s">
        <v>156</v>
      </c>
      <c r="D27" s="129" t="s">
        <v>1183</v>
      </c>
      <c r="E27" s="154">
        <f>IFERROR(E25/E26,"N.A.")</f>
        <v>0.30939226519337015</v>
      </c>
      <c r="F27" s="154">
        <f>IFERROR(F25/F26,"N.A.")</f>
        <v>1</v>
      </c>
      <c r="H27" s="22"/>
      <c r="I27" s="6"/>
      <c r="J27" s="6" t="s">
        <v>1198</v>
      </c>
      <c r="K27" s="6"/>
    </row>
    <row r="28" spans="1:15" ht="15.75" thickBot="1" x14ac:dyDescent="0.3">
      <c r="B28" s="1806"/>
      <c r="C28" s="130"/>
      <c r="D28" s="128"/>
      <c r="E28" s="128"/>
      <c r="F28" s="128"/>
      <c r="G28" s="128"/>
      <c r="H28" s="24"/>
      <c r="I28" s="6"/>
      <c r="J28" s="6"/>
      <c r="K28" s="6"/>
    </row>
    <row r="29" spans="1:15" s="412" customFormat="1" ht="15.75" thickBot="1" x14ac:dyDescent="0.3">
      <c r="A29" s="6"/>
      <c r="B29" s="6"/>
      <c r="C29" s="6"/>
      <c r="D29" s="6"/>
      <c r="E29" s="6"/>
      <c r="F29" s="6"/>
      <c r="G29" s="6"/>
      <c r="H29" s="6"/>
      <c r="I29" s="6"/>
      <c r="J29" s="6"/>
      <c r="K29" s="6"/>
    </row>
    <row r="30" spans="1:15" s="412" customFormat="1" ht="25.7" customHeight="1" thickBot="1" x14ac:dyDescent="0.3">
      <c r="A30" s="6"/>
      <c r="B30" s="6"/>
      <c r="C30" s="6"/>
      <c r="D30" s="52" t="s">
        <v>1239</v>
      </c>
      <c r="E30" s="154">
        <f>AVERAGE(E21:G21,E27:F27)</f>
        <v>0.5785239624007813</v>
      </c>
      <c r="F30" s="431"/>
      <c r="G30" s="431"/>
      <c r="H30" s="429"/>
      <c r="I30" s="6"/>
      <c r="J30" s="6"/>
      <c r="K30" s="6"/>
    </row>
    <row r="31" spans="1:15" s="412" customFormat="1" x14ac:dyDescent="0.25">
      <c r="A31" s="6"/>
      <c r="B31" s="6"/>
      <c r="C31" s="6"/>
      <c r="D31" s="6"/>
      <c r="E31" s="6"/>
      <c r="F31" s="6"/>
      <c r="G31" s="6"/>
      <c r="H31" s="6"/>
      <c r="I31" s="6"/>
      <c r="J31" s="6"/>
      <c r="K31" s="6"/>
    </row>
    <row r="32" spans="1:15" s="412" customFormat="1" ht="15.75" thickBot="1" x14ac:dyDescent="0.3">
      <c r="A32" s="6"/>
      <c r="B32" s="6"/>
      <c r="C32" s="6"/>
      <c r="D32" s="6"/>
      <c r="E32" s="6"/>
      <c r="F32" s="6"/>
      <c r="G32" s="6"/>
      <c r="H32" s="6"/>
      <c r="I32" s="6"/>
      <c r="J32" s="6"/>
      <c r="K32" s="6"/>
    </row>
    <row r="33" spans="2:11" ht="36" customHeight="1" thickBot="1" x14ac:dyDescent="0.3">
      <c r="B33" s="52" t="s">
        <v>34</v>
      </c>
      <c r="C33" s="430"/>
      <c r="D33" s="1816" t="s">
        <v>1114</v>
      </c>
      <c r="E33" s="1817"/>
      <c r="F33" s="1817"/>
      <c r="G33" s="1817"/>
      <c r="H33" s="1818"/>
      <c r="I33" s="6"/>
      <c r="J33" s="6"/>
      <c r="K33" s="6"/>
    </row>
    <row r="34" spans="2:11" ht="48" customHeight="1" thickBot="1" x14ac:dyDescent="0.3">
      <c r="B34" s="47" t="s">
        <v>36</v>
      </c>
      <c r="C34" s="93"/>
      <c r="D34" s="1816" t="s">
        <v>1115</v>
      </c>
      <c r="E34" s="1817"/>
      <c r="F34" s="1817"/>
      <c r="G34" s="1817"/>
      <c r="H34" s="1818"/>
      <c r="I34" s="6"/>
      <c r="J34" s="6"/>
      <c r="K34" s="6"/>
    </row>
    <row r="35" spans="2:11" ht="15.75" thickBot="1" x14ac:dyDescent="0.3">
      <c r="B35" s="2"/>
      <c r="C35" s="76"/>
      <c r="D35" s="6"/>
      <c r="E35" s="6"/>
      <c r="F35" s="6"/>
      <c r="G35" s="6"/>
      <c r="H35" s="6"/>
      <c r="I35" s="6"/>
      <c r="J35" s="6"/>
      <c r="K35" s="6"/>
    </row>
    <row r="36" spans="2:11" ht="24" customHeight="1" thickBot="1" x14ac:dyDescent="0.3">
      <c r="B36" s="1807" t="s">
        <v>38</v>
      </c>
      <c r="C36" s="1808"/>
      <c r="D36" s="1808"/>
      <c r="E36" s="1809"/>
      <c r="F36" s="6"/>
      <c r="G36" s="6"/>
      <c r="H36" s="6"/>
      <c r="I36" s="6"/>
      <c r="J36" s="6"/>
      <c r="K36" s="6"/>
    </row>
    <row r="37" spans="2:11" ht="15.75" thickBot="1" x14ac:dyDescent="0.3">
      <c r="B37" s="1804">
        <v>1</v>
      </c>
      <c r="C37" s="94"/>
      <c r="D37" s="48" t="s">
        <v>39</v>
      </c>
      <c r="E37" s="167" t="s">
        <v>2854</v>
      </c>
      <c r="F37" s="6"/>
      <c r="G37" s="6"/>
      <c r="H37" s="6"/>
      <c r="I37" s="6"/>
      <c r="J37" s="6"/>
      <c r="K37" s="6"/>
    </row>
    <row r="38" spans="2:11" ht="15.75" thickBot="1" x14ac:dyDescent="0.3">
      <c r="B38" s="1805"/>
      <c r="C38" s="94"/>
      <c r="D38" s="41" t="s">
        <v>40</v>
      </c>
      <c r="E38" s="167" t="s">
        <v>3143</v>
      </c>
      <c r="F38" s="6"/>
      <c r="G38" s="6"/>
      <c r="H38" s="6"/>
      <c r="I38" s="6"/>
      <c r="J38" s="6"/>
      <c r="K38" s="6"/>
    </row>
    <row r="39" spans="2:11" ht="15.75" thickBot="1" x14ac:dyDescent="0.3">
      <c r="B39" s="1805"/>
      <c r="C39" s="94"/>
      <c r="D39" s="41" t="s">
        <v>41</v>
      </c>
      <c r="E39" s="167" t="s">
        <v>3144</v>
      </c>
      <c r="F39" s="6"/>
      <c r="G39" s="6"/>
      <c r="H39" s="6"/>
      <c r="I39" s="6"/>
      <c r="J39" s="6"/>
      <c r="K39" s="6"/>
    </row>
    <row r="40" spans="2:11" ht="15.75" thickBot="1" x14ac:dyDescent="0.3">
      <c r="B40" s="1805"/>
      <c r="C40" s="94"/>
      <c r="D40" s="41" t="s">
        <v>42</v>
      </c>
      <c r="E40" s="167" t="s">
        <v>3145</v>
      </c>
      <c r="F40" s="6"/>
      <c r="G40" s="6"/>
      <c r="H40" s="6"/>
      <c r="I40" s="6"/>
      <c r="J40" s="6"/>
      <c r="K40" s="6"/>
    </row>
    <row r="41" spans="2:11" ht="15.75" thickBot="1" x14ac:dyDescent="0.3">
      <c r="B41" s="1805"/>
      <c r="C41" s="94"/>
      <c r="D41" s="41" t="s">
        <v>43</v>
      </c>
      <c r="E41" s="167" t="s">
        <v>3146</v>
      </c>
      <c r="F41" s="6"/>
      <c r="G41" s="6"/>
      <c r="H41" s="6"/>
      <c r="I41" s="6"/>
      <c r="J41" s="6"/>
      <c r="K41" s="6"/>
    </row>
    <row r="42" spans="2:11" ht="15.75" thickBot="1" x14ac:dyDescent="0.3">
      <c r="B42" s="1805"/>
      <c r="C42" s="94"/>
      <c r="D42" s="41" t="s">
        <v>44</v>
      </c>
      <c r="E42" s="167" t="s">
        <v>3147</v>
      </c>
      <c r="F42" s="6"/>
      <c r="G42" s="6"/>
      <c r="H42" s="6"/>
      <c r="I42" s="6"/>
      <c r="J42" s="6"/>
      <c r="K42" s="6"/>
    </row>
    <row r="43" spans="2:11" ht="15.75" thickBot="1" x14ac:dyDescent="0.3">
      <c r="B43" s="1806"/>
      <c r="C43" s="3"/>
      <c r="D43" s="41" t="s">
        <v>45</v>
      </c>
      <c r="E43" s="167" t="s">
        <v>2886</v>
      </c>
      <c r="F43" s="6"/>
      <c r="G43" s="6"/>
      <c r="H43" s="6"/>
      <c r="I43" s="6"/>
      <c r="J43" s="6"/>
      <c r="K43" s="6"/>
    </row>
    <row r="44" spans="2:11" ht="15.75" thickBot="1" x14ac:dyDescent="0.3">
      <c r="B44" s="2"/>
      <c r="C44" s="76"/>
      <c r="D44" s="6"/>
      <c r="E44" s="6"/>
      <c r="F44" s="6"/>
      <c r="G44" s="6"/>
      <c r="H44" s="6"/>
      <c r="I44" s="6"/>
      <c r="J44" s="6"/>
      <c r="K44" s="6"/>
    </row>
    <row r="45" spans="2:11" ht="15.75" thickBot="1" x14ac:dyDescent="0.3">
      <c r="B45" s="1807" t="s">
        <v>46</v>
      </c>
      <c r="C45" s="1808"/>
      <c r="D45" s="1808"/>
      <c r="E45" s="1809"/>
      <c r="F45" s="6"/>
      <c r="G45" s="6"/>
      <c r="H45" s="6"/>
      <c r="I45" s="6"/>
      <c r="J45" s="6"/>
      <c r="K45" s="6"/>
    </row>
    <row r="46" spans="2:11" ht="15.75" thickBot="1" x14ac:dyDescent="0.3">
      <c r="B46" s="1804">
        <v>1</v>
      </c>
      <c r="C46" s="94"/>
      <c r="D46" s="48" t="s">
        <v>39</v>
      </c>
      <c r="E46" s="19" t="s">
        <v>47</v>
      </c>
      <c r="F46" s="6"/>
      <c r="G46" s="6"/>
      <c r="H46" s="6"/>
      <c r="I46" s="6"/>
      <c r="J46" s="6"/>
      <c r="K46" s="6"/>
    </row>
    <row r="47" spans="2:11" ht="15.75" thickBot="1" x14ac:dyDescent="0.3">
      <c r="B47" s="1805"/>
      <c r="C47" s="94"/>
      <c r="D47" s="41" t="s">
        <v>40</v>
      </c>
      <c r="E47" s="19" t="s">
        <v>160</v>
      </c>
      <c r="F47" s="6"/>
      <c r="G47" s="6"/>
      <c r="H47" s="6"/>
      <c r="I47" s="6"/>
      <c r="J47" s="6"/>
      <c r="K47" s="6"/>
    </row>
    <row r="48" spans="2:11" ht="15.75" thickBot="1" x14ac:dyDescent="0.3">
      <c r="B48" s="1805"/>
      <c r="C48" s="94"/>
      <c r="D48" s="41" t="s">
        <v>41</v>
      </c>
      <c r="E48" s="172"/>
      <c r="F48" s="6"/>
      <c r="G48" s="6"/>
      <c r="H48" s="6"/>
      <c r="I48" s="6"/>
      <c r="J48" s="6"/>
      <c r="K48" s="6"/>
    </row>
    <row r="49" spans="2:11" ht="15.75" thickBot="1" x14ac:dyDescent="0.3">
      <c r="B49" s="1805"/>
      <c r="C49" s="94"/>
      <c r="D49" s="41" t="s">
        <v>42</v>
      </c>
      <c r="E49" s="172"/>
      <c r="F49" s="6"/>
      <c r="G49" s="6"/>
      <c r="H49" s="6"/>
      <c r="I49" s="6"/>
      <c r="J49" s="6"/>
      <c r="K49" s="6"/>
    </row>
    <row r="50" spans="2:11" ht="15.75" thickBot="1" x14ac:dyDescent="0.3">
      <c r="B50" s="1805"/>
      <c r="C50" s="94"/>
      <c r="D50" s="41" t="s">
        <v>43</v>
      </c>
      <c r="E50" s="172"/>
      <c r="F50" s="6"/>
      <c r="G50" s="6"/>
      <c r="H50" s="6"/>
      <c r="I50" s="6"/>
      <c r="J50" s="6"/>
      <c r="K50" s="6"/>
    </row>
    <row r="51" spans="2:11" ht="15.75" thickBot="1" x14ac:dyDescent="0.3">
      <c r="B51" s="1805"/>
      <c r="C51" s="94"/>
      <c r="D51" s="41" t="s">
        <v>44</v>
      </c>
      <c r="E51" s="172"/>
      <c r="F51" s="6"/>
      <c r="G51" s="6"/>
      <c r="H51" s="6"/>
      <c r="I51" s="6"/>
      <c r="J51" s="6"/>
      <c r="K51" s="6"/>
    </row>
    <row r="52" spans="2:11" ht="15.75" thickBot="1" x14ac:dyDescent="0.3">
      <c r="B52" s="1806"/>
      <c r="C52" s="3"/>
      <c r="D52" s="41" t="s">
        <v>45</v>
      </c>
      <c r="E52" s="172"/>
      <c r="F52" s="6"/>
      <c r="G52" s="6"/>
      <c r="H52" s="6"/>
      <c r="I52" s="6"/>
      <c r="J52" s="6"/>
      <c r="K52" s="6"/>
    </row>
    <row r="53" spans="2:11" ht="15.75" thickBot="1" x14ac:dyDescent="0.3">
      <c r="B53" s="2"/>
      <c r="C53" s="76"/>
      <c r="D53" s="6"/>
      <c r="E53" s="6"/>
      <c r="F53" s="6"/>
      <c r="G53" s="6"/>
      <c r="H53" s="6"/>
      <c r="I53" s="6"/>
      <c r="J53" s="6"/>
      <c r="K53" s="6"/>
    </row>
    <row r="54" spans="2:11" ht="15" customHeight="1" thickBot="1" x14ac:dyDescent="0.3">
      <c r="B54" s="125" t="s">
        <v>49</v>
      </c>
      <c r="C54" s="126"/>
      <c r="D54" s="126"/>
      <c r="E54" s="127"/>
      <c r="G54" s="6"/>
      <c r="H54" s="6"/>
      <c r="I54" s="6"/>
      <c r="J54" s="6"/>
      <c r="K54" s="6"/>
    </row>
    <row r="55" spans="2:11" ht="24.75" thickBot="1" x14ac:dyDescent="0.3">
      <c r="B55" s="47" t="s">
        <v>50</v>
      </c>
      <c r="C55" s="41" t="s">
        <v>51</v>
      </c>
      <c r="D55" s="41" t="s">
        <v>52</v>
      </c>
      <c r="E55" s="41" t="s">
        <v>53</v>
      </c>
      <c r="F55" s="6"/>
      <c r="G55" s="6"/>
      <c r="H55" s="6"/>
      <c r="I55" s="6"/>
      <c r="J55" s="6"/>
    </row>
    <row r="56" spans="2:11" ht="60.75" thickBot="1" x14ac:dyDescent="0.3">
      <c r="B56" s="49">
        <v>42401</v>
      </c>
      <c r="C56" s="41">
        <v>0.01</v>
      </c>
      <c r="D56" s="50" t="s">
        <v>1116</v>
      </c>
      <c r="E56" s="41"/>
      <c r="F56" s="6"/>
      <c r="G56" s="6"/>
      <c r="H56" s="6"/>
      <c r="I56" s="6"/>
      <c r="J56" s="6"/>
    </row>
    <row r="57" spans="2:11" ht="15.75" thickBot="1" x14ac:dyDescent="0.3">
      <c r="B57" s="4"/>
      <c r="C57" s="95"/>
      <c r="D57" s="6"/>
      <c r="E57" s="6"/>
      <c r="F57" s="6"/>
      <c r="G57" s="6"/>
      <c r="H57" s="6"/>
      <c r="I57" s="6"/>
      <c r="J57" s="6"/>
      <c r="K57" s="6"/>
    </row>
    <row r="58" spans="2:11" ht="15.75" thickBot="1" x14ac:dyDescent="0.3">
      <c r="B58" s="135" t="s">
        <v>55</v>
      </c>
      <c r="C58" s="96"/>
      <c r="D58" s="6"/>
      <c r="E58" s="6"/>
      <c r="F58" s="6"/>
      <c r="G58" s="6"/>
      <c r="H58" s="6"/>
      <c r="I58" s="6"/>
      <c r="J58" s="6"/>
      <c r="K58" s="6"/>
    </row>
    <row r="59" spans="2:11" x14ac:dyDescent="0.25">
      <c r="B59" s="1934"/>
      <c r="C59" s="1935"/>
      <c r="D59" s="1935"/>
      <c r="E59" s="1936"/>
      <c r="F59" s="6"/>
      <c r="G59" s="6"/>
      <c r="H59" s="6"/>
      <c r="I59" s="6"/>
      <c r="J59" s="6"/>
      <c r="K59" s="6"/>
    </row>
    <row r="60" spans="2:11" ht="15.75" thickBot="1" x14ac:dyDescent="0.3">
      <c r="B60" s="1937"/>
      <c r="C60" s="1938"/>
      <c r="D60" s="1938"/>
      <c r="E60" s="1939"/>
      <c r="F60" s="6"/>
      <c r="G60" s="6"/>
      <c r="H60" s="6"/>
      <c r="I60" s="6"/>
      <c r="J60" s="6"/>
      <c r="K60" s="6"/>
    </row>
    <row r="61" spans="2:11" ht="15.75" thickBot="1" x14ac:dyDescent="0.3">
      <c r="B61" s="6"/>
      <c r="D61" s="6"/>
      <c r="E61" s="6"/>
      <c r="F61" s="6"/>
      <c r="G61" s="6"/>
      <c r="H61" s="6"/>
      <c r="I61" s="6"/>
      <c r="J61" s="6"/>
      <c r="K61" s="6"/>
    </row>
    <row r="62" spans="2:11" ht="24.75" thickBot="1" x14ac:dyDescent="0.3">
      <c r="B62" s="51" t="s">
        <v>56</v>
      </c>
      <c r="C62" s="97"/>
      <c r="D62" s="6"/>
      <c r="E62" s="6"/>
      <c r="F62" s="6"/>
      <c r="G62" s="6"/>
      <c r="H62" s="6"/>
      <c r="I62" s="6"/>
      <c r="J62" s="6"/>
      <c r="K62" s="6"/>
    </row>
    <row r="63" spans="2:11" ht="15.75" thickBot="1" x14ac:dyDescent="0.3">
      <c r="B63" s="2"/>
      <c r="C63" s="76"/>
      <c r="D63" s="6"/>
      <c r="E63" s="6"/>
      <c r="F63" s="6"/>
      <c r="G63" s="6"/>
      <c r="H63" s="6"/>
      <c r="I63" s="6"/>
      <c r="J63" s="6"/>
      <c r="K63" s="6"/>
    </row>
    <row r="64" spans="2:11" ht="60.75" thickBot="1" x14ac:dyDescent="0.3">
      <c r="B64" s="52" t="s">
        <v>57</v>
      </c>
      <c r="C64" s="98"/>
      <c r="D64" s="43" t="s">
        <v>1071</v>
      </c>
      <c r="E64" s="6"/>
      <c r="F64" s="6"/>
      <c r="G64" s="6"/>
      <c r="H64" s="6"/>
      <c r="I64" s="6"/>
      <c r="J64" s="6"/>
      <c r="K64" s="6"/>
    </row>
    <row r="65" spans="2:11" x14ac:dyDescent="0.25">
      <c r="B65" s="1804" t="s">
        <v>59</v>
      </c>
      <c r="C65" s="94"/>
      <c r="D65" s="53" t="s">
        <v>60</v>
      </c>
      <c r="E65" s="6"/>
      <c r="F65" s="6"/>
      <c r="G65" s="6"/>
      <c r="H65" s="6"/>
      <c r="I65" s="6"/>
      <c r="J65" s="6"/>
      <c r="K65" s="6"/>
    </row>
    <row r="66" spans="2:11" ht="48" x14ac:dyDescent="0.25">
      <c r="B66" s="1805"/>
      <c r="C66" s="94"/>
      <c r="D66" s="46" t="s">
        <v>1072</v>
      </c>
      <c r="E66" s="6"/>
      <c r="F66" s="6"/>
      <c r="G66" s="6"/>
      <c r="H66" s="6"/>
      <c r="I66" s="6"/>
      <c r="J66" s="6"/>
      <c r="K66" s="6"/>
    </row>
    <row r="67" spans="2:11" x14ac:dyDescent="0.25">
      <c r="B67" s="1805"/>
      <c r="C67" s="94"/>
      <c r="D67" s="53" t="s">
        <v>134</v>
      </c>
      <c r="E67" s="6"/>
      <c r="F67" s="6"/>
      <c r="G67" s="6"/>
      <c r="H67" s="6"/>
      <c r="I67" s="6"/>
      <c r="J67" s="6"/>
      <c r="K67" s="6"/>
    </row>
    <row r="68" spans="2:11" x14ac:dyDescent="0.25">
      <c r="B68" s="1805"/>
      <c r="C68" s="94"/>
      <c r="D68" s="46" t="s">
        <v>65</v>
      </c>
      <c r="E68" s="6"/>
      <c r="F68" s="6"/>
      <c r="G68" s="6"/>
      <c r="H68" s="6"/>
      <c r="I68" s="6"/>
      <c r="J68" s="6"/>
      <c r="K68" s="6"/>
    </row>
    <row r="69" spans="2:11" x14ac:dyDescent="0.25">
      <c r="B69" s="1805"/>
      <c r="C69" s="94"/>
      <c r="D69" s="46" t="s">
        <v>1000</v>
      </c>
      <c r="E69" s="6"/>
      <c r="F69" s="6"/>
      <c r="G69" s="6"/>
      <c r="H69" s="6"/>
      <c r="I69" s="6"/>
      <c r="J69" s="6"/>
      <c r="K69" s="6"/>
    </row>
    <row r="70" spans="2:11" ht="48" x14ac:dyDescent="0.25">
      <c r="B70" s="1805"/>
      <c r="C70" s="94"/>
      <c r="D70" s="46" t="s">
        <v>1001</v>
      </c>
      <c r="E70" s="6"/>
      <c r="F70" s="6"/>
      <c r="G70" s="6"/>
      <c r="H70" s="6"/>
      <c r="I70" s="6"/>
      <c r="J70" s="6"/>
      <c r="K70" s="6"/>
    </row>
    <row r="71" spans="2:11" ht="24" x14ac:dyDescent="0.25">
      <c r="B71" s="1805"/>
      <c r="C71" s="94"/>
      <c r="D71" s="46" t="s">
        <v>1073</v>
      </c>
      <c r="E71" s="6"/>
      <c r="F71" s="6"/>
      <c r="G71" s="6"/>
      <c r="H71" s="6"/>
      <c r="I71" s="6"/>
      <c r="J71" s="6"/>
      <c r="K71" s="6"/>
    </row>
    <row r="72" spans="2:11" x14ac:dyDescent="0.25">
      <c r="B72" s="1805"/>
      <c r="C72" s="94"/>
      <c r="D72" s="46" t="s">
        <v>1074</v>
      </c>
      <c r="E72" s="6"/>
      <c r="F72" s="6"/>
      <c r="G72" s="6"/>
      <c r="H72" s="6"/>
      <c r="I72" s="6"/>
      <c r="J72" s="6"/>
      <c r="K72" s="6"/>
    </row>
    <row r="73" spans="2:11" x14ac:dyDescent="0.25">
      <c r="B73" s="1805"/>
      <c r="C73" s="94"/>
      <c r="D73" s="53" t="s">
        <v>1075</v>
      </c>
      <c r="E73" s="6"/>
      <c r="F73" s="6"/>
      <c r="G73" s="6"/>
      <c r="H73" s="6"/>
      <c r="I73" s="6"/>
      <c r="J73" s="6"/>
      <c r="K73" s="6"/>
    </row>
    <row r="74" spans="2:11" ht="60" x14ac:dyDescent="0.25">
      <c r="B74" s="1805"/>
      <c r="C74" s="94"/>
      <c r="D74" s="46" t="s">
        <v>1076</v>
      </c>
      <c r="E74" s="6"/>
      <c r="F74" s="6"/>
      <c r="G74" s="6"/>
      <c r="H74" s="6"/>
      <c r="I74" s="6"/>
      <c r="J74" s="6"/>
      <c r="K74" s="6"/>
    </row>
    <row r="75" spans="2:11" x14ac:dyDescent="0.25">
      <c r="B75" s="1805"/>
      <c r="C75" s="94"/>
      <c r="D75" s="55" t="s">
        <v>1002</v>
      </c>
      <c r="E75" s="6"/>
      <c r="F75" s="6"/>
      <c r="G75" s="6"/>
      <c r="H75" s="6"/>
      <c r="I75" s="6"/>
      <c r="J75" s="6"/>
      <c r="K75" s="6"/>
    </row>
    <row r="76" spans="2:11" ht="15.75" thickBot="1" x14ac:dyDescent="0.3">
      <c r="B76" s="1806"/>
      <c r="C76" s="3"/>
      <c r="D76" s="56" t="s">
        <v>1003</v>
      </c>
      <c r="E76" s="6"/>
      <c r="F76" s="6"/>
      <c r="G76" s="6"/>
      <c r="H76" s="6"/>
      <c r="I76" s="6"/>
      <c r="J76" s="6"/>
      <c r="K76" s="6"/>
    </row>
    <row r="77" spans="2:11" ht="24.75" thickBot="1" x14ac:dyDescent="0.3">
      <c r="B77" s="47" t="s">
        <v>72</v>
      </c>
      <c r="C77" s="3"/>
      <c r="D77" s="41" t="s">
        <v>1077</v>
      </c>
      <c r="E77" s="6"/>
      <c r="F77" s="6"/>
      <c r="G77" s="6"/>
      <c r="H77" s="6"/>
      <c r="I77" s="6"/>
      <c r="J77" s="6"/>
      <c r="K77" s="6"/>
    </row>
    <row r="78" spans="2:11" ht="108" x14ac:dyDescent="0.25">
      <c r="B78" s="1804" t="s">
        <v>73</v>
      </c>
      <c r="C78" s="94"/>
      <c r="D78" s="46" t="s">
        <v>1078</v>
      </c>
      <c r="E78" s="6"/>
      <c r="F78" s="6"/>
      <c r="G78" s="6"/>
      <c r="H78" s="6"/>
      <c r="I78" s="6"/>
      <c r="J78" s="6"/>
      <c r="K78" s="6"/>
    </row>
    <row r="79" spans="2:11" ht="204" x14ac:dyDescent="0.25">
      <c r="B79" s="1805"/>
      <c r="C79" s="94"/>
      <c r="D79" s="46" t="s">
        <v>1079</v>
      </c>
      <c r="E79" s="6"/>
      <c r="F79" s="6"/>
      <c r="G79" s="6"/>
      <c r="H79" s="6"/>
      <c r="I79" s="6"/>
      <c r="J79" s="6"/>
      <c r="K79" s="6"/>
    </row>
    <row r="80" spans="2:11" ht="240" x14ac:dyDescent="0.25">
      <c r="B80" s="1805"/>
      <c r="C80" s="94"/>
      <c r="D80" s="46" t="s">
        <v>1080</v>
      </c>
      <c r="E80" s="6"/>
      <c r="F80" s="6"/>
      <c r="G80" s="6"/>
      <c r="H80" s="6"/>
      <c r="I80" s="6"/>
      <c r="J80" s="6"/>
      <c r="K80" s="6"/>
    </row>
    <row r="81" spans="2:11" ht="84" x14ac:dyDescent="0.25">
      <c r="B81" s="1805"/>
      <c r="C81" s="94"/>
      <c r="D81" s="46" t="s">
        <v>1081</v>
      </c>
      <c r="E81" s="6"/>
      <c r="F81" s="6"/>
      <c r="G81" s="6"/>
      <c r="H81" s="6"/>
      <c r="I81" s="6"/>
      <c r="J81" s="6"/>
      <c r="K81" s="6"/>
    </row>
    <row r="82" spans="2:11" ht="216" x14ac:dyDescent="0.25">
      <c r="B82" s="1805"/>
      <c r="C82" s="94"/>
      <c r="D82" s="46" t="s">
        <v>1007</v>
      </c>
      <c r="E82" s="6"/>
      <c r="F82" s="6"/>
      <c r="G82" s="6"/>
      <c r="H82" s="6"/>
      <c r="I82" s="6"/>
      <c r="J82" s="6"/>
      <c r="K82" s="6"/>
    </row>
    <row r="83" spans="2:11" ht="180" x14ac:dyDescent="0.25">
      <c r="B83" s="1805"/>
      <c r="C83" s="94"/>
      <c r="D83" s="46" t="s">
        <v>1082</v>
      </c>
      <c r="E83" s="6"/>
      <c r="F83" s="6"/>
      <c r="G83" s="6"/>
      <c r="H83" s="6"/>
      <c r="I83" s="6"/>
      <c r="J83" s="6"/>
      <c r="K83" s="6"/>
    </row>
    <row r="84" spans="2:11" ht="132.75" thickBot="1" x14ac:dyDescent="0.3">
      <c r="B84" s="1806"/>
      <c r="C84" s="3"/>
      <c r="D84" s="41" t="s">
        <v>1083</v>
      </c>
      <c r="E84" s="6"/>
      <c r="F84" s="6"/>
      <c r="G84" s="6"/>
      <c r="H84" s="6"/>
      <c r="I84" s="6"/>
      <c r="J84" s="6"/>
      <c r="K84" s="6"/>
    </row>
    <row r="85" spans="2:11" ht="24" x14ac:dyDescent="0.25">
      <c r="B85" s="1804" t="s">
        <v>90</v>
      </c>
      <c r="C85" s="94"/>
      <c r="D85" s="57" t="s">
        <v>1084</v>
      </c>
      <c r="E85" s="6"/>
      <c r="F85" s="6"/>
      <c r="G85" s="6"/>
      <c r="H85" s="6"/>
      <c r="I85" s="6"/>
      <c r="J85" s="6"/>
      <c r="K85" s="6"/>
    </row>
    <row r="86" spans="2:11" x14ac:dyDescent="0.25">
      <c r="B86" s="1805"/>
      <c r="C86" s="94"/>
      <c r="D86" s="17"/>
      <c r="E86" s="6"/>
      <c r="F86" s="6"/>
      <c r="G86" s="6"/>
      <c r="H86" s="6"/>
      <c r="I86" s="6"/>
      <c r="J86" s="6"/>
      <c r="K86" s="6"/>
    </row>
    <row r="87" spans="2:11" x14ac:dyDescent="0.25">
      <c r="B87" s="1805"/>
      <c r="C87" s="94"/>
      <c r="D87" s="46" t="s">
        <v>91</v>
      </c>
      <c r="E87" s="6"/>
      <c r="F87" s="6"/>
      <c r="G87" s="6"/>
      <c r="H87" s="6"/>
      <c r="I87" s="6"/>
      <c r="J87" s="6"/>
      <c r="K87" s="6"/>
    </row>
    <row r="88" spans="2:11" ht="37.5" x14ac:dyDescent="0.25">
      <c r="B88" s="1805"/>
      <c r="C88" s="94"/>
      <c r="D88" s="46" t="s">
        <v>1085</v>
      </c>
      <c r="E88" s="6"/>
      <c r="F88" s="6"/>
      <c r="G88" s="6"/>
      <c r="H88" s="6"/>
      <c r="I88" s="6"/>
      <c r="J88" s="6"/>
      <c r="K88" s="6"/>
    </row>
    <row r="89" spans="2:11" ht="37.5" x14ac:dyDescent="0.25">
      <c r="B89" s="1805"/>
      <c r="C89" s="94"/>
      <c r="D89" s="46" t="s">
        <v>1086</v>
      </c>
      <c r="E89" s="6"/>
      <c r="F89" s="6"/>
      <c r="G89" s="6"/>
      <c r="H89" s="6"/>
      <c r="I89" s="6"/>
      <c r="J89" s="6"/>
      <c r="K89" s="6"/>
    </row>
    <row r="90" spans="2:11" x14ac:dyDescent="0.25">
      <c r="B90" s="1805"/>
      <c r="C90" s="94"/>
      <c r="D90" s="46" t="s">
        <v>1087</v>
      </c>
      <c r="E90" s="6"/>
      <c r="F90" s="6"/>
      <c r="G90" s="6"/>
      <c r="H90" s="6"/>
      <c r="I90" s="6"/>
      <c r="J90" s="6"/>
      <c r="K90" s="6"/>
    </row>
    <row r="91" spans="2:11" ht="49.5" x14ac:dyDescent="0.25">
      <c r="B91" s="1805"/>
      <c r="C91" s="94"/>
      <c r="D91" s="46" t="s">
        <v>1088</v>
      </c>
      <c r="E91" s="6"/>
      <c r="F91" s="6"/>
      <c r="G91" s="6"/>
      <c r="H91" s="6"/>
      <c r="I91" s="6"/>
      <c r="J91" s="6"/>
      <c r="K91" s="6"/>
    </row>
    <row r="92" spans="2:11" ht="60" x14ac:dyDescent="0.25">
      <c r="B92" s="1805"/>
      <c r="C92" s="94"/>
      <c r="D92" s="46" t="s">
        <v>1089</v>
      </c>
      <c r="E92" s="6"/>
      <c r="F92" s="6"/>
      <c r="G92" s="6"/>
      <c r="H92" s="6"/>
      <c r="I92" s="6"/>
      <c r="J92" s="6"/>
      <c r="K92" s="6"/>
    </row>
    <row r="93" spans="2:11" ht="48" x14ac:dyDescent="0.25">
      <c r="B93" s="1805"/>
      <c r="C93" s="94"/>
      <c r="D93" s="46" t="s">
        <v>1090</v>
      </c>
      <c r="E93" s="6"/>
      <c r="F93" s="6"/>
      <c r="G93" s="6"/>
      <c r="H93" s="6"/>
      <c r="I93" s="6"/>
      <c r="J93" s="6"/>
      <c r="K93" s="6"/>
    </row>
    <row r="94" spans="2:11" ht="24" x14ac:dyDescent="0.25">
      <c r="B94" s="1805"/>
      <c r="C94" s="94"/>
      <c r="D94" s="53" t="s">
        <v>1091</v>
      </c>
      <c r="E94" s="6"/>
      <c r="F94" s="6"/>
      <c r="G94" s="6"/>
      <c r="H94" s="6"/>
      <c r="I94" s="6"/>
      <c r="J94" s="6"/>
      <c r="K94" s="6"/>
    </row>
    <row r="95" spans="2:11" x14ac:dyDescent="0.25">
      <c r="B95" s="1805"/>
      <c r="C95" s="94"/>
      <c r="D95" s="17"/>
      <c r="E95" s="6"/>
      <c r="F95" s="6"/>
      <c r="G95" s="6"/>
      <c r="H95" s="6"/>
      <c r="I95" s="6"/>
      <c r="J95" s="6"/>
      <c r="K95" s="6"/>
    </row>
    <row r="96" spans="2:11" x14ac:dyDescent="0.25">
      <c r="B96" s="1805"/>
      <c r="C96" s="94"/>
      <c r="D96" s="46" t="s">
        <v>91</v>
      </c>
      <c r="E96" s="6"/>
      <c r="F96" s="6"/>
      <c r="G96" s="6"/>
      <c r="H96" s="6"/>
      <c r="I96" s="6"/>
      <c r="J96" s="6"/>
      <c r="K96" s="6"/>
    </row>
    <row r="97" spans="2:11" ht="37.5" x14ac:dyDescent="0.25">
      <c r="B97" s="1805"/>
      <c r="C97" s="94"/>
      <c r="D97" s="46" t="s">
        <v>1092</v>
      </c>
      <c r="E97" s="6"/>
      <c r="F97" s="6"/>
      <c r="G97" s="6"/>
      <c r="H97" s="6"/>
      <c r="I97" s="6"/>
      <c r="J97" s="6"/>
      <c r="K97" s="6"/>
    </row>
    <row r="98" spans="2:11" ht="25.5" x14ac:dyDescent="0.25">
      <c r="B98" s="1805"/>
      <c r="C98" s="94"/>
      <c r="D98" s="46" t="s">
        <v>1093</v>
      </c>
      <c r="E98" s="6"/>
      <c r="F98" s="6"/>
      <c r="G98" s="6"/>
      <c r="H98" s="6"/>
      <c r="I98" s="6"/>
      <c r="J98" s="6"/>
      <c r="K98" s="6"/>
    </row>
    <row r="99" spans="2:11" ht="37.5" x14ac:dyDescent="0.25">
      <c r="B99" s="1805"/>
      <c r="C99" s="94"/>
      <c r="D99" s="46" t="s">
        <v>1094</v>
      </c>
      <c r="E99" s="6"/>
      <c r="F99" s="6"/>
      <c r="G99" s="6"/>
      <c r="H99" s="6"/>
      <c r="I99" s="6"/>
      <c r="J99" s="6"/>
      <c r="K99" s="6"/>
    </row>
    <row r="100" spans="2:11" x14ac:dyDescent="0.25">
      <c r="B100" s="1805"/>
      <c r="C100" s="94"/>
      <c r="D100" s="58" t="s">
        <v>1095</v>
      </c>
      <c r="E100" s="6"/>
      <c r="F100" s="6"/>
      <c r="G100" s="6"/>
      <c r="H100" s="6"/>
      <c r="I100" s="6"/>
      <c r="J100" s="6"/>
      <c r="K100" s="6"/>
    </row>
    <row r="101" spans="2:11" ht="72" x14ac:dyDescent="0.25">
      <c r="B101" s="1805"/>
      <c r="C101" s="94"/>
      <c r="D101" s="46" t="s">
        <v>1096</v>
      </c>
      <c r="E101" s="6"/>
      <c r="F101" s="6"/>
      <c r="G101" s="6"/>
      <c r="H101" s="6"/>
      <c r="I101" s="6"/>
      <c r="J101" s="6"/>
      <c r="K101" s="6"/>
    </row>
    <row r="102" spans="2:11" ht="36" x14ac:dyDescent="0.25">
      <c r="B102" s="1805"/>
      <c r="C102" s="94"/>
      <c r="D102" s="53" t="s">
        <v>1097</v>
      </c>
      <c r="E102" s="6"/>
      <c r="F102" s="6"/>
      <c r="G102" s="6"/>
      <c r="H102" s="6"/>
      <c r="I102" s="6"/>
      <c r="J102" s="6"/>
      <c r="K102" s="6"/>
    </row>
    <row r="103" spans="2:11" x14ac:dyDescent="0.25">
      <c r="B103" s="1805"/>
      <c r="C103" s="94"/>
      <c r="D103" s="17"/>
      <c r="E103" s="6"/>
      <c r="F103" s="6"/>
      <c r="G103" s="6"/>
      <c r="H103" s="6"/>
      <c r="I103" s="6"/>
      <c r="J103" s="6"/>
      <c r="K103" s="6"/>
    </row>
    <row r="104" spans="2:11" x14ac:dyDescent="0.25">
      <c r="B104" s="1805"/>
      <c r="C104" s="94"/>
      <c r="D104" s="46" t="s">
        <v>91</v>
      </c>
      <c r="E104" s="6"/>
      <c r="F104" s="6"/>
      <c r="G104" s="6"/>
      <c r="H104" s="6"/>
      <c r="I104" s="6"/>
      <c r="J104" s="6"/>
      <c r="K104" s="6"/>
    </row>
    <row r="105" spans="2:11" ht="49.5" x14ac:dyDescent="0.25">
      <c r="B105" s="1805"/>
      <c r="C105" s="94"/>
      <c r="D105" s="46" t="s">
        <v>1098</v>
      </c>
      <c r="E105" s="6"/>
      <c r="F105" s="6"/>
      <c r="G105" s="6"/>
      <c r="H105" s="6"/>
      <c r="I105" s="6"/>
      <c r="J105" s="6"/>
      <c r="K105" s="6"/>
    </row>
    <row r="106" spans="2:11" ht="49.5" x14ac:dyDescent="0.25">
      <c r="B106" s="1805"/>
      <c r="C106" s="94"/>
      <c r="D106" s="46" t="s">
        <v>1099</v>
      </c>
      <c r="E106" s="6"/>
      <c r="F106" s="6"/>
      <c r="G106" s="6"/>
      <c r="H106" s="6"/>
      <c r="I106" s="6"/>
      <c r="J106" s="6"/>
      <c r="K106" s="6"/>
    </row>
    <row r="107" spans="2:11" ht="37.5" x14ac:dyDescent="0.25">
      <c r="B107" s="1805"/>
      <c r="C107" s="94"/>
      <c r="D107" s="46" t="s">
        <v>1100</v>
      </c>
      <c r="E107" s="6"/>
      <c r="F107" s="6"/>
      <c r="G107" s="6"/>
      <c r="H107" s="6"/>
      <c r="I107" s="6"/>
      <c r="J107" s="6"/>
      <c r="K107" s="6"/>
    </row>
    <row r="108" spans="2:11" ht="15.75" thickBot="1" x14ac:dyDescent="0.3">
      <c r="B108" s="1806"/>
      <c r="C108" s="3"/>
      <c r="D108" s="41" t="s">
        <v>1101</v>
      </c>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sheetData>
  <mergeCells count="27">
    <mergeCell ref="A1:P1"/>
    <mergeCell ref="A2:P2"/>
    <mergeCell ref="A3:P3"/>
    <mergeCell ref="A4:D4"/>
    <mergeCell ref="A5:P5"/>
    <mergeCell ref="B10:D10"/>
    <mergeCell ref="F10:S10"/>
    <mergeCell ref="F11:S11"/>
    <mergeCell ref="E13:R13"/>
    <mergeCell ref="E12:J12"/>
    <mergeCell ref="K12:R12"/>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s>
  <conditionalFormatting sqref="F10">
    <cfRule type="notContainsBlanks" dxfId="20" priority="4">
      <formula>LEN(TRIM(F10))&gt;0</formula>
    </cfRule>
  </conditionalFormatting>
  <conditionalFormatting sqref="F11:S11">
    <cfRule type="expression" dxfId="19" priority="2">
      <formula>E11="NO SE REPORTA"</formula>
    </cfRule>
    <cfRule type="expression" dxfId="18" priority="3">
      <formula>E10="NO APLICA"</formula>
    </cfRule>
  </conditionalFormatting>
  <conditionalFormatting sqref="E12 K12">
    <cfRule type="expression" dxfId="17"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5:F26 E19:G20">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U124"/>
  <sheetViews>
    <sheetView showGridLines="0" topLeftCell="D3" zoomScale="98" zoomScaleNormal="98" workbookViewId="0">
      <selection activeCell="F10" sqref="F10:S10"/>
    </sheetView>
  </sheetViews>
  <sheetFormatPr baseColWidth="10" defaultRowHeight="15" x14ac:dyDescent="0.25"/>
  <cols>
    <col min="1" max="1" width="1.85546875" customWidth="1"/>
    <col min="2" max="2" width="11.140625" customWidth="1"/>
    <col min="3" max="3" width="5" style="87" bestFit="1" customWidth="1"/>
    <col min="4" max="4" width="34.85546875" customWidth="1"/>
    <col min="5" max="5" width="13.42578125" customWidth="1"/>
    <col min="6" max="6" width="14.7109375" customWidth="1"/>
    <col min="7" max="7" width="15.5703125" customWidth="1"/>
    <col min="8" max="8" width="16.28515625" customWidth="1"/>
    <col min="10" max="10" width="14" customWidth="1"/>
  </cols>
  <sheetData>
    <row r="1" spans="1:21" s="542" customFormat="1" ht="100.5" customHeight="1" thickBot="1" x14ac:dyDescent="0.3">
      <c r="A1" s="1709"/>
      <c r="B1" s="1710"/>
      <c r="C1" s="1710"/>
      <c r="D1" s="1710"/>
      <c r="E1" s="1710"/>
      <c r="F1" s="1710"/>
      <c r="G1" s="1710"/>
      <c r="H1" s="1710"/>
      <c r="I1" s="1710"/>
      <c r="J1" s="1710"/>
      <c r="K1" s="1710"/>
      <c r="L1" s="1710"/>
      <c r="M1" s="1710"/>
      <c r="N1" s="1710"/>
      <c r="O1" s="1710"/>
      <c r="P1" s="1711"/>
      <c r="Q1" s="412"/>
      <c r="R1" s="412"/>
    </row>
    <row r="2" spans="1:21" s="543" customFormat="1" ht="16.5" thickBot="1" x14ac:dyDescent="0.3">
      <c r="A2" s="1717" t="str">
        <f>'Datos Generales'!C5</f>
        <v>Corporación Autónoma Regional de La Guajira – CORPOGUAJIRA</v>
      </c>
      <c r="B2" s="1718"/>
      <c r="C2" s="1718"/>
      <c r="D2" s="1718"/>
      <c r="E2" s="1718"/>
      <c r="F2" s="1718"/>
      <c r="G2" s="1718"/>
      <c r="H2" s="1718"/>
      <c r="I2" s="1718"/>
      <c r="J2" s="1718"/>
      <c r="K2" s="1718"/>
      <c r="L2" s="1718"/>
      <c r="M2" s="1718"/>
      <c r="N2" s="1718"/>
      <c r="O2" s="1718"/>
      <c r="P2" s="1719"/>
      <c r="Q2" s="412"/>
      <c r="R2" s="412"/>
    </row>
    <row r="3" spans="1:21" s="543" customFormat="1" ht="16.5" thickBot="1" x14ac:dyDescent="0.3">
      <c r="A3" s="1712" t="s">
        <v>1350</v>
      </c>
      <c r="B3" s="1713"/>
      <c r="C3" s="1713"/>
      <c r="D3" s="1713"/>
      <c r="E3" s="1713"/>
      <c r="F3" s="1713"/>
      <c r="G3" s="1713"/>
      <c r="H3" s="1713"/>
      <c r="I3" s="1713"/>
      <c r="J3" s="1713"/>
      <c r="K3" s="1713"/>
      <c r="L3" s="1713"/>
      <c r="M3" s="1713"/>
      <c r="N3" s="1713"/>
      <c r="O3" s="1713"/>
      <c r="P3" s="1714"/>
      <c r="Q3" s="412"/>
      <c r="R3" s="412"/>
    </row>
    <row r="4" spans="1:21" s="543" customFormat="1" ht="16.5" thickBot="1" x14ac:dyDescent="0.3">
      <c r="A4" s="1715" t="s">
        <v>1349</v>
      </c>
      <c r="B4" s="1716"/>
      <c r="C4" s="1716"/>
      <c r="D4" s="1716"/>
      <c r="E4" s="583" t="str">
        <f>'Datos Generales'!C6</f>
        <v>2021-I</v>
      </c>
      <c r="F4" s="583"/>
      <c r="G4" s="583"/>
      <c r="H4" s="583"/>
      <c r="I4" s="583"/>
      <c r="J4" s="583"/>
      <c r="K4" s="583"/>
      <c r="L4" s="585"/>
      <c r="M4" s="585"/>
      <c r="N4" s="585"/>
      <c r="O4" s="585"/>
      <c r="P4" s="586"/>
      <c r="Q4" s="412"/>
      <c r="R4" s="412"/>
    </row>
    <row r="5" spans="1:21" s="245" customFormat="1" ht="16.5" customHeight="1" thickBot="1" x14ac:dyDescent="0.3">
      <c r="A5" s="1712" t="s">
        <v>1117</v>
      </c>
      <c r="B5" s="1713"/>
      <c r="C5" s="1713"/>
      <c r="D5" s="1713"/>
      <c r="E5" s="1713"/>
      <c r="F5" s="1713"/>
      <c r="G5" s="1713"/>
      <c r="H5" s="1713"/>
      <c r="I5" s="1713"/>
      <c r="J5" s="1713"/>
      <c r="K5" s="1713"/>
      <c r="L5" s="1713"/>
      <c r="M5" s="1713"/>
      <c r="N5" s="1713"/>
      <c r="O5" s="1713"/>
      <c r="P5" s="1714"/>
    </row>
    <row r="6" spans="1:21" x14ac:dyDescent="0.25">
      <c r="A6" s="245"/>
      <c r="B6" s="249" t="s">
        <v>1</v>
      </c>
      <c r="C6" s="250"/>
      <c r="D6" s="248"/>
      <c r="E6" s="259"/>
      <c r="F6" s="248" t="s">
        <v>128</v>
      </c>
      <c r="G6" s="248"/>
      <c r="H6" s="248"/>
      <c r="I6" s="248"/>
      <c r="J6" s="248"/>
      <c r="K6" s="248"/>
      <c r="L6" s="245"/>
      <c r="M6" s="245"/>
      <c r="N6" s="245"/>
      <c r="O6" s="245"/>
      <c r="P6" s="245"/>
      <c r="Q6" s="245"/>
      <c r="R6" s="245"/>
      <c r="S6" s="245"/>
    </row>
    <row r="7" spans="1:21" ht="15.75" thickBot="1" x14ac:dyDescent="0.3">
      <c r="A7" s="245"/>
      <c r="B7" s="251"/>
      <c r="C7" s="252"/>
      <c r="D7" s="248"/>
      <c r="E7" s="253"/>
      <c r="F7" s="248" t="s">
        <v>129</v>
      </c>
      <c r="G7" s="248"/>
      <c r="H7" s="248"/>
      <c r="I7" s="248"/>
      <c r="J7" s="248"/>
      <c r="K7" s="248"/>
      <c r="L7" s="245"/>
      <c r="M7" s="245"/>
      <c r="N7" s="245"/>
      <c r="O7" s="245"/>
      <c r="P7" s="245"/>
      <c r="Q7" s="245"/>
      <c r="R7" s="245"/>
      <c r="S7" s="245"/>
    </row>
    <row r="8" spans="1:21" ht="15.75" thickBot="1" x14ac:dyDescent="0.3">
      <c r="A8" s="245"/>
      <c r="B8" s="255" t="s">
        <v>1188</v>
      </c>
      <c r="C8" s="262">
        <v>2021</v>
      </c>
      <c r="D8" s="257">
        <f>IF(E10="NO APLICA","NO APLICA",IF(E11="NO SE REPORTA","SIN INFORMACION",+F42))</f>
        <v>0.24505076268974579</v>
      </c>
      <c r="E8" s="264"/>
      <c r="F8" s="248" t="s">
        <v>130</v>
      </c>
      <c r="G8" s="248"/>
      <c r="H8" s="248"/>
      <c r="I8" s="248"/>
      <c r="J8" s="248"/>
      <c r="K8" s="248"/>
      <c r="L8" s="245"/>
      <c r="M8" s="245"/>
      <c r="N8" s="245"/>
      <c r="O8" s="245"/>
      <c r="P8" s="245"/>
      <c r="Q8" s="245"/>
      <c r="R8" s="245"/>
      <c r="S8" s="245"/>
    </row>
    <row r="9" spans="1:21" x14ac:dyDescent="0.25">
      <c r="A9" s="245"/>
      <c r="B9" s="523" t="s">
        <v>1189</v>
      </c>
      <c r="C9" s="304"/>
      <c r="D9" s="248"/>
      <c r="E9" s="248"/>
      <c r="F9" s="248"/>
      <c r="G9" s="248"/>
      <c r="H9" s="248"/>
      <c r="I9" s="248"/>
      <c r="J9" s="248"/>
      <c r="K9" s="248"/>
      <c r="L9" s="245"/>
      <c r="M9" s="245"/>
      <c r="N9" s="245"/>
      <c r="O9" s="245"/>
      <c r="P9" s="245"/>
      <c r="Q9" s="245"/>
      <c r="R9" s="245"/>
      <c r="S9" s="245"/>
    </row>
    <row r="10" spans="1:21" s="412" customFormat="1" x14ac:dyDescent="0.25">
      <c r="A10" s="245"/>
      <c r="B10" s="1720" t="s">
        <v>1244</v>
      </c>
      <c r="C10" s="1720"/>
      <c r="D10" s="1720"/>
      <c r="E10" s="503" t="s">
        <v>1241</v>
      </c>
      <c r="F10" s="1726"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27"/>
      <c r="H10" s="1727"/>
      <c r="I10" s="1727"/>
      <c r="J10" s="1727"/>
      <c r="K10" s="1727"/>
      <c r="L10" s="1727"/>
      <c r="M10" s="1727"/>
      <c r="N10" s="1727"/>
      <c r="O10" s="1727"/>
      <c r="P10" s="1727"/>
      <c r="Q10" s="1727"/>
      <c r="R10" s="1727"/>
      <c r="S10" s="1727"/>
      <c r="T10" s="499"/>
      <c r="U10" s="499"/>
    </row>
    <row r="11" spans="1:21" s="412" customFormat="1" ht="14.45" customHeight="1" x14ac:dyDescent="0.25">
      <c r="A11" s="245"/>
      <c r="B11" s="524"/>
      <c r="C11" s="501"/>
      <c r="D11" s="502" t="str">
        <f>IF(E10="SI APLICA","¿El indicador no se reporta por limitaciones de información disponible? ","")</f>
        <v xml:space="preserve">¿El indicador no se reporta por limitaciones de información disponible? </v>
      </c>
      <c r="E11" s="504" t="s">
        <v>1243</v>
      </c>
      <c r="F11" s="1721"/>
      <c r="G11" s="1722"/>
      <c r="H11" s="1722"/>
      <c r="I11" s="1722"/>
      <c r="J11" s="1722"/>
      <c r="K11" s="1722"/>
      <c r="L11" s="1722"/>
      <c r="M11" s="1722"/>
      <c r="N11" s="1722"/>
      <c r="O11" s="1722"/>
      <c r="P11" s="1722"/>
      <c r="Q11" s="1722"/>
      <c r="R11" s="1722"/>
      <c r="S11" s="1722"/>
    </row>
    <row r="12" spans="1:21" s="412" customFormat="1" ht="23.45" customHeight="1" x14ac:dyDescent="0.25">
      <c r="A12" s="245"/>
      <c r="B12" s="523"/>
      <c r="C12" s="304"/>
      <c r="D12" s="502" t="str">
        <f>IF(E11="SI SE REPORTA","¿Qué programas o proyectos del Plan de Acción están asociados al indicador? ","")</f>
        <v xml:space="preserve">¿Qué programas o proyectos del Plan de Acción están asociados al indicador? </v>
      </c>
      <c r="E12" s="1781" t="str">
        <f>'Anexo 1 Matriz Inf Gestión'!A143</f>
        <v>Programa No 5. Educación Ambiental</v>
      </c>
      <c r="F12" s="1781"/>
      <c r="G12" s="1781"/>
      <c r="H12" s="1781"/>
      <c r="I12" s="1781"/>
      <c r="J12" s="1781"/>
      <c r="K12" s="1781"/>
      <c r="L12" s="1781"/>
      <c r="M12" s="1781"/>
      <c r="N12" s="1781"/>
      <c r="O12" s="1781"/>
      <c r="P12" s="1781"/>
      <c r="Q12" s="1781"/>
      <c r="R12" s="1781"/>
      <c r="S12" s="245"/>
    </row>
    <row r="13" spans="1:21" s="412" customFormat="1" ht="21.95" customHeight="1" x14ac:dyDescent="0.25">
      <c r="A13" s="245"/>
      <c r="B13" s="523"/>
      <c r="C13" s="304"/>
      <c r="D13" s="502" t="s">
        <v>1246</v>
      </c>
      <c r="E13" s="1723" t="s">
        <v>3198</v>
      </c>
      <c r="F13" s="1724"/>
      <c r="G13" s="1724"/>
      <c r="H13" s="1724"/>
      <c r="I13" s="1724"/>
      <c r="J13" s="1724"/>
      <c r="K13" s="1724"/>
      <c r="L13" s="1724"/>
      <c r="M13" s="1724"/>
      <c r="N13" s="1724"/>
      <c r="O13" s="1724"/>
      <c r="P13" s="1724"/>
      <c r="Q13" s="1724"/>
      <c r="R13" s="1725"/>
      <c r="S13" s="245"/>
    </row>
    <row r="14" spans="1:21" s="412" customFormat="1" ht="6.95" customHeight="1" thickBot="1" x14ac:dyDescent="0.3">
      <c r="A14" s="245"/>
      <c r="B14" s="523"/>
      <c r="C14" s="304"/>
      <c r="D14" s="248"/>
      <c r="E14" s="248"/>
      <c r="F14" s="248"/>
      <c r="G14" s="248"/>
      <c r="H14" s="248"/>
      <c r="I14" s="248"/>
      <c r="J14" s="248"/>
      <c r="K14" s="248"/>
      <c r="L14" s="245"/>
      <c r="M14" s="245"/>
      <c r="N14" s="245"/>
      <c r="O14" s="245"/>
      <c r="P14" s="245"/>
      <c r="Q14" s="245"/>
      <c r="R14" s="245"/>
      <c r="S14" s="245"/>
    </row>
    <row r="15" spans="1:21" ht="15.75" thickBot="1" x14ac:dyDescent="0.3">
      <c r="A15" s="245"/>
      <c r="B15" s="1751" t="s">
        <v>2</v>
      </c>
      <c r="C15" s="268"/>
      <c r="D15" s="1742" t="s">
        <v>336</v>
      </c>
      <c r="E15" s="1743"/>
      <c r="F15" s="1743"/>
      <c r="G15" s="1743"/>
      <c r="H15" s="1743"/>
      <c r="I15" s="1743"/>
      <c r="J15" s="1743"/>
      <c r="K15" s="1744"/>
      <c r="L15" s="199"/>
      <c r="M15" s="199"/>
      <c r="N15" s="199"/>
      <c r="O15" s="199"/>
      <c r="P15" s="199"/>
      <c r="Q15" s="199"/>
      <c r="R15" s="199"/>
      <c r="S15" s="245"/>
    </row>
    <row r="16" spans="1:21" ht="15.75" thickBot="1" x14ac:dyDescent="0.3">
      <c r="A16" s="245"/>
      <c r="B16" s="1752"/>
      <c r="C16" s="317" t="s">
        <v>19</v>
      </c>
      <c r="D16" s="280" t="s">
        <v>253</v>
      </c>
      <c r="E16" s="280" t="s">
        <v>20</v>
      </c>
      <c r="F16" s="280" t="s">
        <v>21</v>
      </c>
      <c r="G16" s="280" t="s">
        <v>22</v>
      </c>
      <c r="H16" s="280" t="s">
        <v>23</v>
      </c>
      <c r="I16" s="280" t="s">
        <v>254</v>
      </c>
      <c r="J16" s="245"/>
      <c r="K16" s="274"/>
      <c r="L16" s="199"/>
      <c r="M16" s="199"/>
      <c r="N16" s="199"/>
      <c r="O16" s="199"/>
      <c r="P16" s="199"/>
      <c r="Q16" s="199"/>
      <c r="R16" s="199"/>
      <c r="S16" s="245"/>
    </row>
    <row r="17" spans="1:19" ht="24.75" thickBot="1" x14ac:dyDescent="0.3">
      <c r="A17" s="245"/>
      <c r="B17" s="1752"/>
      <c r="C17" s="525" t="s">
        <v>152</v>
      </c>
      <c r="D17" s="511" t="s">
        <v>1145</v>
      </c>
      <c r="E17" s="1025">
        <v>29</v>
      </c>
      <c r="F17" s="1025">
        <v>29</v>
      </c>
      <c r="G17" s="1025">
        <v>29</v>
      </c>
      <c r="H17" s="1025">
        <v>29</v>
      </c>
      <c r="I17" s="283">
        <f>SUM(E17:H17)</f>
        <v>116</v>
      </c>
      <c r="J17" s="245"/>
      <c r="K17" s="274"/>
      <c r="L17" s="199"/>
      <c r="M17" s="199"/>
      <c r="N17" s="199"/>
      <c r="O17" s="199"/>
      <c r="P17" s="199"/>
      <c r="Q17" s="199"/>
      <c r="R17" s="199"/>
      <c r="S17" s="245"/>
    </row>
    <row r="18" spans="1:19" ht="15.75" thickBot="1" x14ac:dyDescent="0.3">
      <c r="A18" s="245"/>
      <c r="B18" s="1752"/>
      <c r="C18" s="525" t="s">
        <v>154</v>
      </c>
      <c r="D18" s="511" t="s">
        <v>768</v>
      </c>
      <c r="E18" s="1197">
        <v>825639938</v>
      </c>
      <c r="F18" s="1198">
        <v>734059653</v>
      </c>
      <c r="G18" s="1198"/>
      <c r="H18" s="1198"/>
      <c r="I18" s="381">
        <f>SUM(E18:H18)</f>
        <v>1559699591</v>
      </c>
      <c r="J18" s="245"/>
      <c r="K18" s="274"/>
      <c r="L18" s="199"/>
      <c r="M18" s="199"/>
      <c r="N18" s="199"/>
      <c r="O18" s="199"/>
      <c r="P18" s="199"/>
      <c r="Q18" s="199"/>
      <c r="R18" s="199"/>
      <c r="S18" s="245"/>
    </row>
    <row r="19" spans="1:19" ht="15.75" thickBot="1" x14ac:dyDescent="0.3">
      <c r="A19" s="245"/>
      <c r="B19" s="1752"/>
      <c r="C19" s="525" t="s">
        <v>156</v>
      </c>
      <c r="D19" s="511" t="s">
        <v>825</v>
      </c>
      <c r="E19" s="1199">
        <v>825639938</v>
      </c>
      <c r="F19" s="1198">
        <v>1048059653</v>
      </c>
      <c r="G19" s="1198"/>
      <c r="H19" s="1198"/>
      <c r="I19" s="381">
        <f>SUM(E19:H19)</f>
        <v>1873699591</v>
      </c>
      <c r="J19" s="245"/>
      <c r="K19" s="274"/>
      <c r="L19" s="199"/>
      <c r="M19" s="199"/>
      <c r="N19" s="199"/>
      <c r="O19" s="199"/>
      <c r="P19" s="199"/>
      <c r="Q19" s="199"/>
      <c r="R19" s="199"/>
      <c r="S19" s="245"/>
    </row>
    <row r="20" spans="1:19" x14ac:dyDescent="0.25">
      <c r="A20" s="245"/>
      <c r="B20" s="1752"/>
      <c r="C20" s="276"/>
      <c r="D20" s="1733"/>
      <c r="E20" s="1776"/>
      <c r="F20" s="1776"/>
      <c r="G20" s="1776"/>
      <c r="H20" s="1776"/>
      <c r="I20" s="1776"/>
      <c r="J20" s="1776"/>
      <c r="K20" s="1735"/>
      <c r="L20" s="199"/>
      <c r="M20" s="199"/>
      <c r="N20" s="199"/>
      <c r="O20" s="199"/>
      <c r="P20" s="199"/>
      <c r="Q20" s="199"/>
      <c r="R20" s="199"/>
      <c r="S20" s="245"/>
    </row>
    <row r="21" spans="1:19" ht="15.75" thickBot="1" x14ac:dyDescent="0.3">
      <c r="A21" s="245"/>
      <c r="B21" s="1752"/>
      <c r="C21" s="276"/>
      <c r="D21" s="1757" t="s">
        <v>1146</v>
      </c>
      <c r="E21" s="1758"/>
      <c r="F21" s="1758"/>
      <c r="G21" s="1758"/>
      <c r="H21" s="1758"/>
      <c r="I21" s="1758"/>
      <c r="J21" s="1758"/>
      <c r="K21" s="1759"/>
      <c r="L21" s="199"/>
      <c r="M21" s="199"/>
      <c r="N21" s="199"/>
      <c r="O21" s="199"/>
      <c r="P21" s="199"/>
      <c r="Q21" s="199"/>
      <c r="R21" s="199"/>
      <c r="S21" s="245"/>
    </row>
    <row r="22" spans="1:19" ht="15.75" thickBot="1" x14ac:dyDescent="0.3">
      <c r="A22" s="245"/>
      <c r="B22" s="1752"/>
      <c r="C22" s="1834" t="s">
        <v>19</v>
      </c>
      <c r="D22" s="1751" t="s">
        <v>270</v>
      </c>
      <c r="E22" s="1754" t="s">
        <v>620</v>
      </c>
      <c r="F22" s="1756"/>
      <c r="G22" s="1754" t="s">
        <v>693</v>
      </c>
      <c r="H22" s="1755"/>
      <c r="I22" s="1755"/>
      <c r="J22" s="1756"/>
      <c r="K22" s="281"/>
      <c r="L22" s="199"/>
      <c r="M22" s="199"/>
      <c r="N22" s="199"/>
      <c r="O22" s="199"/>
      <c r="P22" s="199"/>
      <c r="Q22" s="199"/>
      <c r="R22" s="199"/>
      <c r="S22" s="245"/>
    </row>
    <row r="23" spans="1:19" ht="36.75" thickBot="1" x14ac:dyDescent="0.3">
      <c r="A23" s="245"/>
      <c r="B23" s="1752"/>
      <c r="C23" s="1835"/>
      <c r="D23" s="1753"/>
      <c r="E23" s="511" t="s">
        <v>621</v>
      </c>
      <c r="F23" s="510" t="s">
        <v>622</v>
      </c>
      <c r="G23" s="511" t="s">
        <v>768</v>
      </c>
      <c r="H23" s="511" t="s">
        <v>344</v>
      </c>
      <c r="I23" s="511" t="s">
        <v>274</v>
      </c>
      <c r="J23" s="511" t="s">
        <v>275</v>
      </c>
      <c r="K23" s="511" t="s">
        <v>55</v>
      </c>
      <c r="L23" s="199"/>
      <c r="M23" s="199"/>
      <c r="N23" s="199"/>
      <c r="O23" s="199"/>
      <c r="P23" s="199"/>
      <c r="Q23" s="199"/>
      <c r="R23" s="199"/>
      <c r="S23" s="245"/>
    </row>
    <row r="24" spans="1:19" ht="15.75" thickBot="1" x14ac:dyDescent="0.3">
      <c r="A24" s="245"/>
      <c r="B24" s="1752"/>
      <c r="C24" s="525">
        <v>1</v>
      </c>
      <c r="D24" s="167" t="s">
        <v>3199</v>
      </c>
      <c r="E24" s="1158">
        <v>1</v>
      </c>
      <c r="F24" s="164">
        <f>10.53/25</f>
        <v>0.42119999999999996</v>
      </c>
      <c r="G24" s="1198">
        <v>354642990</v>
      </c>
      <c r="H24" s="1198">
        <v>661642990</v>
      </c>
      <c r="I24" s="1001">
        <v>103475664</v>
      </c>
      <c r="J24" s="1198">
        <v>86737056</v>
      </c>
      <c r="K24" s="197"/>
      <c r="L24" s="199"/>
      <c r="M24" s="199"/>
      <c r="N24" s="199"/>
      <c r="O24" s="199"/>
      <c r="P24" s="199"/>
      <c r="Q24" s="199"/>
      <c r="R24" s="199"/>
      <c r="S24" s="245"/>
    </row>
    <row r="25" spans="1:19" ht="15.75" thickBot="1" x14ac:dyDescent="0.3">
      <c r="A25" s="245"/>
      <c r="B25" s="1752"/>
      <c r="C25" s="525">
        <v>2</v>
      </c>
      <c r="D25" s="167" t="s">
        <v>3200</v>
      </c>
      <c r="E25" s="1158">
        <v>1</v>
      </c>
      <c r="F25" s="1158">
        <v>0.38269999999999998</v>
      </c>
      <c r="G25" s="1198">
        <v>379416663</v>
      </c>
      <c r="H25" s="1198">
        <v>386416663</v>
      </c>
      <c r="I25" s="1001">
        <v>128950925</v>
      </c>
      <c r="J25" s="1198">
        <v>98092397</v>
      </c>
      <c r="K25" s="197"/>
      <c r="L25" s="199"/>
      <c r="M25" s="199"/>
      <c r="N25" s="199"/>
      <c r="O25" s="199"/>
      <c r="P25" s="199"/>
      <c r="Q25" s="199"/>
      <c r="R25" s="199"/>
      <c r="S25" s="245"/>
    </row>
    <row r="26" spans="1:19" ht="15.75" thickBot="1" x14ac:dyDescent="0.3">
      <c r="A26" s="245"/>
      <c r="B26" s="1752"/>
      <c r="C26" s="525">
        <v>3</v>
      </c>
      <c r="D26" s="167"/>
      <c r="E26" s="32"/>
      <c r="F26" s="32"/>
      <c r="G26" s="197"/>
      <c r="H26" s="197"/>
      <c r="I26" s="197"/>
      <c r="J26" s="197"/>
      <c r="K26" s="197"/>
      <c r="L26" s="199"/>
      <c r="M26" s="199"/>
      <c r="N26" s="199"/>
      <c r="O26" s="199"/>
      <c r="P26" s="199"/>
      <c r="Q26" s="199"/>
      <c r="R26" s="199"/>
      <c r="S26" s="245"/>
    </row>
    <row r="27" spans="1:19" ht="15.75" thickBot="1" x14ac:dyDescent="0.3">
      <c r="A27" s="245"/>
      <c r="B27" s="1752"/>
      <c r="C27" s="525">
        <v>4</v>
      </c>
      <c r="D27" s="167"/>
      <c r="E27" s="32"/>
      <c r="F27" s="32"/>
      <c r="G27" s="197"/>
      <c r="H27" s="197"/>
      <c r="I27" s="197"/>
      <c r="J27" s="197"/>
      <c r="K27" s="197"/>
      <c r="L27" s="199"/>
      <c r="M27" s="199"/>
      <c r="N27" s="199"/>
      <c r="O27" s="199"/>
      <c r="P27" s="199"/>
      <c r="Q27" s="199"/>
      <c r="R27" s="199"/>
      <c r="S27" s="245"/>
    </row>
    <row r="28" spans="1:19" ht="15.75" thickBot="1" x14ac:dyDescent="0.3">
      <c r="A28" s="245"/>
      <c r="B28" s="1752"/>
      <c r="C28" s="525">
        <v>5</v>
      </c>
      <c r="D28" s="167"/>
      <c r="E28" s="32"/>
      <c r="F28" s="32"/>
      <c r="G28" s="197"/>
      <c r="H28" s="197"/>
      <c r="I28" s="197"/>
      <c r="J28" s="197"/>
      <c r="K28" s="197"/>
      <c r="L28" s="199"/>
      <c r="M28" s="199"/>
      <c r="N28" s="199"/>
      <c r="O28" s="199"/>
      <c r="P28" s="199"/>
      <c r="Q28" s="199"/>
      <c r="R28" s="199"/>
      <c r="S28" s="245"/>
    </row>
    <row r="29" spans="1:19" ht="15.75" thickBot="1" x14ac:dyDescent="0.3">
      <c r="A29" s="245"/>
      <c r="B29" s="1752"/>
      <c r="C29" s="525">
        <v>6</v>
      </c>
      <c r="D29" s="167"/>
      <c r="E29" s="32"/>
      <c r="F29" s="32"/>
      <c r="G29" s="197"/>
      <c r="H29" s="197"/>
      <c r="I29" s="197"/>
      <c r="J29" s="197"/>
      <c r="K29" s="197"/>
      <c r="L29" s="199"/>
      <c r="M29" s="199"/>
      <c r="N29" s="199"/>
      <c r="O29" s="199"/>
      <c r="P29" s="199"/>
      <c r="Q29" s="199"/>
      <c r="R29" s="199"/>
      <c r="S29" s="245"/>
    </row>
    <row r="30" spans="1:19" ht="15.75" thickBot="1" x14ac:dyDescent="0.3">
      <c r="A30" s="245"/>
      <c r="B30" s="1752"/>
      <c r="C30" s="250"/>
      <c r="D30" s="526" t="s">
        <v>151</v>
      </c>
      <c r="E30" s="249"/>
      <c r="F30" s="249"/>
      <c r="G30" s="527">
        <f>SUM(G24:G29)</f>
        <v>734059653</v>
      </c>
      <c r="H30" s="527">
        <f>SUM(H24:H29)</f>
        <v>1048059653</v>
      </c>
      <c r="I30" s="527">
        <f>SUM(I24:I29)</f>
        <v>232426589</v>
      </c>
      <c r="J30" s="527">
        <f>SUM(J24:J29)</f>
        <v>184829453</v>
      </c>
      <c r="K30" s="197"/>
      <c r="L30" s="199"/>
      <c r="M30" s="199"/>
      <c r="N30" s="199"/>
      <c r="O30" s="199"/>
      <c r="P30" s="199"/>
      <c r="Q30" s="199"/>
      <c r="R30" s="199"/>
      <c r="S30" s="245"/>
    </row>
    <row r="31" spans="1:19" x14ac:dyDescent="0.25">
      <c r="A31" s="245"/>
      <c r="B31" s="1752"/>
      <c r="C31" s="276"/>
      <c r="D31" s="1733" t="s">
        <v>829</v>
      </c>
      <c r="E31" s="1776"/>
      <c r="F31" s="1776"/>
      <c r="G31" s="1776"/>
      <c r="H31" s="1776"/>
      <c r="I31" s="1776"/>
      <c r="J31" s="1776"/>
      <c r="K31" s="1735"/>
      <c r="L31" s="199"/>
      <c r="M31" s="199"/>
      <c r="N31" s="199"/>
      <c r="O31" s="199"/>
      <c r="P31" s="199"/>
      <c r="Q31" s="199"/>
      <c r="R31" s="199"/>
      <c r="S31" s="245"/>
    </row>
    <row r="32" spans="1:19" ht="15.75" thickBot="1" x14ac:dyDescent="0.3">
      <c r="A32" s="245"/>
      <c r="B32" s="1752"/>
      <c r="C32" s="276"/>
      <c r="D32" s="1733" t="s">
        <v>1147</v>
      </c>
      <c r="E32" s="1776"/>
      <c r="F32" s="1776"/>
      <c r="G32" s="1776"/>
      <c r="H32" s="1776"/>
      <c r="I32" s="1776"/>
      <c r="J32" s="1776"/>
      <c r="K32" s="1735"/>
      <c r="L32" s="199"/>
      <c r="M32" s="199"/>
      <c r="N32" s="199"/>
      <c r="O32" s="199"/>
      <c r="P32" s="199"/>
      <c r="Q32" s="199"/>
      <c r="R32" s="199"/>
      <c r="S32" s="245"/>
    </row>
    <row r="33" spans="1:19" ht="15.75" thickBot="1" x14ac:dyDescent="0.3">
      <c r="A33" s="245"/>
      <c r="B33" s="1752"/>
      <c r="C33" s="1834" t="s">
        <v>19</v>
      </c>
      <c r="D33" s="2010" t="s">
        <v>697</v>
      </c>
      <c r="E33" s="280" t="s">
        <v>831</v>
      </c>
      <c r="F33" s="2016" t="s">
        <v>698</v>
      </c>
      <c r="G33" s="2017"/>
      <c r="H33" s="510"/>
      <c r="I33" s="248"/>
      <c r="J33" s="245"/>
      <c r="K33" s="274"/>
      <c r="L33" s="199"/>
      <c r="M33" s="199"/>
      <c r="N33" s="199"/>
      <c r="O33" s="199"/>
      <c r="P33" s="199"/>
      <c r="Q33" s="199"/>
      <c r="R33" s="199"/>
      <c r="S33" s="245"/>
    </row>
    <row r="34" spans="1:19" x14ac:dyDescent="0.25">
      <c r="A34" s="245"/>
      <c r="B34" s="1752"/>
      <c r="C34" s="2009"/>
      <c r="D34" s="2011"/>
      <c r="E34" s="1751" t="s">
        <v>1148</v>
      </c>
      <c r="F34" s="1751" t="s">
        <v>699</v>
      </c>
      <c r="G34" s="509" t="s">
        <v>700</v>
      </c>
      <c r="H34" s="1751" t="s">
        <v>55</v>
      </c>
      <c r="I34" s="248"/>
      <c r="J34" s="245"/>
      <c r="K34" s="274"/>
      <c r="L34" s="199"/>
      <c r="M34" s="199"/>
      <c r="N34" s="199"/>
      <c r="O34" s="199"/>
      <c r="P34" s="199"/>
      <c r="Q34" s="199"/>
      <c r="R34" s="199"/>
      <c r="S34" s="245"/>
    </row>
    <row r="35" spans="1:19" ht="15.75" thickBot="1" x14ac:dyDescent="0.3">
      <c r="A35" s="245"/>
      <c r="B35" s="1752"/>
      <c r="C35" s="1835"/>
      <c r="D35" s="2012"/>
      <c r="E35" s="1753"/>
      <c r="F35" s="1753"/>
      <c r="G35" s="511" t="s">
        <v>695</v>
      </c>
      <c r="H35" s="1753"/>
      <c r="I35" s="248"/>
      <c r="J35" s="245"/>
      <c r="K35" s="274"/>
      <c r="L35" s="199"/>
      <c r="M35" s="199"/>
      <c r="N35" s="199"/>
      <c r="O35" s="199"/>
      <c r="P35" s="199"/>
      <c r="Q35" s="199"/>
      <c r="R35" s="199"/>
      <c r="S35" s="245"/>
    </row>
    <row r="36" spans="1:19" ht="15.75" thickBot="1" x14ac:dyDescent="0.3">
      <c r="A36" s="245"/>
      <c r="B36" s="1752"/>
      <c r="C36" s="512">
        <v>1</v>
      </c>
      <c r="D36" s="164">
        <v>0.5</v>
      </c>
      <c r="E36" s="368">
        <f>+F24</f>
        <v>0.42119999999999996</v>
      </c>
      <c r="F36" s="528">
        <f>IFERROR(I24/H24,0)</f>
        <v>0.15639199018794109</v>
      </c>
      <c r="G36" s="528">
        <f>IFERROR(J24/I24,0)</f>
        <v>0.8382362832675323</v>
      </c>
      <c r="H36" s="31"/>
      <c r="I36" s="248"/>
      <c r="J36" s="529"/>
      <c r="K36" s="274"/>
      <c r="L36" s="199"/>
      <c r="M36" s="199"/>
      <c r="N36" s="199"/>
      <c r="O36" s="199"/>
      <c r="P36" s="199"/>
      <c r="Q36" s="199"/>
      <c r="R36" s="199"/>
      <c r="S36" s="245"/>
    </row>
    <row r="37" spans="1:19" ht="15.75" thickBot="1" x14ac:dyDescent="0.3">
      <c r="A37" s="245"/>
      <c r="B37" s="1752"/>
      <c r="C37" s="512">
        <v>2</v>
      </c>
      <c r="D37" s="164">
        <v>0.5</v>
      </c>
      <c r="E37" s="368">
        <f>+F25</f>
        <v>0.38269999999999998</v>
      </c>
      <c r="F37" s="528">
        <f>IFERROR(I25/H25,0)</f>
        <v>0.3337095351915505</v>
      </c>
      <c r="G37" s="528">
        <f t="shared" ref="G37:G42" si="0">IFERROR(J25/I25,0)</f>
        <v>0.76069556693757723</v>
      </c>
      <c r="H37" s="31"/>
      <c r="I37" s="248"/>
      <c r="J37" s="245"/>
      <c r="K37" s="274"/>
      <c r="L37" s="199"/>
      <c r="M37" s="199"/>
      <c r="N37" s="199"/>
      <c r="O37" s="199"/>
      <c r="P37" s="199"/>
      <c r="Q37" s="199"/>
      <c r="R37" s="199"/>
      <c r="S37" s="245"/>
    </row>
    <row r="38" spans="1:19" ht="15.75" thickBot="1" x14ac:dyDescent="0.3">
      <c r="A38" s="245"/>
      <c r="B38" s="1752"/>
      <c r="C38" s="512">
        <v>3</v>
      </c>
      <c r="D38" s="164"/>
      <c r="E38" s="368">
        <v>0</v>
      </c>
      <c r="F38" s="528">
        <v>0</v>
      </c>
      <c r="G38" s="528">
        <f t="shared" si="0"/>
        <v>0</v>
      </c>
      <c r="H38" s="31"/>
      <c r="I38" s="248"/>
      <c r="J38" s="245"/>
      <c r="K38" s="274"/>
      <c r="L38" s="199"/>
      <c r="M38" s="199"/>
      <c r="N38" s="199"/>
      <c r="O38" s="199"/>
      <c r="P38" s="199"/>
      <c r="Q38" s="199"/>
      <c r="R38" s="199"/>
      <c r="S38" s="245"/>
    </row>
    <row r="39" spans="1:19" ht="15.75" thickBot="1" x14ac:dyDescent="0.3">
      <c r="A39" s="245"/>
      <c r="B39" s="1752"/>
      <c r="C39" s="512">
        <v>4</v>
      </c>
      <c r="D39" s="164"/>
      <c r="E39" s="368">
        <f>+F27</f>
        <v>0</v>
      </c>
      <c r="F39" s="528">
        <f>IFERROR(I27/H27,0)</f>
        <v>0</v>
      </c>
      <c r="G39" s="528">
        <f t="shared" si="0"/>
        <v>0</v>
      </c>
      <c r="H39" s="31"/>
      <c r="I39" s="248"/>
      <c r="J39" s="245"/>
      <c r="K39" s="274"/>
      <c r="L39" s="199"/>
      <c r="M39" s="199"/>
      <c r="N39" s="199"/>
      <c r="O39" s="199"/>
      <c r="P39" s="199"/>
      <c r="Q39" s="199"/>
      <c r="R39" s="199"/>
      <c r="S39" s="245"/>
    </row>
    <row r="40" spans="1:19" ht="15.75" thickBot="1" x14ac:dyDescent="0.3">
      <c r="A40" s="245"/>
      <c r="B40" s="1752"/>
      <c r="C40" s="512">
        <v>5</v>
      </c>
      <c r="D40" s="164"/>
      <c r="E40" s="368">
        <f>+F28</f>
        <v>0</v>
      </c>
      <c r="F40" s="528">
        <f>IFERROR(I28/H28,0)</f>
        <v>0</v>
      </c>
      <c r="G40" s="528">
        <f t="shared" si="0"/>
        <v>0</v>
      </c>
      <c r="H40" s="31"/>
      <c r="I40" s="248"/>
      <c r="J40" s="245"/>
      <c r="K40" s="274"/>
      <c r="L40" s="199"/>
      <c r="M40" s="199"/>
      <c r="N40" s="199"/>
      <c r="O40" s="199"/>
      <c r="P40" s="199"/>
      <c r="Q40" s="199"/>
      <c r="R40" s="199"/>
      <c r="S40" s="245"/>
    </row>
    <row r="41" spans="1:19" ht="15.75" thickBot="1" x14ac:dyDescent="0.3">
      <c r="A41" s="245"/>
      <c r="B41" s="1752"/>
      <c r="C41" s="512">
        <v>6</v>
      </c>
      <c r="D41" s="164"/>
      <c r="E41" s="368">
        <f>+F29</f>
        <v>0</v>
      </c>
      <c r="F41" s="528">
        <f>IFERROR(I29/H29,0)</f>
        <v>0</v>
      </c>
      <c r="G41" s="528">
        <f t="shared" si="0"/>
        <v>0</v>
      </c>
      <c r="H41" s="31"/>
      <c r="I41" s="248"/>
      <c r="J41" s="245"/>
      <c r="K41" s="274"/>
      <c r="L41" s="199"/>
      <c r="M41" s="199"/>
      <c r="N41" s="199"/>
      <c r="O41" s="199"/>
      <c r="P41" s="199"/>
      <c r="Q41" s="199"/>
      <c r="R41" s="199"/>
      <c r="S41" s="245"/>
    </row>
    <row r="42" spans="1:19" ht="15.75" thickBot="1" x14ac:dyDescent="0.3">
      <c r="A42" s="245"/>
      <c r="B42" s="1753"/>
      <c r="C42" s="512"/>
      <c r="D42" s="165">
        <f>+Formulas!D31</f>
        <v>1</v>
      </c>
      <c r="E42" s="530">
        <f>+D36*E36+D37*E37+D38*E38+D39*E39+D40*E40+D41*E41</f>
        <v>0.40194999999999997</v>
      </c>
      <c r="F42" s="530">
        <f>+D36*F36+D37*F37+D38*F38+D39*F39+D40*F40+D41*F41</f>
        <v>0.24505076268974579</v>
      </c>
      <c r="G42" s="528">
        <f t="shared" si="0"/>
        <v>0.79521647585681343</v>
      </c>
      <c r="H42" s="31"/>
      <c r="I42" s="531"/>
      <c r="J42" s="245"/>
      <c r="K42" s="326"/>
      <c r="L42" s="199"/>
      <c r="M42" s="199" t="s">
        <v>1198</v>
      </c>
      <c r="N42" s="199"/>
      <c r="O42" s="199"/>
      <c r="P42" s="199"/>
      <c r="Q42" s="199"/>
      <c r="R42" s="199"/>
      <c r="S42" s="245"/>
    </row>
    <row r="43" spans="1:19" ht="24" customHeight="1" thickBot="1" x14ac:dyDescent="0.3">
      <c r="B43" s="188" t="s">
        <v>34</v>
      </c>
      <c r="C43" s="86"/>
      <c r="D43" s="2018" t="s">
        <v>1149</v>
      </c>
      <c r="E43" s="2019"/>
      <c r="F43" s="2019"/>
      <c r="G43" s="2019"/>
      <c r="H43" s="2019"/>
      <c r="I43" s="2019"/>
      <c r="J43" s="2019"/>
      <c r="K43" s="2020"/>
      <c r="L43" s="199"/>
      <c r="M43" s="199"/>
      <c r="N43" s="199"/>
      <c r="O43" s="199"/>
      <c r="P43" s="199"/>
      <c r="Q43" s="199"/>
      <c r="R43" s="199"/>
    </row>
    <row r="44" spans="1:19" ht="36.75" thickBot="1" x14ac:dyDescent="0.3">
      <c r="B44" s="188" t="s">
        <v>36</v>
      </c>
      <c r="C44" s="86"/>
      <c r="D44" s="2018" t="s">
        <v>346</v>
      </c>
      <c r="E44" s="2019"/>
      <c r="F44" s="2019"/>
      <c r="G44" s="2019"/>
      <c r="H44" s="2019"/>
      <c r="I44" s="2019"/>
      <c r="J44" s="2019"/>
      <c r="K44" s="2020"/>
      <c r="L44" s="199"/>
      <c r="M44" s="199"/>
      <c r="N44" s="199"/>
      <c r="O44" s="199"/>
      <c r="P44" s="199"/>
      <c r="Q44" s="199"/>
      <c r="R44" s="199"/>
    </row>
    <row r="45" spans="1:19" ht="15.75" thickBot="1" x14ac:dyDescent="0.3">
      <c r="B45" s="8"/>
      <c r="C45" s="81"/>
      <c r="D45" s="19"/>
      <c r="E45" s="19"/>
      <c r="F45" s="19"/>
      <c r="G45" s="19"/>
      <c r="H45" s="19"/>
      <c r="I45" s="19"/>
      <c r="J45" s="19"/>
      <c r="K45" s="19"/>
      <c r="L45" s="199"/>
      <c r="M45" s="199"/>
      <c r="N45" s="199"/>
      <c r="O45" s="199"/>
      <c r="P45" s="199"/>
      <c r="Q45" s="199"/>
      <c r="R45" s="199"/>
    </row>
    <row r="46" spans="1:19" ht="24" customHeight="1" thickBot="1" x14ac:dyDescent="0.3">
      <c r="B46" s="2013" t="s">
        <v>38</v>
      </c>
      <c r="C46" s="2014"/>
      <c r="D46" s="2014"/>
      <c r="E46" s="2015"/>
      <c r="F46" s="19"/>
      <c r="G46" s="19"/>
      <c r="H46" s="19"/>
      <c r="I46" s="19"/>
      <c r="J46" s="19"/>
      <c r="K46" s="19"/>
      <c r="L46" s="199"/>
      <c r="M46" s="199"/>
      <c r="N46" s="199"/>
      <c r="O46" s="199"/>
      <c r="P46" s="199"/>
      <c r="Q46" s="199"/>
      <c r="R46" s="199"/>
    </row>
    <row r="47" spans="1:19" ht="15.75" thickBot="1" x14ac:dyDescent="0.3">
      <c r="B47" s="2006">
        <v>1</v>
      </c>
      <c r="C47" s="82"/>
      <c r="D47" s="34" t="s">
        <v>39</v>
      </c>
      <c r="E47" s="167"/>
      <c r="F47" s="19"/>
      <c r="G47" s="19"/>
      <c r="H47" s="19"/>
      <c r="I47" s="19"/>
      <c r="J47" s="19"/>
      <c r="K47" s="19"/>
      <c r="L47" s="199"/>
      <c r="M47" s="199"/>
      <c r="N47" s="199"/>
      <c r="O47" s="199"/>
      <c r="P47" s="199"/>
      <c r="Q47" s="199"/>
      <c r="R47" s="199"/>
    </row>
    <row r="48" spans="1:19" ht="15.75" thickBot="1" x14ac:dyDescent="0.3">
      <c r="B48" s="2007"/>
      <c r="C48" s="82"/>
      <c r="D48" s="190" t="s">
        <v>40</v>
      </c>
      <c r="E48" s="167" t="s">
        <v>3201</v>
      </c>
      <c r="F48" s="19"/>
      <c r="G48" s="19"/>
      <c r="H48" s="19"/>
      <c r="I48" s="19"/>
      <c r="J48" s="19"/>
      <c r="K48" s="19"/>
      <c r="L48" s="199"/>
      <c r="M48" s="199"/>
      <c r="N48" s="199"/>
      <c r="O48" s="199"/>
      <c r="P48" s="199"/>
      <c r="Q48" s="199"/>
      <c r="R48" s="199"/>
    </row>
    <row r="49" spans="2:18" ht="15.75" thickBot="1" x14ac:dyDescent="0.3">
      <c r="B49" s="2007"/>
      <c r="C49" s="82"/>
      <c r="D49" s="190" t="s">
        <v>41</v>
      </c>
      <c r="E49" s="167" t="s">
        <v>3202</v>
      </c>
      <c r="F49" s="19"/>
      <c r="G49" s="19"/>
      <c r="H49" s="19"/>
      <c r="I49" s="19"/>
      <c r="J49" s="19"/>
      <c r="K49" s="19"/>
      <c r="L49" s="199"/>
      <c r="M49" s="199"/>
      <c r="N49" s="199"/>
      <c r="O49" s="199"/>
      <c r="P49" s="199"/>
      <c r="Q49" s="199"/>
      <c r="R49" s="199"/>
    </row>
    <row r="50" spans="2:18" ht="15.75" thickBot="1" x14ac:dyDescent="0.3">
      <c r="B50" s="2007"/>
      <c r="C50" s="82"/>
      <c r="D50" s="190" t="s">
        <v>42</v>
      </c>
      <c r="E50" s="167" t="s">
        <v>3203</v>
      </c>
      <c r="F50" s="19"/>
      <c r="G50" s="19"/>
      <c r="H50" s="19"/>
      <c r="I50" s="19"/>
      <c r="J50" s="19"/>
      <c r="K50" s="19"/>
      <c r="L50" s="199"/>
      <c r="M50" s="199"/>
      <c r="N50" s="199"/>
      <c r="O50" s="199"/>
      <c r="P50" s="199"/>
      <c r="Q50" s="199"/>
      <c r="R50" s="199"/>
    </row>
    <row r="51" spans="2:18" ht="15.75" thickBot="1" x14ac:dyDescent="0.3">
      <c r="B51" s="2007"/>
      <c r="C51" s="82"/>
      <c r="D51" s="190" t="s">
        <v>43</v>
      </c>
      <c r="E51" s="1200" t="s">
        <v>3173</v>
      </c>
      <c r="F51" s="19"/>
      <c r="G51" s="19"/>
      <c r="H51" s="19"/>
      <c r="I51" s="19"/>
      <c r="J51" s="19"/>
      <c r="K51" s="19"/>
      <c r="L51" s="199"/>
      <c r="M51" s="199"/>
      <c r="N51" s="199"/>
      <c r="O51" s="199"/>
      <c r="P51" s="199"/>
      <c r="Q51" s="199"/>
      <c r="R51" s="199"/>
    </row>
    <row r="52" spans="2:18" ht="15.75" thickBot="1" x14ac:dyDescent="0.3">
      <c r="B52" s="2007"/>
      <c r="C52" s="82"/>
      <c r="D52" s="190" t="s">
        <v>44</v>
      </c>
      <c r="E52" s="167" t="s">
        <v>3204</v>
      </c>
      <c r="F52" s="19"/>
      <c r="G52" s="19"/>
      <c r="H52" s="19"/>
      <c r="I52" s="19"/>
      <c r="J52" s="19"/>
      <c r="K52" s="19"/>
      <c r="L52" s="199"/>
      <c r="M52" s="199"/>
      <c r="N52" s="199"/>
      <c r="O52" s="199"/>
      <c r="P52" s="199"/>
      <c r="Q52" s="199"/>
      <c r="R52" s="199"/>
    </row>
    <row r="53" spans="2:18" ht="15.75" thickBot="1" x14ac:dyDescent="0.3">
      <c r="B53" s="2008"/>
      <c r="C53" s="9"/>
      <c r="D53" s="190" t="s">
        <v>45</v>
      </c>
      <c r="E53" s="167" t="s">
        <v>2925</v>
      </c>
      <c r="F53" s="19"/>
      <c r="G53" s="19"/>
      <c r="H53" s="19"/>
      <c r="I53" s="19"/>
      <c r="J53" s="19"/>
      <c r="K53" s="19"/>
      <c r="L53" s="199"/>
      <c r="M53" s="199"/>
      <c r="N53" s="199"/>
      <c r="O53" s="199"/>
      <c r="P53" s="199"/>
      <c r="Q53" s="199"/>
      <c r="R53" s="199"/>
    </row>
    <row r="54" spans="2:18" ht="15.75" thickBot="1" x14ac:dyDescent="0.3">
      <c r="B54" s="8"/>
      <c r="C54" s="81"/>
      <c r="D54" s="19"/>
      <c r="E54" s="19"/>
      <c r="F54" s="19"/>
      <c r="G54" s="19"/>
      <c r="H54" s="19"/>
      <c r="I54" s="19"/>
      <c r="J54" s="19"/>
      <c r="K54" s="19"/>
      <c r="L54" s="199"/>
      <c r="M54" s="199"/>
      <c r="N54" s="199"/>
      <c r="O54" s="199"/>
      <c r="P54" s="199"/>
      <c r="Q54" s="199"/>
      <c r="R54" s="199"/>
    </row>
    <row r="55" spans="2:18" ht="15.75" thickBot="1" x14ac:dyDescent="0.3">
      <c r="B55" s="2013" t="s">
        <v>46</v>
      </c>
      <c r="C55" s="2014"/>
      <c r="D55" s="2014"/>
      <c r="E55" s="2015"/>
      <c r="F55" s="19"/>
      <c r="G55" s="19"/>
      <c r="H55" s="19"/>
      <c r="I55" s="19"/>
      <c r="J55" s="19"/>
      <c r="K55" s="19"/>
      <c r="L55" s="199"/>
      <c r="M55" s="199"/>
      <c r="N55" s="199"/>
      <c r="O55" s="199"/>
      <c r="P55" s="199"/>
      <c r="Q55" s="199"/>
      <c r="R55" s="199"/>
    </row>
    <row r="56" spans="2:18" ht="15.75" thickBot="1" x14ac:dyDescent="0.3">
      <c r="B56" s="2006">
        <v>1</v>
      </c>
      <c r="C56" s="82"/>
      <c r="D56" s="34" t="s">
        <v>39</v>
      </c>
      <c r="E56" s="29" t="s">
        <v>47</v>
      </c>
      <c r="F56" s="19"/>
      <c r="G56" s="19"/>
      <c r="H56" s="19"/>
      <c r="I56" s="19"/>
      <c r="J56" s="19"/>
      <c r="K56" s="19"/>
      <c r="L56" s="199"/>
      <c r="M56" s="199"/>
      <c r="N56" s="199"/>
      <c r="O56" s="199"/>
      <c r="P56" s="199"/>
      <c r="Q56" s="199"/>
      <c r="R56" s="199"/>
    </row>
    <row r="57" spans="2:18" ht="15.75" thickBot="1" x14ac:dyDescent="0.3">
      <c r="B57" s="2007"/>
      <c r="C57" s="82"/>
      <c r="D57" s="190" t="s">
        <v>40</v>
      </c>
      <c r="E57" s="29" t="s">
        <v>48</v>
      </c>
      <c r="F57" s="19"/>
      <c r="G57" s="19"/>
      <c r="H57" s="19"/>
      <c r="I57" s="19"/>
      <c r="J57" s="19"/>
      <c r="K57" s="19"/>
      <c r="L57" s="199"/>
      <c r="M57" s="199"/>
      <c r="N57" s="199"/>
      <c r="O57" s="199"/>
      <c r="P57" s="199"/>
      <c r="Q57" s="199"/>
      <c r="R57" s="199"/>
    </row>
    <row r="58" spans="2:18" ht="15.75" thickBot="1" x14ac:dyDescent="0.3">
      <c r="B58" s="2007"/>
      <c r="C58" s="82"/>
      <c r="D58" s="190" t="s">
        <v>41</v>
      </c>
      <c r="E58" s="172"/>
      <c r="F58" s="19"/>
      <c r="G58" s="19"/>
      <c r="H58" s="19"/>
      <c r="I58" s="19"/>
      <c r="J58" s="19"/>
      <c r="K58" s="19"/>
      <c r="L58" s="199"/>
      <c r="M58" s="199"/>
      <c r="N58" s="199"/>
      <c r="O58" s="199"/>
      <c r="P58" s="199"/>
      <c r="Q58" s="199"/>
      <c r="R58" s="199"/>
    </row>
    <row r="59" spans="2:18" ht="15.75" thickBot="1" x14ac:dyDescent="0.3">
      <c r="B59" s="2007"/>
      <c r="C59" s="82"/>
      <c r="D59" s="190" t="s">
        <v>42</v>
      </c>
      <c r="E59" s="172"/>
      <c r="F59" s="19"/>
      <c r="G59" s="19"/>
      <c r="H59" s="19"/>
      <c r="I59" s="19"/>
      <c r="J59" s="19"/>
      <c r="K59" s="19"/>
      <c r="L59" s="199"/>
      <c r="M59" s="199"/>
      <c r="N59" s="199"/>
      <c r="O59" s="199"/>
      <c r="P59" s="199"/>
      <c r="Q59" s="199"/>
      <c r="R59" s="199"/>
    </row>
    <row r="60" spans="2:18" ht="15.75" thickBot="1" x14ac:dyDescent="0.3">
      <c r="B60" s="2007"/>
      <c r="C60" s="82"/>
      <c r="D60" s="190" t="s">
        <v>43</v>
      </c>
      <c r="E60" s="172"/>
      <c r="F60" s="19"/>
      <c r="G60" s="19"/>
      <c r="H60" s="19"/>
      <c r="I60" s="19"/>
      <c r="J60" s="19"/>
      <c r="K60" s="19"/>
      <c r="L60" s="199"/>
      <c r="M60" s="199"/>
      <c r="N60" s="199"/>
      <c r="O60" s="199"/>
      <c r="P60" s="199"/>
      <c r="Q60" s="199"/>
      <c r="R60" s="199"/>
    </row>
    <row r="61" spans="2:18" ht="15.75" thickBot="1" x14ac:dyDescent="0.3">
      <c r="B61" s="2007"/>
      <c r="C61" s="82"/>
      <c r="D61" s="190" t="s">
        <v>44</v>
      </c>
      <c r="E61" s="172"/>
      <c r="F61" s="19"/>
      <c r="G61" s="19"/>
      <c r="H61" s="19"/>
      <c r="I61" s="19"/>
      <c r="J61" s="19"/>
      <c r="K61" s="19"/>
      <c r="L61" s="199"/>
      <c r="M61" s="199"/>
      <c r="N61" s="199"/>
      <c r="O61" s="199"/>
      <c r="P61" s="199"/>
      <c r="Q61" s="199"/>
      <c r="R61" s="199"/>
    </row>
    <row r="62" spans="2:18" ht="15.75" thickBot="1" x14ac:dyDescent="0.3">
      <c r="B62" s="2008"/>
      <c r="C62" s="9"/>
      <c r="D62" s="190" t="s">
        <v>45</v>
      </c>
      <c r="E62" s="172"/>
      <c r="F62" s="19"/>
      <c r="G62" s="19"/>
      <c r="H62" s="19"/>
      <c r="I62" s="19"/>
      <c r="J62" s="19"/>
      <c r="K62" s="19"/>
      <c r="L62" s="199"/>
      <c r="M62" s="199"/>
      <c r="N62" s="199"/>
      <c r="O62" s="199"/>
      <c r="P62" s="199"/>
      <c r="Q62" s="199"/>
      <c r="R62" s="199"/>
    </row>
    <row r="63" spans="2:18" ht="15.75" thickBot="1" x14ac:dyDescent="0.3">
      <c r="B63" s="8"/>
      <c r="C63" s="81"/>
      <c r="D63" s="19"/>
      <c r="E63" s="19"/>
      <c r="F63" s="19"/>
      <c r="G63" s="19"/>
      <c r="H63" s="19"/>
      <c r="I63" s="19"/>
      <c r="J63" s="19"/>
      <c r="K63" s="19"/>
      <c r="L63" s="199"/>
      <c r="M63" s="199"/>
      <c r="N63" s="199"/>
      <c r="O63" s="199"/>
      <c r="P63" s="199"/>
      <c r="Q63" s="199"/>
      <c r="R63" s="199"/>
    </row>
    <row r="64" spans="2:18" ht="15" customHeight="1" thickBot="1" x14ac:dyDescent="0.3">
      <c r="B64" s="191" t="s">
        <v>49</v>
      </c>
      <c r="C64" s="192"/>
      <c r="D64" s="192"/>
      <c r="E64" s="193"/>
      <c r="F64" s="199"/>
      <c r="G64" s="19"/>
      <c r="H64" s="19"/>
      <c r="I64" s="19"/>
      <c r="J64" s="19"/>
      <c r="K64" s="19"/>
      <c r="L64" s="199"/>
      <c r="M64" s="199"/>
      <c r="N64" s="199"/>
      <c r="O64" s="199"/>
      <c r="P64" s="199"/>
      <c r="Q64" s="199"/>
      <c r="R64" s="199"/>
    </row>
    <row r="65" spans="2:18" ht="24.75" thickBot="1" x14ac:dyDescent="0.3">
      <c r="B65" s="188" t="s">
        <v>50</v>
      </c>
      <c r="C65" s="190" t="s">
        <v>51</v>
      </c>
      <c r="D65" s="190" t="s">
        <v>52</v>
      </c>
      <c r="E65" s="190" t="s">
        <v>53</v>
      </c>
      <c r="F65" s="19"/>
      <c r="G65" s="19"/>
      <c r="H65" s="19"/>
      <c r="I65" s="19"/>
      <c r="J65" s="19"/>
      <c r="K65" s="199"/>
      <c r="L65" s="199"/>
      <c r="M65" s="199"/>
      <c r="N65" s="199"/>
      <c r="O65" s="199"/>
      <c r="P65" s="199"/>
      <c r="Q65" s="199"/>
      <c r="R65" s="199"/>
    </row>
    <row r="66" spans="2:18" ht="60.75" thickBot="1" x14ac:dyDescent="0.3">
      <c r="B66" s="36">
        <v>42401</v>
      </c>
      <c r="C66" s="190">
        <v>0.01</v>
      </c>
      <c r="D66" s="184" t="s">
        <v>1150</v>
      </c>
      <c r="E66" s="190"/>
      <c r="F66" s="19"/>
      <c r="G66" s="19"/>
      <c r="H66" s="19"/>
      <c r="I66" s="19"/>
      <c r="J66" s="19"/>
      <c r="K66" s="199"/>
      <c r="L66" s="199"/>
      <c r="M66" s="199"/>
      <c r="N66" s="199"/>
      <c r="O66" s="199"/>
      <c r="P66" s="199"/>
      <c r="Q66" s="199"/>
      <c r="R66" s="199"/>
    </row>
    <row r="67" spans="2:18" ht="15.75" thickBot="1" x14ac:dyDescent="0.3">
      <c r="B67" s="10"/>
      <c r="C67" s="83"/>
      <c r="D67" s="19"/>
      <c r="E67" s="19"/>
      <c r="F67" s="19"/>
      <c r="G67" s="19"/>
      <c r="H67" s="19"/>
      <c r="I67" s="19"/>
      <c r="J67" s="19"/>
      <c r="K67" s="19"/>
      <c r="L67" s="199"/>
      <c r="M67" s="199"/>
      <c r="N67" s="199"/>
      <c r="O67" s="199"/>
      <c r="P67" s="199"/>
      <c r="Q67" s="199"/>
      <c r="R67" s="199"/>
    </row>
    <row r="68" spans="2:18" ht="24.75" thickBot="1" x14ac:dyDescent="0.3">
      <c r="B68" s="494" t="s">
        <v>55</v>
      </c>
      <c r="C68" s="84"/>
      <c r="D68" s="19"/>
      <c r="E68" s="19"/>
      <c r="F68" s="19"/>
      <c r="G68" s="19"/>
      <c r="H68" s="19"/>
      <c r="I68" s="19"/>
      <c r="J68" s="19"/>
      <c r="K68" s="19"/>
      <c r="L68" s="199"/>
      <c r="M68" s="199"/>
      <c r="N68" s="199"/>
      <c r="O68" s="199"/>
      <c r="P68" s="199"/>
      <c r="Q68" s="199"/>
      <c r="R68" s="199"/>
    </row>
    <row r="69" spans="2:18" x14ac:dyDescent="0.25">
      <c r="B69" s="1978"/>
      <c r="C69" s="1979"/>
      <c r="D69" s="1979"/>
      <c r="E69" s="1979"/>
      <c r="F69" s="1979"/>
      <c r="G69" s="1980"/>
      <c r="H69" s="19"/>
      <c r="I69" s="19"/>
      <c r="J69" s="19"/>
      <c r="K69" s="19"/>
      <c r="L69" s="199"/>
      <c r="M69" s="199"/>
      <c r="N69" s="199"/>
      <c r="O69" s="199"/>
      <c r="P69" s="199"/>
      <c r="Q69" s="199"/>
      <c r="R69" s="199"/>
    </row>
    <row r="70" spans="2:18" ht="15.75" thickBot="1" x14ac:dyDescent="0.3">
      <c r="B70" s="1981"/>
      <c r="C70" s="1982"/>
      <c r="D70" s="1982"/>
      <c r="E70" s="1982"/>
      <c r="F70" s="1982"/>
      <c r="G70" s="1983"/>
      <c r="H70" s="19"/>
      <c r="I70" s="19"/>
      <c r="J70" s="19"/>
      <c r="K70" s="19"/>
      <c r="L70" s="199"/>
      <c r="M70" s="199"/>
      <c r="N70" s="199"/>
      <c r="O70" s="199"/>
      <c r="P70" s="199"/>
      <c r="Q70" s="199"/>
      <c r="R70" s="199"/>
    </row>
    <row r="71" spans="2:18" x14ac:dyDescent="0.25">
      <c r="B71" s="8"/>
      <c r="C71" s="81"/>
      <c r="D71" s="19"/>
      <c r="E71" s="19"/>
      <c r="F71" s="19"/>
      <c r="G71" s="19"/>
      <c r="H71" s="19"/>
      <c r="I71" s="19"/>
      <c r="J71" s="19"/>
      <c r="K71" s="19"/>
      <c r="L71" s="199"/>
      <c r="M71" s="199"/>
      <c r="N71" s="199"/>
      <c r="O71" s="199"/>
      <c r="P71" s="199"/>
      <c r="Q71" s="199"/>
      <c r="R71" s="199"/>
    </row>
    <row r="72" spans="2:18" ht="15.75" thickBot="1" x14ac:dyDescent="0.3">
      <c r="B72" s="19"/>
      <c r="C72" s="80"/>
      <c r="D72" s="19"/>
      <c r="E72" s="19"/>
      <c r="F72" s="19"/>
      <c r="G72" s="19"/>
      <c r="H72" s="19"/>
      <c r="I72" s="19"/>
      <c r="J72" s="19"/>
      <c r="K72" s="19"/>
      <c r="L72" s="199"/>
      <c r="M72" s="199"/>
      <c r="N72" s="199"/>
      <c r="O72" s="199"/>
      <c r="P72" s="199"/>
      <c r="Q72" s="199"/>
      <c r="R72" s="199"/>
    </row>
    <row r="73" spans="2:18" ht="24.75" thickBot="1" x14ac:dyDescent="0.3">
      <c r="B73" s="203" t="s">
        <v>56</v>
      </c>
      <c r="C73" s="85"/>
      <c r="D73" s="19"/>
      <c r="E73" s="19"/>
      <c r="F73" s="19"/>
      <c r="G73" s="19"/>
      <c r="H73" s="19"/>
      <c r="I73" s="19"/>
      <c r="J73" s="19"/>
      <c r="K73" s="19"/>
      <c r="L73" s="199"/>
      <c r="M73" s="199"/>
      <c r="N73" s="199"/>
      <c r="O73" s="199"/>
      <c r="P73" s="199"/>
      <c r="Q73" s="199"/>
      <c r="R73" s="199"/>
    </row>
    <row r="74" spans="2:18" ht="15.75" thickBot="1" x14ac:dyDescent="0.3">
      <c r="B74" s="29"/>
      <c r="C74" s="78"/>
      <c r="D74" s="19"/>
      <c r="E74" s="19"/>
      <c r="F74" s="19"/>
      <c r="G74" s="19"/>
      <c r="H74" s="19"/>
      <c r="I74" s="19"/>
      <c r="J74" s="19"/>
      <c r="K74" s="19"/>
      <c r="L74" s="199"/>
      <c r="M74" s="199"/>
      <c r="N74" s="199"/>
      <c r="O74" s="199"/>
      <c r="P74" s="199"/>
      <c r="Q74" s="199"/>
      <c r="R74" s="199"/>
    </row>
    <row r="75" spans="2:18" ht="60.75" thickBot="1" x14ac:dyDescent="0.3">
      <c r="B75" s="37" t="s">
        <v>57</v>
      </c>
      <c r="C75" s="21"/>
      <c r="D75" s="189" t="s">
        <v>1118</v>
      </c>
      <c r="E75" s="19"/>
      <c r="F75" s="19"/>
      <c r="G75" s="19"/>
      <c r="H75" s="19"/>
      <c r="I75" s="19"/>
      <c r="J75" s="19"/>
      <c r="K75" s="19"/>
      <c r="L75" s="199"/>
      <c r="M75" s="199"/>
      <c r="N75" s="199"/>
      <c r="O75" s="199"/>
      <c r="P75" s="199"/>
      <c r="Q75" s="199"/>
      <c r="R75" s="199"/>
    </row>
    <row r="76" spans="2:18" x14ac:dyDescent="0.25">
      <c r="B76" s="2006" t="s">
        <v>59</v>
      </c>
      <c r="C76" s="82"/>
      <c r="D76" s="185" t="s">
        <v>60</v>
      </c>
      <c r="E76" s="19"/>
      <c r="F76" s="19"/>
      <c r="G76" s="19"/>
      <c r="H76" s="19"/>
      <c r="I76" s="19"/>
      <c r="J76" s="19"/>
      <c r="K76" s="19"/>
      <c r="L76" s="199"/>
      <c r="M76" s="199"/>
      <c r="N76" s="199"/>
      <c r="O76" s="199"/>
      <c r="P76" s="199"/>
      <c r="Q76" s="199"/>
      <c r="R76" s="199"/>
    </row>
    <row r="77" spans="2:18" ht="84" x14ac:dyDescent="0.25">
      <c r="B77" s="2007"/>
      <c r="C77" s="82"/>
      <c r="D77" s="186" t="s">
        <v>1119</v>
      </c>
      <c r="E77" s="19"/>
      <c r="F77" s="19"/>
      <c r="G77" s="19"/>
      <c r="H77" s="19"/>
      <c r="I77" s="19"/>
      <c r="J77" s="19"/>
      <c r="K77" s="19"/>
      <c r="L77" s="199"/>
      <c r="M77" s="199"/>
      <c r="N77" s="199"/>
      <c r="O77" s="199"/>
      <c r="P77" s="199"/>
      <c r="Q77" s="199"/>
      <c r="R77" s="199"/>
    </row>
    <row r="78" spans="2:18" x14ac:dyDescent="0.25">
      <c r="B78" s="2007"/>
      <c r="C78" s="82"/>
      <c r="D78" s="185" t="s">
        <v>63</v>
      </c>
      <c r="E78" s="19"/>
      <c r="F78" s="19"/>
      <c r="G78" s="19"/>
      <c r="H78" s="19"/>
      <c r="I78" s="19"/>
      <c r="J78" s="19"/>
      <c r="K78" s="19"/>
      <c r="L78" s="199"/>
      <c r="M78" s="199"/>
      <c r="N78" s="199"/>
      <c r="O78" s="199"/>
      <c r="P78" s="199"/>
      <c r="Q78" s="199"/>
      <c r="R78" s="199"/>
    </row>
    <row r="79" spans="2:18" x14ac:dyDescent="0.25">
      <c r="B79" s="2007"/>
      <c r="C79" s="82"/>
      <c r="D79" s="186" t="s">
        <v>1120</v>
      </c>
      <c r="E79" s="19"/>
      <c r="F79" s="19"/>
      <c r="G79" s="19"/>
      <c r="H79" s="19"/>
      <c r="I79" s="19"/>
      <c r="J79" s="19"/>
      <c r="K79" s="19"/>
      <c r="L79" s="199"/>
      <c r="M79" s="199"/>
      <c r="N79" s="199"/>
      <c r="O79" s="199"/>
      <c r="P79" s="199"/>
      <c r="Q79" s="199"/>
      <c r="R79" s="199"/>
    </row>
    <row r="80" spans="2:18" x14ac:dyDescent="0.25">
      <c r="B80" s="2007"/>
      <c r="C80" s="82"/>
      <c r="D80" s="186" t="s">
        <v>65</v>
      </c>
      <c r="E80" s="19"/>
      <c r="F80" s="19"/>
      <c r="G80" s="19"/>
      <c r="H80" s="19"/>
      <c r="I80" s="19"/>
      <c r="J80" s="19"/>
      <c r="K80" s="19"/>
      <c r="L80" s="199"/>
      <c r="M80" s="199"/>
      <c r="N80" s="199"/>
      <c r="O80" s="199"/>
      <c r="P80" s="199"/>
      <c r="Q80" s="199"/>
      <c r="R80" s="199"/>
    </row>
    <row r="81" spans="2:18" x14ac:dyDescent="0.25">
      <c r="B81" s="2007"/>
      <c r="C81" s="82"/>
      <c r="D81" s="185" t="s">
        <v>288</v>
      </c>
      <c r="E81" s="19"/>
      <c r="F81" s="19"/>
      <c r="G81" s="19"/>
      <c r="H81" s="19"/>
      <c r="I81" s="19"/>
      <c r="J81" s="19"/>
      <c r="K81" s="19"/>
      <c r="L81" s="199"/>
      <c r="M81" s="199"/>
      <c r="N81" s="199"/>
      <c r="O81" s="199"/>
      <c r="P81" s="199"/>
      <c r="Q81" s="199"/>
      <c r="R81" s="199"/>
    </row>
    <row r="82" spans="2:18" ht="15.75" thickBot="1" x14ac:dyDescent="0.3">
      <c r="B82" s="2008"/>
      <c r="C82" s="9"/>
      <c r="D82" s="190" t="s">
        <v>1121</v>
      </c>
      <c r="E82" s="19"/>
      <c r="F82" s="19"/>
      <c r="G82" s="19"/>
      <c r="H82" s="19"/>
      <c r="I82" s="19"/>
      <c r="J82" s="19"/>
      <c r="K82" s="19"/>
      <c r="L82" s="199"/>
      <c r="M82" s="199"/>
      <c r="N82" s="199"/>
      <c r="O82" s="199"/>
      <c r="P82" s="199"/>
      <c r="Q82" s="199"/>
      <c r="R82" s="199"/>
    </row>
    <row r="83" spans="2:18" x14ac:dyDescent="0.25">
      <c r="B83" s="2006" t="s">
        <v>72</v>
      </c>
      <c r="C83" s="204"/>
      <c r="D83" s="2006"/>
      <c r="E83" s="19"/>
      <c r="F83" s="19"/>
      <c r="G83" s="19"/>
      <c r="H83" s="19"/>
      <c r="I83" s="19"/>
      <c r="J83" s="19"/>
      <c r="K83" s="19"/>
      <c r="L83" s="199"/>
      <c r="M83" s="199"/>
      <c r="N83" s="199"/>
      <c r="O83" s="199"/>
      <c r="P83" s="199"/>
      <c r="Q83" s="199"/>
      <c r="R83" s="199"/>
    </row>
    <row r="84" spans="2:18" ht="15.75" thickBot="1" x14ac:dyDescent="0.3">
      <c r="B84" s="2008"/>
      <c r="C84" s="79"/>
      <c r="D84" s="2008"/>
      <c r="E84" s="19"/>
      <c r="F84" s="19"/>
      <c r="G84" s="19"/>
      <c r="H84" s="19"/>
      <c r="I84" s="19"/>
      <c r="J84" s="19"/>
      <c r="K84" s="19"/>
      <c r="L84" s="199"/>
      <c r="M84" s="199"/>
      <c r="N84" s="199"/>
      <c r="O84" s="199"/>
      <c r="P84" s="199"/>
      <c r="Q84" s="199"/>
      <c r="R84" s="199"/>
    </row>
    <row r="85" spans="2:18" ht="96" x14ac:dyDescent="0.25">
      <c r="B85" s="2006" t="s">
        <v>73</v>
      </c>
      <c r="C85" s="82"/>
      <c r="D85" s="186" t="s">
        <v>1122</v>
      </c>
      <c r="E85" s="19"/>
      <c r="F85" s="19"/>
      <c r="G85" s="19"/>
      <c r="H85" s="19"/>
      <c r="I85" s="19"/>
      <c r="J85" s="19"/>
      <c r="K85" s="19"/>
      <c r="L85" s="199"/>
      <c r="M85" s="199"/>
      <c r="N85" s="199"/>
      <c r="O85" s="199"/>
      <c r="P85" s="199"/>
      <c r="Q85" s="199"/>
      <c r="R85" s="199"/>
    </row>
    <row r="86" spans="2:18" ht="204" x14ac:dyDescent="0.25">
      <c r="B86" s="2007"/>
      <c r="C86" s="82"/>
      <c r="D86" s="186" t="s">
        <v>1123</v>
      </c>
      <c r="E86" s="19"/>
      <c r="F86" s="19"/>
      <c r="G86" s="19"/>
      <c r="H86" s="19"/>
      <c r="I86" s="19"/>
      <c r="J86" s="19"/>
      <c r="K86" s="19"/>
      <c r="L86" s="199"/>
      <c r="M86" s="199"/>
      <c r="N86" s="199"/>
      <c r="O86" s="199"/>
      <c r="P86" s="199"/>
      <c r="Q86" s="199"/>
      <c r="R86" s="199"/>
    </row>
    <row r="87" spans="2:18" ht="228" x14ac:dyDescent="0.25">
      <c r="B87" s="2007"/>
      <c r="C87" s="82"/>
      <c r="D87" s="186" t="s">
        <v>1124</v>
      </c>
      <c r="E87" s="19"/>
      <c r="F87" s="19"/>
      <c r="G87" s="19"/>
      <c r="H87" s="19"/>
      <c r="I87" s="19"/>
      <c r="J87" s="19"/>
      <c r="K87" s="19"/>
    </row>
    <row r="88" spans="2:18" ht="96" x14ac:dyDescent="0.25">
      <c r="B88" s="2007"/>
      <c r="C88" s="82"/>
      <c r="D88" s="186" t="s">
        <v>1125</v>
      </c>
      <c r="E88" s="19"/>
      <c r="F88" s="19"/>
      <c r="G88" s="19"/>
      <c r="H88" s="19"/>
      <c r="I88" s="19"/>
      <c r="J88" s="19"/>
      <c r="K88" s="19"/>
    </row>
    <row r="89" spans="2:18" ht="36" x14ac:dyDescent="0.25">
      <c r="B89" s="2007"/>
      <c r="C89" s="82"/>
      <c r="D89" s="186" t="s">
        <v>1126</v>
      </c>
      <c r="E89" s="19"/>
      <c r="F89" s="19"/>
      <c r="G89" s="19"/>
      <c r="H89" s="19"/>
      <c r="I89" s="19"/>
      <c r="J89" s="19"/>
      <c r="K89" s="19"/>
    </row>
    <row r="90" spans="2:18" ht="36" x14ac:dyDescent="0.25">
      <c r="B90" s="2007"/>
      <c r="C90" s="82"/>
      <c r="D90" s="186" t="s">
        <v>1127</v>
      </c>
      <c r="E90" s="19"/>
      <c r="F90" s="19"/>
      <c r="G90" s="19"/>
      <c r="H90" s="19"/>
      <c r="I90" s="19"/>
      <c r="J90" s="19"/>
      <c r="K90" s="19"/>
    </row>
    <row r="91" spans="2:18" ht="36" x14ac:dyDescent="0.25">
      <c r="B91" s="2007"/>
      <c r="C91" s="82"/>
      <c r="D91" s="186" t="s">
        <v>1128</v>
      </c>
      <c r="E91" s="19"/>
      <c r="F91" s="19"/>
      <c r="G91" s="19"/>
      <c r="H91" s="19"/>
      <c r="I91" s="19"/>
      <c r="J91" s="19"/>
      <c r="K91" s="19"/>
    </row>
    <row r="92" spans="2:18" ht="24" x14ac:dyDescent="0.25">
      <c r="B92" s="2007"/>
      <c r="C92" s="82"/>
      <c r="D92" s="186" t="s">
        <v>1129</v>
      </c>
      <c r="E92" s="19"/>
      <c r="F92" s="19"/>
      <c r="G92" s="19"/>
      <c r="H92" s="19"/>
      <c r="I92" s="19"/>
      <c r="J92" s="19"/>
      <c r="K92" s="19"/>
    </row>
    <row r="93" spans="2:18" ht="36" x14ac:dyDescent="0.25">
      <c r="B93" s="2007"/>
      <c r="C93" s="82"/>
      <c r="D93" s="186" t="s">
        <v>1130</v>
      </c>
      <c r="E93" s="19"/>
      <c r="F93" s="19"/>
      <c r="G93" s="19"/>
      <c r="H93" s="19"/>
      <c r="I93" s="19"/>
      <c r="J93" s="19"/>
      <c r="K93" s="19"/>
    </row>
    <row r="94" spans="2:18" ht="36" x14ac:dyDescent="0.25">
      <c r="B94" s="2007"/>
      <c r="C94" s="82"/>
      <c r="D94" s="186" t="s">
        <v>1131</v>
      </c>
      <c r="E94" s="19"/>
      <c r="F94" s="19"/>
      <c r="G94" s="19"/>
      <c r="H94" s="19"/>
      <c r="I94" s="19"/>
      <c r="J94" s="19"/>
      <c r="K94" s="19"/>
    </row>
    <row r="95" spans="2:18" ht="72.75" thickBot="1" x14ac:dyDescent="0.3">
      <c r="B95" s="2008"/>
      <c r="C95" s="9"/>
      <c r="D95" s="190" t="s">
        <v>1132</v>
      </c>
      <c r="E95" s="19"/>
      <c r="F95" s="19"/>
      <c r="G95" s="19"/>
      <c r="H95" s="19"/>
      <c r="I95" s="19"/>
      <c r="J95" s="19"/>
      <c r="K95" s="19"/>
    </row>
    <row r="96" spans="2:18" ht="24" x14ac:dyDescent="0.25">
      <c r="B96" s="2006" t="s">
        <v>90</v>
      </c>
      <c r="C96" s="82"/>
      <c r="D96" s="185" t="s">
        <v>1133</v>
      </c>
      <c r="E96" s="19"/>
      <c r="F96" s="19"/>
      <c r="G96" s="19"/>
      <c r="H96" s="19"/>
      <c r="I96" s="19"/>
      <c r="J96" s="19"/>
      <c r="K96" s="19"/>
    </row>
    <row r="97" spans="2:11" x14ac:dyDescent="0.25">
      <c r="B97" s="2007"/>
      <c r="C97" s="82"/>
      <c r="D97" s="187"/>
      <c r="E97" s="19"/>
      <c r="F97" s="19"/>
      <c r="G97" s="19"/>
      <c r="H97" s="19"/>
      <c r="I97" s="19"/>
      <c r="J97" s="19"/>
      <c r="K97" s="19"/>
    </row>
    <row r="98" spans="2:11" x14ac:dyDescent="0.25">
      <c r="B98" s="2007"/>
      <c r="C98" s="82"/>
      <c r="D98" s="186" t="s">
        <v>91</v>
      </c>
      <c r="E98" s="19"/>
      <c r="F98" s="19"/>
      <c r="G98" s="19"/>
      <c r="H98" s="19"/>
      <c r="I98" s="19"/>
      <c r="J98" s="19"/>
      <c r="K98" s="19"/>
    </row>
    <row r="99" spans="2:11" ht="25.5" x14ac:dyDescent="0.25">
      <c r="B99" s="2007"/>
      <c r="C99" s="82"/>
      <c r="D99" s="186" t="s">
        <v>1134</v>
      </c>
      <c r="E99" s="19"/>
      <c r="F99" s="19"/>
      <c r="G99" s="19"/>
      <c r="H99" s="19"/>
      <c r="I99" s="19"/>
      <c r="J99" s="19"/>
      <c r="K99" s="19"/>
    </row>
    <row r="100" spans="2:11" ht="37.5" x14ac:dyDescent="0.25">
      <c r="B100" s="2007"/>
      <c r="C100" s="82"/>
      <c r="D100" s="186" t="s">
        <v>1135</v>
      </c>
      <c r="E100" s="19"/>
      <c r="F100" s="19"/>
      <c r="G100" s="19"/>
      <c r="H100" s="19"/>
      <c r="I100" s="19"/>
      <c r="J100" s="19"/>
      <c r="K100" s="19"/>
    </row>
    <row r="101" spans="2:11" ht="37.5" x14ac:dyDescent="0.25">
      <c r="B101" s="2007"/>
      <c r="C101" s="82"/>
      <c r="D101" s="186" t="s">
        <v>1136</v>
      </c>
      <c r="E101" s="19"/>
      <c r="F101" s="19"/>
      <c r="G101" s="19"/>
      <c r="H101" s="19"/>
      <c r="I101" s="19"/>
      <c r="J101" s="19"/>
      <c r="K101" s="19"/>
    </row>
    <row r="102" spans="2:11" ht="37.5" x14ac:dyDescent="0.25">
      <c r="B102" s="2007"/>
      <c r="C102" s="82"/>
      <c r="D102" s="186" t="s">
        <v>1137</v>
      </c>
      <c r="E102" s="19"/>
      <c r="F102" s="19"/>
      <c r="G102" s="19"/>
      <c r="H102" s="19"/>
      <c r="I102" s="19"/>
      <c r="J102" s="19"/>
      <c r="K102" s="19"/>
    </row>
    <row r="103" spans="2:11" x14ac:dyDescent="0.25">
      <c r="B103" s="2007"/>
      <c r="C103" s="82"/>
      <c r="D103" s="186" t="s">
        <v>1138</v>
      </c>
      <c r="E103" s="19"/>
      <c r="F103" s="19"/>
      <c r="G103" s="19"/>
      <c r="H103" s="19"/>
      <c r="I103" s="19"/>
      <c r="J103" s="19"/>
      <c r="K103" s="19"/>
    </row>
    <row r="104" spans="2:11" x14ac:dyDescent="0.25">
      <c r="B104" s="2007"/>
      <c r="C104" s="82"/>
      <c r="D104" s="186" t="s">
        <v>1139</v>
      </c>
      <c r="E104" s="19"/>
      <c r="F104" s="19"/>
      <c r="G104" s="19"/>
      <c r="H104" s="19"/>
      <c r="I104" s="19"/>
      <c r="J104" s="19"/>
      <c r="K104" s="19"/>
    </row>
    <row r="105" spans="2:11" x14ac:dyDescent="0.25">
      <c r="B105" s="2007"/>
      <c r="C105" s="82"/>
      <c r="D105" s="186" t="s">
        <v>1140</v>
      </c>
      <c r="E105" s="19"/>
      <c r="F105" s="19"/>
      <c r="G105" s="19"/>
      <c r="H105" s="19"/>
      <c r="I105" s="19"/>
      <c r="J105" s="19"/>
      <c r="K105" s="19"/>
    </row>
    <row r="106" spans="2:11" x14ac:dyDescent="0.25">
      <c r="B106" s="2007"/>
      <c r="C106" s="82"/>
      <c r="D106" s="186" t="s">
        <v>819</v>
      </c>
      <c r="E106" s="19"/>
      <c r="F106" s="19"/>
      <c r="G106" s="19"/>
      <c r="H106" s="19"/>
      <c r="I106" s="19"/>
      <c r="J106" s="19"/>
      <c r="K106" s="19"/>
    </row>
    <row r="107" spans="2:11" ht="84" x14ac:dyDescent="0.25">
      <c r="B107" s="2007"/>
      <c r="C107" s="82"/>
      <c r="D107" s="205" t="s">
        <v>235</v>
      </c>
      <c r="E107" s="19"/>
      <c r="F107" s="19"/>
      <c r="G107" s="19"/>
      <c r="H107" s="19"/>
      <c r="I107" s="19"/>
      <c r="J107" s="19"/>
      <c r="K107" s="19"/>
    </row>
    <row r="108" spans="2:11" x14ac:dyDescent="0.25">
      <c r="B108" s="2007"/>
      <c r="C108" s="82"/>
      <c r="D108" s="186" t="s">
        <v>246</v>
      </c>
      <c r="E108" s="19"/>
      <c r="F108" s="19"/>
      <c r="G108" s="19"/>
      <c r="H108" s="19"/>
      <c r="I108" s="19"/>
      <c r="J108" s="19"/>
      <c r="K108" s="19"/>
    </row>
    <row r="109" spans="2:11" ht="24" x14ac:dyDescent="0.25">
      <c r="B109" s="2007"/>
      <c r="C109" s="82"/>
      <c r="D109" s="185" t="s">
        <v>1141</v>
      </c>
      <c r="E109" s="19"/>
      <c r="F109" s="19"/>
      <c r="G109" s="19"/>
      <c r="H109" s="19"/>
      <c r="I109" s="19"/>
      <c r="J109" s="19"/>
      <c r="K109" s="19"/>
    </row>
    <row r="110" spans="2:11" x14ac:dyDescent="0.25">
      <c r="B110" s="2007"/>
      <c r="C110" s="82"/>
      <c r="D110" s="187"/>
      <c r="E110" s="19"/>
      <c r="F110" s="19"/>
      <c r="G110" s="19"/>
      <c r="H110" s="19"/>
      <c r="I110" s="19"/>
      <c r="J110" s="19"/>
      <c r="K110" s="19"/>
    </row>
    <row r="111" spans="2:11" x14ac:dyDescent="0.25">
      <c r="B111" s="2007"/>
      <c r="C111" s="82"/>
      <c r="D111" s="186" t="s">
        <v>91</v>
      </c>
      <c r="E111" s="19"/>
      <c r="F111" s="19"/>
      <c r="G111" s="19"/>
      <c r="H111" s="19"/>
      <c r="I111" s="19"/>
      <c r="J111" s="19"/>
      <c r="K111" s="19"/>
    </row>
    <row r="112" spans="2:11" ht="37.5" x14ac:dyDescent="0.25">
      <c r="B112" s="2007"/>
      <c r="C112" s="82"/>
      <c r="D112" s="186" t="s">
        <v>1142</v>
      </c>
      <c r="E112" s="19"/>
      <c r="F112" s="19"/>
      <c r="G112" s="19"/>
      <c r="H112" s="19"/>
      <c r="I112" s="19"/>
      <c r="J112" s="19"/>
      <c r="K112" s="19"/>
    </row>
    <row r="113" spans="2:11" ht="37.5" x14ac:dyDescent="0.25">
      <c r="B113" s="2007"/>
      <c r="C113" s="82"/>
      <c r="D113" s="186" t="s">
        <v>1143</v>
      </c>
      <c r="E113" s="19"/>
      <c r="F113" s="19"/>
      <c r="G113" s="19"/>
      <c r="H113" s="19"/>
      <c r="I113" s="19"/>
      <c r="J113" s="19"/>
      <c r="K113" s="19"/>
    </row>
    <row r="114" spans="2:11" ht="38.25" thickBot="1" x14ac:dyDescent="0.3">
      <c r="B114" s="2008"/>
      <c r="C114" s="9"/>
      <c r="D114" s="190" t="s">
        <v>1144</v>
      </c>
      <c r="E114" s="19"/>
      <c r="F114" s="19"/>
      <c r="G114" s="19"/>
      <c r="H114" s="19"/>
      <c r="I114" s="19"/>
      <c r="J114" s="19"/>
      <c r="K114" s="19"/>
    </row>
    <row r="115" spans="2:11" x14ac:dyDescent="0.25">
      <c r="B115" s="19"/>
      <c r="C115" s="80"/>
      <c r="D115" s="19"/>
      <c r="E115" s="19"/>
      <c r="F115" s="19"/>
      <c r="G115" s="19"/>
      <c r="H115" s="19"/>
      <c r="I115" s="19"/>
      <c r="J115" s="19"/>
      <c r="K115" s="19"/>
    </row>
    <row r="116" spans="2:11" s="199" customFormat="1" x14ac:dyDescent="0.25">
      <c r="C116" s="80"/>
    </row>
    <row r="117" spans="2:11" s="199" customFormat="1" x14ac:dyDescent="0.25">
      <c r="C117" s="80"/>
    </row>
    <row r="118" spans="2:11" s="199" customFormat="1" x14ac:dyDescent="0.25">
      <c r="C118" s="80"/>
    </row>
    <row r="119" spans="2:11" s="199" customFormat="1" x14ac:dyDescent="0.25">
      <c r="C119" s="80"/>
    </row>
    <row r="120" spans="2:11" s="199" customFormat="1" x14ac:dyDescent="0.25">
      <c r="C120" s="80"/>
    </row>
    <row r="121" spans="2:11" s="199" customFormat="1" x14ac:dyDescent="0.25">
      <c r="C121" s="80"/>
    </row>
    <row r="122" spans="2:11" s="199" customFormat="1" x14ac:dyDescent="0.25">
      <c r="C122" s="80"/>
    </row>
    <row r="123" spans="2:11" s="199" customFormat="1" x14ac:dyDescent="0.25">
      <c r="C123" s="80"/>
    </row>
    <row r="124" spans="2:11" s="199" customFormat="1" x14ac:dyDescent="0.25">
      <c r="C124" s="80"/>
    </row>
  </sheetData>
  <sheetProtection formatCells="0" formatRows="0" insertColumns="0" insertRows="0" deleteColumns="0" deleteRows="0"/>
  <mergeCells count="38">
    <mergeCell ref="A1:P1"/>
    <mergeCell ref="A2:P2"/>
    <mergeCell ref="A3:P3"/>
    <mergeCell ref="A4:D4"/>
    <mergeCell ref="A5:P5"/>
    <mergeCell ref="B10:D10"/>
    <mergeCell ref="F10:S10"/>
    <mergeCell ref="F11:S11"/>
    <mergeCell ref="E12:R12"/>
    <mergeCell ref="E13:R13"/>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76:B82"/>
    <mergeCell ref="B83:B84"/>
    <mergeCell ref="D83:D84"/>
    <mergeCell ref="C33:C35"/>
    <mergeCell ref="D33:D35"/>
    <mergeCell ref="B56:B62"/>
    <mergeCell ref="B55:E55"/>
    <mergeCell ref="D21:K21"/>
    <mergeCell ref="D22:D23"/>
    <mergeCell ref="E22:F22"/>
    <mergeCell ref="G22:J22"/>
    <mergeCell ref="C22:C23"/>
  </mergeCells>
  <conditionalFormatting sqref="D42">
    <cfRule type="containsText" dxfId="16" priority="5" operator="containsText" text="ERROR">
      <formula>NOT(ISERROR(SEARCH("ERROR",D42)))</formula>
    </cfRule>
  </conditionalFormatting>
  <conditionalFormatting sqref="F10">
    <cfRule type="notContainsBlanks" dxfId="15" priority="4">
      <formula>LEN(TRIM(F10))&gt;0</formula>
    </cfRule>
  </conditionalFormatting>
  <conditionalFormatting sqref="F11:S11">
    <cfRule type="expression" dxfId="14" priority="2">
      <formula>E11="NO SE REPORTA"</formula>
    </cfRule>
    <cfRule type="expression" dxfId="13" priority="3">
      <formula>E10="NO APLICA"</formula>
    </cfRule>
  </conditionalFormatting>
  <conditionalFormatting sqref="E12:R12">
    <cfRule type="expression" dxfId="12"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9 F18:H19 G26:J29 G24:H25 J25">
      <formula1>0</formula1>
    </dataValidation>
    <dataValidation type="decimal" allowBlank="1" showInputMessage="1" showErrorMessage="1" errorTitle="ERROR" error="Escriba un valor entre 0% y 100%" sqref="D36:D41 E24:F29">
      <formula1>0</formula1>
      <formula2>1</formula2>
    </dataValidation>
    <dataValidation allowBlank="1" showInputMessage="1" showErrorMessage="1" sqref="D42 E36:G42 G30:J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1" r:id="rId1"/>
  </hyperlinks>
  <pageMargins left="0.25" right="0.25" top="0.75" bottom="0.75" header="0.3" footer="0.3"/>
  <pageSetup paperSize="178" orientation="landscape" horizontalDpi="1200" verticalDpi="1200"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D28"/>
  <sheetViews>
    <sheetView showGridLines="0" zoomScale="98" zoomScaleNormal="98" workbookViewId="0"/>
  </sheetViews>
  <sheetFormatPr baseColWidth="10" defaultRowHeight="15" x14ac:dyDescent="0.25"/>
  <cols>
    <col min="1" max="1" width="8.140625" bestFit="1" customWidth="1"/>
    <col min="2" max="2" width="12.85546875" bestFit="1" customWidth="1"/>
    <col min="3" max="3" width="68.85546875" customWidth="1"/>
  </cols>
  <sheetData>
    <row r="1" spans="1:4" x14ac:dyDescent="0.25">
      <c r="A1" s="534" t="s">
        <v>1189</v>
      </c>
    </row>
    <row r="3" spans="1:4" x14ac:dyDescent="0.25">
      <c r="B3" s="183" t="s">
        <v>1187</v>
      </c>
    </row>
    <row r="5" spans="1:4" x14ac:dyDescent="0.25">
      <c r="B5" s="181"/>
      <c r="C5" s="182"/>
      <c r="D5" s="180"/>
    </row>
    <row r="6" spans="1:4" x14ac:dyDescent="0.25">
      <c r="A6" s="166" t="s">
        <v>1185</v>
      </c>
      <c r="B6" s="166" t="s">
        <v>1186</v>
      </c>
      <c r="C6" s="166" t="s">
        <v>1184</v>
      </c>
    </row>
    <row r="7" spans="1:4" x14ac:dyDescent="0.25">
      <c r="A7" s="532"/>
      <c r="B7" s="532"/>
      <c r="C7" s="533"/>
    </row>
    <row r="8" spans="1:4" x14ac:dyDescent="0.25">
      <c r="A8" s="532"/>
      <c r="B8" s="532"/>
      <c r="C8" s="533"/>
    </row>
    <row r="9" spans="1:4" x14ac:dyDescent="0.25">
      <c r="A9" s="532"/>
      <c r="B9" s="532"/>
      <c r="C9" s="533"/>
    </row>
    <row r="10" spans="1:4" x14ac:dyDescent="0.25">
      <c r="A10" s="532"/>
      <c r="B10" s="532"/>
      <c r="C10" s="533"/>
    </row>
    <row r="11" spans="1:4" x14ac:dyDescent="0.25">
      <c r="A11" s="532"/>
      <c r="B11" s="532"/>
      <c r="C11" s="533"/>
    </row>
    <row r="12" spans="1:4" x14ac:dyDescent="0.25">
      <c r="A12" s="532"/>
      <c r="B12" s="532"/>
      <c r="C12" s="533"/>
    </row>
    <row r="13" spans="1:4" x14ac:dyDescent="0.25">
      <c r="A13" s="532"/>
      <c r="B13" s="532"/>
      <c r="C13" s="533"/>
    </row>
    <row r="14" spans="1:4" x14ac:dyDescent="0.25">
      <c r="A14" s="532"/>
      <c r="B14" s="532"/>
      <c r="C14" s="533"/>
    </row>
    <row r="15" spans="1:4" x14ac:dyDescent="0.25">
      <c r="A15" s="532"/>
      <c r="B15" s="532"/>
      <c r="C15" s="533"/>
    </row>
    <row r="16" spans="1:4" x14ac:dyDescent="0.25">
      <c r="A16" s="532"/>
      <c r="B16" s="532"/>
      <c r="C16" s="533"/>
    </row>
    <row r="17" spans="1:3" x14ac:dyDescent="0.25">
      <c r="A17" s="532"/>
      <c r="B17" s="532"/>
      <c r="C17" s="533"/>
    </row>
    <row r="18" spans="1:3" x14ac:dyDescent="0.25">
      <c r="A18" s="532"/>
      <c r="B18" s="532"/>
      <c r="C18" s="533"/>
    </row>
    <row r="19" spans="1:3" x14ac:dyDescent="0.25">
      <c r="A19" s="532"/>
      <c r="B19" s="532"/>
      <c r="C19" s="533"/>
    </row>
    <row r="20" spans="1:3" x14ac:dyDescent="0.25">
      <c r="A20" s="532"/>
      <c r="B20" s="532"/>
      <c r="C20" s="533"/>
    </row>
    <row r="21" spans="1:3" x14ac:dyDescent="0.25">
      <c r="A21" s="532"/>
      <c r="B21" s="532"/>
      <c r="C21" s="533"/>
    </row>
    <row r="22" spans="1:3" x14ac:dyDescent="0.25">
      <c r="A22" s="532"/>
      <c r="B22" s="532"/>
      <c r="C22" s="533"/>
    </row>
    <row r="23" spans="1:3" x14ac:dyDescent="0.25">
      <c r="A23" s="532"/>
      <c r="B23" s="532"/>
      <c r="C23" s="533"/>
    </row>
    <row r="24" spans="1:3" x14ac:dyDescent="0.25">
      <c r="A24" s="532"/>
      <c r="B24" s="532"/>
      <c r="C24" s="533"/>
    </row>
    <row r="25" spans="1:3" x14ac:dyDescent="0.25">
      <c r="A25" s="532"/>
      <c r="B25" s="532"/>
      <c r="C25" s="533"/>
    </row>
    <row r="26" spans="1:3" x14ac:dyDescent="0.25">
      <c r="A26" s="532"/>
      <c r="B26" s="532"/>
      <c r="C26" s="533"/>
    </row>
    <row r="27" spans="1:3" x14ac:dyDescent="0.25">
      <c r="A27" s="532"/>
      <c r="B27" s="532"/>
      <c r="C27" s="533"/>
    </row>
    <row r="28" spans="1:3" x14ac:dyDescent="0.25">
      <c r="A28" s="532"/>
      <c r="B28" s="532"/>
      <c r="C28" s="533"/>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B26"/>
  <sheetViews>
    <sheetView topLeftCell="A21" zoomScale="140" zoomScaleNormal="140" zoomScaleSheetLayoutView="100" workbookViewId="0">
      <selection activeCell="B23" sqref="B23"/>
    </sheetView>
  </sheetViews>
  <sheetFormatPr baseColWidth="10" defaultRowHeight="12.75" x14ac:dyDescent="0.25"/>
  <cols>
    <col min="1" max="1" width="47.42578125" style="569" customWidth="1"/>
    <col min="2" max="2" width="84.140625" style="569" customWidth="1"/>
    <col min="3" max="16384" width="11.42578125" style="569"/>
  </cols>
  <sheetData>
    <row r="1" spans="1:2" ht="130.5" customHeight="1" thickBot="1" x14ac:dyDescent="0.3">
      <c r="A1" s="1652"/>
      <c r="B1" s="1652"/>
    </row>
    <row r="2" spans="1:2" ht="27" customHeight="1" thickBot="1" x14ac:dyDescent="0.3">
      <c r="A2" s="1653" t="s">
        <v>1267</v>
      </c>
      <c r="B2" s="1654"/>
    </row>
    <row r="3" spans="1:2" ht="24.75" customHeight="1" thickBot="1" x14ac:dyDescent="0.3">
      <c r="A3" s="1655" t="s">
        <v>1268</v>
      </c>
      <c r="B3" s="1656"/>
    </row>
    <row r="4" spans="1:2" x14ac:dyDescent="0.25">
      <c r="A4" s="570" t="s">
        <v>1269</v>
      </c>
      <c r="B4" s="570" t="s">
        <v>1270</v>
      </c>
    </row>
    <row r="5" spans="1:2" ht="36" x14ac:dyDescent="0.25">
      <c r="A5" s="571" t="s">
        <v>1788</v>
      </c>
      <c r="B5" s="572" t="s">
        <v>1271</v>
      </c>
    </row>
    <row r="6" spans="1:2" ht="34.5" customHeight="1" x14ac:dyDescent="0.25">
      <c r="A6" s="571" t="s">
        <v>1272</v>
      </c>
      <c r="B6" s="572" t="s">
        <v>1790</v>
      </c>
    </row>
    <row r="7" spans="1:2" ht="24" customHeight="1" x14ac:dyDescent="0.25">
      <c r="A7" s="571" t="s">
        <v>1273</v>
      </c>
      <c r="B7" s="572" t="s">
        <v>1274</v>
      </c>
    </row>
    <row r="8" spans="1:2" ht="32.25" customHeight="1" x14ac:dyDescent="0.25">
      <c r="A8" s="571" t="s">
        <v>1275</v>
      </c>
      <c r="B8" s="572" t="s">
        <v>1276</v>
      </c>
    </row>
    <row r="9" spans="1:2" ht="49.5" customHeight="1" x14ac:dyDescent="0.25">
      <c r="A9" s="571" t="s">
        <v>1277</v>
      </c>
      <c r="B9" s="572" t="s">
        <v>1278</v>
      </c>
    </row>
    <row r="10" spans="1:2" ht="21" customHeight="1" x14ac:dyDescent="0.25">
      <c r="A10" s="571" t="s">
        <v>1791</v>
      </c>
      <c r="B10" s="572" t="s">
        <v>1882</v>
      </c>
    </row>
    <row r="11" spans="1:2" ht="40.5" customHeight="1" x14ac:dyDescent="0.25">
      <c r="A11" s="571" t="s">
        <v>1279</v>
      </c>
      <c r="B11" s="572" t="s">
        <v>1280</v>
      </c>
    </row>
    <row r="12" spans="1:2" ht="21.75" customHeight="1" x14ac:dyDescent="0.25">
      <c r="A12" s="571" t="s">
        <v>1281</v>
      </c>
      <c r="B12" s="572" t="s">
        <v>1282</v>
      </c>
    </row>
    <row r="13" spans="1:2" ht="21.75" customHeight="1" x14ac:dyDescent="0.25">
      <c r="A13" s="571" t="s">
        <v>1283</v>
      </c>
      <c r="B13" s="572" t="s">
        <v>1792</v>
      </c>
    </row>
    <row r="14" spans="1:2" ht="21" customHeight="1" x14ac:dyDescent="0.25">
      <c r="A14" s="571" t="s">
        <v>1284</v>
      </c>
      <c r="B14" s="572" t="s">
        <v>1285</v>
      </c>
    </row>
    <row r="15" spans="1:2" ht="24.75" customHeight="1" x14ac:dyDescent="0.25">
      <c r="A15" s="571" t="s">
        <v>1286</v>
      </c>
      <c r="B15" s="572" t="s">
        <v>1287</v>
      </c>
    </row>
    <row r="16" spans="1:2" ht="22.5" customHeight="1" x14ac:dyDescent="0.25">
      <c r="A16" s="571" t="s">
        <v>1793</v>
      </c>
      <c r="B16" s="572" t="s">
        <v>1288</v>
      </c>
    </row>
    <row r="17" spans="1:2" ht="39" customHeight="1" x14ac:dyDescent="0.25">
      <c r="A17" s="571" t="s">
        <v>1289</v>
      </c>
      <c r="B17" s="572" t="s">
        <v>1290</v>
      </c>
    </row>
    <row r="18" spans="1:2" ht="22.5" customHeight="1" x14ac:dyDescent="0.25">
      <c r="A18" s="571" t="s">
        <v>1291</v>
      </c>
      <c r="B18" s="572" t="s">
        <v>1292</v>
      </c>
    </row>
    <row r="19" spans="1:2" ht="22.5" customHeight="1" x14ac:dyDescent="0.25">
      <c r="A19" s="571" t="s">
        <v>1877</v>
      </c>
      <c r="B19" s="572" t="s">
        <v>1879</v>
      </c>
    </row>
    <row r="20" spans="1:2" ht="22.5" customHeight="1" x14ac:dyDescent="0.25">
      <c r="A20" s="571" t="s">
        <v>1878</v>
      </c>
      <c r="B20" s="572" t="s">
        <v>1881</v>
      </c>
    </row>
    <row r="21" spans="1:2" ht="22.5" customHeight="1" x14ac:dyDescent="0.25">
      <c r="A21" s="571" t="s">
        <v>1866</v>
      </c>
      <c r="B21" s="572" t="s">
        <v>1880</v>
      </c>
    </row>
    <row r="22" spans="1:2" ht="21.75" customHeight="1" x14ac:dyDescent="0.25">
      <c r="A22" s="571" t="s">
        <v>1867</v>
      </c>
      <c r="B22" s="572" t="s">
        <v>1789</v>
      </c>
    </row>
    <row r="23" spans="1:2" ht="25.5" customHeight="1" x14ac:dyDescent="0.25">
      <c r="A23" s="571" t="s">
        <v>1868</v>
      </c>
      <c r="B23" s="572" t="s">
        <v>1760</v>
      </c>
    </row>
    <row r="24" spans="1:2" ht="25.5" customHeight="1" x14ac:dyDescent="0.25">
      <c r="A24" s="571" t="s">
        <v>1869</v>
      </c>
      <c r="B24" s="572" t="s">
        <v>1875</v>
      </c>
    </row>
    <row r="25" spans="1:2" ht="21" customHeight="1" x14ac:dyDescent="0.25">
      <c r="A25" s="571" t="s">
        <v>1870</v>
      </c>
      <c r="B25" s="572" t="s">
        <v>1293</v>
      </c>
    </row>
    <row r="26" spans="1:2" ht="98.25" customHeight="1" thickBot="1" x14ac:dyDescent="0.3">
      <c r="A26" s="573" t="s">
        <v>1294</v>
      </c>
      <c r="B26" s="574" t="s">
        <v>1295</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I42"/>
  <sheetViews>
    <sheetView topLeftCell="A3" workbookViewId="0">
      <selection activeCell="B3" sqref="B3"/>
    </sheetView>
  </sheetViews>
  <sheetFormatPr baseColWidth="10" defaultRowHeight="15" x14ac:dyDescent="0.25"/>
  <cols>
    <col min="1" max="1" width="3.42578125" bestFit="1" customWidth="1"/>
    <col min="2" max="2" width="42.85546875" customWidth="1"/>
    <col min="3" max="3" width="1" customWidth="1"/>
    <col min="6" max="6" width="11.140625" customWidth="1"/>
    <col min="9" max="9" width="11.5703125" style="412"/>
  </cols>
  <sheetData>
    <row r="1" spans="1:9" x14ac:dyDescent="0.25">
      <c r="A1" s="497" t="s">
        <v>1189</v>
      </c>
    </row>
    <row r="2" spans="1:9" x14ac:dyDescent="0.25">
      <c r="B2" t="s">
        <v>1191</v>
      </c>
    </row>
    <row r="3" spans="1:9" x14ac:dyDescent="0.25">
      <c r="C3" t="s">
        <v>884</v>
      </c>
    </row>
    <row r="5" spans="1:9" x14ac:dyDescent="0.25">
      <c r="A5" s="209" t="s">
        <v>1151</v>
      </c>
      <c r="B5" s="209" t="s">
        <v>1152</v>
      </c>
      <c r="C5" s="412" t="s">
        <v>884</v>
      </c>
      <c r="D5" s="456">
        <f>IF(SUM('1POMCAS'!E97:E99)=1,SUM('1POMCAS'!E97:E99),"ERROR: LA SUMA DE LA COLUMNA DEBE SER 100%")</f>
        <v>1</v>
      </c>
      <c r="E5" s="457" t="str">
        <f ca="1">IF(+'1POMCAS'!G97*'1POMCAS'!$E97+'1POMCAS'!G98*'1POMCAS'!$E98+'1POMCAS'!G99*'1POMCAS'!$E99=0,"N.A.",'1POMCAS'!G97*'1POMCAS'!$E97+'1POMCAS'!G98*'1POMCAS'!$E98+'1POMCAS'!G99*'1POMCAS'!$E99)</f>
        <v>N.A.</v>
      </c>
      <c r="F5" s="457" t="str">
        <f ca="1">IF(+'1POMCAS'!H97*'1POMCAS'!$E97+'1POMCAS'!H98*'1POMCAS'!$E98+'1POMCAS'!H99*'1POMCAS'!$E99=0,"N.A.",'1POMCAS'!H97*'1POMCAS'!$E97+'1POMCAS'!H98*'1POMCAS'!$E98+'1POMCAS'!H99*'1POMCAS'!$E99)</f>
        <v>N.A.</v>
      </c>
      <c r="G5" s="457" t="str">
        <f ca="1">IF(+'1POMCAS'!I97*'1POMCAS'!$E97+'1POMCAS'!I98*'1POMCAS'!$E98+'1POMCAS'!I99*'1POMCAS'!$E99=0,"N.A.",'1POMCAS'!I97*'1POMCAS'!$E97+'1POMCAS'!I98*'1POMCAS'!$E98+'1POMCAS'!I99*'1POMCAS'!$E99)</f>
        <v>N.A.</v>
      </c>
      <c r="H5" s="457" t="str">
        <f ca="1">IF(+'1POMCAS'!J97*'1POMCAS'!$E97+'1POMCAS'!J98*'1POMCAS'!$E98+'1POMCAS'!J99*'1POMCAS'!$E99=0,"N.A.",'1POMCAS'!J97*'1POMCAS'!$E97+'1POMCAS'!J98*'1POMCAS'!$E98+'1POMCAS'!J99*'1POMCAS'!$E99)</f>
        <v>N.A.</v>
      </c>
      <c r="I5" s="457"/>
    </row>
    <row r="6" spans="1:9" x14ac:dyDescent="0.25">
      <c r="A6" s="209" t="s">
        <v>1153</v>
      </c>
      <c r="B6" s="209" t="s">
        <v>131</v>
      </c>
      <c r="C6" s="412" t="s">
        <v>884</v>
      </c>
      <c r="D6" s="458"/>
      <c r="E6" s="458"/>
      <c r="F6" s="458"/>
      <c r="G6" s="458"/>
      <c r="H6" s="458"/>
      <c r="I6" s="458"/>
    </row>
    <row r="7" spans="1:9" x14ac:dyDescent="0.25">
      <c r="A7" s="209" t="s">
        <v>1154</v>
      </c>
      <c r="B7" s="209" t="s">
        <v>162</v>
      </c>
      <c r="C7" s="412" t="s">
        <v>884</v>
      </c>
      <c r="D7" s="458"/>
      <c r="E7" s="458"/>
      <c r="F7" s="458"/>
      <c r="G7" s="458"/>
      <c r="H7" s="458"/>
      <c r="I7" s="458"/>
    </row>
    <row r="8" spans="1:9" x14ac:dyDescent="0.25">
      <c r="A8" s="209" t="s">
        <v>1155</v>
      </c>
      <c r="B8" s="209" t="s">
        <v>183</v>
      </c>
      <c r="C8" s="412" t="s">
        <v>884</v>
      </c>
      <c r="D8" s="458"/>
      <c r="E8" s="458"/>
      <c r="F8" s="458"/>
      <c r="G8" s="458"/>
      <c r="H8" s="458"/>
      <c r="I8" s="458"/>
    </row>
    <row r="9" spans="1:9" x14ac:dyDescent="0.25">
      <c r="A9" s="209" t="s">
        <v>1156</v>
      </c>
      <c r="B9" s="209" t="s">
        <v>200</v>
      </c>
      <c r="C9" s="412" t="s">
        <v>884</v>
      </c>
      <c r="D9" s="458"/>
      <c r="E9" s="458"/>
      <c r="F9" s="458"/>
      <c r="G9" s="458"/>
      <c r="H9" s="458"/>
      <c r="I9" s="458"/>
    </row>
    <row r="10" spans="1:9" x14ac:dyDescent="0.25">
      <c r="A10" s="209" t="s">
        <v>1157</v>
      </c>
      <c r="B10" s="209" t="s">
        <v>220</v>
      </c>
      <c r="C10" s="412" t="s">
        <v>884</v>
      </c>
      <c r="D10" s="458"/>
      <c r="E10" s="458"/>
      <c r="F10" s="458"/>
      <c r="G10" s="458"/>
      <c r="H10" s="458"/>
      <c r="I10" s="458"/>
    </row>
    <row r="11" spans="1:9" x14ac:dyDescent="0.25">
      <c r="A11" s="209" t="s">
        <v>1158</v>
      </c>
      <c r="B11" s="209" t="s">
        <v>280</v>
      </c>
      <c r="C11" s="412" t="s">
        <v>884</v>
      </c>
      <c r="D11" s="458"/>
      <c r="E11" s="458"/>
      <c r="F11" s="458"/>
      <c r="G11" s="458"/>
      <c r="H11" s="458"/>
      <c r="I11" s="458"/>
    </row>
    <row r="12" spans="1:9" x14ac:dyDescent="0.25">
      <c r="A12" s="209" t="s">
        <v>1159</v>
      </c>
      <c r="B12" s="209" t="s">
        <v>314</v>
      </c>
      <c r="C12" s="412" t="s">
        <v>884</v>
      </c>
      <c r="D12" s="458"/>
      <c r="E12" s="458"/>
      <c r="F12" s="458"/>
      <c r="G12" s="458"/>
      <c r="H12" s="458"/>
      <c r="I12" s="458"/>
    </row>
    <row r="13" spans="1:9" x14ac:dyDescent="0.25">
      <c r="A13" s="209" t="s">
        <v>1160</v>
      </c>
      <c r="B13" s="209" t="s">
        <v>348</v>
      </c>
      <c r="C13" s="412" t="s">
        <v>884</v>
      </c>
      <c r="D13" s="458"/>
      <c r="E13" s="458"/>
      <c r="F13" s="458"/>
      <c r="G13" s="458"/>
      <c r="H13" s="458"/>
      <c r="I13" s="458"/>
    </row>
    <row r="14" spans="1:9" x14ac:dyDescent="0.25">
      <c r="A14" s="209" t="s">
        <v>1161</v>
      </c>
      <c r="B14" s="209" t="s">
        <v>396</v>
      </c>
      <c r="C14" s="412" t="s">
        <v>884</v>
      </c>
      <c r="D14" s="459"/>
      <c r="E14" s="459"/>
      <c r="F14" s="459"/>
      <c r="G14" s="459"/>
      <c r="H14" s="459"/>
      <c r="I14" s="459"/>
    </row>
    <row r="15" spans="1:9" x14ac:dyDescent="0.25">
      <c r="A15" s="209" t="s">
        <v>1162</v>
      </c>
      <c r="B15" s="209" t="s">
        <v>418</v>
      </c>
      <c r="C15" s="412" t="s">
        <v>884</v>
      </c>
      <c r="D15" s="460" t="str">
        <f>IF(SUM('11Forest'!E26:E29)='11Forest'!E20,SUM('11Forest'!E26:E29),"ERROR: LA SUMA DE LA COLUMNA DEBE SER IGUAL A LA META ANUAL")</f>
        <v>ERROR: LA SUMA DE LA COLUMNA DEBE SER IGUAL A LA META ANUAL</v>
      </c>
      <c r="E15" s="460" t="str">
        <f>IF(SUM('11Forest'!F26:F29)='11Forest'!E20,SUM('11Forest'!F26:F29),"ERROR: LA SUMA DE LA COLUMNA DEBE SER IGUAL A LA META ANUAL")</f>
        <v>ERROR: LA SUMA DE LA COLUMNA DEBE SER IGUAL A LA META ANUAL</v>
      </c>
      <c r="F15" s="460">
        <f>IF(SUM('11Forest'!G26:G29)='11Forest'!E20,SUM('11Forest'!G26:G29),"ERROR: LA SUMA DE LA COLUMNA DEBE SER IGUAL A LA META ANUAL")</f>
        <v>169000</v>
      </c>
      <c r="G15" s="460" t="str">
        <f>IF(SUM('11Forest'!H26:H29)='11Forest'!E20,SUM('11Forest'!H26:H29),"ERROR: LA SUMA DE LA COLUMNA DEBE SER IGUAL A LA META ANUAL")</f>
        <v>ERROR: LA SUMA DE LA COLUMNA DEBE SER IGUAL A LA META ANUAL</v>
      </c>
      <c r="H15" s="460"/>
      <c r="I15" s="460">
        <f>IF(SUM('11Forest'!E25:H25)='11Forest'!E20,SUM('11Forest'!E25:H25),"ERROR: LA SUMA DE LA COLUMNA DEBE SER IGUAL A LA META ANUAL")</f>
        <v>169000</v>
      </c>
    </row>
    <row r="16" spans="1:9" x14ac:dyDescent="0.25">
      <c r="A16" s="209" t="s">
        <v>1163</v>
      </c>
      <c r="B16" s="209" t="s">
        <v>449</v>
      </c>
      <c r="C16" s="412" t="s">
        <v>884</v>
      </c>
      <c r="D16" s="461"/>
      <c r="E16" s="461"/>
      <c r="F16" s="461"/>
      <c r="G16" s="461"/>
      <c r="H16" s="461"/>
      <c r="I16" s="461"/>
    </row>
    <row r="17" spans="1:9" x14ac:dyDescent="0.25">
      <c r="A17" s="209" t="s">
        <v>1164</v>
      </c>
      <c r="B17" s="209" t="s">
        <v>480</v>
      </c>
      <c r="C17" s="412" t="s">
        <v>884</v>
      </c>
      <c r="D17" s="458"/>
      <c r="E17" s="458"/>
      <c r="F17" s="458"/>
      <c r="G17" s="458"/>
      <c r="H17" s="458"/>
      <c r="I17" s="458"/>
    </row>
    <row r="18" spans="1:9" x14ac:dyDescent="0.25">
      <c r="A18" s="209" t="s">
        <v>1165</v>
      </c>
      <c r="B18" s="209" t="s">
        <v>526</v>
      </c>
      <c r="C18" s="412" t="s">
        <v>884</v>
      </c>
      <c r="D18" s="458"/>
      <c r="E18" s="458"/>
      <c r="F18" s="458"/>
      <c r="G18" s="458"/>
      <c r="H18" s="458"/>
      <c r="I18" s="458"/>
    </row>
    <row r="19" spans="1:9" x14ac:dyDescent="0.25">
      <c r="A19" s="209" t="s">
        <v>1166</v>
      </c>
      <c r="B19" s="209" t="s">
        <v>557</v>
      </c>
      <c r="C19" s="412" t="s">
        <v>884</v>
      </c>
      <c r="D19" s="458"/>
      <c r="E19" s="458"/>
      <c r="F19" s="458"/>
      <c r="G19" s="458"/>
      <c r="H19" s="458"/>
      <c r="I19" s="458"/>
    </row>
    <row r="20" spans="1:9" x14ac:dyDescent="0.25">
      <c r="A20" s="209" t="s">
        <v>1167</v>
      </c>
      <c r="B20" s="209" t="s">
        <v>585</v>
      </c>
      <c r="C20" s="412" t="s">
        <v>884</v>
      </c>
      <c r="D20" s="456">
        <f>IF(SUM('16MIZC'!H22:H38)=1,SUM('16MIZC'!H22:H38),"ERROR: LA SUMA DE LA COLUMNA DEBE SER 100%")</f>
        <v>1</v>
      </c>
      <c r="E20" s="462">
        <f>SUM('16MIZC'!I22:I38)</f>
        <v>0.34250000000000003</v>
      </c>
      <c r="F20" s="458"/>
      <c r="G20" s="458"/>
      <c r="H20" s="458"/>
      <c r="I20" s="458"/>
    </row>
    <row r="21" spans="1:9" x14ac:dyDescent="0.25">
      <c r="A21" s="209" t="s">
        <v>1168</v>
      </c>
      <c r="B21" s="209" t="s">
        <v>634</v>
      </c>
      <c r="C21" s="412" t="s">
        <v>884</v>
      </c>
      <c r="D21" s="458"/>
      <c r="E21" s="458"/>
      <c r="F21" s="458"/>
      <c r="G21" s="458"/>
      <c r="H21" s="458"/>
      <c r="I21" s="458"/>
    </row>
    <row r="22" spans="1:9" x14ac:dyDescent="0.25">
      <c r="A22" s="209" t="s">
        <v>1169</v>
      </c>
      <c r="B22" s="209" t="s">
        <v>655</v>
      </c>
      <c r="C22" s="412" t="s">
        <v>884</v>
      </c>
      <c r="D22" s="456">
        <f>IF(SUM('18Sector'!D41:D52)=1,SUM('18Sector'!D41:D52),"ERROR: LA SUMA DE LA COLUMNA DEBE SER 100%")</f>
        <v>0.99999999999999989</v>
      </c>
      <c r="E22" s="458"/>
      <c r="F22" s="458"/>
      <c r="G22" s="458"/>
      <c r="H22" s="458"/>
      <c r="I22" s="458"/>
    </row>
    <row r="23" spans="1:9" x14ac:dyDescent="0.25">
      <c r="A23" s="209" t="s">
        <v>1170</v>
      </c>
      <c r="B23" s="209" t="s">
        <v>703</v>
      </c>
      <c r="C23" s="412" t="s">
        <v>884</v>
      </c>
      <c r="D23" s="456" t="str">
        <f>IF(SUM('19GAU'!H30:H37)=1,SUM('19GAU'!H30:H37),"ERROR: LA SUMA DE LA COLUMNA DEBE SER 100%")</f>
        <v>ERROR: LA SUMA DE LA COLUMNA DEBE SER 100%</v>
      </c>
      <c r="E23" s="462">
        <f>SUM('19GAU'!I22:I37)</f>
        <v>0.58350000000000002</v>
      </c>
      <c r="F23" s="458"/>
      <c r="G23" s="458"/>
      <c r="H23" s="458"/>
      <c r="I23" s="458"/>
    </row>
    <row r="24" spans="1:9" x14ac:dyDescent="0.25">
      <c r="A24" s="209" t="s">
        <v>1171</v>
      </c>
      <c r="B24" s="209" t="s">
        <v>773</v>
      </c>
      <c r="C24" s="412" t="s">
        <v>884</v>
      </c>
      <c r="D24" s="456" t="str">
        <f>IF(SUM('20Negoc'!D36:D38)=1,SUM('20Negoc'!D36:D38),"ERROR: LA SUMA DE LA COLUMNA DEBE SER 100%")</f>
        <v>ERROR: LA SUMA DE LA COLUMNA DEBE SER 100%</v>
      </c>
      <c r="E24" s="463">
        <f>+'20Negoc'!J30/'20Negoc'!I30</f>
        <v>9.4885976979004444E-2</v>
      </c>
      <c r="F24" s="463">
        <f>+'20Negoc'!K30/'20Negoc'!J30</f>
        <v>0.34695270255552391</v>
      </c>
      <c r="G24" s="458"/>
      <c r="H24" s="458"/>
      <c r="I24" s="458"/>
    </row>
    <row r="25" spans="1:9" x14ac:dyDescent="0.25">
      <c r="A25" s="209" t="s">
        <v>1172</v>
      </c>
      <c r="B25" s="209" t="s">
        <v>835</v>
      </c>
      <c r="C25" s="412" t="s">
        <v>884</v>
      </c>
      <c r="D25" s="458"/>
      <c r="E25" s="458"/>
      <c r="F25" s="458"/>
      <c r="G25" s="458"/>
      <c r="H25" s="458"/>
      <c r="I25" s="458"/>
    </row>
    <row r="26" spans="1:9" x14ac:dyDescent="0.25">
      <c r="A26" s="209" t="s">
        <v>1173</v>
      </c>
      <c r="B26" s="209" t="s">
        <v>883</v>
      </c>
      <c r="C26" s="412" t="s">
        <v>884</v>
      </c>
      <c r="D26" s="456">
        <f>IF(SUM('22Autor'!F117:F121)=1,SUM('22Autor'!F117:F121),"ERROR: LA SUMA DE LA COLUMNA DEBE SER 100%")</f>
        <v>1</v>
      </c>
      <c r="E26" s="458"/>
      <c r="F26" s="458"/>
      <c r="G26" s="458"/>
      <c r="H26" s="458"/>
      <c r="I26" s="458"/>
    </row>
    <row r="27" spans="1:9" x14ac:dyDescent="0.25">
      <c r="A27" s="209" t="s">
        <v>1174</v>
      </c>
      <c r="B27" s="209" t="s">
        <v>947</v>
      </c>
      <c r="C27" s="412" t="s">
        <v>884</v>
      </c>
      <c r="D27" s="458"/>
      <c r="E27" s="458"/>
      <c r="F27" s="458"/>
      <c r="G27" s="458"/>
      <c r="H27" s="458"/>
      <c r="I27" s="458"/>
    </row>
    <row r="28" spans="1:9" ht="15.75" thickBot="1" x14ac:dyDescent="0.3">
      <c r="A28" s="209" t="s">
        <v>1175</v>
      </c>
      <c r="B28" s="209" t="s">
        <v>968</v>
      </c>
      <c r="C28" s="412" t="s">
        <v>884</v>
      </c>
      <c r="D28" s="458"/>
      <c r="E28" s="458"/>
      <c r="F28" s="458"/>
      <c r="G28" s="458"/>
      <c r="H28" s="458"/>
      <c r="I28" s="458"/>
    </row>
    <row r="29" spans="1:9" ht="15.75" thickBot="1" x14ac:dyDescent="0.3">
      <c r="A29" s="209" t="s">
        <v>1176</v>
      </c>
      <c r="B29" s="209" t="s">
        <v>997</v>
      </c>
      <c r="C29" s="412" t="s">
        <v>884</v>
      </c>
      <c r="D29" s="446" t="str">
        <f>IF(SUM('25Redes'!F79:F80)=1,"","ERROR: LA SUMA DE LAS PONDERACIONES DEBE SER 100%")</f>
        <v/>
      </c>
      <c r="E29" s="464">
        <f>+'25Redes'!E79*'25Redes'!F79+'25Redes'!E80*'25Redes'!F80</f>
        <v>3.8461538461538464E-2</v>
      </c>
      <c r="F29" s="458"/>
      <c r="G29" s="458"/>
      <c r="H29" s="458"/>
      <c r="I29" s="458"/>
    </row>
    <row r="30" spans="1:9" x14ac:dyDescent="0.25">
      <c r="A30" s="209" t="s">
        <v>1177</v>
      </c>
      <c r="B30" s="209" t="s">
        <v>1070</v>
      </c>
      <c r="C30" s="412" t="s">
        <v>884</v>
      </c>
      <c r="D30" s="458"/>
      <c r="E30" s="458"/>
      <c r="F30" s="458"/>
      <c r="G30" s="458"/>
      <c r="H30" s="458"/>
      <c r="I30" s="458"/>
    </row>
    <row r="31" spans="1:9" x14ac:dyDescent="0.25">
      <c r="A31" s="209" t="s">
        <v>1178</v>
      </c>
      <c r="B31" s="209" t="s">
        <v>1117</v>
      </c>
      <c r="C31" s="412" t="s">
        <v>884</v>
      </c>
      <c r="D31" s="456">
        <f>IF(SUM('27Educa'!D36:D41)=1,SUM('27Educa'!D36:D41),"ERROR: LA SUMA DE LA COLUMNA DEBE SER 100%")</f>
        <v>1</v>
      </c>
      <c r="E31" s="458"/>
      <c r="F31" s="458"/>
      <c r="G31" s="458"/>
      <c r="H31" s="458"/>
      <c r="I31" s="458"/>
    </row>
    <row r="32" spans="1:9" x14ac:dyDescent="0.25">
      <c r="C32" s="412" t="s">
        <v>884</v>
      </c>
    </row>
    <row r="33" spans="3:6" x14ac:dyDescent="0.25">
      <c r="C33" s="412" t="s">
        <v>884</v>
      </c>
      <c r="D33" s="498" t="s">
        <v>1241</v>
      </c>
      <c r="F33" s="522" t="s">
        <v>1243</v>
      </c>
    </row>
    <row r="34" spans="3:6" x14ac:dyDescent="0.25">
      <c r="C34" s="412" t="s">
        <v>884</v>
      </c>
      <c r="D34" s="498" t="s">
        <v>1240</v>
      </c>
      <c r="F34" s="522" t="s">
        <v>1242</v>
      </c>
    </row>
    <row r="35" spans="3:6" x14ac:dyDescent="0.25">
      <c r="C35" s="412" t="s">
        <v>884</v>
      </c>
    </row>
    <row r="36" spans="3:6" x14ac:dyDescent="0.25">
      <c r="C36" s="412" t="s">
        <v>884</v>
      </c>
    </row>
    <row r="37" spans="3:6" x14ac:dyDescent="0.25">
      <c r="C37" s="412" t="s">
        <v>884</v>
      </c>
    </row>
    <row r="38" spans="3:6" x14ac:dyDescent="0.25">
      <c r="C38" s="412" t="s">
        <v>884</v>
      </c>
    </row>
    <row r="39" spans="3:6" x14ac:dyDescent="0.25">
      <c r="C39" s="412" t="s">
        <v>884</v>
      </c>
    </row>
    <row r="40" spans="3:6" x14ac:dyDescent="0.25">
      <c r="C40" s="412" t="s">
        <v>884</v>
      </c>
    </row>
    <row r="41" spans="3:6" x14ac:dyDescent="0.25">
      <c r="C41" s="412" t="s">
        <v>884</v>
      </c>
    </row>
    <row r="42" spans="3:6" x14ac:dyDescent="0.25">
      <c r="C42" s="412" t="s">
        <v>884</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Y343"/>
  <sheetViews>
    <sheetView zoomScale="80" zoomScaleNormal="80" zoomScaleSheetLayoutView="100" workbookViewId="0">
      <pane ySplit="1425" topLeftCell="A85" activePane="bottomLeft"/>
      <selection activeCell="A6" sqref="A1:A1048576"/>
      <selection pane="bottomLeft" activeCell="J99" sqref="J99"/>
    </sheetView>
  </sheetViews>
  <sheetFormatPr baseColWidth="10" defaultRowHeight="36" customHeight="1" x14ac:dyDescent="0.25"/>
  <cols>
    <col min="1" max="1" width="10" style="412" customWidth="1"/>
    <col min="2" max="2" width="14.7109375" style="412" customWidth="1"/>
    <col min="3" max="3" width="14.140625" style="412" customWidth="1"/>
    <col min="4" max="4" width="16.140625" style="412" customWidth="1"/>
    <col min="5" max="5" width="11.42578125" style="412"/>
    <col min="6" max="9" width="11.42578125" style="640"/>
    <col min="10" max="10" width="122.42578125" style="412" bestFit="1" customWidth="1"/>
    <col min="11" max="14" width="17.28515625" style="412" customWidth="1"/>
    <col min="15" max="15" width="25.7109375" style="412" bestFit="1" customWidth="1"/>
    <col min="16" max="18" width="18.85546875" style="412" customWidth="1"/>
    <col min="19" max="19" width="19.28515625" style="412" customWidth="1"/>
    <col min="20" max="20" width="17.42578125" style="412" customWidth="1"/>
    <col min="21" max="21" width="14" style="412" customWidth="1"/>
    <col min="22" max="22" width="26.85546875" style="412" customWidth="1"/>
    <col min="23" max="23" width="19.42578125" style="1" hidden="1" customWidth="1"/>
    <col min="24" max="24" width="15.140625" style="412" hidden="1" customWidth="1"/>
    <col min="25" max="25" width="0" style="412" hidden="1" customWidth="1"/>
    <col min="26" max="16384" width="11.42578125" style="412"/>
  </cols>
  <sheetData>
    <row r="1" spans="1:25" ht="109.5" customHeight="1" thickBot="1" x14ac:dyDescent="0.3">
      <c r="A1" s="1662"/>
      <c r="B1" s="1663"/>
      <c r="C1" s="1663"/>
      <c r="D1" s="1663"/>
      <c r="E1" s="1663"/>
      <c r="F1" s="1664"/>
      <c r="G1" s="1664"/>
      <c r="H1" s="1664"/>
      <c r="I1" s="1663"/>
      <c r="J1" s="1663"/>
      <c r="K1" s="1663"/>
      <c r="L1" s="1663"/>
      <c r="M1" s="1663"/>
      <c r="N1" s="1663"/>
      <c r="O1" s="1663"/>
      <c r="P1" s="1663"/>
      <c r="Q1" s="1663"/>
      <c r="R1" s="1663"/>
      <c r="S1" s="1663"/>
      <c r="T1" s="1663"/>
      <c r="U1" s="1663"/>
      <c r="V1" s="1665"/>
    </row>
    <row r="2" spans="1:25" ht="26.25" customHeight="1" x14ac:dyDescent="0.25">
      <c r="A2" s="1666" t="s">
        <v>1710</v>
      </c>
      <c r="B2" s="1667"/>
      <c r="C2" s="1667"/>
      <c r="D2" s="1667"/>
      <c r="E2" s="1667"/>
      <c r="F2" s="1668"/>
      <c r="G2" s="1668"/>
      <c r="H2" s="1668"/>
      <c r="I2" s="1667"/>
      <c r="J2" s="1667"/>
      <c r="K2" s="1667"/>
      <c r="L2" s="1667"/>
      <c r="M2" s="1667"/>
      <c r="N2" s="1667"/>
      <c r="O2" s="1667"/>
      <c r="P2" s="1667"/>
      <c r="Q2" s="1667"/>
      <c r="R2" s="1667"/>
      <c r="S2" s="1667"/>
      <c r="T2" s="1667"/>
      <c r="U2" s="1667"/>
      <c r="V2" s="1669"/>
    </row>
    <row r="3" spans="1:25" ht="26.25" customHeight="1" x14ac:dyDescent="0.25">
      <c r="A3" s="1670" t="s">
        <v>1351</v>
      </c>
      <c r="B3" s="1671"/>
      <c r="C3" s="1671"/>
      <c r="D3" s="1671"/>
      <c r="E3" s="1671"/>
      <c r="F3" s="1672"/>
      <c r="G3" s="1672"/>
      <c r="H3" s="1672"/>
      <c r="I3" s="1671"/>
      <c r="J3" s="1671"/>
      <c r="K3" s="1671"/>
      <c r="L3" s="1671"/>
      <c r="M3" s="1671"/>
      <c r="N3" s="1671"/>
      <c r="O3" s="1671"/>
      <c r="P3" s="1671"/>
      <c r="Q3" s="1671"/>
      <c r="R3" s="1671"/>
      <c r="S3" s="1671"/>
      <c r="T3" s="1671"/>
      <c r="U3" s="1671"/>
      <c r="V3" s="1673"/>
    </row>
    <row r="4" spans="1:25" ht="26.25" customHeight="1" thickBot="1" x14ac:dyDescent="0.3">
      <c r="A4" s="1674" t="s">
        <v>1296</v>
      </c>
      <c r="B4" s="1675"/>
      <c r="C4" s="1675"/>
      <c r="D4" s="1675"/>
      <c r="E4" s="1675"/>
      <c r="F4" s="1676"/>
      <c r="G4" s="1676"/>
      <c r="H4" s="1676"/>
      <c r="I4" s="1675"/>
      <c r="J4" s="1675"/>
      <c r="K4" s="1675"/>
      <c r="L4" s="1675"/>
      <c r="M4" s="1675"/>
      <c r="N4" s="1675"/>
      <c r="O4" s="1675"/>
      <c r="P4" s="1675"/>
      <c r="Q4" s="1675"/>
      <c r="R4" s="1675"/>
      <c r="S4" s="1675"/>
      <c r="T4" s="1675"/>
      <c r="U4" s="1675"/>
      <c r="V4" s="1677"/>
    </row>
    <row r="5" spans="1:25" ht="36" customHeight="1" thickTop="1" thickBot="1" x14ac:dyDescent="0.3">
      <c r="A5" s="1678" t="s">
        <v>1352</v>
      </c>
      <c r="B5" s="1679"/>
      <c r="C5" s="1679"/>
      <c r="D5" s="1679"/>
      <c r="E5" s="1679"/>
      <c r="F5" s="1679"/>
      <c r="G5" s="1679"/>
      <c r="H5" s="1679"/>
      <c r="I5" s="1680"/>
      <c r="J5" s="1658" t="s">
        <v>1353</v>
      </c>
      <c r="K5" s="1658" t="s">
        <v>1354</v>
      </c>
      <c r="L5" s="1681" t="s">
        <v>1355</v>
      </c>
      <c r="M5" s="1681"/>
      <c r="N5" s="1658" t="s">
        <v>1356</v>
      </c>
      <c r="O5" s="1682" t="s">
        <v>1357</v>
      </c>
      <c r="P5" s="1683"/>
      <c r="Q5" s="1683"/>
      <c r="R5" s="1684"/>
      <c r="S5" s="1685" t="s">
        <v>1358</v>
      </c>
      <c r="T5" s="1658" t="s">
        <v>1359</v>
      </c>
      <c r="U5" s="1657" t="s">
        <v>1360</v>
      </c>
      <c r="V5" s="1658" t="s">
        <v>1361</v>
      </c>
      <c r="W5" s="1660" t="s">
        <v>1362</v>
      </c>
      <c r="X5" s="1661" t="s">
        <v>1363</v>
      </c>
    </row>
    <row r="6" spans="1:25" s="597" customFormat="1" ht="36" customHeight="1" thickTop="1" thickBot="1" x14ac:dyDescent="0.3">
      <c r="A6" s="591" t="s">
        <v>1364</v>
      </c>
      <c r="B6" s="591" t="s">
        <v>1297</v>
      </c>
      <c r="C6" s="592" t="s">
        <v>1365</v>
      </c>
      <c r="D6" s="591" t="s">
        <v>1301</v>
      </c>
      <c r="E6" s="591" t="s">
        <v>1366</v>
      </c>
      <c r="F6" s="591" t="s">
        <v>1367</v>
      </c>
      <c r="G6" s="591" t="s">
        <v>1368</v>
      </c>
      <c r="H6" s="591" t="s">
        <v>1369</v>
      </c>
      <c r="I6" s="593" t="s">
        <v>1370</v>
      </c>
      <c r="J6" s="1659"/>
      <c r="K6" s="1659"/>
      <c r="L6" s="594" t="s">
        <v>1371</v>
      </c>
      <c r="M6" s="595" t="s">
        <v>1372</v>
      </c>
      <c r="N6" s="1659"/>
      <c r="O6" s="596" t="s">
        <v>1373</v>
      </c>
      <c r="P6" s="594" t="s">
        <v>1374</v>
      </c>
      <c r="Q6" s="596" t="s">
        <v>1375</v>
      </c>
      <c r="R6" s="596" t="s">
        <v>1376</v>
      </c>
      <c r="S6" s="1686"/>
      <c r="T6" s="1659"/>
      <c r="U6" s="1658"/>
      <c r="V6" s="1659"/>
      <c r="W6" s="1660"/>
      <c r="X6" s="1661"/>
    </row>
    <row r="7" spans="1:25" ht="22.5" customHeight="1" thickTop="1" thickBot="1" x14ac:dyDescent="0.3">
      <c r="A7" s="598" t="s">
        <v>1377</v>
      </c>
      <c r="B7" s="598"/>
      <c r="C7" s="598"/>
      <c r="D7" s="598"/>
      <c r="E7" s="598"/>
      <c r="F7" s="599"/>
      <c r="G7" s="599"/>
      <c r="H7" s="599"/>
      <c r="I7" s="600"/>
      <c r="J7" s="601" t="s">
        <v>1378</v>
      </c>
      <c r="K7" s="602" t="e">
        <f>+K8+#REF!+K335</f>
        <v>#REF!</v>
      </c>
      <c r="L7" s="602"/>
      <c r="M7" s="602"/>
      <c r="N7" s="602"/>
      <c r="O7" s="602"/>
      <c r="P7" s="602"/>
      <c r="Q7" s="602"/>
      <c r="R7" s="602"/>
      <c r="S7" s="602"/>
      <c r="T7" s="602"/>
      <c r="U7" s="603"/>
      <c r="V7" s="598"/>
      <c r="W7" s="598" t="s">
        <v>1380</v>
      </c>
      <c r="X7" s="598" t="s">
        <v>1379</v>
      </c>
      <c r="Y7" s="604" t="s">
        <v>1379</v>
      </c>
    </row>
    <row r="8" spans="1:25" ht="22.5" customHeight="1" thickTop="1" thickBot="1" x14ac:dyDescent="0.3">
      <c r="A8" s="598" t="s">
        <v>1377</v>
      </c>
      <c r="B8" s="598" t="s">
        <v>1381</v>
      </c>
      <c r="C8" s="598"/>
      <c r="D8" s="598"/>
      <c r="E8" s="598"/>
      <c r="F8" s="599"/>
      <c r="G8" s="599"/>
      <c r="H8" s="599"/>
      <c r="I8" s="600"/>
      <c r="J8" s="601" t="s">
        <v>1955</v>
      </c>
      <c r="K8" s="602"/>
      <c r="L8" s="602"/>
      <c r="M8" s="602"/>
      <c r="N8" s="602"/>
      <c r="O8" s="602"/>
      <c r="P8" s="602"/>
      <c r="Q8" s="602"/>
      <c r="R8" s="602"/>
      <c r="S8" s="602"/>
      <c r="T8" s="602"/>
      <c r="U8" s="603"/>
      <c r="V8" s="598"/>
      <c r="W8" s="598"/>
      <c r="X8" s="598"/>
      <c r="Y8" s="604"/>
    </row>
    <row r="9" spans="1:25" ht="22.5" customHeight="1" thickTop="1" thickBot="1" x14ac:dyDescent="0.3">
      <c r="A9" s="605">
        <v>1</v>
      </c>
      <c r="B9" s="606" t="s">
        <v>1381</v>
      </c>
      <c r="C9" s="606" t="s">
        <v>1381</v>
      </c>
      <c r="D9" s="606"/>
      <c r="E9" s="606"/>
      <c r="F9" s="607"/>
      <c r="G9" s="607"/>
      <c r="H9" s="607"/>
      <c r="I9" s="607"/>
      <c r="J9" s="608" t="s">
        <v>1382</v>
      </c>
      <c r="K9" s="609"/>
      <c r="L9" s="609"/>
      <c r="M9" s="609"/>
      <c r="N9" s="609"/>
      <c r="O9" s="609"/>
      <c r="P9" s="609"/>
      <c r="Q9" s="609"/>
      <c r="R9" s="609"/>
      <c r="S9" s="609"/>
      <c r="T9" s="609"/>
      <c r="U9" s="610"/>
      <c r="V9" s="605"/>
      <c r="W9" s="611" t="s">
        <v>1383</v>
      </c>
      <c r="X9" s="611"/>
      <c r="Y9" s="604" t="s">
        <v>1379</v>
      </c>
    </row>
    <row r="10" spans="1:25" ht="22.5" customHeight="1" thickTop="1" thickBot="1" x14ac:dyDescent="0.3">
      <c r="A10" s="612">
        <v>1</v>
      </c>
      <c r="B10" s="613" t="s">
        <v>1381</v>
      </c>
      <c r="C10" s="613" t="s">
        <v>1381</v>
      </c>
      <c r="D10" s="613" t="s">
        <v>1381</v>
      </c>
      <c r="E10" s="613"/>
      <c r="F10" s="614"/>
      <c r="G10" s="614"/>
      <c r="H10" s="614"/>
      <c r="I10" s="614"/>
      <c r="J10" s="615" t="s">
        <v>1384</v>
      </c>
      <c r="K10" s="616"/>
      <c r="L10" s="616"/>
      <c r="M10" s="616"/>
      <c r="N10" s="616"/>
      <c r="O10" s="616"/>
      <c r="P10" s="616"/>
      <c r="Q10" s="616"/>
      <c r="R10" s="616"/>
      <c r="S10" s="616"/>
      <c r="T10" s="616"/>
      <c r="U10" s="617"/>
      <c r="V10" s="612"/>
      <c r="W10" s="618" t="s">
        <v>1385</v>
      </c>
      <c r="X10" s="618" t="s">
        <v>1386</v>
      </c>
      <c r="Y10" s="604" t="s">
        <v>1379</v>
      </c>
    </row>
    <row r="11" spans="1:25" ht="22.5" customHeight="1" thickTop="1" thickBot="1" x14ac:dyDescent="0.3">
      <c r="A11" s="619" t="s">
        <v>1377</v>
      </c>
      <c r="B11" s="620" t="s">
        <v>1381</v>
      </c>
      <c r="C11" s="620" t="s">
        <v>1381</v>
      </c>
      <c r="D11" s="620" t="s">
        <v>1381</v>
      </c>
      <c r="E11" s="620" t="s">
        <v>1381</v>
      </c>
      <c r="F11" s="621"/>
      <c r="G11" s="621"/>
      <c r="H11" s="621"/>
      <c r="I11" s="621"/>
      <c r="J11" s="622" t="s">
        <v>1387</v>
      </c>
      <c r="K11" s="623"/>
      <c r="L11" s="623"/>
      <c r="M11" s="623"/>
      <c r="N11" s="623"/>
      <c r="O11" s="623"/>
      <c r="P11" s="623"/>
      <c r="Q11" s="623"/>
      <c r="R11" s="623"/>
      <c r="S11" s="623"/>
      <c r="T11" s="623"/>
      <c r="U11" s="624"/>
      <c r="V11" s="620"/>
      <c r="W11" s="625" t="s">
        <v>1388</v>
      </c>
      <c r="X11" s="625" t="s">
        <v>1389</v>
      </c>
      <c r="Y11" s="604" t="s">
        <v>1379</v>
      </c>
    </row>
    <row r="12" spans="1:25" s="183" customFormat="1" ht="22.5" customHeight="1" thickTop="1" thickBot="1" x14ac:dyDescent="0.3">
      <c r="A12" s="626" t="s">
        <v>1377</v>
      </c>
      <c r="B12" s="626" t="s">
        <v>1381</v>
      </c>
      <c r="C12" s="626" t="s">
        <v>1381</v>
      </c>
      <c r="D12" s="626" t="s">
        <v>1381</v>
      </c>
      <c r="E12" s="627" t="s">
        <v>1381</v>
      </c>
      <c r="F12" s="628" t="s">
        <v>1381</v>
      </c>
      <c r="G12" s="628"/>
      <c r="H12" s="628"/>
      <c r="I12" s="628"/>
      <c r="J12" s="629" t="s">
        <v>1390</v>
      </c>
      <c r="K12" s="630"/>
      <c r="L12" s="630"/>
      <c r="M12" s="630"/>
      <c r="N12" s="630"/>
      <c r="O12" s="630"/>
      <c r="P12" s="630"/>
      <c r="Q12" s="630"/>
      <c r="R12" s="630"/>
      <c r="S12" s="630"/>
      <c r="T12" s="630"/>
      <c r="U12" s="631"/>
      <c r="V12" s="632"/>
      <c r="W12" s="633" t="s">
        <v>1391</v>
      </c>
      <c r="X12" s="633" t="s">
        <v>1392</v>
      </c>
      <c r="Y12" s="604" t="s">
        <v>1379</v>
      </c>
    </row>
    <row r="13" spans="1:25" ht="22.5" customHeight="1" thickTop="1" thickBot="1" x14ac:dyDescent="0.3">
      <c r="A13" s="628" t="s">
        <v>1377</v>
      </c>
      <c r="B13" s="628" t="s">
        <v>1381</v>
      </c>
      <c r="C13" s="628" t="s">
        <v>1381</v>
      </c>
      <c r="D13" s="628" t="s">
        <v>1381</v>
      </c>
      <c r="E13" s="634" t="s">
        <v>1381</v>
      </c>
      <c r="F13" s="628" t="s">
        <v>1381</v>
      </c>
      <c r="G13" s="628" t="s">
        <v>1381</v>
      </c>
      <c r="H13" s="628"/>
      <c r="I13" s="628"/>
      <c r="J13" s="635" t="s">
        <v>1393</v>
      </c>
      <c r="K13" s="636"/>
      <c r="L13" s="636"/>
      <c r="M13" s="636"/>
      <c r="N13" s="636"/>
      <c r="O13" s="636"/>
      <c r="P13" s="636"/>
      <c r="Q13" s="636"/>
      <c r="R13" s="636"/>
      <c r="S13" s="636"/>
      <c r="T13" s="636"/>
      <c r="U13" s="637"/>
      <c r="V13" s="638"/>
      <c r="W13" s="639"/>
      <c r="X13" s="639"/>
      <c r="Y13" s="604" t="s">
        <v>1379</v>
      </c>
    </row>
    <row r="14" spans="1:25" ht="22.5" customHeight="1" thickTop="1" thickBot="1" x14ac:dyDescent="0.3">
      <c r="A14" s="628" t="s">
        <v>1377</v>
      </c>
      <c r="B14" s="628" t="s">
        <v>1381</v>
      </c>
      <c r="C14" s="628" t="s">
        <v>1381</v>
      </c>
      <c r="D14" s="628" t="s">
        <v>1381</v>
      </c>
      <c r="E14" s="634" t="s">
        <v>1381</v>
      </c>
      <c r="F14" s="628" t="s">
        <v>1381</v>
      </c>
      <c r="G14" s="628" t="s">
        <v>1394</v>
      </c>
      <c r="H14" s="628"/>
      <c r="I14" s="628"/>
      <c r="J14" s="635" t="s">
        <v>1395</v>
      </c>
      <c r="K14" s="636"/>
      <c r="L14" s="636"/>
      <c r="M14" s="636"/>
      <c r="N14" s="636"/>
      <c r="O14" s="636"/>
      <c r="P14" s="636"/>
      <c r="Q14" s="636"/>
      <c r="R14" s="636"/>
      <c r="S14" s="636"/>
      <c r="T14" s="636"/>
      <c r="U14" s="637"/>
      <c r="V14" s="638"/>
      <c r="W14" s="639"/>
      <c r="X14" s="639"/>
      <c r="Y14" s="604" t="s">
        <v>1379</v>
      </c>
    </row>
    <row r="15" spans="1:25" ht="22.5" customHeight="1" thickTop="1" thickBot="1" x14ac:dyDescent="0.3">
      <c r="A15" s="628" t="s">
        <v>1377</v>
      </c>
      <c r="B15" s="628" t="s">
        <v>1381</v>
      </c>
      <c r="C15" s="628" t="s">
        <v>1381</v>
      </c>
      <c r="D15" s="628" t="s">
        <v>1381</v>
      </c>
      <c r="E15" s="634" t="s">
        <v>1381</v>
      </c>
      <c r="F15" s="628" t="s">
        <v>1381</v>
      </c>
      <c r="G15" s="628" t="s">
        <v>1418</v>
      </c>
      <c r="H15" s="628"/>
      <c r="I15" s="628"/>
      <c r="J15" s="635" t="s">
        <v>1950</v>
      </c>
      <c r="K15" s="636"/>
      <c r="L15" s="636"/>
      <c r="M15" s="636"/>
      <c r="N15" s="636"/>
      <c r="O15" s="636"/>
      <c r="P15" s="636"/>
      <c r="Q15" s="636"/>
      <c r="R15" s="636"/>
      <c r="S15" s="636"/>
      <c r="T15" s="636"/>
      <c r="U15" s="637"/>
      <c r="V15" s="638"/>
      <c r="W15" s="639"/>
      <c r="X15" s="639"/>
      <c r="Y15" s="604"/>
    </row>
    <row r="16" spans="1:25" ht="22.5" customHeight="1" thickTop="1" thickBot="1" x14ac:dyDescent="0.3">
      <c r="A16" s="628" t="s">
        <v>1377</v>
      </c>
      <c r="B16" s="628" t="s">
        <v>1381</v>
      </c>
      <c r="C16" s="628" t="s">
        <v>1381</v>
      </c>
      <c r="D16" s="628" t="s">
        <v>1381</v>
      </c>
      <c r="E16" s="634" t="s">
        <v>1381</v>
      </c>
      <c r="F16" s="628" t="s">
        <v>1381</v>
      </c>
      <c r="G16" s="628" t="s">
        <v>1422</v>
      </c>
      <c r="H16" s="628"/>
      <c r="I16" s="628"/>
      <c r="J16" s="635" t="s">
        <v>1951</v>
      </c>
      <c r="K16" s="636"/>
      <c r="L16" s="636"/>
      <c r="M16" s="636"/>
      <c r="N16" s="636"/>
      <c r="O16" s="636"/>
      <c r="P16" s="636"/>
      <c r="Q16" s="636"/>
      <c r="R16" s="636"/>
      <c r="S16" s="636"/>
      <c r="T16" s="636"/>
      <c r="U16" s="637"/>
      <c r="V16" s="638"/>
      <c r="W16" s="639"/>
      <c r="X16" s="639"/>
      <c r="Y16" s="604"/>
    </row>
    <row r="17" spans="1:25" ht="22.5" customHeight="1" thickTop="1" thickBot="1" x14ac:dyDescent="0.3">
      <c r="A17" s="628" t="s">
        <v>1377</v>
      </c>
      <c r="B17" s="628" t="s">
        <v>1381</v>
      </c>
      <c r="C17" s="628" t="s">
        <v>1381</v>
      </c>
      <c r="D17" s="628" t="s">
        <v>1381</v>
      </c>
      <c r="E17" s="634" t="s">
        <v>1381</v>
      </c>
      <c r="F17" s="628" t="s">
        <v>1381</v>
      </c>
      <c r="G17" s="628" t="s">
        <v>1447</v>
      </c>
      <c r="H17" s="628"/>
      <c r="I17" s="628"/>
      <c r="J17" s="635" t="s">
        <v>1952</v>
      </c>
      <c r="K17" s="636"/>
      <c r="L17" s="636"/>
      <c r="M17" s="636"/>
      <c r="N17" s="636"/>
      <c r="O17" s="636"/>
      <c r="P17" s="636"/>
      <c r="Q17" s="636"/>
      <c r="R17" s="636"/>
      <c r="S17" s="636"/>
      <c r="T17" s="636"/>
      <c r="U17" s="637"/>
      <c r="V17" s="638"/>
      <c r="W17" s="639"/>
      <c r="X17" s="639"/>
      <c r="Y17" s="604"/>
    </row>
    <row r="18" spans="1:25" ht="22.5" customHeight="1" thickTop="1" thickBot="1" x14ac:dyDescent="0.3">
      <c r="A18" s="628" t="s">
        <v>1377</v>
      </c>
      <c r="B18" s="628" t="s">
        <v>1381</v>
      </c>
      <c r="C18" s="628" t="s">
        <v>1381</v>
      </c>
      <c r="D18" s="628" t="s">
        <v>1381</v>
      </c>
      <c r="E18" s="634" t="s">
        <v>1381</v>
      </c>
      <c r="F18" s="628" t="s">
        <v>1381</v>
      </c>
      <c r="G18" s="628" t="s">
        <v>1470</v>
      </c>
      <c r="H18" s="628"/>
      <c r="I18" s="628"/>
      <c r="J18" s="635" t="s">
        <v>1953</v>
      </c>
      <c r="K18" s="636"/>
      <c r="L18" s="636"/>
      <c r="M18" s="636"/>
      <c r="N18" s="636"/>
      <c r="O18" s="636"/>
      <c r="P18" s="636"/>
      <c r="Q18" s="636"/>
      <c r="R18" s="636"/>
      <c r="S18" s="636"/>
      <c r="T18" s="636"/>
      <c r="U18" s="637"/>
      <c r="V18" s="638"/>
      <c r="W18" s="639"/>
      <c r="X18" s="639"/>
      <c r="Y18" s="604"/>
    </row>
    <row r="19" spans="1:25" ht="22.5" customHeight="1" thickTop="1" thickBot="1" x14ac:dyDescent="0.3">
      <c r="A19" s="628" t="s">
        <v>1377</v>
      </c>
      <c r="B19" s="628" t="s">
        <v>1381</v>
      </c>
      <c r="C19" s="628" t="s">
        <v>1381</v>
      </c>
      <c r="D19" s="628" t="s">
        <v>1381</v>
      </c>
      <c r="E19" s="634" t="s">
        <v>1381</v>
      </c>
      <c r="F19" s="628" t="s">
        <v>1381</v>
      </c>
      <c r="G19" s="628" t="s">
        <v>1474</v>
      </c>
      <c r="H19" s="628"/>
      <c r="I19" s="628"/>
      <c r="J19" s="635" t="s">
        <v>1954</v>
      </c>
      <c r="K19" s="636"/>
      <c r="L19" s="636"/>
      <c r="M19" s="636"/>
      <c r="N19" s="636"/>
      <c r="O19" s="636"/>
      <c r="P19" s="636"/>
      <c r="Q19" s="636"/>
      <c r="R19" s="636"/>
      <c r="S19" s="636"/>
      <c r="T19" s="636"/>
      <c r="U19" s="637"/>
      <c r="V19" s="638"/>
      <c r="W19" s="639"/>
      <c r="X19" s="639"/>
      <c r="Y19" s="604"/>
    </row>
    <row r="20" spans="1:25" ht="22.5" customHeight="1" thickTop="1" thickBot="1" x14ac:dyDescent="0.3">
      <c r="A20" s="628" t="s">
        <v>1377</v>
      </c>
      <c r="B20" s="628" t="s">
        <v>1381</v>
      </c>
      <c r="C20" s="628" t="s">
        <v>1381</v>
      </c>
      <c r="D20" s="628" t="s">
        <v>1381</v>
      </c>
      <c r="E20" s="634" t="s">
        <v>1381</v>
      </c>
      <c r="F20" s="628" t="s">
        <v>1381</v>
      </c>
      <c r="G20" s="628" t="s">
        <v>1478</v>
      </c>
      <c r="H20" s="628"/>
      <c r="I20" s="628"/>
      <c r="J20" s="635" t="s">
        <v>1951</v>
      </c>
      <c r="K20" s="636"/>
      <c r="L20" s="636"/>
      <c r="M20" s="636"/>
      <c r="N20" s="636"/>
      <c r="O20" s="636"/>
      <c r="P20" s="636"/>
      <c r="Q20" s="636"/>
      <c r="R20" s="636"/>
      <c r="S20" s="636"/>
      <c r="T20" s="636"/>
      <c r="U20" s="637"/>
      <c r="V20" s="638"/>
      <c r="W20" s="639"/>
      <c r="X20" s="639"/>
      <c r="Y20" s="604"/>
    </row>
    <row r="21" spans="1:25" s="183" customFormat="1" ht="22.5" customHeight="1" thickTop="1" thickBot="1" x14ac:dyDescent="0.3">
      <c r="A21" s="626" t="s">
        <v>1377</v>
      </c>
      <c r="B21" s="626" t="s">
        <v>1381</v>
      </c>
      <c r="C21" s="626" t="s">
        <v>1381</v>
      </c>
      <c r="D21" s="626" t="s">
        <v>1381</v>
      </c>
      <c r="E21" s="627" t="s">
        <v>1381</v>
      </c>
      <c r="F21" s="754" t="s">
        <v>1394</v>
      </c>
      <c r="G21" s="628"/>
      <c r="H21" s="628"/>
      <c r="I21" s="628"/>
      <c r="J21" s="641" t="s">
        <v>1396</v>
      </c>
      <c r="K21" s="642"/>
      <c r="L21" s="642"/>
      <c r="M21" s="642"/>
      <c r="N21" s="642"/>
      <c r="O21" s="642"/>
      <c r="P21" s="642"/>
      <c r="Q21" s="642"/>
      <c r="R21" s="642"/>
      <c r="S21" s="642"/>
      <c r="T21" s="642"/>
      <c r="U21" s="643"/>
      <c r="V21" s="632"/>
      <c r="W21" s="633" t="s">
        <v>1397</v>
      </c>
      <c r="X21" s="633" t="s">
        <v>1398</v>
      </c>
      <c r="Y21" s="604" t="s">
        <v>1379</v>
      </c>
    </row>
    <row r="22" spans="1:25" ht="22.5" customHeight="1" thickTop="1" thickBot="1" x14ac:dyDescent="0.3">
      <c r="A22" s="628" t="s">
        <v>1377</v>
      </c>
      <c r="B22" s="628" t="s">
        <v>1381</v>
      </c>
      <c r="C22" s="628" t="s">
        <v>1381</v>
      </c>
      <c r="D22" s="628" t="s">
        <v>1381</v>
      </c>
      <c r="E22" s="634" t="s">
        <v>1394</v>
      </c>
      <c r="F22" s="626" t="s">
        <v>1394</v>
      </c>
      <c r="G22" s="628" t="s">
        <v>1381</v>
      </c>
      <c r="H22" s="628"/>
      <c r="I22" s="628"/>
      <c r="J22" s="644" t="s">
        <v>1399</v>
      </c>
      <c r="K22" s="645"/>
      <c r="L22" s="645"/>
      <c r="M22" s="645"/>
      <c r="N22" s="636"/>
      <c r="O22" s="645"/>
      <c r="P22" s="645"/>
      <c r="Q22" s="645"/>
      <c r="R22" s="645"/>
      <c r="S22" s="636"/>
      <c r="T22" s="645"/>
      <c r="U22" s="646"/>
      <c r="V22" s="638"/>
      <c r="W22" s="639"/>
      <c r="X22" s="639"/>
      <c r="Y22" s="604" t="s">
        <v>1379</v>
      </c>
    </row>
    <row r="23" spans="1:25" ht="22.5" customHeight="1" thickTop="1" thickBot="1" x14ac:dyDescent="0.3">
      <c r="A23" s="628" t="s">
        <v>1377</v>
      </c>
      <c r="B23" s="628" t="s">
        <v>1381</v>
      </c>
      <c r="C23" s="628" t="s">
        <v>1381</v>
      </c>
      <c r="D23" s="628" t="s">
        <v>1381</v>
      </c>
      <c r="E23" s="634" t="s">
        <v>1394</v>
      </c>
      <c r="F23" s="754" t="s">
        <v>1394</v>
      </c>
      <c r="G23" s="628" t="s">
        <v>1394</v>
      </c>
      <c r="H23" s="628"/>
      <c r="I23" s="628"/>
      <c r="J23" s="644" t="s">
        <v>1400</v>
      </c>
      <c r="K23" s="645"/>
      <c r="L23" s="645"/>
      <c r="M23" s="645"/>
      <c r="N23" s="636"/>
      <c r="O23" s="645"/>
      <c r="P23" s="645"/>
      <c r="Q23" s="645"/>
      <c r="R23" s="645"/>
      <c r="S23" s="636"/>
      <c r="T23" s="645"/>
      <c r="U23" s="646"/>
      <c r="V23" s="638"/>
      <c r="W23" s="639"/>
      <c r="X23" s="639"/>
      <c r="Y23" s="604" t="s">
        <v>1379</v>
      </c>
    </row>
    <row r="24" spans="1:25" ht="22.5" customHeight="1" thickTop="1" thickBot="1" x14ac:dyDescent="0.3">
      <c r="A24" s="628" t="s">
        <v>1377</v>
      </c>
      <c r="B24" s="628" t="s">
        <v>1381</v>
      </c>
      <c r="C24" s="628" t="s">
        <v>1381</v>
      </c>
      <c r="D24" s="628" t="s">
        <v>1381</v>
      </c>
      <c r="E24" s="634" t="s">
        <v>1394</v>
      </c>
      <c r="F24" s="754" t="s">
        <v>1394</v>
      </c>
      <c r="G24" s="628" t="s">
        <v>1418</v>
      </c>
      <c r="H24" s="628"/>
      <c r="I24" s="628"/>
      <c r="J24" s="635" t="s">
        <v>1945</v>
      </c>
      <c r="K24" s="645"/>
      <c r="L24" s="645"/>
      <c r="M24" s="645"/>
      <c r="N24" s="636"/>
      <c r="O24" s="645"/>
      <c r="P24" s="645"/>
      <c r="Q24" s="645"/>
      <c r="R24" s="645"/>
      <c r="S24" s="636"/>
      <c r="T24" s="645"/>
      <c r="U24" s="646"/>
      <c r="V24" s="638"/>
      <c r="W24" s="639"/>
      <c r="X24" s="639"/>
      <c r="Y24" s="604"/>
    </row>
    <row r="25" spans="1:25" ht="22.5" customHeight="1" thickTop="1" thickBot="1" x14ac:dyDescent="0.3">
      <c r="A25" s="628" t="s">
        <v>1377</v>
      </c>
      <c r="B25" s="628" t="s">
        <v>1381</v>
      </c>
      <c r="C25" s="628" t="s">
        <v>1381</v>
      </c>
      <c r="D25" s="628" t="s">
        <v>1381</v>
      </c>
      <c r="E25" s="634" t="s">
        <v>1394</v>
      </c>
      <c r="F25" s="754" t="s">
        <v>1394</v>
      </c>
      <c r="G25" s="628" t="s">
        <v>1422</v>
      </c>
      <c r="H25" s="628"/>
      <c r="I25" s="628"/>
      <c r="J25" s="635" t="s">
        <v>1946</v>
      </c>
      <c r="K25" s="645"/>
      <c r="L25" s="645"/>
      <c r="M25" s="645"/>
      <c r="N25" s="636"/>
      <c r="O25" s="645"/>
      <c r="P25" s="645"/>
      <c r="Q25" s="645"/>
      <c r="R25" s="645"/>
      <c r="S25" s="636"/>
      <c r="T25" s="645"/>
      <c r="U25" s="646"/>
      <c r="V25" s="638"/>
      <c r="W25" s="639"/>
      <c r="X25" s="639"/>
      <c r="Y25" s="604"/>
    </row>
    <row r="26" spans="1:25" ht="22.5" customHeight="1" thickTop="1" thickBot="1" x14ac:dyDescent="0.3">
      <c r="A26" s="628" t="s">
        <v>1377</v>
      </c>
      <c r="B26" s="628" t="s">
        <v>1381</v>
      </c>
      <c r="C26" s="628" t="s">
        <v>1381</v>
      </c>
      <c r="D26" s="628" t="s">
        <v>1381</v>
      </c>
      <c r="E26" s="634" t="s">
        <v>1394</v>
      </c>
      <c r="F26" s="754" t="s">
        <v>1394</v>
      </c>
      <c r="G26" s="628" t="s">
        <v>1447</v>
      </c>
      <c r="H26" s="628"/>
      <c r="I26" s="628"/>
      <c r="J26" s="635" t="s">
        <v>1947</v>
      </c>
      <c r="K26" s="645"/>
      <c r="L26" s="645"/>
      <c r="M26" s="645"/>
      <c r="N26" s="636"/>
      <c r="O26" s="645"/>
      <c r="P26" s="645"/>
      <c r="Q26" s="645"/>
      <c r="R26" s="645"/>
      <c r="S26" s="636"/>
      <c r="T26" s="645"/>
      <c r="U26" s="646"/>
      <c r="V26" s="638"/>
      <c r="W26" s="639"/>
      <c r="X26" s="639"/>
      <c r="Y26" s="604"/>
    </row>
    <row r="27" spans="1:25" ht="22.5" customHeight="1" thickTop="1" thickBot="1" x14ac:dyDescent="0.3">
      <c r="A27" s="628" t="s">
        <v>1377</v>
      </c>
      <c r="B27" s="628" t="s">
        <v>1381</v>
      </c>
      <c r="C27" s="628" t="s">
        <v>1381</v>
      </c>
      <c r="D27" s="628" t="s">
        <v>1381</v>
      </c>
      <c r="E27" s="634" t="s">
        <v>1394</v>
      </c>
      <c r="F27" s="754" t="s">
        <v>1394</v>
      </c>
      <c r="G27" s="628" t="s">
        <v>1470</v>
      </c>
      <c r="H27" s="628"/>
      <c r="I27" s="628"/>
      <c r="J27" s="635" t="s">
        <v>1948</v>
      </c>
      <c r="K27" s="645"/>
      <c r="L27" s="645"/>
      <c r="M27" s="645"/>
      <c r="N27" s="636"/>
      <c r="O27" s="645"/>
      <c r="P27" s="645"/>
      <c r="Q27" s="645"/>
      <c r="R27" s="645"/>
      <c r="S27" s="636"/>
      <c r="T27" s="645"/>
      <c r="U27" s="646"/>
      <c r="V27" s="638"/>
      <c r="W27" s="639"/>
      <c r="X27" s="639"/>
      <c r="Y27" s="604"/>
    </row>
    <row r="28" spans="1:25" ht="22.5" customHeight="1" thickTop="1" thickBot="1" x14ac:dyDescent="0.3">
      <c r="A28" s="628" t="s">
        <v>1377</v>
      </c>
      <c r="B28" s="628" t="s">
        <v>1381</v>
      </c>
      <c r="C28" s="628" t="s">
        <v>1381</v>
      </c>
      <c r="D28" s="628" t="s">
        <v>1381</v>
      </c>
      <c r="E28" s="634" t="s">
        <v>1394</v>
      </c>
      <c r="F28" s="754" t="s">
        <v>1394</v>
      </c>
      <c r="G28" s="628" t="s">
        <v>1474</v>
      </c>
      <c r="H28" s="628"/>
      <c r="I28" s="628"/>
      <c r="J28" s="635" t="s">
        <v>1949</v>
      </c>
      <c r="K28" s="645"/>
      <c r="L28" s="645"/>
      <c r="M28" s="645"/>
      <c r="N28" s="636"/>
      <c r="O28" s="645"/>
      <c r="P28" s="645"/>
      <c r="Q28" s="645"/>
      <c r="R28" s="645"/>
      <c r="S28" s="636"/>
      <c r="T28" s="645"/>
      <c r="U28" s="646"/>
      <c r="V28" s="638"/>
      <c r="W28" s="639"/>
      <c r="X28" s="639"/>
      <c r="Y28" s="604"/>
    </row>
    <row r="29" spans="1:25" ht="22.5" customHeight="1" thickTop="1" thickBot="1" x14ac:dyDescent="0.3">
      <c r="A29" s="628" t="s">
        <v>1377</v>
      </c>
      <c r="B29" s="628" t="s">
        <v>1381</v>
      </c>
      <c r="C29" s="628" t="s">
        <v>1381</v>
      </c>
      <c r="D29" s="628" t="s">
        <v>1381</v>
      </c>
      <c r="E29" s="634" t="s">
        <v>1394</v>
      </c>
      <c r="F29" s="754" t="s">
        <v>1394</v>
      </c>
      <c r="G29" s="628" t="s">
        <v>1478</v>
      </c>
      <c r="H29" s="628"/>
      <c r="I29" s="628"/>
      <c r="J29" s="635" t="s">
        <v>1946</v>
      </c>
      <c r="K29" s="645"/>
      <c r="L29" s="645"/>
      <c r="M29" s="645"/>
      <c r="N29" s="636"/>
      <c r="O29" s="645"/>
      <c r="P29" s="645"/>
      <c r="Q29" s="645"/>
      <c r="R29" s="645"/>
      <c r="S29" s="636"/>
      <c r="T29" s="645"/>
      <c r="U29" s="646"/>
      <c r="V29" s="638"/>
      <c r="W29" s="639"/>
      <c r="X29" s="639"/>
      <c r="Y29" s="604"/>
    </row>
    <row r="30" spans="1:25" ht="22.5" customHeight="1" thickTop="1" thickBot="1" x14ac:dyDescent="0.3">
      <c r="A30" s="638" t="s">
        <v>1377</v>
      </c>
      <c r="B30" s="638" t="s">
        <v>1381</v>
      </c>
      <c r="C30" s="628" t="s">
        <v>1381</v>
      </c>
      <c r="D30" s="628" t="s">
        <v>1381</v>
      </c>
      <c r="E30" s="638" t="s">
        <v>1381</v>
      </c>
      <c r="F30" s="638" t="s">
        <v>1381</v>
      </c>
      <c r="G30" s="739" t="s">
        <v>1381</v>
      </c>
      <c r="H30" s="628"/>
      <c r="I30" s="628"/>
      <c r="J30" s="629" t="s">
        <v>1527</v>
      </c>
      <c r="K30" s="651"/>
      <c r="L30" s="651"/>
      <c r="M30" s="651"/>
      <c r="N30" s="651"/>
      <c r="O30" s="651"/>
      <c r="P30" s="651"/>
      <c r="Q30" s="651"/>
      <c r="R30" s="651"/>
      <c r="S30" s="651"/>
      <c r="T30" s="651"/>
      <c r="U30" s="631"/>
      <c r="V30" s="739"/>
      <c r="W30" s="639" t="s">
        <v>1528</v>
      </c>
      <c r="X30" s="639" t="s">
        <v>1529</v>
      </c>
      <c r="Y30" s="604" t="s">
        <v>1379</v>
      </c>
    </row>
    <row r="31" spans="1:25" ht="22.5" customHeight="1" thickTop="1" thickBot="1" x14ac:dyDescent="0.3">
      <c r="A31" s="638" t="s">
        <v>1377</v>
      </c>
      <c r="B31" s="638" t="s">
        <v>1381</v>
      </c>
      <c r="C31" s="628" t="s">
        <v>1381</v>
      </c>
      <c r="D31" s="628" t="s">
        <v>1381</v>
      </c>
      <c r="E31" s="638" t="s">
        <v>1381</v>
      </c>
      <c r="F31" s="638" t="s">
        <v>1381</v>
      </c>
      <c r="G31" s="628" t="s">
        <v>1381</v>
      </c>
      <c r="H31" s="628" t="s">
        <v>1381</v>
      </c>
      <c r="I31" s="628"/>
      <c r="J31" s="635" t="s">
        <v>1530</v>
      </c>
      <c r="K31" s="652"/>
      <c r="L31" s="652"/>
      <c r="M31" s="652"/>
      <c r="N31" s="652"/>
      <c r="O31" s="652"/>
      <c r="P31" s="652"/>
      <c r="Q31" s="652"/>
      <c r="R31" s="652"/>
      <c r="S31" s="652"/>
      <c r="T31" s="652"/>
      <c r="U31" s="637"/>
      <c r="V31" s="739"/>
      <c r="W31" s="639"/>
      <c r="X31" s="639"/>
      <c r="Y31" s="604" t="s">
        <v>1379</v>
      </c>
    </row>
    <row r="32" spans="1:25" ht="22.5" customHeight="1" thickTop="1" thickBot="1" x14ac:dyDescent="0.3">
      <c r="A32" s="638" t="s">
        <v>1377</v>
      </c>
      <c r="B32" s="638" t="s">
        <v>1381</v>
      </c>
      <c r="C32" s="628" t="s">
        <v>1381</v>
      </c>
      <c r="D32" s="628" t="s">
        <v>1381</v>
      </c>
      <c r="E32" s="638" t="s">
        <v>1381</v>
      </c>
      <c r="F32" s="638" t="s">
        <v>1381</v>
      </c>
      <c r="G32" s="628" t="s">
        <v>1381</v>
      </c>
      <c r="H32" s="628" t="s">
        <v>1394</v>
      </c>
      <c r="I32" s="628"/>
      <c r="J32" s="635" t="s">
        <v>1531</v>
      </c>
      <c r="K32" s="652"/>
      <c r="L32" s="652"/>
      <c r="M32" s="652"/>
      <c r="N32" s="652"/>
      <c r="O32" s="652"/>
      <c r="P32" s="652"/>
      <c r="Q32" s="652"/>
      <c r="R32" s="652"/>
      <c r="S32" s="652"/>
      <c r="T32" s="652"/>
      <c r="U32" s="637"/>
      <c r="V32" s="739"/>
      <c r="W32" s="639"/>
      <c r="X32" s="639"/>
      <c r="Y32" s="604" t="s">
        <v>1379</v>
      </c>
    </row>
    <row r="33" spans="1:25" ht="22.5" customHeight="1" thickTop="1" thickBot="1" x14ac:dyDescent="0.3">
      <c r="A33" s="638" t="s">
        <v>1377</v>
      </c>
      <c r="B33" s="638" t="s">
        <v>1381</v>
      </c>
      <c r="C33" s="628" t="s">
        <v>1381</v>
      </c>
      <c r="D33" s="628" t="s">
        <v>1381</v>
      </c>
      <c r="E33" s="638" t="s">
        <v>1381</v>
      </c>
      <c r="F33" s="638" t="s">
        <v>1381</v>
      </c>
      <c r="G33" s="628" t="s">
        <v>1381</v>
      </c>
      <c r="H33" s="628" t="s">
        <v>1418</v>
      </c>
      <c r="I33" s="628"/>
      <c r="J33" s="635" t="s">
        <v>1925</v>
      </c>
      <c r="K33" s="652"/>
      <c r="L33" s="652"/>
      <c r="M33" s="652"/>
      <c r="N33" s="652"/>
      <c r="O33" s="652"/>
      <c r="P33" s="652"/>
      <c r="Q33" s="652"/>
      <c r="R33" s="652"/>
      <c r="S33" s="652"/>
      <c r="T33" s="652"/>
      <c r="U33" s="637"/>
      <c r="V33" s="754"/>
      <c r="W33" s="639"/>
      <c r="X33" s="639"/>
      <c r="Y33" s="604"/>
    </row>
    <row r="34" spans="1:25" ht="22.5" customHeight="1" thickTop="1" thickBot="1" x14ac:dyDescent="0.3">
      <c r="A34" s="638" t="s">
        <v>1377</v>
      </c>
      <c r="B34" s="638" t="s">
        <v>1381</v>
      </c>
      <c r="C34" s="628" t="s">
        <v>1381</v>
      </c>
      <c r="D34" s="628" t="s">
        <v>1381</v>
      </c>
      <c r="E34" s="638" t="s">
        <v>1381</v>
      </c>
      <c r="F34" s="638" t="s">
        <v>1381</v>
      </c>
      <c r="G34" s="628" t="s">
        <v>1381</v>
      </c>
      <c r="H34" s="628" t="s">
        <v>1422</v>
      </c>
      <c r="I34" s="628"/>
      <c r="J34" s="635" t="s">
        <v>1926</v>
      </c>
      <c r="K34" s="652"/>
      <c r="L34" s="652"/>
      <c r="M34" s="652"/>
      <c r="N34" s="652"/>
      <c r="O34" s="652"/>
      <c r="P34" s="652"/>
      <c r="Q34" s="652"/>
      <c r="R34" s="652"/>
      <c r="S34" s="652"/>
      <c r="T34" s="652"/>
      <c r="U34" s="637"/>
      <c r="V34" s="754"/>
      <c r="W34" s="639"/>
      <c r="X34" s="639"/>
      <c r="Y34" s="604"/>
    </row>
    <row r="35" spans="1:25" ht="22.5" customHeight="1" thickTop="1" thickBot="1" x14ac:dyDescent="0.3">
      <c r="A35" s="638" t="s">
        <v>1377</v>
      </c>
      <c r="B35" s="638" t="s">
        <v>1381</v>
      </c>
      <c r="C35" s="628" t="s">
        <v>1381</v>
      </c>
      <c r="D35" s="628" t="s">
        <v>1381</v>
      </c>
      <c r="E35" s="638" t="s">
        <v>1381</v>
      </c>
      <c r="F35" s="638" t="s">
        <v>1381</v>
      </c>
      <c r="G35" s="628" t="s">
        <v>1381</v>
      </c>
      <c r="H35" s="628" t="s">
        <v>1447</v>
      </c>
      <c r="I35" s="628"/>
      <c r="J35" s="635" t="s">
        <v>1927</v>
      </c>
      <c r="K35" s="652"/>
      <c r="L35" s="652"/>
      <c r="M35" s="652"/>
      <c r="N35" s="652"/>
      <c r="O35" s="652"/>
      <c r="P35" s="652"/>
      <c r="Q35" s="652"/>
      <c r="R35" s="652"/>
      <c r="S35" s="652"/>
      <c r="T35" s="652"/>
      <c r="U35" s="637"/>
      <c r="V35" s="754"/>
      <c r="W35" s="639"/>
      <c r="X35" s="639"/>
      <c r="Y35" s="604"/>
    </row>
    <row r="36" spans="1:25" ht="22.5" customHeight="1" thickTop="1" thickBot="1" x14ac:dyDescent="0.3">
      <c r="A36" s="638" t="s">
        <v>1377</v>
      </c>
      <c r="B36" s="638" t="s">
        <v>1381</v>
      </c>
      <c r="C36" s="628" t="s">
        <v>1381</v>
      </c>
      <c r="D36" s="628" t="s">
        <v>1381</v>
      </c>
      <c r="E36" s="638" t="s">
        <v>1381</v>
      </c>
      <c r="F36" s="638" t="s">
        <v>1381</v>
      </c>
      <c r="G36" s="628" t="s">
        <v>1381</v>
      </c>
      <c r="H36" s="628" t="s">
        <v>1470</v>
      </c>
      <c r="I36" s="628"/>
      <c r="J36" s="635" t="s">
        <v>1928</v>
      </c>
      <c r="K36" s="652"/>
      <c r="L36" s="652"/>
      <c r="M36" s="652"/>
      <c r="N36" s="652"/>
      <c r="O36" s="652"/>
      <c r="P36" s="652"/>
      <c r="Q36" s="652"/>
      <c r="R36" s="652"/>
      <c r="S36" s="652"/>
      <c r="T36" s="652"/>
      <c r="U36" s="637"/>
      <c r="V36" s="754"/>
      <c r="W36" s="639"/>
      <c r="X36" s="639"/>
      <c r="Y36" s="604"/>
    </row>
    <row r="37" spans="1:25" ht="22.5" customHeight="1" thickTop="1" thickBot="1" x14ac:dyDescent="0.3">
      <c r="A37" s="638" t="s">
        <v>1377</v>
      </c>
      <c r="B37" s="638" t="s">
        <v>1381</v>
      </c>
      <c r="C37" s="628" t="s">
        <v>1381</v>
      </c>
      <c r="D37" s="628" t="s">
        <v>1381</v>
      </c>
      <c r="E37" s="638" t="s">
        <v>1381</v>
      </c>
      <c r="F37" s="638" t="s">
        <v>1381</v>
      </c>
      <c r="G37" s="628" t="s">
        <v>1381</v>
      </c>
      <c r="H37" s="628" t="s">
        <v>1474</v>
      </c>
      <c r="I37" s="628"/>
      <c r="J37" s="635" t="s">
        <v>1929</v>
      </c>
      <c r="K37" s="652"/>
      <c r="L37" s="652"/>
      <c r="M37" s="652"/>
      <c r="N37" s="652"/>
      <c r="O37" s="652"/>
      <c r="P37" s="652"/>
      <c r="Q37" s="652"/>
      <c r="R37" s="652"/>
      <c r="S37" s="652"/>
      <c r="T37" s="652"/>
      <c r="U37" s="637"/>
      <c r="V37" s="754"/>
      <c r="W37" s="639"/>
      <c r="X37" s="639"/>
      <c r="Y37" s="604"/>
    </row>
    <row r="38" spans="1:25" ht="22.5" customHeight="1" thickTop="1" thickBot="1" x14ac:dyDescent="0.3">
      <c r="A38" s="638" t="s">
        <v>1377</v>
      </c>
      <c r="B38" s="638" t="s">
        <v>1381</v>
      </c>
      <c r="C38" s="628" t="s">
        <v>1381</v>
      </c>
      <c r="D38" s="628" t="s">
        <v>1381</v>
      </c>
      <c r="E38" s="638" t="s">
        <v>1381</v>
      </c>
      <c r="F38" s="638" t="s">
        <v>1381</v>
      </c>
      <c r="G38" s="628" t="s">
        <v>1381</v>
      </c>
      <c r="H38" s="628" t="s">
        <v>1478</v>
      </c>
      <c r="I38" s="628"/>
      <c r="J38" s="635" t="s">
        <v>1926</v>
      </c>
      <c r="K38" s="652"/>
      <c r="L38" s="652"/>
      <c r="M38" s="652"/>
      <c r="N38" s="652"/>
      <c r="O38" s="652"/>
      <c r="P38" s="652"/>
      <c r="Q38" s="652"/>
      <c r="R38" s="652"/>
      <c r="S38" s="652"/>
      <c r="T38" s="652"/>
      <c r="U38" s="637"/>
      <c r="V38" s="754"/>
      <c r="W38" s="639"/>
      <c r="X38" s="639"/>
      <c r="Y38" s="604"/>
    </row>
    <row r="39" spans="1:25" ht="22.5" customHeight="1" thickTop="1" thickBot="1" x14ac:dyDescent="0.3">
      <c r="A39" s="638" t="s">
        <v>1377</v>
      </c>
      <c r="B39" s="638" t="s">
        <v>1381</v>
      </c>
      <c r="C39" s="628" t="s">
        <v>1381</v>
      </c>
      <c r="D39" s="628" t="s">
        <v>1381</v>
      </c>
      <c r="E39" s="638" t="s">
        <v>1381</v>
      </c>
      <c r="F39" s="638" t="s">
        <v>1381</v>
      </c>
      <c r="G39" s="739" t="s">
        <v>1394</v>
      </c>
      <c r="H39" s="628"/>
      <c r="I39" s="628"/>
      <c r="J39" s="629" t="s">
        <v>1532</v>
      </c>
      <c r="K39" s="651"/>
      <c r="L39" s="651"/>
      <c r="M39" s="651"/>
      <c r="N39" s="651"/>
      <c r="O39" s="651"/>
      <c r="P39" s="651"/>
      <c r="Q39" s="651"/>
      <c r="R39" s="651"/>
      <c r="S39" s="651"/>
      <c r="T39" s="651"/>
      <c r="U39" s="631"/>
      <c r="V39" s="739"/>
      <c r="W39" s="639"/>
      <c r="X39" s="639"/>
      <c r="Y39" s="604"/>
    </row>
    <row r="40" spans="1:25" ht="22.5" customHeight="1" thickTop="1" thickBot="1" x14ac:dyDescent="0.3">
      <c r="A40" s="638" t="s">
        <v>1377</v>
      </c>
      <c r="B40" s="638" t="s">
        <v>1381</v>
      </c>
      <c r="C40" s="628" t="s">
        <v>1381</v>
      </c>
      <c r="D40" s="628" t="s">
        <v>1381</v>
      </c>
      <c r="E40" s="638" t="s">
        <v>1381</v>
      </c>
      <c r="F40" s="638" t="s">
        <v>1381</v>
      </c>
      <c r="G40" s="628" t="s">
        <v>1394</v>
      </c>
      <c r="H40" s="628" t="s">
        <v>1381</v>
      </c>
      <c r="I40" s="628"/>
      <c r="J40" s="635" t="s">
        <v>1533</v>
      </c>
      <c r="K40" s="652"/>
      <c r="L40" s="652"/>
      <c r="M40" s="652"/>
      <c r="N40" s="652"/>
      <c r="O40" s="652"/>
      <c r="P40" s="652"/>
      <c r="Q40" s="652"/>
      <c r="R40" s="652"/>
      <c r="S40" s="652"/>
      <c r="T40" s="652"/>
      <c r="U40" s="637"/>
      <c r="V40" s="739"/>
      <c r="W40" s="639"/>
      <c r="X40" s="639"/>
      <c r="Y40" s="604"/>
    </row>
    <row r="41" spans="1:25" ht="22.5" customHeight="1" thickTop="1" thickBot="1" x14ac:dyDescent="0.3">
      <c r="A41" s="638" t="s">
        <v>1377</v>
      </c>
      <c r="B41" s="638" t="s">
        <v>1381</v>
      </c>
      <c r="C41" s="628" t="s">
        <v>1381</v>
      </c>
      <c r="D41" s="628" t="s">
        <v>1381</v>
      </c>
      <c r="E41" s="638" t="s">
        <v>1381</v>
      </c>
      <c r="F41" s="638" t="s">
        <v>1381</v>
      </c>
      <c r="G41" s="628" t="s">
        <v>1394</v>
      </c>
      <c r="H41" s="628" t="s">
        <v>1394</v>
      </c>
      <c r="I41" s="628"/>
      <c r="J41" s="635" t="s">
        <v>1534</v>
      </c>
      <c r="K41" s="652"/>
      <c r="L41" s="652"/>
      <c r="M41" s="652"/>
      <c r="N41" s="652"/>
      <c r="O41" s="652"/>
      <c r="P41" s="652"/>
      <c r="Q41" s="652"/>
      <c r="R41" s="652"/>
      <c r="S41" s="652"/>
      <c r="T41" s="652"/>
      <c r="U41" s="637"/>
      <c r="V41" s="739"/>
      <c r="W41" s="639"/>
      <c r="X41" s="639"/>
      <c r="Y41" s="604"/>
    </row>
    <row r="42" spans="1:25" ht="22.5" customHeight="1" thickTop="1" thickBot="1" x14ac:dyDescent="0.3">
      <c r="A42" s="638" t="s">
        <v>1377</v>
      </c>
      <c r="B42" s="638" t="s">
        <v>1381</v>
      </c>
      <c r="C42" s="628" t="s">
        <v>1381</v>
      </c>
      <c r="D42" s="628" t="s">
        <v>1381</v>
      </c>
      <c r="E42" s="638" t="s">
        <v>1381</v>
      </c>
      <c r="F42" s="638" t="s">
        <v>1381</v>
      </c>
      <c r="G42" s="628" t="s">
        <v>1394</v>
      </c>
      <c r="H42" s="628" t="s">
        <v>1418</v>
      </c>
      <c r="I42" s="628"/>
      <c r="J42" s="635" t="s">
        <v>1930</v>
      </c>
      <c r="K42" s="652"/>
      <c r="L42" s="652"/>
      <c r="M42" s="652"/>
      <c r="N42" s="652"/>
      <c r="O42" s="652"/>
      <c r="P42" s="652"/>
      <c r="Q42" s="652"/>
      <c r="R42" s="652"/>
      <c r="S42" s="652"/>
      <c r="T42" s="652"/>
      <c r="U42" s="637"/>
      <c r="V42" s="754"/>
      <c r="W42" s="639"/>
      <c r="X42" s="639"/>
      <c r="Y42" s="604"/>
    </row>
    <row r="43" spans="1:25" ht="22.5" customHeight="1" thickTop="1" thickBot="1" x14ac:dyDescent="0.3">
      <c r="A43" s="638" t="s">
        <v>1377</v>
      </c>
      <c r="B43" s="638" t="s">
        <v>1381</v>
      </c>
      <c r="C43" s="628" t="s">
        <v>1381</v>
      </c>
      <c r="D43" s="628" t="s">
        <v>1381</v>
      </c>
      <c r="E43" s="638" t="s">
        <v>1381</v>
      </c>
      <c r="F43" s="638" t="s">
        <v>1381</v>
      </c>
      <c r="G43" s="628" t="s">
        <v>1394</v>
      </c>
      <c r="H43" s="628" t="s">
        <v>1422</v>
      </c>
      <c r="I43" s="628"/>
      <c r="J43" s="635" t="s">
        <v>1931</v>
      </c>
      <c r="K43" s="652"/>
      <c r="L43" s="652"/>
      <c r="M43" s="652"/>
      <c r="N43" s="652"/>
      <c r="O43" s="652"/>
      <c r="P43" s="652"/>
      <c r="Q43" s="652"/>
      <c r="R43" s="652"/>
      <c r="S43" s="652"/>
      <c r="T43" s="652"/>
      <c r="U43" s="637"/>
      <c r="V43" s="754"/>
      <c r="W43" s="639"/>
      <c r="X43" s="639"/>
      <c r="Y43" s="604"/>
    </row>
    <row r="44" spans="1:25" ht="22.5" customHeight="1" thickTop="1" thickBot="1" x14ac:dyDescent="0.3">
      <c r="A44" s="638" t="s">
        <v>1377</v>
      </c>
      <c r="B44" s="638" t="s">
        <v>1381</v>
      </c>
      <c r="C44" s="628" t="s">
        <v>1381</v>
      </c>
      <c r="D44" s="628" t="s">
        <v>1381</v>
      </c>
      <c r="E44" s="638" t="s">
        <v>1381</v>
      </c>
      <c r="F44" s="638" t="s">
        <v>1381</v>
      </c>
      <c r="G44" s="628" t="s">
        <v>1394</v>
      </c>
      <c r="H44" s="628" t="s">
        <v>1447</v>
      </c>
      <c r="I44" s="628"/>
      <c r="J44" s="635" t="s">
        <v>1932</v>
      </c>
      <c r="K44" s="652"/>
      <c r="L44" s="652"/>
      <c r="M44" s="652"/>
      <c r="N44" s="652"/>
      <c r="O44" s="652"/>
      <c r="P44" s="652"/>
      <c r="Q44" s="652"/>
      <c r="R44" s="652"/>
      <c r="S44" s="652"/>
      <c r="T44" s="652"/>
      <c r="U44" s="637"/>
      <c r="V44" s="754"/>
      <c r="W44" s="639"/>
      <c r="X44" s="639"/>
      <c r="Y44" s="604"/>
    </row>
    <row r="45" spans="1:25" ht="22.5" customHeight="1" thickTop="1" thickBot="1" x14ac:dyDescent="0.3">
      <c r="A45" s="638" t="s">
        <v>1377</v>
      </c>
      <c r="B45" s="638" t="s">
        <v>1381</v>
      </c>
      <c r="C45" s="628" t="s">
        <v>1381</v>
      </c>
      <c r="D45" s="628" t="s">
        <v>1381</v>
      </c>
      <c r="E45" s="638" t="s">
        <v>1381</v>
      </c>
      <c r="F45" s="638" t="s">
        <v>1381</v>
      </c>
      <c r="G45" s="628" t="s">
        <v>1394</v>
      </c>
      <c r="H45" s="628" t="s">
        <v>1470</v>
      </c>
      <c r="I45" s="628"/>
      <c r="J45" s="635" t="s">
        <v>1933</v>
      </c>
      <c r="K45" s="652"/>
      <c r="L45" s="652"/>
      <c r="M45" s="652"/>
      <c r="N45" s="652"/>
      <c r="O45" s="652"/>
      <c r="P45" s="652"/>
      <c r="Q45" s="652"/>
      <c r="R45" s="652"/>
      <c r="S45" s="652"/>
      <c r="T45" s="652"/>
      <c r="U45" s="637"/>
      <c r="V45" s="754"/>
      <c r="W45" s="639"/>
      <c r="X45" s="639"/>
      <c r="Y45" s="604"/>
    </row>
    <row r="46" spans="1:25" ht="22.5" customHeight="1" thickTop="1" thickBot="1" x14ac:dyDescent="0.3">
      <c r="A46" s="638" t="s">
        <v>1377</v>
      </c>
      <c r="B46" s="638" t="s">
        <v>1381</v>
      </c>
      <c r="C46" s="628" t="s">
        <v>1381</v>
      </c>
      <c r="D46" s="628" t="s">
        <v>1381</v>
      </c>
      <c r="E46" s="638" t="s">
        <v>1381</v>
      </c>
      <c r="F46" s="638" t="s">
        <v>1381</v>
      </c>
      <c r="G46" s="628" t="s">
        <v>1394</v>
      </c>
      <c r="H46" s="628" t="s">
        <v>1474</v>
      </c>
      <c r="I46" s="628"/>
      <c r="J46" s="635" t="s">
        <v>1934</v>
      </c>
      <c r="K46" s="652"/>
      <c r="L46" s="652"/>
      <c r="M46" s="652"/>
      <c r="N46" s="652"/>
      <c r="O46" s="652"/>
      <c r="P46" s="652"/>
      <c r="Q46" s="652"/>
      <c r="R46" s="652"/>
      <c r="S46" s="652"/>
      <c r="T46" s="652"/>
      <c r="U46" s="637"/>
      <c r="V46" s="754"/>
      <c r="W46" s="639"/>
      <c r="X46" s="639"/>
      <c r="Y46" s="604"/>
    </row>
    <row r="47" spans="1:25" ht="22.5" customHeight="1" thickTop="1" thickBot="1" x14ac:dyDescent="0.3">
      <c r="A47" s="638" t="s">
        <v>1377</v>
      </c>
      <c r="B47" s="638" t="s">
        <v>1381</v>
      </c>
      <c r="C47" s="628" t="s">
        <v>1381</v>
      </c>
      <c r="D47" s="628" t="s">
        <v>1381</v>
      </c>
      <c r="E47" s="638" t="s">
        <v>1381</v>
      </c>
      <c r="F47" s="638" t="s">
        <v>1381</v>
      </c>
      <c r="G47" s="628" t="s">
        <v>1394</v>
      </c>
      <c r="H47" s="628" t="s">
        <v>1478</v>
      </c>
      <c r="I47" s="628"/>
      <c r="J47" s="635" t="s">
        <v>1931</v>
      </c>
      <c r="K47" s="652"/>
      <c r="L47" s="652"/>
      <c r="M47" s="652"/>
      <c r="N47" s="652"/>
      <c r="O47" s="652"/>
      <c r="P47" s="652"/>
      <c r="Q47" s="652"/>
      <c r="R47" s="652"/>
      <c r="S47" s="652"/>
      <c r="T47" s="652"/>
      <c r="U47" s="637"/>
      <c r="V47" s="754"/>
      <c r="W47" s="639"/>
      <c r="X47" s="639"/>
      <c r="Y47" s="604"/>
    </row>
    <row r="48" spans="1:25" ht="22.5" customHeight="1" thickTop="1" thickBot="1" x14ac:dyDescent="0.3">
      <c r="A48" s="638" t="s">
        <v>1377</v>
      </c>
      <c r="B48" s="638" t="s">
        <v>1381</v>
      </c>
      <c r="C48" s="628" t="s">
        <v>1381</v>
      </c>
      <c r="D48" s="628" t="s">
        <v>1381</v>
      </c>
      <c r="E48" s="638" t="s">
        <v>1381</v>
      </c>
      <c r="F48" s="638" t="s">
        <v>1381</v>
      </c>
      <c r="G48" s="739" t="s">
        <v>1418</v>
      </c>
      <c r="H48" s="628"/>
      <c r="I48" s="628"/>
      <c r="J48" s="629" t="s">
        <v>1535</v>
      </c>
      <c r="K48" s="651"/>
      <c r="L48" s="651"/>
      <c r="M48" s="651"/>
      <c r="N48" s="651"/>
      <c r="O48" s="651"/>
      <c r="P48" s="651"/>
      <c r="Q48" s="651"/>
      <c r="R48" s="651"/>
      <c r="S48" s="651"/>
      <c r="T48" s="651"/>
      <c r="U48" s="631"/>
      <c r="V48" s="739"/>
      <c r="W48" s="639" t="s">
        <v>1397</v>
      </c>
      <c r="X48" s="639" t="s">
        <v>1398</v>
      </c>
      <c r="Y48" s="604" t="s">
        <v>1379</v>
      </c>
    </row>
    <row r="49" spans="1:25" ht="22.5" customHeight="1" thickTop="1" thickBot="1" x14ac:dyDescent="0.3">
      <c r="A49" s="638" t="s">
        <v>1377</v>
      </c>
      <c r="B49" s="638" t="s">
        <v>1381</v>
      </c>
      <c r="C49" s="628" t="s">
        <v>1381</v>
      </c>
      <c r="D49" s="628" t="s">
        <v>1381</v>
      </c>
      <c r="E49" s="638" t="s">
        <v>1381</v>
      </c>
      <c r="F49" s="638" t="s">
        <v>1381</v>
      </c>
      <c r="G49" s="628" t="s">
        <v>1418</v>
      </c>
      <c r="H49" s="628" t="s">
        <v>1381</v>
      </c>
      <c r="I49" s="628"/>
      <c r="J49" s="635" t="s">
        <v>1536</v>
      </c>
      <c r="K49" s="652"/>
      <c r="L49" s="652"/>
      <c r="M49" s="652"/>
      <c r="N49" s="652"/>
      <c r="O49" s="652"/>
      <c r="P49" s="652"/>
      <c r="Q49" s="652"/>
      <c r="R49" s="652"/>
      <c r="S49" s="652"/>
      <c r="T49" s="652"/>
      <c r="U49" s="637"/>
      <c r="V49" s="739"/>
      <c r="W49" s="639"/>
      <c r="X49" s="639"/>
      <c r="Y49" s="604" t="s">
        <v>1379</v>
      </c>
    </row>
    <row r="50" spans="1:25" ht="22.5" customHeight="1" thickTop="1" thickBot="1" x14ac:dyDescent="0.3">
      <c r="A50" s="638" t="s">
        <v>1377</v>
      </c>
      <c r="B50" s="638" t="s">
        <v>1381</v>
      </c>
      <c r="C50" s="628" t="s">
        <v>1381</v>
      </c>
      <c r="D50" s="628" t="s">
        <v>1381</v>
      </c>
      <c r="E50" s="638" t="s">
        <v>1381</v>
      </c>
      <c r="F50" s="638" t="s">
        <v>1381</v>
      </c>
      <c r="G50" s="628" t="s">
        <v>1418</v>
      </c>
      <c r="H50" s="628" t="s">
        <v>1394</v>
      </c>
      <c r="I50" s="628"/>
      <c r="J50" s="635" t="s">
        <v>1537</v>
      </c>
      <c r="K50" s="652"/>
      <c r="L50" s="652"/>
      <c r="M50" s="652"/>
      <c r="N50" s="652"/>
      <c r="O50" s="652"/>
      <c r="P50" s="652"/>
      <c r="Q50" s="652"/>
      <c r="R50" s="652"/>
      <c r="S50" s="652"/>
      <c r="T50" s="652"/>
      <c r="U50" s="637"/>
      <c r="V50" s="739"/>
      <c r="W50" s="639"/>
      <c r="X50" s="639"/>
      <c r="Y50" s="604" t="s">
        <v>1379</v>
      </c>
    </row>
    <row r="51" spans="1:25" ht="22.5" customHeight="1" thickTop="1" thickBot="1" x14ac:dyDescent="0.3">
      <c r="A51" s="638" t="s">
        <v>1377</v>
      </c>
      <c r="B51" s="638" t="s">
        <v>1381</v>
      </c>
      <c r="C51" s="628" t="s">
        <v>1381</v>
      </c>
      <c r="D51" s="628" t="s">
        <v>1381</v>
      </c>
      <c r="E51" s="638" t="s">
        <v>1381</v>
      </c>
      <c r="F51" s="638" t="s">
        <v>1381</v>
      </c>
      <c r="G51" s="628" t="s">
        <v>1418</v>
      </c>
      <c r="H51" s="628" t="s">
        <v>1418</v>
      </c>
      <c r="I51" s="628"/>
      <c r="J51" s="635" t="s">
        <v>1935</v>
      </c>
      <c r="K51" s="652"/>
      <c r="L51" s="652"/>
      <c r="M51" s="652"/>
      <c r="N51" s="652"/>
      <c r="O51" s="652"/>
      <c r="P51" s="652"/>
      <c r="Q51" s="652"/>
      <c r="R51" s="652"/>
      <c r="S51" s="652"/>
      <c r="T51" s="652"/>
      <c r="U51" s="637"/>
      <c r="V51" s="754"/>
      <c r="W51" s="639"/>
      <c r="X51" s="639"/>
      <c r="Y51" s="604"/>
    </row>
    <row r="52" spans="1:25" ht="22.5" customHeight="1" thickTop="1" thickBot="1" x14ac:dyDescent="0.3">
      <c r="A52" s="638" t="s">
        <v>1377</v>
      </c>
      <c r="B52" s="638" t="s">
        <v>1381</v>
      </c>
      <c r="C52" s="628" t="s">
        <v>1381</v>
      </c>
      <c r="D52" s="628" t="s">
        <v>1381</v>
      </c>
      <c r="E52" s="638" t="s">
        <v>1381</v>
      </c>
      <c r="F52" s="638" t="s">
        <v>1381</v>
      </c>
      <c r="G52" s="628" t="s">
        <v>1418</v>
      </c>
      <c r="H52" s="628" t="s">
        <v>1422</v>
      </c>
      <c r="I52" s="628"/>
      <c r="J52" s="635" t="s">
        <v>1936</v>
      </c>
      <c r="K52" s="652"/>
      <c r="L52" s="652"/>
      <c r="M52" s="652"/>
      <c r="N52" s="652"/>
      <c r="O52" s="652"/>
      <c r="P52" s="652"/>
      <c r="Q52" s="652"/>
      <c r="R52" s="652"/>
      <c r="S52" s="652"/>
      <c r="T52" s="652"/>
      <c r="U52" s="637"/>
      <c r="V52" s="754"/>
      <c r="W52" s="639"/>
      <c r="X52" s="639"/>
      <c r="Y52" s="604"/>
    </row>
    <row r="53" spans="1:25" ht="22.5" customHeight="1" thickTop="1" thickBot="1" x14ac:dyDescent="0.3">
      <c r="A53" s="638" t="s">
        <v>1377</v>
      </c>
      <c r="B53" s="638" t="s">
        <v>1381</v>
      </c>
      <c r="C53" s="628" t="s">
        <v>1381</v>
      </c>
      <c r="D53" s="628" t="s">
        <v>1381</v>
      </c>
      <c r="E53" s="638" t="s">
        <v>1381</v>
      </c>
      <c r="F53" s="638" t="s">
        <v>1381</v>
      </c>
      <c r="G53" s="628" t="s">
        <v>1418</v>
      </c>
      <c r="H53" s="628" t="s">
        <v>1447</v>
      </c>
      <c r="I53" s="628"/>
      <c r="J53" s="635" t="s">
        <v>1937</v>
      </c>
      <c r="K53" s="652"/>
      <c r="L53" s="652"/>
      <c r="M53" s="652"/>
      <c r="N53" s="652"/>
      <c r="O53" s="652"/>
      <c r="P53" s="652"/>
      <c r="Q53" s="652"/>
      <c r="R53" s="652"/>
      <c r="S53" s="652"/>
      <c r="T53" s="652"/>
      <c r="U53" s="637"/>
      <c r="V53" s="754"/>
      <c r="W53" s="639"/>
      <c r="X53" s="639"/>
      <c r="Y53" s="604"/>
    </row>
    <row r="54" spans="1:25" ht="22.5" customHeight="1" thickTop="1" thickBot="1" x14ac:dyDescent="0.3">
      <c r="A54" s="638" t="s">
        <v>1377</v>
      </c>
      <c r="B54" s="638" t="s">
        <v>1381</v>
      </c>
      <c r="C54" s="628" t="s">
        <v>1381</v>
      </c>
      <c r="D54" s="628" t="s">
        <v>1381</v>
      </c>
      <c r="E54" s="638" t="s">
        <v>1381</v>
      </c>
      <c r="F54" s="638" t="s">
        <v>1381</v>
      </c>
      <c r="G54" s="628" t="s">
        <v>1418</v>
      </c>
      <c r="H54" s="628" t="s">
        <v>1470</v>
      </c>
      <c r="I54" s="628"/>
      <c r="J54" s="635" t="s">
        <v>1938</v>
      </c>
      <c r="K54" s="652"/>
      <c r="L54" s="652"/>
      <c r="M54" s="652"/>
      <c r="N54" s="652"/>
      <c r="O54" s="652"/>
      <c r="P54" s="652"/>
      <c r="Q54" s="652"/>
      <c r="R54" s="652"/>
      <c r="S54" s="652"/>
      <c r="T54" s="652"/>
      <c r="U54" s="637"/>
      <c r="V54" s="754"/>
      <c r="W54" s="639"/>
      <c r="X54" s="639"/>
      <c r="Y54" s="604"/>
    </row>
    <row r="55" spans="1:25" ht="22.5" customHeight="1" thickTop="1" thickBot="1" x14ac:dyDescent="0.3">
      <c r="A55" s="638" t="s">
        <v>1377</v>
      </c>
      <c r="B55" s="638" t="s">
        <v>1381</v>
      </c>
      <c r="C55" s="628" t="s">
        <v>1381</v>
      </c>
      <c r="D55" s="628" t="s">
        <v>1381</v>
      </c>
      <c r="E55" s="638" t="s">
        <v>1381</v>
      </c>
      <c r="F55" s="638" t="s">
        <v>1381</v>
      </c>
      <c r="G55" s="628" t="s">
        <v>1418</v>
      </c>
      <c r="H55" s="628" t="s">
        <v>1474</v>
      </c>
      <c r="I55" s="628"/>
      <c r="J55" s="635" t="s">
        <v>1939</v>
      </c>
      <c r="K55" s="652"/>
      <c r="L55" s="652"/>
      <c r="M55" s="652"/>
      <c r="N55" s="652"/>
      <c r="O55" s="652"/>
      <c r="P55" s="652"/>
      <c r="Q55" s="652"/>
      <c r="R55" s="652"/>
      <c r="S55" s="652"/>
      <c r="T55" s="652"/>
      <c r="U55" s="637"/>
      <c r="V55" s="754"/>
      <c r="W55" s="639"/>
      <c r="X55" s="639"/>
      <c r="Y55" s="604"/>
    </row>
    <row r="56" spans="1:25" ht="22.5" customHeight="1" thickTop="1" thickBot="1" x14ac:dyDescent="0.3">
      <c r="A56" s="638" t="s">
        <v>1377</v>
      </c>
      <c r="B56" s="638" t="s">
        <v>1381</v>
      </c>
      <c r="C56" s="628" t="s">
        <v>1381</v>
      </c>
      <c r="D56" s="628" t="s">
        <v>1381</v>
      </c>
      <c r="E56" s="638" t="s">
        <v>1381</v>
      </c>
      <c r="F56" s="638" t="s">
        <v>1381</v>
      </c>
      <c r="G56" s="628" t="s">
        <v>1418</v>
      </c>
      <c r="H56" s="628" t="s">
        <v>1478</v>
      </c>
      <c r="I56" s="628"/>
      <c r="J56" s="635" t="s">
        <v>1936</v>
      </c>
      <c r="K56" s="652"/>
      <c r="L56" s="652"/>
      <c r="M56" s="652"/>
      <c r="N56" s="652"/>
      <c r="O56" s="652"/>
      <c r="P56" s="652"/>
      <c r="Q56" s="652"/>
      <c r="R56" s="652"/>
      <c r="S56" s="652"/>
      <c r="T56" s="652"/>
      <c r="U56" s="637"/>
      <c r="V56" s="754"/>
      <c r="W56" s="639"/>
      <c r="X56" s="639"/>
      <c r="Y56" s="604"/>
    </row>
    <row r="57" spans="1:25" ht="22.5" customHeight="1" thickTop="1" thickBot="1" x14ac:dyDescent="0.3">
      <c r="A57" s="638" t="s">
        <v>1377</v>
      </c>
      <c r="B57" s="638" t="s">
        <v>1381</v>
      </c>
      <c r="C57" s="628" t="s">
        <v>1381</v>
      </c>
      <c r="D57" s="628" t="s">
        <v>1381</v>
      </c>
      <c r="E57" s="638" t="s">
        <v>1381</v>
      </c>
      <c r="F57" s="638" t="s">
        <v>1381</v>
      </c>
      <c r="G57" s="739" t="s">
        <v>1422</v>
      </c>
      <c r="H57" s="628"/>
      <c r="I57" s="628"/>
      <c r="J57" s="629" t="s">
        <v>1538</v>
      </c>
      <c r="K57" s="651"/>
      <c r="L57" s="651"/>
      <c r="M57" s="651"/>
      <c r="N57" s="651"/>
      <c r="O57" s="651"/>
      <c r="P57" s="651"/>
      <c r="Q57" s="651"/>
      <c r="R57" s="651"/>
      <c r="S57" s="651"/>
      <c r="T57" s="651"/>
      <c r="U57" s="631"/>
      <c r="V57" s="739"/>
      <c r="W57" s="639"/>
      <c r="X57" s="639"/>
      <c r="Y57" s="604"/>
    </row>
    <row r="58" spans="1:25" ht="22.5" customHeight="1" thickTop="1" thickBot="1" x14ac:dyDescent="0.3">
      <c r="A58" s="638" t="s">
        <v>1377</v>
      </c>
      <c r="B58" s="638" t="s">
        <v>1381</v>
      </c>
      <c r="C58" s="628" t="s">
        <v>1381</v>
      </c>
      <c r="D58" s="628" t="s">
        <v>1381</v>
      </c>
      <c r="E58" s="638" t="s">
        <v>1381</v>
      </c>
      <c r="F58" s="638" t="s">
        <v>1381</v>
      </c>
      <c r="G58" s="628" t="s">
        <v>1422</v>
      </c>
      <c r="H58" s="628" t="s">
        <v>1381</v>
      </c>
      <c r="I58" s="628"/>
      <c r="J58" s="635" t="s">
        <v>1539</v>
      </c>
      <c r="K58" s="652"/>
      <c r="L58" s="652"/>
      <c r="M58" s="652"/>
      <c r="N58" s="652"/>
      <c r="O58" s="652"/>
      <c r="P58" s="652"/>
      <c r="Q58" s="652"/>
      <c r="R58" s="652"/>
      <c r="S58" s="652"/>
      <c r="T58" s="652"/>
      <c r="U58" s="637"/>
      <c r="V58" s="739"/>
      <c r="W58" s="639"/>
      <c r="X58" s="639"/>
      <c r="Y58" s="604"/>
    </row>
    <row r="59" spans="1:25" ht="22.5" customHeight="1" thickTop="1" thickBot="1" x14ac:dyDescent="0.3">
      <c r="A59" s="638" t="s">
        <v>1377</v>
      </c>
      <c r="B59" s="638" t="s">
        <v>1381</v>
      </c>
      <c r="C59" s="628" t="s">
        <v>1381</v>
      </c>
      <c r="D59" s="628" t="s">
        <v>1381</v>
      </c>
      <c r="E59" s="638" t="s">
        <v>1381</v>
      </c>
      <c r="F59" s="638" t="s">
        <v>1381</v>
      </c>
      <c r="G59" s="628" t="s">
        <v>1422</v>
      </c>
      <c r="H59" s="628" t="s">
        <v>1394</v>
      </c>
      <c r="I59" s="628"/>
      <c r="J59" s="635" t="s">
        <v>1540</v>
      </c>
      <c r="K59" s="652"/>
      <c r="L59" s="652"/>
      <c r="M59" s="652"/>
      <c r="N59" s="652"/>
      <c r="O59" s="652"/>
      <c r="P59" s="652"/>
      <c r="Q59" s="652"/>
      <c r="R59" s="652"/>
      <c r="S59" s="652"/>
      <c r="T59" s="652"/>
      <c r="U59" s="637"/>
      <c r="V59" s="739"/>
      <c r="W59" s="639"/>
      <c r="X59" s="639"/>
      <c r="Y59" s="604"/>
    </row>
    <row r="60" spans="1:25" ht="22.5" customHeight="1" thickTop="1" thickBot="1" x14ac:dyDescent="0.3">
      <c r="A60" s="638" t="s">
        <v>1377</v>
      </c>
      <c r="B60" s="638" t="s">
        <v>1381</v>
      </c>
      <c r="C60" s="628" t="s">
        <v>1381</v>
      </c>
      <c r="D60" s="628" t="s">
        <v>1381</v>
      </c>
      <c r="E60" s="638" t="s">
        <v>1381</v>
      </c>
      <c r="F60" s="638" t="s">
        <v>1381</v>
      </c>
      <c r="G60" s="628" t="s">
        <v>1422</v>
      </c>
      <c r="H60" s="628" t="s">
        <v>1418</v>
      </c>
      <c r="I60" s="628"/>
      <c r="J60" s="635" t="s">
        <v>1940</v>
      </c>
      <c r="K60" s="652"/>
      <c r="L60" s="652"/>
      <c r="M60" s="652"/>
      <c r="N60" s="652"/>
      <c r="O60" s="652"/>
      <c r="P60" s="652"/>
      <c r="Q60" s="652"/>
      <c r="R60" s="652"/>
      <c r="S60" s="652"/>
      <c r="T60" s="652"/>
      <c r="U60" s="637"/>
      <c r="V60" s="754"/>
      <c r="W60" s="639"/>
      <c r="X60" s="639"/>
      <c r="Y60" s="604"/>
    </row>
    <row r="61" spans="1:25" ht="22.5" customHeight="1" thickTop="1" thickBot="1" x14ac:dyDescent="0.3">
      <c r="A61" s="638" t="s">
        <v>1377</v>
      </c>
      <c r="B61" s="638" t="s">
        <v>1381</v>
      </c>
      <c r="C61" s="628" t="s">
        <v>1381</v>
      </c>
      <c r="D61" s="628" t="s">
        <v>1381</v>
      </c>
      <c r="E61" s="638" t="s">
        <v>1381</v>
      </c>
      <c r="F61" s="638" t="s">
        <v>1381</v>
      </c>
      <c r="G61" s="628" t="s">
        <v>1422</v>
      </c>
      <c r="H61" s="628" t="s">
        <v>1422</v>
      </c>
      <c r="I61" s="628"/>
      <c r="J61" s="635" t="s">
        <v>1941</v>
      </c>
      <c r="K61" s="652"/>
      <c r="L61" s="652"/>
      <c r="M61" s="652"/>
      <c r="N61" s="652"/>
      <c r="O61" s="652"/>
      <c r="P61" s="652"/>
      <c r="Q61" s="652"/>
      <c r="R61" s="652"/>
      <c r="S61" s="652"/>
      <c r="T61" s="652"/>
      <c r="U61" s="637"/>
      <c r="V61" s="754"/>
      <c r="W61" s="639"/>
      <c r="X61" s="639"/>
      <c r="Y61" s="604"/>
    </row>
    <row r="62" spans="1:25" ht="22.5" customHeight="1" thickTop="1" thickBot="1" x14ac:dyDescent="0.3">
      <c r="A62" s="638" t="s">
        <v>1377</v>
      </c>
      <c r="B62" s="638" t="s">
        <v>1381</v>
      </c>
      <c r="C62" s="628" t="s">
        <v>1381</v>
      </c>
      <c r="D62" s="628" t="s">
        <v>1381</v>
      </c>
      <c r="E62" s="638" t="s">
        <v>1381</v>
      </c>
      <c r="F62" s="638" t="s">
        <v>1381</v>
      </c>
      <c r="G62" s="628" t="s">
        <v>1422</v>
      </c>
      <c r="H62" s="628" t="s">
        <v>1447</v>
      </c>
      <c r="I62" s="628"/>
      <c r="J62" s="635" t="s">
        <v>1942</v>
      </c>
      <c r="K62" s="652"/>
      <c r="L62" s="652"/>
      <c r="M62" s="652"/>
      <c r="N62" s="652"/>
      <c r="O62" s="652"/>
      <c r="P62" s="652"/>
      <c r="Q62" s="652"/>
      <c r="R62" s="652"/>
      <c r="S62" s="652"/>
      <c r="T62" s="652"/>
      <c r="U62" s="637"/>
      <c r="V62" s="754"/>
      <c r="W62" s="639"/>
      <c r="X62" s="639"/>
      <c r="Y62" s="604"/>
    </row>
    <row r="63" spans="1:25" ht="22.5" customHeight="1" thickTop="1" thickBot="1" x14ac:dyDescent="0.3">
      <c r="A63" s="638" t="s">
        <v>1377</v>
      </c>
      <c r="B63" s="638" t="s">
        <v>1381</v>
      </c>
      <c r="C63" s="628" t="s">
        <v>1381</v>
      </c>
      <c r="D63" s="628" t="s">
        <v>1381</v>
      </c>
      <c r="E63" s="638" t="s">
        <v>1381</v>
      </c>
      <c r="F63" s="638" t="s">
        <v>1381</v>
      </c>
      <c r="G63" s="628" t="s">
        <v>1422</v>
      </c>
      <c r="H63" s="628" t="s">
        <v>1470</v>
      </c>
      <c r="I63" s="628"/>
      <c r="J63" s="635" t="s">
        <v>1943</v>
      </c>
      <c r="K63" s="652"/>
      <c r="L63" s="652"/>
      <c r="M63" s="652"/>
      <c r="N63" s="652"/>
      <c r="O63" s="652"/>
      <c r="P63" s="652"/>
      <c r="Q63" s="652"/>
      <c r="R63" s="652"/>
      <c r="S63" s="652"/>
      <c r="T63" s="652"/>
      <c r="U63" s="637"/>
      <c r="V63" s="754"/>
      <c r="W63" s="639"/>
      <c r="X63" s="639"/>
      <c r="Y63" s="604"/>
    </row>
    <row r="64" spans="1:25" ht="22.5" customHeight="1" thickTop="1" thickBot="1" x14ac:dyDescent="0.3">
      <c r="A64" s="638" t="s">
        <v>1377</v>
      </c>
      <c r="B64" s="638" t="s">
        <v>1381</v>
      </c>
      <c r="C64" s="628" t="s">
        <v>1381</v>
      </c>
      <c r="D64" s="628" t="s">
        <v>1381</v>
      </c>
      <c r="E64" s="638" t="s">
        <v>1381</v>
      </c>
      <c r="F64" s="638" t="s">
        <v>1381</v>
      </c>
      <c r="G64" s="628" t="s">
        <v>1422</v>
      </c>
      <c r="H64" s="628" t="s">
        <v>1474</v>
      </c>
      <c r="I64" s="628"/>
      <c r="J64" s="635" t="s">
        <v>1944</v>
      </c>
      <c r="K64" s="652"/>
      <c r="L64" s="652"/>
      <c r="M64" s="652"/>
      <c r="N64" s="652"/>
      <c r="O64" s="652"/>
      <c r="P64" s="652"/>
      <c r="Q64" s="652"/>
      <c r="R64" s="652"/>
      <c r="S64" s="652"/>
      <c r="T64" s="652"/>
      <c r="U64" s="637"/>
      <c r="V64" s="754"/>
      <c r="W64" s="639"/>
      <c r="X64" s="639"/>
      <c r="Y64" s="604"/>
    </row>
    <row r="65" spans="1:25" ht="22.5" customHeight="1" thickTop="1" thickBot="1" x14ac:dyDescent="0.3">
      <c r="A65" s="638" t="s">
        <v>1377</v>
      </c>
      <c r="B65" s="638" t="s">
        <v>1381</v>
      </c>
      <c r="C65" s="628" t="s">
        <v>1381</v>
      </c>
      <c r="D65" s="628" t="s">
        <v>1381</v>
      </c>
      <c r="E65" s="638" t="s">
        <v>1381</v>
      </c>
      <c r="F65" s="638" t="s">
        <v>1381</v>
      </c>
      <c r="G65" s="628" t="s">
        <v>1422</v>
      </c>
      <c r="H65" s="628" t="s">
        <v>1478</v>
      </c>
      <c r="I65" s="628"/>
      <c r="J65" s="635" t="s">
        <v>1941</v>
      </c>
      <c r="K65" s="652"/>
      <c r="L65" s="652"/>
      <c r="M65" s="652"/>
      <c r="N65" s="652"/>
      <c r="O65" s="652"/>
      <c r="P65" s="652"/>
      <c r="Q65" s="652"/>
      <c r="R65" s="652"/>
      <c r="S65" s="652"/>
      <c r="T65" s="652"/>
      <c r="U65" s="637"/>
      <c r="V65" s="754"/>
      <c r="W65" s="639"/>
      <c r="X65" s="639"/>
      <c r="Y65" s="604"/>
    </row>
    <row r="66" spans="1:25" ht="22.5" customHeight="1" thickTop="1" thickBot="1" x14ac:dyDescent="0.3">
      <c r="A66" s="612" t="s">
        <v>1377</v>
      </c>
      <c r="B66" s="613" t="s">
        <v>1381</v>
      </c>
      <c r="C66" s="613" t="s">
        <v>1394</v>
      </c>
      <c r="D66" s="613"/>
      <c r="E66" s="613"/>
      <c r="F66" s="614"/>
      <c r="G66" s="614"/>
      <c r="H66" s="614"/>
      <c r="I66" s="614"/>
      <c r="J66" s="615" t="s">
        <v>1401</v>
      </c>
      <c r="K66" s="616"/>
      <c r="L66" s="616"/>
      <c r="M66" s="616"/>
      <c r="N66" s="616"/>
      <c r="O66" s="616"/>
      <c r="P66" s="616"/>
      <c r="Q66" s="616"/>
      <c r="R66" s="616"/>
      <c r="S66" s="616"/>
      <c r="T66" s="616"/>
      <c r="U66" s="617"/>
      <c r="V66" s="612"/>
      <c r="W66" s="618" t="s">
        <v>1402</v>
      </c>
      <c r="X66" s="618" t="s">
        <v>1403</v>
      </c>
      <c r="Y66" s="604" t="s">
        <v>1379</v>
      </c>
    </row>
    <row r="67" spans="1:25" ht="22.5" customHeight="1" thickTop="1" thickBot="1" x14ac:dyDescent="0.3">
      <c r="A67" s="619" t="s">
        <v>1377</v>
      </c>
      <c r="B67" s="620" t="s">
        <v>1381</v>
      </c>
      <c r="C67" s="620" t="s">
        <v>1394</v>
      </c>
      <c r="D67" s="620" t="s">
        <v>1381</v>
      </c>
      <c r="E67" s="620"/>
      <c r="F67" s="621"/>
      <c r="G67" s="621"/>
      <c r="H67" s="621"/>
      <c r="I67" s="621"/>
      <c r="J67" s="622" t="s">
        <v>1404</v>
      </c>
      <c r="K67" s="623"/>
      <c r="L67" s="623"/>
      <c r="M67" s="623"/>
      <c r="N67" s="623"/>
      <c r="O67" s="623"/>
      <c r="P67" s="623"/>
      <c r="Q67" s="623"/>
      <c r="R67" s="623"/>
      <c r="S67" s="623"/>
      <c r="T67" s="623"/>
      <c r="U67" s="624"/>
      <c r="V67" s="620"/>
      <c r="W67" s="625" t="s">
        <v>1405</v>
      </c>
      <c r="X67" s="625" t="s">
        <v>1406</v>
      </c>
      <c r="Y67" s="604" t="s">
        <v>1379</v>
      </c>
    </row>
    <row r="68" spans="1:25" ht="22.5" customHeight="1" thickTop="1" thickBot="1" x14ac:dyDescent="0.3">
      <c r="A68" s="632" t="s">
        <v>1377</v>
      </c>
      <c r="B68" s="632" t="s">
        <v>1381</v>
      </c>
      <c r="C68" s="626" t="s">
        <v>1394</v>
      </c>
      <c r="D68" s="632" t="s">
        <v>1381</v>
      </c>
      <c r="E68" s="626" t="s">
        <v>1381</v>
      </c>
      <c r="F68" s="628"/>
      <c r="G68" s="628"/>
      <c r="H68" s="628"/>
      <c r="I68" s="628"/>
      <c r="J68" s="629" t="s">
        <v>1407</v>
      </c>
      <c r="K68" s="630"/>
      <c r="L68" s="630"/>
      <c r="M68" s="630"/>
      <c r="N68" s="630"/>
      <c r="O68" s="630"/>
      <c r="P68" s="630"/>
      <c r="Q68" s="630"/>
      <c r="R68" s="630"/>
      <c r="S68" s="630"/>
      <c r="T68" s="630"/>
      <c r="U68" s="631"/>
      <c r="V68" s="638"/>
      <c r="W68" s="639" t="s">
        <v>1408</v>
      </c>
      <c r="X68" s="639" t="s">
        <v>1379</v>
      </c>
      <c r="Y68" s="604" t="s">
        <v>1379</v>
      </c>
    </row>
    <row r="69" spans="1:25" ht="22.5" customHeight="1" thickTop="1" thickBot="1" x14ac:dyDescent="0.3">
      <c r="A69" s="638" t="s">
        <v>1377</v>
      </c>
      <c r="B69" s="638" t="s">
        <v>1381</v>
      </c>
      <c r="C69" s="628" t="s">
        <v>1394</v>
      </c>
      <c r="D69" s="638" t="s">
        <v>1381</v>
      </c>
      <c r="E69" s="638" t="s">
        <v>1381</v>
      </c>
      <c r="F69" s="626" t="s">
        <v>1381</v>
      </c>
      <c r="G69" s="628"/>
      <c r="H69" s="628"/>
      <c r="I69" s="628"/>
      <c r="J69" s="629" t="s">
        <v>1409</v>
      </c>
      <c r="K69" s="630"/>
      <c r="L69" s="630"/>
      <c r="M69" s="630"/>
      <c r="N69" s="630"/>
      <c r="O69" s="630"/>
      <c r="P69" s="630"/>
      <c r="Q69" s="630"/>
      <c r="R69" s="630"/>
      <c r="S69" s="630"/>
      <c r="T69" s="630"/>
      <c r="U69" s="631"/>
      <c r="V69" s="638"/>
      <c r="W69" s="639" t="s">
        <v>1410</v>
      </c>
      <c r="X69" s="639" t="s">
        <v>1411</v>
      </c>
      <c r="Y69" s="604" t="s">
        <v>1379</v>
      </c>
    </row>
    <row r="70" spans="1:25" ht="22.5" customHeight="1" thickTop="1" thickBot="1" x14ac:dyDescent="0.3">
      <c r="A70" s="638" t="s">
        <v>1377</v>
      </c>
      <c r="B70" s="638" t="s">
        <v>1381</v>
      </c>
      <c r="C70" s="628" t="s">
        <v>1394</v>
      </c>
      <c r="D70" s="638" t="s">
        <v>1381</v>
      </c>
      <c r="E70" s="638" t="s">
        <v>1381</v>
      </c>
      <c r="F70" s="638" t="s">
        <v>1381</v>
      </c>
      <c r="G70" s="626" t="s">
        <v>1381</v>
      </c>
      <c r="H70" s="628"/>
      <c r="I70" s="628"/>
      <c r="J70" s="629" t="s">
        <v>1412</v>
      </c>
      <c r="K70" s="630"/>
      <c r="L70" s="630"/>
      <c r="M70" s="630"/>
      <c r="N70" s="630"/>
      <c r="O70" s="630"/>
      <c r="P70" s="630"/>
      <c r="Q70" s="630"/>
      <c r="R70" s="630"/>
      <c r="S70" s="630"/>
      <c r="T70" s="630"/>
      <c r="U70" s="631"/>
      <c r="V70" s="638"/>
      <c r="W70" s="639"/>
      <c r="X70" s="639"/>
      <c r="Y70" s="604" t="s">
        <v>1379</v>
      </c>
    </row>
    <row r="71" spans="1:25" ht="22.5" customHeight="1" thickTop="1" thickBot="1" x14ac:dyDescent="0.3">
      <c r="A71" s="638" t="s">
        <v>1377</v>
      </c>
      <c r="B71" s="638" t="s">
        <v>1381</v>
      </c>
      <c r="C71" s="628" t="s">
        <v>1394</v>
      </c>
      <c r="D71" s="638" t="s">
        <v>1381</v>
      </c>
      <c r="E71" s="638" t="s">
        <v>1381</v>
      </c>
      <c r="F71" s="638" t="s">
        <v>1381</v>
      </c>
      <c r="G71" s="638" t="s">
        <v>1381</v>
      </c>
      <c r="H71" s="638" t="s">
        <v>1381</v>
      </c>
      <c r="I71" s="628"/>
      <c r="J71" s="635" t="s">
        <v>1413</v>
      </c>
      <c r="K71" s="636"/>
      <c r="L71" s="636"/>
      <c r="M71" s="636"/>
      <c r="N71" s="636"/>
      <c r="O71" s="636"/>
      <c r="P71" s="636"/>
      <c r="Q71" s="636"/>
      <c r="R71" s="636"/>
      <c r="S71" s="636"/>
      <c r="T71" s="636"/>
      <c r="U71" s="637"/>
      <c r="V71" s="638"/>
      <c r="W71" s="639"/>
      <c r="X71" s="639"/>
      <c r="Y71" s="604" t="s">
        <v>1379</v>
      </c>
    </row>
    <row r="72" spans="1:25" ht="22.5" customHeight="1" thickTop="1" thickBot="1" x14ac:dyDescent="0.3">
      <c r="A72" s="638" t="s">
        <v>1377</v>
      </c>
      <c r="B72" s="638" t="s">
        <v>1381</v>
      </c>
      <c r="C72" s="628" t="s">
        <v>1394</v>
      </c>
      <c r="D72" s="638" t="s">
        <v>1381</v>
      </c>
      <c r="E72" s="638" t="s">
        <v>1381</v>
      </c>
      <c r="F72" s="638" t="s">
        <v>1381</v>
      </c>
      <c r="G72" s="638" t="s">
        <v>1381</v>
      </c>
      <c r="H72" s="628" t="s">
        <v>1394</v>
      </c>
      <c r="I72" s="628"/>
      <c r="J72" s="635" t="s">
        <v>1414</v>
      </c>
      <c r="K72" s="636"/>
      <c r="L72" s="636"/>
      <c r="M72" s="636"/>
      <c r="N72" s="636"/>
      <c r="O72" s="636"/>
      <c r="P72" s="636"/>
      <c r="Q72" s="636"/>
      <c r="R72" s="636"/>
      <c r="S72" s="636"/>
      <c r="T72" s="636"/>
      <c r="U72" s="637"/>
      <c r="V72" s="638"/>
      <c r="W72" s="639"/>
      <c r="X72" s="639"/>
      <c r="Y72" s="604" t="s">
        <v>1379</v>
      </c>
    </row>
    <row r="73" spans="1:25" ht="22.5" customHeight="1" thickTop="1" thickBot="1" x14ac:dyDescent="0.3">
      <c r="A73" s="638" t="s">
        <v>1377</v>
      </c>
      <c r="B73" s="638" t="s">
        <v>1381</v>
      </c>
      <c r="C73" s="628" t="s">
        <v>1394</v>
      </c>
      <c r="D73" s="638" t="s">
        <v>1381</v>
      </c>
      <c r="E73" s="638" t="s">
        <v>1381</v>
      </c>
      <c r="F73" s="638" t="s">
        <v>1381</v>
      </c>
      <c r="G73" s="626" t="s">
        <v>1394</v>
      </c>
      <c r="H73" s="628"/>
      <c r="I73" s="628"/>
      <c r="J73" s="629" t="s">
        <v>1415</v>
      </c>
      <c r="K73" s="630"/>
      <c r="L73" s="630"/>
      <c r="M73" s="630"/>
      <c r="N73" s="630"/>
      <c r="O73" s="630"/>
      <c r="P73" s="630"/>
      <c r="Q73" s="630"/>
      <c r="R73" s="630"/>
      <c r="S73" s="630"/>
      <c r="T73" s="630"/>
      <c r="U73" s="631"/>
      <c r="V73" s="638"/>
      <c r="W73" s="639"/>
      <c r="X73" s="639"/>
      <c r="Y73" s="604" t="s">
        <v>1379</v>
      </c>
    </row>
    <row r="74" spans="1:25" ht="22.5" customHeight="1" thickTop="1" thickBot="1" x14ac:dyDescent="0.3">
      <c r="A74" s="638" t="s">
        <v>1377</v>
      </c>
      <c r="B74" s="638" t="s">
        <v>1381</v>
      </c>
      <c r="C74" s="628" t="s">
        <v>1394</v>
      </c>
      <c r="D74" s="638" t="s">
        <v>1381</v>
      </c>
      <c r="E74" s="638" t="s">
        <v>1381</v>
      </c>
      <c r="F74" s="638" t="s">
        <v>1381</v>
      </c>
      <c r="G74" s="628" t="s">
        <v>1394</v>
      </c>
      <c r="H74" s="628" t="s">
        <v>1381</v>
      </c>
      <c r="I74" s="628"/>
      <c r="J74" s="635" t="s">
        <v>1416</v>
      </c>
      <c r="K74" s="636"/>
      <c r="L74" s="636"/>
      <c r="M74" s="636"/>
      <c r="N74" s="636"/>
      <c r="O74" s="636"/>
      <c r="P74" s="636"/>
      <c r="Q74" s="636"/>
      <c r="R74" s="636"/>
      <c r="S74" s="636"/>
      <c r="T74" s="636"/>
      <c r="U74" s="637"/>
      <c r="V74" s="638"/>
      <c r="W74" s="639"/>
      <c r="X74" s="639"/>
      <c r="Y74" s="604" t="s">
        <v>1379</v>
      </c>
    </row>
    <row r="75" spans="1:25" ht="22.5" customHeight="1" thickTop="1" thickBot="1" x14ac:dyDescent="0.3">
      <c r="A75" s="638" t="s">
        <v>1377</v>
      </c>
      <c r="B75" s="638" t="s">
        <v>1381</v>
      </c>
      <c r="C75" s="628" t="s">
        <v>1394</v>
      </c>
      <c r="D75" s="638" t="s">
        <v>1381</v>
      </c>
      <c r="E75" s="638" t="s">
        <v>1381</v>
      </c>
      <c r="F75" s="638" t="s">
        <v>1381</v>
      </c>
      <c r="G75" s="628" t="s">
        <v>1394</v>
      </c>
      <c r="H75" s="628" t="s">
        <v>1394</v>
      </c>
      <c r="I75" s="628"/>
      <c r="J75" s="635" t="s">
        <v>1417</v>
      </c>
      <c r="K75" s="636"/>
      <c r="L75" s="636"/>
      <c r="M75" s="636"/>
      <c r="N75" s="636"/>
      <c r="O75" s="636"/>
      <c r="P75" s="636"/>
      <c r="Q75" s="636"/>
      <c r="R75" s="636"/>
      <c r="S75" s="636"/>
      <c r="T75" s="636"/>
      <c r="U75" s="637"/>
      <c r="V75" s="638"/>
      <c r="W75" s="639"/>
      <c r="X75" s="639"/>
      <c r="Y75" s="604" t="s">
        <v>1379</v>
      </c>
    </row>
    <row r="76" spans="1:25" ht="22.5" customHeight="1" thickTop="1" thickBot="1" x14ac:dyDescent="0.3">
      <c r="A76" s="638" t="s">
        <v>1377</v>
      </c>
      <c r="B76" s="638" t="s">
        <v>1381</v>
      </c>
      <c r="C76" s="628" t="s">
        <v>1394</v>
      </c>
      <c r="D76" s="638" t="s">
        <v>1381</v>
      </c>
      <c r="E76" s="638" t="s">
        <v>1381</v>
      </c>
      <c r="F76" s="638" t="s">
        <v>1381</v>
      </c>
      <c r="G76" s="626" t="s">
        <v>1418</v>
      </c>
      <c r="H76" s="628"/>
      <c r="I76" s="628"/>
      <c r="J76" s="629" t="s">
        <v>1419</v>
      </c>
      <c r="K76" s="630"/>
      <c r="L76" s="630"/>
      <c r="M76" s="630"/>
      <c r="N76" s="630"/>
      <c r="O76" s="630"/>
      <c r="P76" s="630"/>
      <c r="Q76" s="630"/>
      <c r="R76" s="630"/>
      <c r="S76" s="630"/>
      <c r="T76" s="630"/>
      <c r="U76" s="631"/>
      <c r="V76" s="638"/>
      <c r="W76" s="639"/>
      <c r="X76" s="639"/>
      <c r="Y76" s="604" t="s">
        <v>1379</v>
      </c>
    </row>
    <row r="77" spans="1:25" ht="22.5" customHeight="1" thickTop="1" thickBot="1" x14ac:dyDescent="0.3">
      <c r="A77" s="638" t="s">
        <v>1377</v>
      </c>
      <c r="B77" s="638" t="s">
        <v>1381</v>
      </c>
      <c r="C77" s="628" t="s">
        <v>1394</v>
      </c>
      <c r="D77" s="638" t="s">
        <v>1381</v>
      </c>
      <c r="E77" s="638" t="s">
        <v>1381</v>
      </c>
      <c r="F77" s="638" t="s">
        <v>1381</v>
      </c>
      <c r="G77" s="628" t="s">
        <v>1418</v>
      </c>
      <c r="H77" s="628" t="s">
        <v>1381</v>
      </c>
      <c r="I77" s="628"/>
      <c r="J77" s="635" t="s">
        <v>1420</v>
      </c>
      <c r="K77" s="636"/>
      <c r="L77" s="636"/>
      <c r="M77" s="636"/>
      <c r="N77" s="636"/>
      <c r="O77" s="636"/>
      <c r="P77" s="636"/>
      <c r="Q77" s="636"/>
      <c r="R77" s="636"/>
      <c r="S77" s="636"/>
      <c r="T77" s="636"/>
      <c r="U77" s="637"/>
      <c r="V77" s="638"/>
      <c r="W77" s="639"/>
      <c r="X77" s="639"/>
      <c r="Y77" s="604" t="s">
        <v>1379</v>
      </c>
    </row>
    <row r="78" spans="1:25" ht="22.5" customHeight="1" thickTop="1" thickBot="1" x14ac:dyDescent="0.3">
      <c r="A78" s="638" t="s">
        <v>1377</v>
      </c>
      <c r="B78" s="638" t="s">
        <v>1381</v>
      </c>
      <c r="C78" s="628" t="s">
        <v>1394</v>
      </c>
      <c r="D78" s="638" t="s">
        <v>1381</v>
      </c>
      <c r="E78" s="638" t="s">
        <v>1381</v>
      </c>
      <c r="F78" s="638" t="s">
        <v>1381</v>
      </c>
      <c r="G78" s="628" t="s">
        <v>1418</v>
      </c>
      <c r="H78" s="628" t="s">
        <v>1394</v>
      </c>
      <c r="I78" s="628"/>
      <c r="J78" s="635" t="s">
        <v>1421</v>
      </c>
      <c r="K78" s="636"/>
      <c r="L78" s="636"/>
      <c r="M78" s="636"/>
      <c r="N78" s="636"/>
      <c r="O78" s="636"/>
      <c r="P78" s="636"/>
      <c r="Q78" s="636"/>
      <c r="R78" s="636"/>
      <c r="S78" s="636"/>
      <c r="T78" s="636"/>
      <c r="U78" s="637"/>
      <c r="V78" s="638"/>
      <c r="W78" s="639"/>
      <c r="X78" s="639"/>
      <c r="Y78" s="604" t="s">
        <v>1379</v>
      </c>
    </row>
    <row r="79" spans="1:25" ht="22.5" customHeight="1" thickTop="1" thickBot="1" x14ac:dyDescent="0.3">
      <c r="A79" s="638" t="s">
        <v>1377</v>
      </c>
      <c r="B79" s="638" t="s">
        <v>1381</v>
      </c>
      <c r="C79" s="628" t="s">
        <v>1394</v>
      </c>
      <c r="D79" s="638" t="s">
        <v>1381</v>
      </c>
      <c r="E79" s="638" t="s">
        <v>1381</v>
      </c>
      <c r="F79" s="638" t="s">
        <v>1381</v>
      </c>
      <c r="G79" s="626" t="s">
        <v>1422</v>
      </c>
      <c r="H79" s="628"/>
      <c r="I79" s="628"/>
      <c r="J79" s="641" t="s">
        <v>1423</v>
      </c>
      <c r="K79" s="642"/>
      <c r="L79" s="642"/>
      <c r="M79" s="642"/>
      <c r="N79" s="642"/>
      <c r="O79" s="642"/>
      <c r="P79" s="642"/>
      <c r="Q79" s="642"/>
      <c r="R79" s="642"/>
      <c r="S79" s="642"/>
      <c r="T79" s="642"/>
      <c r="U79" s="643"/>
      <c r="V79" s="638"/>
      <c r="W79" s="639"/>
      <c r="X79" s="639"/>
      <c r="Y79" s="604" t="s">
        <v>1379</v>
      </c>
    </row>
    <row r="80" spans="1:25" ht="22.5" customHeight="1" thickTop="1" thickBot="1" x14ac:dyDescent="0.3">
      <c r="A80" s="638" t="s">
        <v>1377</v>
      </c>
      <c r="B80" s="638" t="s">
        <v>1381</v>
      </c>
      <c r="C80" s="628" t="s">
        <v>1394</v>
      </c>
      <c r="D80" s="638" t="s">
        <v>1381</v>
      </c>
      <c r="E80" s="638" t="s">
        <v>1381</v>
      </c>
      <c r="F80" s="638" t="s">
        <v>1381</v>
      </c>
      <c r="G80" s="628" t="s">
        <v>1422</v>
      </c>
      <c r="H80" s="628" t="s">
        <v>1381</v>
      </c>
      <c r="I80" s="628"/>
      <c r="J80" s="644" t="s">
        <v>1424</v>
      </c>
      <c r="K80" s="645"/>
      <c r="L80" s="645"/>
      <c r="M80" s="645"/>
      <c r="N80" s="636"/>
      <c r="O80" s="645"/>
      <c r="P80" s="645"/>
      <c r="Q80" s="645"/>
      <c r="R80" s="645"/>
      <c r="S80" s="636"/>
      <c r="T80" s="645"/>
      <c r="U80" s="646"/>
      <c r="V80" s="638"/>
      <c r="W80" s="639"/>
      <c r="X80" s="639"/>
      <c r="Y80" s="604" t="s">
        <v>1379</v>
      </c>
    </row>
    <row r="81" spans="1:25" ht="22.5" customHeight="1" thickTop="1" thickBot="1" x14ac:dyDescent="0.3">
      <c r="A81" s="638" t="s">
        <v>1377</v>
      </c>
      <c r="B81" s="638" t="s">
        <v>1381</v>
      </c>
      <c r="C81" s="628" t="s">
        <v>1394</v>
      </c>
      <c r="D81" s="638" t="s">
        <v>1381</v>
      </c>
      <c r="E81" s="638" t="s">
        <v>1381</v>
      </c>
      <c r="F81" s="638" t="s">
        <v>1381</v>
      </c>
      <c r="G81" s="628" t="s">
        <v>1422</v>
      </c>
      <c r="H81" s="628" t="s">
        <v>1394</v>
      </c>
      <c r="I81" s="628"/>
      <c r="J81" s="644" t="s">
        <v>1425</v>
      </c>
      <c r="K81" s="645"/>
      <c r="L81" s="645"/>
      <c r="M81" s="645"/>
      <c r="N81" s="636"/>
      <c r="O81" s="645"/>
      <c r="P81" s="645"/>
      <c r="Q81" s="645"/>
      <c r="R81" s="645"/>
      <c r="S81" s="636"/>
      <c r="T81" s="645"/>
      <c r="U81" s="646"/>
      <c r="V81" s="638"/>
      <c r="W81" s="639"/>
      <c r="X81" s="639"/>
      <c r="Y81" s="604" t="s">
        <v>1379</v>
      </c>
    </row>
    <row r="82" spans="1:25" ht="22.5" customHeight="1" thickTop="1" thickBot="1" x14ac:dyDescent="0.3">
      <c r="A82" s="619" t="s">
        <v>1377</v>
      </c>
      <c r="B82" s="620" t="s">
        <v>1381</v>
      </c>
      <c r="C82" s="620" t="s">
        <v>1394</v>
      </c>
      <c r="D82" s="620" t="s">
        <v>1394</v>
      </c>
      <c r="E82" s="620"/>
      <c r="F82" s="621"/>
      <c r="G82" s="621"/>
      <c r="H82" s="621"/>
      <c r="I82" s="621"/>
      <c r="J82" s="622" t="s">
        <v>1426</v>
      </c>
      <c r="K82" s="623"/>
      <c r="L82" s="623"/>
      <c r="M82" s="623"/>
      <c r="N82" s="623"/>
      <c r="O82" s="623"/>
      <c r="P82" s="623"/>
      <c r="Q82" s="623"/>
      <c r="R82" s="623"/>
      <c r="S82" s="623"/>
      <c r="T82" s="623"/>
      <c r="U82" s="624"/>
      <c r="V82" s="620"/>
      <c r="W82" s="625"/>
      <c r="X82" s="625"/>
      <c r="Y82" s="604" t="s">
        <v>1379</v>
      </c>
    </row>
    <row r="83" spans="1:25" ht="22.5" customHeight="1" thickTop="1" thickBot="1" x14ac:dyDescent="0.3">
      <c r="A83" s="619">
        <v>1</v>
      </c>
      <c r="B83" s="620" t="s">
        <v>1381</v>
      </c>
      <c r="C83" s="620" t="s">
        <v>1394</v>
      </c>
      <c r="D83" s="620" t="s">
        <v>1394</v>
      </c>
      <c r="E83" s="620" t="s">
        <v>1381</v>
      </c>
      <c r="F83" s="621"/>
      <c r="G83" s="621"/>
      <c r="H83" s="621"/>
      <c r="I83" s="621"/>
      <c r="J83" s="622" t="s">
        <v>1427</v>
      </c>
      <c r="K83" s="623"/>
      <c r="L83" s="623"/>
      <c r="M83" s="623"/>
      <c r="N83" s="623"/>
      <c r="O83" s="623"/>
      <c r="P83" s="623"/>
      <c r="Q83" s="623"/>
      <c r="R83" s="623"/>
      <c r="S83" s="623"/>
      <c r="T83" s="623"/>
      <c r="U83" s="624"/>
      <c r="V83" s="620"/>
      <c r="W83" s="625"/>
      <c r="X83" s="625"/>
      <c r="Y83" s="604"/>
    </row>
    <row r="84" spans="1:25" s="183" customFormat="1" ht="22.5" customHeight="1" thickTop="1" thickBot="1" x14ac:dyDescent="0.3">
      <c r="A84" s="632" t="s">
        <v>1377</v>
      </c>
      <c r="B84" s="632" t="s">
        <v>1381</v>
      </c>
      <c r="C84" s="626" t="s">
        <v>1394</v>
      </c>
      <c r="D84" s="626" t="s">
        <v>1394</v>
      </c>
      <c r="E84" s="627" t="s">
        <v>1381</v>
      </c>
      <c r="F84" s="626" t="s">
        <v>1381</v>
      </c>
      <c r="G84" s="626"/>
      <c r="H84" s="628"/>
      <c r="I84" s="628"/>
      <c r="J84" s="629" t="s">
        <v>1428</v>
      </c>
      <c r="K84" s="630"/>
      <c r="L84" s="630"/>
      <c r="M84" s="630"/>
      <c r="N84" s="630"/>
      <c r="O84" s="630"/>
      <c r="P84" s="630"/>
      <c r="Q84" s="630"/>
      <c r="R84" s="630"/>
      <c r="S84" s="630"/>
      <c r="T84" s="630"/>
      <c r="U84" s="631"/>
      <c r="V84" s="632"/>
      <c r="W84" s="633"/>
      <c r="X84" s="633"/>
      <c r="Y84" s="604" t="s">
        <v>1379</v>
      </c>
    </row>
    <row r="85" spans="1:25" s="640" customFormat="1" ht="22.5" customHeight="1" thickTop="1" thickBot="1" x14ac:dyDescent="0.3">
      <c r="A85" s="638" t="s">
        <v>1377</v>
      </c>
      <c r="B85" s="638" t="s">
        <v>1381</v>
      </c>
      <c r="C85" s="628" t="s">
        <v>1394</v>
      </c>
      <c r="D85" s="628" t="s">
        <v>1394</v>
      </c>
      <c r="E85" s="638" t="s">
        <v>1381</v>
      </c>
      <c r="F85" s="628" t="s">
        <v>1381</v>
      </c>
      <c r="G85" s="626" t="s">
        <v>1381</v>
      </c>
      <c r="H85" s="628"/>
      <c r="I85" s="628"/>
      <c r="J85" s="629" t="s">
        <v>1429</v>
      </c>
      <c r="K85" s="636"/>
      <c r="L85" s="636"/>
      <c r="M85" s="636"/>
      <c r="N85" s="636"/>
      <c r="O85" s="636"/>
      <c r="P85" s="636"/>
      <c r="Q85" s="636"/>
      <c r="R85" s="636"/>
      <c r="S85" s="636"/>
      <c r="T85" s="636"/>
      <c r="U85" s="637"/>
      <c r="V85" s="638"/>
      <c r="W85" s="639" t="s">
        <v>1430</v>
      </c>
      <c r="X85" s="639" t="s">
        <v>1431</v>
      </c>
      <c r="Y85" s="647" t="s">
        <v>1379</v>
      </c>
    </row>
    <row r="86" spans="1:25" s="640" customFormat="1" ht="22.5" customHeight="1" thickTop="1" thickBot="1" x14ac:dyDescent="0.3">
      <c r="A86" s="638" t="s">
        <v>1377</v>
      </c>
      <c r="B86" s="638" t="s">
        <v>1381</v>
      </c>
      <c r="C86" s="628" t="s">
        <v>1394</v>
      </c>
      <c r="D86" s="628" t="s">
        <v>1394</v>
      </c>
      <c r="E86" s="638" t="s">
        <v>1381</v>
      </c>
      <c r="F86" s="638" t="s">
        <v>1381</v>
      </c>
      <c r="G86" s="628" t="s">
        <v>1381</v>
      </c>
      <c r="H86" s="628" t="s">
        <v>1381</v>
      </c>
      <c r="I86" s="628"/>
      <c r="J86" s="635" t="s">
        <v>1432</v>
      </c>
      <c r="K86" s="636"/>
      <c r="L86" s="636"/>
      <c r="M86" s="636"/>
      <c r="N86" s="636"/>
      <c r="O86" s="636"/>
      <c r="P86" s="636"/>
      <c r="Q86" s="636"/>
      <c r="R86" s="636"/>
      <c r="S86" s="636"/>
      <c r="T86" s="636"/>
      <c r="U86" s="637"/>
      <c r="V86" s="638"/>
      <c r="W86" s="639"/>
      <c r="X86" s="639"/>
      <c r="Y86" s="647" t="s">
        <v>1379</v>
      </c>
    </row>
    <row r="87" spans="1:25" s="640" customFormat="1" ht="22.5" customHeight="1" thickTop="1" thickBot="1" x14ac:dyDescent="0.3">
      <c r="A87" s="638" t="s">
        <v>1377</v>
      </c>
      <c r="B87" s="638" t="s">
        <v>1381</v>
      </c>
      <c r="C87" s="628" t="s">
        <v>1394</v>
      </c>
      <c r="D87" s="628" t="s">
        <v>1394</v>
      </c>
      <c r="E87" s="638" t="s">
        <v>1381</v>
      </c>
      <c r="F87" s="638" t="s">
        <v>1381</v>
      </c>
      <c r="G87" s="628" t="s">
        <v>1381</v>
      </c>
      <c r="H87" s="628" t="s">
        <v>1394</v>
      </c>
      <c r="I87" s="628"/>
      <c r="J87" s="635" t="s">
        <v>1433</v>
      </c>
      <c r="K87" s="636"/>
      <c r="L87" s="636"/>
      <c r="M87" s="636"/>
      <c r="N87" s="636"/>
      <c r="O87" s="636"/>
      <c r="P87" s="636"/>
      <c r="Q87" s="636"/>
      <c r="R87" s="636"/>
      <c r="S87" s="636"/>
      <c r="T87" s="636"/>
      <c r="U87" s="637"/>
      <c r="V87" s="638"/>
      <c r="W87" s="639"/>
      <c r="X87" s="639"/>
      <c r="Y87" s="647" t="s">
        <v>1379</v>
      </c>
    </row>
    <row r="88" spans="1:25" s="640" customFormat="1" ht="22.5" customHeight="1" thickTop="1" thickBot="1" x14ac:dyDescent="0.3">
      <c r="A88" s="638" t="s">
        <v>1377</v>
      </c>
      <c r="B88" s="638" t="s">
        <v>1381</v>
      </c>
      <c r="C88" s="628" t="s">
        <v>1394</v>
      </c>
      <c r="D88" s="628" t="s">
        <v>1394</v>
      </c>
      <c r="E88" s="638" t="s">
        <v>1381</v>
      </c>
      <c r="F88" s="638" t="s">
        <v>1381</v>
      </c>
      <c r="G88" s="628" t="s">
        <v>1381</v>
      </c>
      <c r="H88" s="628" t="s">
        <v>1418</v>
      </c>
      <c r="I88" s="628"/>
      <c r="J88" s="635" t="s">
        <v>1885</v>
      </c>
      <c r="K88" s="636"/>
      <c r="L88" s="636"/>
      <c r="M88" s="636"/>
      <c r="N88" s="636"/>
      <c r="O88" s="636"/>
      <c r="P88" s="636"/>
      <c r="Q88" s="636"/>
      <c r="R88" s="636"/>
      <c r="S88" s="636"/>
      <c r="T88" s="636"/>
      <c r="U88" s="637"/>
      <c r="V88" s="638"/>
      <c r="W88" s="639"/>
      <c r="X88" s="639"/>
      <c r="Y88" s="647"/>
    </row>
    <row r="89" spans="1:25" s="640" customFormat="1" ht="22.5" customHeight="1" thickTop="1" thickBot="1" x14ac:dyDescent="0.3">
      <c r="A89" s="638" t="s">
        <v>1377</v>
      </c>
      <c r="B89" s="638" t="s">
        <v>1381</v>
      </c>
      <c r="C89" s="628" t="s">
        <v>1394</v>
      </c>
      <c r="D89" s="628" t="s">
        <v>1394</v>
      </c>
      <c r="E89" s="638" t="s">
        <v>1381</v>
      </c>
      <c r="F89" s="638" t="s">
        <v>1381</v>
      </c>
      <c r="G89" s="628" t="s">
        <v>1381</v>
      </c>
      <c r="H89" s="628" t="s">
        <v>1422</v>
      </c>
      <c r="I89" s="628"/>
      <c r="J89" s="635" t="s">
        <v>1886</v>
      </c>
      <c r="K89" s="636"/>
      <c r="L89" s="636"/>
      <c r="M89" s="636"/>
      <c r="N89" s="636"/>
      <c r="O89" s="636"/>
      <c r="P89" s="636"/>
      <c r="Q89" s="636"/>
      <c r="R89" s="636"/>
      <c r="S89" s="636"/>
      <c r="T89" s="636"/>
      <c r="U89" s="637"/>
      <c r="V89" s="638"/>
      <c r="W89" s="639"/>
      <c r="X89" s="639"/>
      <c r="Y89" s="647"/>
    </row>
    <row r="90" spans="1:25" s="640" customFormat="1" ht="22.5" customHeight="1" thickTop="1" thickBot="1" x14ac:dyDescent="0.3">
      <c r="A90" s="638" t="s">
        <v>1377</v>
      </c>
      <c r="B90" s="638" t="s">
        <v>1381</v>
      </c>
      <c r="C90" s="628" t="s">
        <v>1394</v>
      </c>
      <c r="D90" s="628" t="s">
        <v>1394</v>
      </c>
      <c r="E90" s="638" t="s">
        <v>1381</v>
      </c>
      <c r="F90" s="638" t="s">
        <v>1381</v>
      </c>
      <c r="G90" s="628" t="s">
        <v>1381</v>
      </c>
      <c r="H90" s="628" t="s">
        <v>1447</v>
      </c>
      <c r="I90" s="628"/>
      <c r="J90" s="635" t="s">
        <v>1887</v>
      </c>
      <c r="K90" s="636"/>
      <c r="L90" s="636"/>
      <c r="M90" s="636"/>
      <c r="N90" s="636"/>
      <c r="O90" s="636"/>
      <c r="P90" s="636"/>
      <c r="Q90" s="636"/>
      <c r="R90" s="636"/>
      <c r="S90" s="636"/>
      <c r="T90" s="636"/>
      <c r="U90" s="637"/>
      <c r="V90" s="638"/>
      <c r="W90" s="639"/>
      <c r="X90" s="639"/>
      <c r="Y90" s="647"/>
    </row>
    <row r="91" spans="1:25" s="640" customFormat="1" ht="22.5" customHeight="1" thickTop="1" thickBot="1" x14ac:dyDescent="0.3">
      <c r="A91" s="638" t="s">
        <v>1377</v>
      </c>
      <c r="B91" s="638" t="s">
        <v>1381</v>
      </c>
      <c r="C91" s="628" t="s">
        <v>1394</v>
      </c>
      <c r="D91" s="628" t="s">
        <v>1394</v>
      </c>
      <c r="E91" s="638" t="s">
        <v>1381</v>
      </c>
      <c r="F91" s="638" t="s">
        <v>1381</v>
      </c>
      <c r="G91" s="628" t="s">
        <v>1381</v>
      </c>
      <c r="H91" s="628" t="s">
        <v>1470</v>
      </c>
      <c r="I91" s="628"/>
      <c r="J91" s="635" t="s">
        <v>1888</v>
      </c>
      <c r="K91" s="636"/>
      <c r="L91" s="636"/>
      <c r="M91" s="636"/>
      <c r="N91" s="636"/>
      <c r="O91" s="636"/>
      <c r="P91" s="636"/>
      <c r="Q91" s="636"/>
      <c r="R91" s="636"/>
      <c r="S91" s="636"/>
      <c r="T91" s="636"/>
      <c r="U91" s="637"/>
      <c r="V91" s="638"/>
      <c r="W91" s="639"/>
      <c r="X91" s="639"/>
      <c r="Y91" s="647"/>
    </row>
    <row r="92" spans="1:25" s="640" customFormat="1" ht="22.5" customHeight="1" thickTop="1" thickBot="1" x14ac:dyDescent="0.3">
      <c r="A92" s="638" t="s">
        <v>1377</v>
      </c>
      <c r="B92" s="638" t="s">
        <v>1381</v>
      </c>
      <c r="C92" s="628" t="s">
        <v>1394</v>
      </c>
      <c r="D92" s="628" t="s">
        <v>1394</v>
      </c>
      <c r="E92" s="638" t="s">
        <v>1381</v>
      </c>
      <c r="F92" s="638" t="s">
        <v>1381</v>
      </c>
      <c r="G92" s="628" t="s">
        <v>1381</v>
      </c>
      <c r="H92" s="628" t="s">
        <v>1474</v>
      </c>
      <c r="I92" s="628"/>
      <c r="J92" s="635" t="s">
        <v>1889</v>
      </c>
      <c r="K92" s="636"/>
      <c r="L92" s="636"/>
      <c r="M92" s="636"/>
      <c r="N92" s="636"/>
      <c r="O92" s="636"/>
      <c r="P92" s="636"/>
      <c r="Q92" s="636"/>
      <c r="R92" s="636"/>
      <c r="S92" s="636"/>
      <c r="T92" s="636"/>
      <c r="U92" s="637"/>
      <c r="V92" s="638"/>
      <c r="W92" s="639"/>
      <c r="X92" s="639"/>
      <c r="Y92" s="647"/>
    </row>
    <row r="93" spans="1:25" s="640" customFormat="1" ht="22.5" customHeight="1" thickTop="1" thickBot="1" x14ac:dyDescent="0.3">
      <c r="A93" s="638" t="s">
        <v>1377</v>
      </c>
      <c r="B93" s="638" t="s">
        <v>1381</v>
      </c>
      <c r="C93" s="628" t="s">
        <v>1394</v>
      </c>
      <c r="D93" s="628" t="s">
        <v>1394</v>
      </c>
      <c r="E93" s="638" t="s">
        <v>1381</v>
      </c>
      <c r="F93" s="638" t="s">
        <v>1381</v>
      </c>
      <c r="G93" s="628" t="s">
        <v>1381</v>
      </c>
      <c r="H93" s="628" t="s">
        <v>1478</v>
      </c>
      <c r="I93" s="628"/>
      <c r="J93" s="635" t="s">
        <v>1886</v>
      </c>
      <c r="K93" s="636"/>
      <c r="L93" s="636"/>
      <c r="M93" s="636"/>
      <c r="N93" s="636"/>
      <c r="O93" s="636"/>
      <c r="P93" s="636"/>
      <c r="Q93" s="636"/>
      <c r="R93" s="636"/>
      <c r="S93" s="636"/>
      <c r="T93" s="636"/>
      <c r="U93" s="637"/>
      <c r="V93" s="638"/>
      <c r="W93" s="639"/>
      <c r="X93" s="639"/>
      <c r="Y93" s="647"/>
    </row>
    <row r="94" spans="1:25" s="640" customFormat="1" ht="22.5" customHeight="1" thickTop="1" thickBot="1" x14ac:dyDescent="0.3">
      <c r="A94" s="638" t="s">
        <v>1377</v>
      </c>
      <c r="B94" s="638" t="s">
        <v>1381</v>
      </c>
      <c r="C94" s="628" t="s">
        <v>1394</v>
      </c>
      <c r="D94" s="628" t="s">
        <v>1394</v>
      </c>
      <c r="E94" s="638" t="s">
        <v>1381</v>
      </c>
      <c r="F94" s="638" t="s">
        <v>1381</v>
      </c>
      <c r="G94" s="626" t="s">
        <v>1394</v>
      </c>
      <c r="H94" s="628"/>
      <c r="I94" s="628"/>
      <c r="J94" s="629" t="s">
        <v>1434</v>
      </c>
      <c r="K94" s="636"/>
      <c r="L94" s="636"/>
      <c r="M94" s="636"/>
      <c r="N94" s="636"/>
      <c r="O94" s="636"/>
      <c r="P94" s="636"/>
      <c r="Q94" s="636"/>
      <c r="R94" s="636"/>
      <c r="S94" s="636"/>
      <c r="T94" s="636"/>
      <c r="U94" s="637"/>
      <c r="V94" s="638"/>
      <c r="W94" s="639" t="s">
        <v>1435</v>
      </c>
      <c r="X94" s="639" t="s">
        <v>1436</v>
      </c>
      <c r="Y94" s="647" t="s">
        <v>1379</v>
      </c>
    </row>
    <row r="95" spans="1:25" s="640" customFormat="1" ht="22.5" customHeight="1" thickTop="1" thickBot="1" x14ac:dyDescent="0.3">
      <c r="A95" s="638" t="s">
        <v>1377</v>
      </c>
      <c r="B95" s="638" t="s">
        <v>1381</v>
      </c>
      <c r="C95" s="628" t="s">
        <v>1394</v>
      </c>
      <c r="D95" s="628" t="s">
        <v>1394</v>
      </c>
      <c r="E95" s="638" t="s">
        <v>1381</v>
      </c>
      <c r="F95" s="638" t="s">
        <v>1381</v>
      </c>
      <c r="G95" s="628" t="s">
        <v>1394</v>
      </c>
      <c r="H95" s="628" t="s">
        <v>1381</v>
      </c>
      <c r="I95" s="628"/>
      <c r="J95" s="635" t="s">
        <v>1437</v>
      </c>
      <c r="K95" s="636"/>
      <c r="L95" s="636"/>
      <c r="M95" s="636"/>
      <c r="N95" s="636"/>
      <c r="O95" s="636"/>
      <c r="P95" s="636"/>
      <c r="Q95" s="636"/>
      <c r="R95" s="636"/>
      <c r="S95" s="636"/>
      <c r="T95" s="636"/>
      <c r="U95" s="637"/>
      <c r="V95" s="638"/>
      <c r="W95" s="639"/>
      <c r="X95" s="639"/>
      <c r="Y95" s="647" t="s">
        <v>1379</v>
      </c>
    </row>
    <row r="96" spans="1:25" s="640" customFormat="1" ht="22.5" customHeight="1" thickTop="1" thickBot="1" x14ac:dyDescent="0.3">
      <c r="A96" s="638" t="s">
        <v>1377</v>
      </c>
      <c r="B96" s="638" t="s">
        <v>1381</v>
      </c>
      <c r="C96" s="628" t="s">
        <v>1394</v>
      </c>
      <c r="D96" s="628" t="s">
        <v>1394</v>
      </c>
      <c r="E96" s="638" t="s">
        <v>1381</v>
      </c>
      <c r="F96" s="638" t="s">
        <v>1381</v>
      </c>
      <c r="G96" s="628" t="s">
        <v>1394</v>
      </c>
      <c r="H96" s="628" t="s">
        <v>1394</v>
      </c>
      <c r="I96" s="628"/>
      <c r="J96" s="635" t="s">
        <v>1438</v>
      </c>
      <c r="K96" s="636"/>
      <c r="L96" s="636"/>
      <c r="M96" s="636"/>
      <c r="N96" s="636"/>
      <c r="O96" s="636"/>
      <c r="P96" s="636"/>
      <c r="Q96" s="636"/>
      <c r="R96" s="636"/>
      <c r="S96" s="636"/>
      <c r="T96" s="636"/>
      <c r="U96" s="637"/>
      <c r="V96" s="638"/>
      <c r="W96" s="639"/>
      <c r="X96" s="639"/>
      <c r="Y96" s="647" t="s">
        <v>1379</v>
      </c>
    </row>
    <row r="97" spans="1:25" s="640" customFormat="1" ht="22.5" customHeight="1" thickTop="1" thickBot="1" x14ac:dyDescent="0.3">
      <c r="A97" s="638" t="s">
        <v>1377</v>
      </c>
      <c r="B97" s="638" t="s">
        <v>1381</v>
      </c>
      <c r="C97" s="628" t="s">
        <v>1394</v>
      </c>
      <c r="D97" s="628" t="s">
        <v>1394</v>
      </c>
      <c r="E97" s="638" t="s">
        <v>1381</v>
      </c>
      <c r="F97" s="638" t="s">
        <v>1381</v>
      </c>
      <c r="G97" s="628" t="s">
        <v>1394</v>
      </c>
      <c r="H97" s="628" t="s">
        <v>1418</v>
      </c>
      <c r="I97" s="628"/>
      <c r="J97" s="635" t="s">
        <v>1890</v>
      </c>
      <c r="K97" s="636"/>
      <c r="L97" s="636"/>
      <c r="M97" s="636"/>
      <c r="N97" s="636"/>
      <c r="O97" s="636"/>
      <c r="P97" s="636"/>
      <c r="Q97" s="636"/>
      <c r="R97" s="636"/>
      <c r="S97" s="636"/>
      <c r="T97" s="636"/>
      <c r="U97" s="637"/>
      <c r="V97" s="638"/>
      <c r="W97" s="639"/>
      <c r="X97" s="639"/>
      <c r="Y97" s="647"/>
    </row>
    <row r="98" spans="1:25" s="640" customFormat="1" ht="22.5" customHeight="1" thickTop="1" thickBot="1" x14ac:dyDescent="0.3">
      <c r="A98" s="638" t="s">
        <v>1377</v>
      </c>
      <c r="B98" s="638" t="s">
        <v>1381</v>
      </c>
      <c r="C98" s="628" t="s">
        <v>1394</v>
      </c>
      <c r="D98" s="628" t="s">
        <v>1394</v>
      </c>
      <c r="E98" s="638" t="s">
        <v>1381</v>
      </c>
      <c r="F98" s="638" t="s">
        <v>1381</v>
      </c>
      <c r="G98" s="628" t="s">
        <v>1394</v>
      </c>
      <c r="H98" s="628" t="s">
        <v>1422</v>
      </c>
      <c r="I98" s="628"/>
      <c r="J98" s="635" t="s">
        <v>1891</v>
      </c>
      <c r="K98" s="636"/>
      <c r="L98" s="636"/>
      <c r="M98" s="636"/>
      <c r="N98" s="636"/>
      <c r="O98" s="636"/>
      <c r="P98" s="636"/>
      <c r="Q98" s="636"/>
      <c r="R98" s="636"/>
      <c r="S98" s="636"/>
      <c r="T98" s="636"/>
      <c r="U98" s="637"/>
      <c r="V98" s="638"/>
      <c r="W98" s="639"/>
      <c r="X98" s="639"/>
      <c r="Y98" s="647"/>
    </row>
    <row r="99" spans="1:25" s="640" customFormat="1" ht="22.5" customHeight="1" thickTop="1" thickBot="1" x14ac:dyDescent="0.3">
      <c r="A99" s="638" t="s">
        <v>1377</v>
      </c>
      <c r="B99" s="638" t="s">
        <v>1381</v>
      </c>
      <c r="C99" s="628" t="s">
        <v>1394</v>
      </c>
      <c r="D99" s="628" t="s">
        <v>1394</v>
      </c>
      <c r="E99" s="638" t="s">
        <v>1381</v>
      </c>
      <c r="F99" s="638" t="s">
        <v>1381</v>
      </c>
      <c r="G99" s="628" t="s">
        <v>1394</v>
      </c>
      <c r="H99" s="628" t="s">
        <v>1447</v>
      </c>
      <c r="I99" s="628"/>
      <c r="J99" s="635" t="s">
        <v>1892</v>
      </c>
      <c r="K99" s="636"/>
      <c r="L99" s="636"/>
      <c r="M99" s="636"/>
      <c r="N99" s="636"/>
      <c r="O99" s="636"/>
      <c r="P99" s="636"/>
      <c r="Q99" s="636"/>
      <c r="R99" s="636"/>
      <c r="S99" s="636"/>
      <c r="T99" s="636"/>
      <c r="U99" s="637"/>
      <c r="V99" s="638"/>
      <c r="W99" s="639"/>
      <c r="X99" s="639"/>
      <c r="Y99" s="647"/>
    </row>
    <row r="100" spans="1:25" s="640" customFormat="1" ht="22.5" customHeight="1" thickTop="1" thickBot="1" x14ac:dyDescent="0.3">
      <c r="A100" s="638" t="s">
        <v>1377</v>
      </c>
      <c r="B100" s="638" t="s">
        <v>1381</v>
      </c>
      <c r="C100" s="628" t="s">
        <v>1394</v>
      </c>
      <c r="D100" s="628" t="s">
        <v>1394</v>
      </c>
      <c r="E100" s="638" t="s">
        <v>1381</v>
      </c>
      <c r="F100" s="638" t="s">
        <v>1381</v>
      </c>
      <c r="G100" s="628" t="s">
        <v>1394</v>
      </c>
      <c r="H100" s="628" t="s">
        <v>1470</v>
      </c>
      <c r="I100" s="628"/>
      <c r="J100" s="635" t="s">
        <v>1893</v>
      </c>
      <c r="K100" s="636"/>
      <c r="L100" s="636"/>
      <c r="M100" s="636"/>
      <c r="N100" s="636"/>
      <c r="O100" s="636"/>
      <c r="P100" s="636"/>
      <c r="Q100" s="636"/>
      <c r="R100" s="636"/>
      <c r="S100" s="636"/>
      <c r="T100" s="636"/>
      <c r="U100" s="637"/>
      <c r="V100" s="638"/>
      <c r="W100" s="639"/>
      <c r="X100" s="639"/>
      <c r="Y100" s="647"/>
    </row>
    <row r="101" spans="1:25" s="640" customFormat="1" ht="22.5" customHeight="1" thickTop="1" thickBot="1" x14ac:dyDescent="0.3">
      <c r="A101" s="638" t="s">
        <v>1377</v>
      </c>
      <c r="B101" s="638" t="s">
        <v>1381</v>
      </c>
      <c r="C101" s="628" t="s">
        <v>1394</v>
      </c>
      <c r="D101" s="628" t="s">
        <v>1394</v>
      </c>
      <c r="E101" s="638" t="s">
        <v>1381</v>
      </c>
      <c r="F101" s="638" t="s">
        <v>1381</v>
      </c>
      <c r="G101" s="628" t="s">
        <v>1394</v>
      </c>
      <c r="H101" s="628" t="s">
        <v>1474</v>
      </c>
      <c r="I101" s="628"/>
      <c r="J101" s="635" t="s">
        <v>1894</v>
      </c>
      <c r="K101" s="636"/>
      <c r="L101" s="636"/>
      <c r="M101" s="636"/>
      <c r="N101" s="636"/>
      <c r="O101" s="636"/>
      <c r="P101" s="636"/>
      <c r="Q101" s="636"/>
      <c r="R101" s="636"/>
      <c r="S101" s="636"/>
      <c r="T101" s="636"/>
      <c r="U101" s="637"/>
      <c r="V101" s="638"/>
      <c r="W101" s="639"/>
      <c r="X101" s="639"/>
      <c r="Y101" s="647"/>
    </row>
    <row r="102" spans="1:25" s="640" customFormat="1" ht="22.5" customHeight="1" thickTop="1" thickBot="1" x14ac:dyDescent="0.3">
      <c r="A102" s="638" t="s">
        <v>1377</v>
      </c>
      <c r="B102" s="638" t="s">
        <v>1381</v>
      </c>
      <c r="C102" s="628" t="s">
        <v>1394</v>
      </c>
      <c r="D102" s="628" t="s">
        <v>1394</v>
      </c>
      <c r="E102" s="638" t="s">
        <v>1381</v>
      </c>
      <c r="F102" s="638" t="s">
        <v>1381</v>
      </c>
      <c r="G102" s="628" t="s">
        <v>1394</v>
      </c>
      <c r="H102" s="628" t="s">
        <v>1478</v>
      </c>
      <c r="I102" s="628"/>
      <c r="J102" s="635" t="s">
        <v>1891</v>
      </c>
      <c r="K102" s="636"/>
      <c r="L102" s="636"/>
      <c r="M102" s="636"/>
      <c r="N102" s="636"/>
      <c r="O102" s="636"/>
      <c r="P102" s="636"/>
      <c r="Q102" s="636"/>
      <c r="R102" s="636"/>
      <c r="S102" s="636"/>
      <c r="T102" s="636"/>
      <c r="U102" s="637"/>
      <c r="V102" s="638"/>
      <c r="W102" s="639"/>
      <c r="X102" s="639"/>
      <c r="Y102" s="647"/>
    </row>
    <row r="103" spans="1:25" s="640" customFormat="1" ht="22.5" customHeight="1" thickTop="1" thickBot="1" x14ac:dyDescent="0.3">
      <c r="A103" s="638" t="s">
        <v>1377</v>
      </c>
      <c r="B103" s="638" t="s">
        <v>1381</v>
      </c>
      <c r="C103" s="628" t="s">
        <v>1394</v>
      </c>
      <c r="D103" s="628" t="s">
        <v>1394</v>
      </c>
      <c r="E103" s="638" t="s">
        <v>1381</v>
      </c>
      <c r="F103" s="638" t="s">
        <v>1381</v>
      </c>
      <c r="G103" s="626" t="s">
        <v>1418</v>
      </c>
      <c r="H103" s="628"/>
      <c r="I103" s="628"/>
      <c r="J103" s="629" t="s">
        <v>1439</v>
      </c>
      <c r="K103" s="636"/>
      <c r="L103" s="636"/>
      <c r="M103" s="636"/>
      <c r="N103" s="636"/>
      <c r="O103" s="636"/>
      <c r="P103" s="636"/>
      <c r="Q103" s="636"/>
      <c r="R103" s="636"/>
      <c r="S103" s="636"/>
      <c r="T103" s="636"/>
      <c r="U103" s="637"/>
      <c r="V103" s="638"/>
      <c r="W103" s="639"/>
      <c r="X103" s="639"/>
      <c r="Y103" s="647" t="s">
        <v>1379</v>
      </c>
    </row>
    <row r="104" spans="1:25" s="640" customFormat="1" ht="22.5" customHeight="1" thickTop="1" thickBot="1" x14ac:dyDescent="0.3">
      <c r="A104" s="638" t="s">
        <v>1377</v>
      </c>
      <c r="B104" s="638" t="s">
        <v>1381</v>
      </c>
      <c r="C104" s="628" t="s">
        <v>1394</v>
      </c>
      <c r="D104" s="628" t="s">
        <v>1394</v>
      </c>
      <c r="E104" s="638" t="s">
        <v>1381</v>
      </c>
      <c r="F104" s="638" t="s">
        <v>1381</v>
      </c>
      <c r="G104" s="628" t="s">
        <v>1418</v>
      </c>
      <c r="H104" s="628" t="s">
        <v>1381</v>
      </c>
      <c r="I104" s="628"/>
      <c r="J104" s="635" t="s">
        <v>1440</v>
      </c>
      <c r="K104" s="636"/>
      <c r="L104" s="636"/>
      <c r="M104" s="636"/>
      <c r="N104" s="636"/>
      <c r="O104" s="636"/>
      <c r="P104" s="636"/>
      <c r="Q104" s="636"/>
      <c r="R104" s="636"/>
      <c r="S104" s="636"/>
      <c r="T104" s="636"/>
      <c r="U104" s="637"/>
      <c r="V104" s="638"/>
      <c r="W104" s="639"/>
      <c r="X104" s="639"/>
      <c r="Y104" s="647" t="s">
        <v>1379</v>
      </c>
    </row>
    <row r="105" spans="1:25" s="640" customFormat="1" ht="22.5" customHeight="1" thickTop="1" thickBot="1" x14ac:dyDescent="0.3">
      <c r="A105" s="638" t="s">
        <v>1377</v>
      </c>
      <c r="B105" s="638" t="s">
        <v>1381</v>
      </c>
      <c r="C105" s="628" t="s">
        <v>1394</v>
      </c>
      <c r="D105" s="628" t="s">
        <v>1394</v>
      </c>
      <c r="E105" s="638" t="s">
        <v>1381</v>
      </c>
      <c r="F105" s="638" t="s">
        <v>1381</v>
      </c>
      <c r="G105" s="628" t="s">
        <v>1418</v>
      </c>
      <c r="H105" s="628" t="s">
        <v>1394</v>
      </c>
      <c r="I105" s="628"/>
      <c r="J105" s="635" t="s">
        <v>1441</v>
      </c>
      <c r="K105" s="636"/>
      <c r="L105" s="636"/>
      <c r="M105" s="636"/>
      <c r="N105" s="636"/>
      <c r="O105" s="636"/>
      <c r="P105" s="636"/>
      <c r="Q105" s="636"/>
      <c r="R105" s="636"/>
      <c r="S105" s="636"/>
      <c r="T105" s="636"/>
      <c r="U105" s="637"/>
      <c r="V105" s="638"/>
      <c r="W105" s="639"/>
      <c r="X105" s="639"/>
      <c r="Y105" s="647" t="s">
        <v>1379</v>
      </c>
    </row>
    <row r="106" spans="1:25" s="640" customFormat="1" ht="22.5" customHeight="1" thickTop="1" thickBot="1" x14ac:dyDescent="0.3">
      <c r="A106" s="638" t="s">
        <v>1377</v>
      </c>
      <c r="B106" s="638" t="s">
        <v>1381</v>
      </c>
      <c r="C106" s="628" t="s">
        <v>1394</v>
      </c>
      <c r="D106" s="628" t="s">
        <v>1394</v>
      </c>
      <c r="E106" s="638" t="s">
        <v>1381</v>
      </c>
      <c r="F106" s="638" t="s">
        <v>1381</v>
      </c>
      <c r="G106" s="628" t="s">
        <v>1418</v>
      </c>
      <c r="H106" s="628" t="s">
        <v>1418</v>
      </c>
      <c r="I106" s="628"/>
      <c r="J106" s="635" t="s">
        <v>1895</v>
      </c>
      <c r="K106" s="636"/>
      <c r="L106" s="636"/>
      <c r="M106" s="636"/>
      <c r="N106" s="636"/>
      <c r="O106" s="636"/>
      <c r="P106" s="636"/>
      <c r="Q106" s="636"/>
      <c r="R106" s="636"/>
      <c r="S106" s="636"/>
      <c r="T106" s="636"/>
      <c r="U106" s="637"/>
      <c r="V106" s="638"/>
      <c r="W106" s="639"/>
      <c r="X106" s="639"/>
      <c r="Y106" s="647"/>
    </row>
    <row r="107" spans="1:25" s="640" customFormat="1" ht="22.5" customHeight="1" thickTop="1" thickBot="1" x14ac:dyDescent="0.3">
      <c r="A107" s="638" t="s">
        <v>1377</v>
      </c>
      <c r="B107" s="638" t="s">
        <v>1381</v>
      </c>
      <c r="C107" s="628" t="s">
        <v>1394</v>
      </c>
      <c r="D107" s="628" t="s">
        <v>1394</v>
      </c>
      <c r="E107" s="638" t="s">
        <v>1381</v>
      </c>
      <c r="F107" s="638" t="s">
        <v>1381</v>
      </c>
      <c r="G107" s="628" t="s">
        <v>1418</v>
      </c>
      <c r="H107" s="628" t="s">
        <v>1422</v>
      </c>
      <c r="I107" s="628"/>
      <c r="J107" s="635" t="s">
        <v>1896</v>
      </c>
      <c r="K107" s="636"/>
      <c r="L107" s="636"/>
      <c r="M107" s="636"/>
      <c r="N107" s="636"/>
      <c r="O107" s="636"/>
      <c r="P107" s="636"/>
      <c r="Q107" s="636"/>
      <c r="R107" s="636"/>
      <c r="S107" s="636"/>
      <c r="T107" s="636"/>
      <c r="U107" s="637"/>
      <c r="V107" s="638"/>
      <c r="W107" s="639"/>
      <c r="X107" s="639"/>
      <c r="Y107" s="647"/>
    </row>
    <row r="108" spans="1:25" s="640" customFormat="1" ht="22.5" customHeight="1" thickTop="1" thickBot="1" x14ac:dyDescent="0.3">
      <c r="A108" s="638" t="s">
        <v>1377</v>
      </c>
      <c r="B108" s="638" t="s">
        <v>1381</v>
      </c>
      <c r="C108" s="628" t="s">
        <v>1394</v>
      </c>
      <c r="D108" s="628" t="s">
        <v>1394</v>
      </c>
      <c r="E108" s="638" t="s">
        <v>1381</v>
      </c>
      <c r="F108" s="638" t="s">
        <v>1381</v>
      </c>
      <c r="G108" s="628" t="s">
        <v>1418</v>
      </c>
      <c r="H108" s="628" t="s">
        <v>1447</v>
      </c>
      <c r="I108" s="628"/>
      <c r="J108" s="635" t="s">
        <v>1897</v>
      </c>
      <c r="K108" s="636"/>
      <c r="L108" s="636"/>
      <c r="M108" s="636"/>
      <c r="N108" s="636"/>
      <c r="O108" s="636"/>
      <c r="P108" s="636"/>
      <c r="Q108" s="636"/>
      <c r="R108" s="636"/>
      <c r="S108" s="636"/>
      <c r="T108" s="636"/>
      <c r="U108" s="637"/>
      <c r="V108" s="638"/>
      <c r="W108" s="639"/>
      <c r="X108" s="639"/>
      <c r="Y108" s="647"/>
    </row>
    <row r="109" spans="1:25" s="640" customFormat="1" ht="22.5" customHeight="1" thickTop="1" thickBot="1" x14ac:dyDescent="0.3">
      <c r="A109" s="638" t="s">
        <v>1377</v>
      </c>
      <c r="B109" s="638" t="s">
        <v>1381</v>
      </c>
      <c r="C109" s="628" t="s">
        <v>1394</v>
      </c>
      <c r="D109" s="628" t="s">
        <v>1394</v>
      </c>
      <c r="E109" s="638" t="s">
        <v>1381</v>
      </c>
      <c r="F109" s="638" t="s">
        <v>1381</v>
      </c>
      <c r="G109" s="628" t="s">
        <v>1418</v>
      </c>
      <c r="H109" s="628" t="s">
        <v>1470</v>
      </c>
      <c r="I109" s="628"/>
      <c r="J109" s="635" t="s">
        <v>1898</v>
      </c>
      <c r="K109" s="636"/>
      <c r="L109" s="636"/>
      <c r="M109" s="636"/>
      <c r="N109" s="636"/>
      <c r="O109" s="636"/>
      <c r="P109" s="636"/>
      <c r="Q109" s="636"/>
      <c r="R109" s="636"/>
      <c r="S109" s="636"/>
      <c r="T109" s="636"/>
      <c r="U109" s="637"/>
      <c r="V109" s="638"/>
      <c r="W109" s="639"/>
      <c r="X109" s="639"/>
      <c r="Y109" s="647"/>
    </row>
    <row r="110" spans="1:25" s="640" customFormat="1" ht="22.5" customHeight="1" thickTop="1" thickBot="1" x14ac:dyDescent="0.3">
      <c r="A110" s="638" t="s">
        <v>1377</v>
      </c>
      <c r="B110" s="638" t="s">
        <v>1381</v>
      </c>
      <c r="C110" s="628" t="s">
        <v>1394</v>
      </c>
      <c r="D110" s="628" t="s">
        <v>1394</v>
      </c>
      <c r="E110" s="638" t="s">
        <v>1381</v>
      </c>
      <c r="F110" s="638" t="s">
        <v>1381</v>
      </c>
      <c r="G110" s="628" t="s">
        <v>1418</v>
      </c>
      <c r="H110" s="628" t="s">
        <v>1474</v>
      </c>
      <c r="I110" s="628"/>
      <c r="J110" s="635" t="s">
        <v>1899</v>
      </c>
      <c r="K110" s="636"/>
      <c r="L110" s="636"/>
      <c r="M110" s="636"/>
      <c r="N110" s="636"/>
      <c r="O110" s="636"/>
      <c r="P110" s="636"/>
      <c r="Q110" s="636"/>
      <c r="R110" s="636"/>
      <c r="S110" s="636"/>
      <c r="T110" s="636"/>
      <c r="U110" s="637"/>
      <c r="V110" s="638"/>
      <c r="W110" s="639"/>
      <c r="X110" s="639"/>
      <c r="Y110" s="647"/>
    </row>
    <row r="111" spans="1:25" s="640" customFormat="1" ht="22.5" customHeight="1" thickTop="1" thickBot="1" x14ac:dyDescent="0.3">
      <c r="A111" s="638" t="s">
        <v>1377</v>
      </c>
      <c r="B111" s="638" t="s">
        <v>1381</v>
      </c>
      <c r="C111" s="628" t="s">
        <v>1394</v>
      </c>
      <c r="D111" s="628" t="s">
        <v>1394</v>
      </c>
      <c r="E111" s="638" t="s">
        <v>1381</v>
      </c>
      <c r="F111" s="638" t="s">
        <v>1381</v>
      </c>
      <c r="G111" s="628" t="s">
        <v>1418</v>
      </c>
      <c r="H111" s="628" t="s">
        <v>1478</v>
      </c>
      <c r="I111" s="628"/>
      <c r="J111" s="635" t="s">
        <v>1896</v>
      </c>
      <c r="K111" s="636"/>
      <c r="L111" s="636"/>
      <c r="M111" s="636"/>
      <c r="N111" s="636"/>
      <c r="O111" s="636"/>
      <c r="P111" s="636"/>
      <c r="Q111" s="636"/>
      <c r="R111" s="636"/>
      <c r="S111" s="636"/>
      <c r="T111" s="636"/>
      <c r="U111" s="637"/>
      <c r="V111" s="638"/>
      <c r="W111" s="639"/>
      <c r="X111" s="639"/>
      <c r="Y111" s="647"/>
    </row>
    <row r="112" spans="1:25" s="640" customFormat="1" ht="22.5" customHeight="1" thickTop="1" thickBot="1" x14ac:dyDescent="0.3">
      <c r="A112" s="638" t="s">
        <v>1377</v>
      </c>
      <c r="B112" s="638" t="s">
        <v>1381</v>
      </c>
      <c r="C112" s="628" t="s">
        <v>1394</v>
      </c>
      <c r="D112" s="628" t="s">
        <v>1394</v>
      </c>
      <c r="E112" s="638" t="s">
        <v>1381</v>
      </c>
      <c r="F112" s="638" t="s">
        <v>1381</v>
      </c>
      <c r="G112" s="626" t="s">
        <v>1422</v>
      </c>
      <c r="H112" s="628"/>
      <c r="I112" s="628"/>
      <c r="J112" s="629" t="s">
        <v>1442</v>
      </c>
      <c r="K112" s="636"/>
      <c r="L112" s="636"/>
      <c r="M112" s="636"/>
      <c r="N112" s="636"/>
      <c r="O112" s="636"/>
      <c r="P112" s="636"/>
      <c r="Q112" s="636"/>
      <c r="R112" s="636"/>
      <c r="S112" s="636"/>
      <c r="T112" s="636"/>
      <c r="U112" s="637"/>
      <c r="V112" s="638"/>
      <c r="W112" s="639" t="s">
        <v>1443</v>
      </c>
      <c r="X112" s="639" t="s">
        <v>1444</v>
      </c>
      <c r="Y112" s="647" t="s">
        <v>1379</v>
      </c>
    </row>
    <row r="113" spans="1:25" s="640" customFormat="1" ht="22.5" customHeight="1" thickTop="1" thickBot="1" x14ac:dyDescent="0.3">
      <c r="A113" s="638" t="s">
        <v>1377</v>
      </c>
      <c r="B113" s="638" t="s">
        <v>1381</v>
      </c>
      <c r="C113" s="628" t="s">
        <v>1394</v>
      </c>
      <c r="D113" s="628" t="s">
        <v>1394</v>
      </c>
      <c r="E113" s="638" t="s">
        <v>1381</v>
      </c>
      <c r="F113" s="638" t="s">
        <v>1381</v>
      </c>
      <c r="G113" s="628" t="s">
        <v>1422</v>
      </c>
      <c r="H113" s="628" t="s">
        <v>1381</v>
      </c>
      <c r="I113" s="628"/>
      <c r="J113" s="635" t="s">
        <v>1445</v>
      </c>
      <c r="K113" s="636"/>
      <c r="L113" s="636"/>
      <c r="M113" s="636"/>
      <c r="N113" s="636"/>
      <c r="O113" s="636"/>
      <c r="P113" s="636"/>
      <c r="Q113" s="636"/>
      <c r="R113" s="636"/>
      <c r="S113" s="636"/>
      <c r="T113" s="636"/>
      <c r="U113" s="637"/>
      <c r="V113" s="638"/>
      <c r="W113" s="639"/>
      <c r="X113" s="639"/>
      <c r="Y113" s="647" t="s">
        <v>1379</v>
      </c>
    </row>
    <row r="114" spans="1:25" s="640" customFormat="1" ht="22.5" customHeight="1" thickTop="1" thickBot="1" x14ac:dyDescent="0.3">
      <c r="A114" s="638" t="s">
        <v>1377</v>
      </c>
      <c r="B114" s="638" t="s">
        <v>1381</v>
      </c>
      <c r="C114" s="628" t="s">
        <v>1394</v>
      </c>
      <c r="D114" s="628" t="s">
        <v>1394</v>
      </c>
      <c r="E114" s="638" t="s">
        <v>1381</v>
      </c>
      <c r="F114" s="638" t="s">
        <v>1381</v>
      </c>
      <c r="G114" s="628" t="s">
        <v>1422</v>
      </c>
      <c r="H114" s="628" t="s">
        <v>1394</v>
      </c>
      <c r="I114" s="628"/>
      <c r="J114" s="635" t="s">
        <v>1446</v>
      </c>
      <c r="K114" s="636"/>
      <c r="L114" s="636"/>
      <c r="M114" s="636"/>
      <c r="N114" s="636"/>
      <c r="O114" s="636"/>
      <c r="P114" s="636"/>
      <c r="Q114" s="636"/>
      <c r="R114" s="636"/>
      <c r="S114" s="636"/>
      <c r="T114" s="636"/>
      <c r="U114" s="637"/>
      <c r="V114" s="638"/>
      <c r="W114" s="639"/>
      <c r="X114" s="639"/>
      <c r="Y114" s="647" t="s">
        <v>1379</v>
      </c>
    </row>
    <row r="115" spans="1:25" s="640" customFormat="1" ht="22.5" customHeight="1" thickTop="1" thickBot="1" x14ac:dyDescent="0.3">
      <c r="A115" s="638" t="s">
        <v>1377</v>
      </c>
      <c r="B115" s="638" t="s">
        <v>1381</v>
      </c>
      <c r="C115" s="628" t="s">
        <v>1394</v>
      </c>
      <c r="D115" s="628" t="s">
        <v>1394</v>
      </c>
      <c r="E115" s="638" t="s">
        <v>1381</v>
      </c>
      <c r="F115" s="638" t="s">
        <v>1381</v>
      </c>
      <c r="G115" s="628" t="s">
        <v>1422</v>
      </c>
      <c r="H115" s="628" t="s">
        <v>1418</v>
      </c>
      <c r="I115" s="628"/>
      <c r="J115" s="635" t="s">
        <v>1900</v>
      </c>
      <c r="K115" s="636"/>
      <c r="L115" s="636"/>
      <c r="M115" s="636"/>
      <c r="N115" s="636"/>
      <c r="O115" s="636"/>
      <c r="P115" s="636"/>
      <c r="Q115" s="636"/>
      <c r="R115" s="636"/>
      <c r="S115" s="636"/>
      <c r="T115" s="636"/>
      <c r="U115" s="637"/>
      <c r="V115" s="638"/>
      <c r="W115" s="639"/>
      <c r="X115" s="639"/>
      <c r="Y115" s="647"/>
    </row>
    <row r="116" spans="1:25" s="640" customFormat="1" ht="22.5" customHeight="1" thickTop="1" thickBot="1" x14ac:dyDescent="0.3">
      <c r="A116" s="638" t="s">
        <v>1377</v>
      </c>
      <c r="B116" s="638" t="s">
        <v>1381</v>
      </c>
      <c r="C116" s="628" t="s">
        <v>1394</v>
      </c>
      <c r="D116" s="628" t="s">
        <v>1394</v>
      </c>
      <c r="E116" s="638" t="s">
        <v>1381</v>
      </c>
      <c r="F116" s="638" t="s">
        <v>1381</v>
      </c>
      <c r="G116" s="628" t="s">
        <v>1422</v>
      </c>
      <c r="H116" s="628" t="s">
        <v>1422</v>
      </c>
      <c r="I116" s="628"/>
      <c r="J116" s="635" t="s">
        <v>1901</v>
      </c>
      <c r="K116" s="636"/>
      <c r="L116" s="636"/>
      <c r="M116" s="636"/>
      <c r="N116" s="636"/>
      <c r="O116" s="636"/>
      <c r="P116" s="636"/>
      <c r="Q116" s="636"/>
      <c r="R116" s="636"/>
      <c r="S116" s="636"/>
      <c r="T116" s="636"/>
      <c r="U116" s="637"/>
      <c r="V116" s="638"/>
      <c r="W116" s="639"/>
      <c r="X116" s="639"/>
      <c r="Y116" s="647"/>
    </row>
    <row r="117" spans="1:25" s="640" customFormat="1" ht="22.5" customHeight="1" thickTop="1" thickBot="1" x14ac:dyDescent="0.3">
      <c r="A117" s="638" t="s">
        <v>1377</v>
      </c>
      <c r="B117" s="638" t="s">
        <v>1381</v>
      </c>
      <c r="C117" s="628" t="s">
        <v>1394</v>
      </c>
      <c r="D117" s="628" t="s">
        <v>1394</v>
      </c>
      <c r="E117" s="638" t="s">
        <v>1381</v>
      </c>
      <c r="F117" s="638" t="s">
        <v>1381</v>
      </c>
      <c r="G117" s="628" t="s">
        <v>1422</v>
      </c>
      <c r="H117" s="628" t="s">
        <v>1447</v>
      </c>
      <c r="I117" s="628"/>
      <c r="J117" s="635" t="s">
        <v>1902</v>
      </c>
      <c r="K117" s="636"/>
      <c r="L117" s="636"/>
      <c r="M117" s="636"/>
      <c r="N117" s="636"/>
      <c r="O117" s="636"/>
      <c r="P117" s="636"/>
      <c r="Q117" s="636"/>
      <c r="R117" s="636"/>
      <c r="S117" s="636"/>
      <c r="T117" s="636"/>
      <c r="U117" s="637"/>
      <c r="V117" s="638"/>
      <c r="W117" s="639"/>
      <c r="X117" s="639"/>
      <c r="Y117" s="647"/>
    </row>
    <row r="118" spans="1:25" s="640" customFormat="1" ht="22.5" customHeight="1" thickTop="1" thickBot="1" x14ac:dyDescent="0.3">
      <c r="A118" s="638" t="s">
        <v>1377</v>
      </c>
      <c r="B118" s="638" t="s">
        <v>1381</v>
      </c>
      <c r="C118" s="628" t="s">
        <v>1394</v>
      </c>
      <c r="D118" s="628" t="s">
        <v>1394</v>
      </c>
      <c r="E118" s="638" t="s">
        <v>1381</v>
      </c>
      <c r="F118" s="638" t="s">
        <v>1381</v>
      </c>
      <c r="G118" s="628" t="s">
        <v>1422</v>
      </c>
      <c r="H118" s="628" t="s">
        <v>1470</v>
      </c>
      <c r="I118" s="628"/>
      <c r="J118" s="635" t="s">
        <v>1903</v>
      </c>
      <c r="K118" s="636"/>
      <c r="L118" s="636"/>
      <c r="M118" s="636"/>
      <c r="N118" s="636"/>
      <c r="O118" s="636"/>
      <c r="P118" s="636"/>
      <c r="Q118" s="636"/>
      <c r="R118" s="636"/>
      <c r="S118" s="636"/>
      <c r="T118" s="636"/>
      <c r="U118" s="637"/>
      <c r="V118" s="638"/>
      <c r="W118" s="639"/>
      <c r="X118" s="639"/>
      <c r="Y118" s="647"/>
    </row>
    <row r="119" spans="1:25" s="640" customFormat="1" ht="22.5" customHeight="1" thickTop="1" thickBot="1" x14ac:dyDescent="0.3">
      <c r="A119" s="638" t="s">
        <v>1377</v>
      </c>
      <c r="B119" s="638" t="s">
        <v>1381</v>
      </c>
      <c r="C119" s="628" t="s">
        <v>1394</v>
      </c>
      <c r="D119" s="628" t="s">
        <v>1394</v>
      </c>
      <c r="E119" s="638" t="s">
        <v>1381</v>
      </c>
      <c r="F119" s="638" t="s">
        <v>1381</v>
      </c>
      <c r="G119" s="628" t="s">
        <v>1422</v>
      </c>
      <c r="H119" s="628" t="s">
        <v>1474</v>
      </c>
      <c r="I119" s="628"/>
      <c r="J119" s="635" t="s">
        <v>1904</v>
      </c>
      <c r="K119" s="636"/>
      <c r="L119" s="636"/>
      <c r="M119" s="636"/>
      <c r="N119" s="636"/>
      <c r="O119" s="636"/>
      <c r="P119" s="636"/>
      <c r="Q119" s="636"/>
      <c r="R119" s="636"/>
      <c r="S119" s="636"/>
      <c r="T119" s="636"/>
      <c r="U119" s="637"/>
      <c r="V119" s="638"/>
      <c r="W119" s="639"/>
      <c r="X119" s="639"/>
      <c r="Y119" s="647"/>
    </row>
    <row r="120" spans="1:25" s="640" customFormat="1" ht="22.5" customHeight="1" thickTop="1" thickBot="1" x14ac:dyDescent="0.3">
      <c r="A120" s="638" t="s">
        <v>1377</v>
      </c>
      <c r="B120" s="638" t="s">
        <v>1381</v>
      </c>
      <c r="C120" s="628" t="s">
        <v>1394</v>
      </c>
      <c r="D120" s="628" t="s">
        <v>1394</v>
      </c>
      <c r="E120" s="638" t="s">
        <v>1381</v>
      </c>
      <c r="F120" s="638" t="s">
        <v>1381</v>
      </c>
      <c r="G120" s="628" t="s">
        <v>1422</v>
      </c>
      <c r="H120" s="628" t="s">
        <v>1478</v>
      </c>
      <c r="I120" s="628"/>
      <c r="J120" s="635" t="s">
        <v>1901</v>
      </c>
      <c r="K120" s="636"/>
      <c r="L120" s="636"/>
      <c r="M120" s="636"/>
      <c r="N120" s="636"/>
      <c r="O120" s="636"/>
      <c r="P120" s="636"/>
      <c r="Q120" s="636"/>
      <c r="R120" s="636"/>
      <c r="S120" s="636"/>
      <c r="T120" s="636"/>
      <c r="U120" s="637"/>
      <c r="V120" s="638"/>
      <c r="W120" s="639"/>
      <c r="X120" s="639"/>
      <c r="Y120" s="647"/>
    </row>
    <row r="121" spans="1:25" s="640" customFormat="1" ht="22.5" customHeight="1" thickTop="1" thickBot="1" x14ac:dyDescent="0.3">
      <c r="A121" s="638" t="s">
        <v>1377</v>
      </c>
      <c r="B121" s="638" t="s">
        <v>1381</v>
      </c>
      <c r="C121" s="628" t="s">
        <v>1394</v>
      </c>
      <c r="D121" s="628" t="s">
        <v>1394</v>
      </c>
      <c r="E121" s="638" t="s">
        <v>1381</v>
      </c>
      <c r="F121" s="638" t="s">
        <v>1381</v>
      </c>
      <c r="G121" s="626" t="s">
        <v>1447</v>
      </c>
      <c r="H121" s="628"/>
      <c r="I121" s="628"/>
      <c r="J121" s="641" t="s">
        <v>1448</v>
      </c>
      <c r="K121" s="645"/>
      <c r="L121" s="645"/>
      <c r="M121" s="645"/>
      <c r="N121" s="645"/>
      <c r="O121" s="645"/>
      <c r="P121" s="645"/>
      <c r="Q121" s="645"/>
      <c r="R121" s="645"/>
      <c r="S121" s="645"/>
      <c r="T121" s="645"/>
      <c r="U121" s="646"/>
      <c r="V121" s="638"/>
      <c r="W121" s="639"/>
      <c r="X121" s="639"/>
      <c r="Y121" s="647" t="s">
        <v>1379</v>
      </c>
    </row>
    <row r="122" spans="1:25" s="640" customFormat="1" ht="22.5" customHeight="1" thickTop="1" thickBot="1" x14ac:dyDescent="0.3">
      <c r="A122" s="638" t="s">
        <v>1377</v>
      </c>
      <c r="B122" s="638" t="s">
        <v>1381</v>
      </c>
      <c r="C122" s="628" t="s">
        <v>1394</v>
      </c>
      <c r="D122" s="628" t="s">
        <v>1394</v>
      </c>
      <c r="E122" s="638" t="s">
        <v>1381</v>
      </c>
      <c r="F122" s="638" t="s">
        <v>1381</v>
      </c>
      <c r="G122" s="628" t="s">
        <v>1447</v>
      </c>
      <c r="H122" s="628" t="s">
        <v>1381</v>
      </c>
      <c r="I122" s="628"/>
      <c r="J122" s="644" t="s">
        <v>1449</v>
      </c>
      <c r="K122" s="645"/>
      <c r="L122" s="645"/>
      <c r="M122" s="645"/>
      <c r="N122" s="645"/>
      <c r="O122" s="645"/>
      <c r="P122" s="645"/>
      <c r="Q122" s="645"/>
      <c r="R122" s="645"/>
      <c r="S122" s="645"/>
      <c r="T122" s="645"/>
      <c r="U122" s="646"/>
      <c r="V122" s="638"/>
      <c r="W122" s="639"/>
      <c r="X122" s="639"/>
      <c r="Y122" s="647" t="s">
        <v>1379</v>
      </c>
    </row>
    <row r="123" spans="1:25" s="640" customFormat="1" ht="22.5" customHeight="1" thickTop="1" thickBot="1" x14ac:dyDescent="0.3">
      <c r="A123" s="638" t="s">
        <v>1377</v>
      </c>
      <c r="B123" s="638" t="s">
        <v>1381</v>
      </c>
      <c r="C123" s="628" t="s">
        <v>1394</v>
      </c>
      <c r="D123" s="628" t="s">
        <v>1394</v>
      </c>
      <c r="E123" s="638" t="s">
        <v>1381</v>
      </c>
      <c r="F123" s="638" t="s">
        <v>1381</v>
      </c>
      <c r="G123" s="628" t="s">
        <v>1447</v>
      </c>
      <c r="H123" s="628" t="s">
        <v>1394</v>
      </c>
      <c r="I123" s="628"/>
      <c r="J123" s="644" t="s">
        <v>1450</v>
      </c>
      <c r="K123" s="645"/>
      <c r="L123" s="645"/>
      <c r="M123" s="645"/>
      <c r="N123" s="645"/>
      <c r="O123" s="645"/>
      <c r="P123" s="645"/>
      <c r="Q123" s="645"/>
      <c r="R123" s="645"/>
      <c r="S123" s="645"/>
      <c r="T123" s="645"/>
      <c r="U123" s="646"/>
      <c r="V123" s="638"/>
      <c r="W123" s="639"/>
      <c r="X123" s="639"/>
      <c r="Y123" s="647" t="s">
        <v>1379</v>
      </c>
    </row>
    <row r="124" spans="1:25" s="640" customFormat="1" ht="22.5" customHeight="1" thickTop="1" thickBot="1" x14ac:dyDescent="0.3">
      <c r="A124" s="638" t="s">
        <v>1377</v>
      </c>
      <c r="B124" s="638" t="s">
        <v>1381</v>
      </c>
      <c r="C124" s="628" t="s">
        <v>1394</v>
      </c>
      <c r="D124" s="628" t="s">
        <v>1394</v>
      </c>
      <c r="E124" s="638" t="s">
        <v>1381</v>
      </c>
      <c r="F124" s="638" t="s">
        <v>1381</v>
      </c>
      <c r="G124" s="628" t="s">
        <v>1447</v>
      </c>
      <c r="H124" s="628" t="s">
        <v>1418</v>
      </c>
      <c r="I124" s="628"/>
      <c r="J124" s="635" t="s">
        <v>1910</v>
      </c>
      <c r="K124" s="645"/>
      <c r="L124" s="645"/>
      <c r="M124" s="645"/>
      <c r="N124" s="645"/>
      <c r="O124" s="645"/>
      <c r="P124" s="645"/>
      <c r="Q124" s="645"/>
      <c r="R124" s="645"/>
      <c r="S124" s="645"/>
      <c r="T124" s="645"/>
      <c r="U124" s="646"/>
      <c r="V124" s="638"/>
      <c r="W124" s="639"/>
      <c r="X124" s="639"/>
      <c r="Y124" s="647"/>
    </row>
    <row r="125" spans="1:25" s="640" customFormat="1" ht="22.5" customHeight="1" thickTop="1" thickBot="1" x14ac:dyDescent="0.3">
      <c r="A125" s="638" t="s">
        <v>1377</v>
      </c>
      <c r="B125" s="638" t="s">
        <v>1381</v>
      </c>
      <c r="C125" s="628" t="s">
        <v>1394</v>
      </c>
      <c r="D125" s="628" t="s">
        <v>1394</v>
      </c>
      <c r="E125" s="638" t="s">
        <v>1381</v>
      </c>
      <c r="F125" s="638" t="s">
        <v>1381</v>
      </c>
      <c r="G125" s="628" t="s">
        <v>1447</v>
      </c>
      <c r="H125" s="628" t="s">
        <v>1422</v>
      </c>
      <c r="I125" s="628"/>
      <c r="J125" s="635" t="s">
        <v>1911</v>
      </c>
      <c r="K125" s="645"/>
      <c r="L125" s="645"/>
      <c r="M125" s="645"/>
      <c r="N125" s="645"/>
      <c r="O125" s="645"/>
      <c r="P125" s="645"/>
      <c r="Q125" s="645"/>
      <c r="R125" s="645"/>
      <c r="S125" s="645"/>
      <c r="T125" s="645"/>
      <c r="U125" s="646"/>
      <c r="V125" s="638"/>
      <c r="W125" s="639"/>
      <c r="X125" s="639"/>
      <c r="Y125" s="647"/>
    </row>
    <row r="126" spans="1:25" s="640" customFormat="1" ht="22.5" customHeight="1" thickTop="1" thickBot="1" x14ac:dyDescent="0.3">
      <c r="A126" s="638" t="s">
        <v>1377</v>
      </c>
      <c r="B126" s="638" t="s">
        <v>1381</v>
      </c>
      <c r="C126" s="628" t="s">
        <v>1394</v>
      </c>
      <c r="D126" s="628" t="s">
        <v>1394</v>
      </c>
      <c r="E126" s="638" t="s">
        <v>1381</v>
      </c>
      <c r="F126" s="638" t="s">
        <v>1381</v>
      </c>
      <c r="G126" s="628" t="s">
        <v>1447</v>
      </c>
      <c r="H126" s="628" t="s">
        <v>1447</v>
      </c>
      <c r="I126" s="628"/>
      <c r="J126" s="635" t="s">
        <v>1912</v>
      </c>
      <c r="K126" s="645"/>
      <c r="L126" s="645"/>
      <c r="M126" s="645"/>
      <c r="N126" s="645"/>
      <c r="O126" s="645"/>
      <c r="P126" s="645"/>
      <c r="Q126" s="645"/>
      <c r="R126" s="645"/>
      <c r="S126" s="645"/>
      <c r="T126" s="645"/>
      <c r="U126" s="646"/>
      <c r="V126" s="638"/>
      <c r="W126" s="639"/>
      <c r="X126" s="639"/>
      <c r="Y126" s="647"/>
    </row>
    <row r="127" spans="1:25" s="640" customFormat="1" ht="22.5" customHeight="1" thickTop="1" thickBot="1" x14ac:dyDescent="0.3">
      <c r="A127" s="638" t="s">
        <v>1377</v>
      </c>
      <c r="B127" s="638" t="s">
        <v>1381</v>
      </c>
      <c r="C127" s="628" t="s">
        <v>1394</v>
      </c>
      <c r="D127" s="628" t="s">
        <v>1394</v>
      </c>
      <c r="E127" s="638" t="s">
        <v>1381</v>
      </c>
      <c r="F127" s="638" t="s">
        <v>1381</v>
      </c>
      <c r="G127" s="628" t="s">
        <v>1447</v>
      </c>
      <c r="H127" s="628" t="s">
        <v>1470</v>
      </c>
      <c r="I127" s="628"/>
      <c r="J127" s="635" t="s">
        <v>1913</v>
      </c>
      <c r="K127" s="645"/>
      <c r="L127" s="645"/>
      <c r="M127" s="645"/>
      <c r="N127" s="645"/>
      <c r="O127" s="645"/>
      <c r="P127" s="645"/>
      <c r="Q127" s="645"/>
      <c r="R127" s="645"/>
      <c r="S127" s="645"/>
      <c r="T127" s="645"/>
      <c r="U127" s="646"/>
      <c r="V127" s="638"/>
      <c r="W127" s="639"/>
      <c r="X127" s="639"/>
      <c r="Y127" s="647"/>
    </row>
    <row r="128" spans="1:25" s="640" customFormat="1" ht="22.5" customHeight="1" thickTop="1" thickBot="1" x14ac:dyDescent="0.3">
      <c r="A128" s="638" t="s">
        <v>1377</v>
      </c>
      <c r="B128" s="638" t="s">
        <v>1381</v>
      </c>
      <c r="C128" s="628" t="s">
        <v>1394</v>
      </c>
      <c r="D128" s="628" t="s">
        <v>1394</v>
      </c>
      <c r="E128" s="638" t="s">
        <v>1381</v>
      </c>
      <c r="F128" s="638" t="s">
        <v>1381</v>
      </c>
      <c r="G128" s="628" t="s">
        <v>1447</v>
      </c>
      <c r="H128" s="628" t="s">
        <v>1474</v>
      </c>
      <c r="I128" s="628"/>
      <c r="J128" s="635" t="s">
        <v>1914</v>
      </c>
      <c r="K128" s="645"/>
      <c r="L128" s="645"/>
      <c r="M128" s="645"/>
      <c r="N128" s="645"/>
      <c r="O128" s="645"/>
      <c r="P128" s="645"/>
      <c r="Q128" s="645"/>
      <c r="R128" s="645"/>
      <c r="S128" s="645"/>
      <c r="T128" s="645"/>
      <c r="U128" s="646"/>
      <c r="V128" s="638"/>
      <c r="W128" s="639"/>
      <c r="X128" s="639"/>
      <c r="Y128" s="647"/>
    </row>
    <row r="129" spans="1:25" s="640" customFormat="1" ht="22.5" customHeight="1" thickTop="1" thickBot="1" x14ac:dyDescent="0.3">
      <c r="A129" s="638" t="s">
        <v>1377</v>
      </c>
      <c r="B129" s="638" t="s">
        <v>1381</v>
      </c>
      <c r="C129" s="628" t="s">
        <v>1394</v>
      </c>
      <c r="D129" s="628" t="s">
        <v>1394</v>
      </c>
      <c r="E129" s="638" t="s">
        <v>1381</v>
      </c>
      <c r="F129" s="638" t="s">
        <v>1381</v>
      </c>
      <c r="G129" s="628" t="s">
        <v>1447</v>
      </c>
      <c r="H129" s="628" t="s">
        <v>1478</v>
      </c>
      <c r="I129" s="628"/>
      <c r="J129" s="635" t="s">
        <v>1911</v>
      </c>
      <c r="K129" s="645"/>
      <c r="L129" s="645"/>
      <c r="M129" s="645"/>
      <c r="N129" s="645"/>
      <c r="O129" s="645"/>
      <c r="P129" s="645"/>
      <c r="Q129" s="645"/>
      <c r="R129" s="645"/>
      <c r="S129" s="645"/>
      <c r="T129" s="645"/>
      <c r="U129" s="646"/>
      <c r="V129" s="638"/>
      <c r="W129" s="639"/>
      <c r="X129" s="639"/>
      <c r="Y129" s="647"/>
    </row>
    <row r="130" spans="1:25" ht="22.5" customHeight="1" thickTop="1" thickBot="1" x14ac:dyDescent="0.3">
      <c r="A130" s="619">
        <v>1</v>
      </c>
      <c r="B130" s="620" t="s">
        <v>1381</v>
      </c>
      <c r="C130" s="620" t="s">
        <v>1394</v>
      </c>
      <c r="D130" s="620" t="s">
        <v>1394</v>
      </c>
      <c r="E130" s="620" t="s">
        <v>1394</v>
      </c>
      <c r="F130" s="621"/>
      <c r="G130" s="621"/>
      <c r="H130" s="621"/>
      <c r="I130" s="621"/>
      <c r="J130" s="622" t="s">
        <v>1451</v>
      </c>
      <c r="K130" s="648"/>
      <c r="L130" s="648"/>
      <c r="M130" s="648"/>
      <c r="N130" s="648"/>
      <c r="O130" s="648"/>
      <c r="P130" s="648"/>
      <c r="Q130" s="648"/>
      <c r="R130" s="648"/>
      <c r="S130" s="648"/>
      <c r="T130" s="648"/>
      <c r="U130" s="624"/>
      <c r="V130" s="620"/>
      <c r="W130" s="625" t="s">
        <v>1452</v>
      </c>
      <c r="X130" s="625" t="s">
        <v>1453</v>
      </c>
      <c r="Y130" s="604" t="s">
        <v>1379</v>
      </c>
    </row>
    <row r="131" spans="1:25" ht="22.5" customHeight="1" thickTop="1" thickBot="1" x14ac:dyDescent="0.3">
      <c r="A131" s="638">
        <v>1</v>
      </c>
      <c r="B131" s="638" t="s">
        <v>1381</v>
      </c>
      <c r="C131" s="628" t="s">
        <v>1394</v>
      </c>
      <c r="D131" s="628" t="s">
        <v>1394</v>
      </c>
      <c r="E131" s="638" t="s">
        <v>1394</v>
      </c>
      <c r="F131" s="626" t="s">
        <v>1381</v>
      </c>
      <c r="G131" s="628"/>
      <c r="H131" s="628"/>
      <c r="I131" s="628"/>
      <c r="J131" s="641" t="s">
        <v>1454</v>
      </c>
      <c r="K131" s="649"/>
      <c r="L131" s="649"/>
      <c r="M131" s="649"/>
      <c r="N131" s="649"/>
      <c r="O131" s="649"/>
      <c r="P131" s="649"/>
      <c r="Q131" s="649"/>
      <c r="R131" s="649"/>
      <c r="S131" s="649"/>
      <c r="T131" s="649"/>
      <c r="U131" s="643"/>
      <c r="V131" s="626"/>
      <c r="W131" s="639" t="s">
        <v>1455</v>
      </c>
      <c r="X131" s="639"/>
      <c r="Y131" s="604" t="s">
        <v>1379</v>
      </c>
    </row>
    <row r="132" spans="1:25" ht="22.5" customHeight="1" thickTop="1" thickBot="1" x14ac:dyDescent="0.3">
      <c r="A132" s="638">
        <v>1</v>
      </c>
      <c r="B132" s="638" t="s">
        <v>1381</v>
      </c>
      <c r="C132" s="628" t="s">
        <v>1394</v>
      </c>
      <c r="D132" s="628" t="s">
        <v>1394</v>
      </c>
      <c r="E132" s="638" t="s">
        <v>1394</v>
      </c>
      <c r="F132" s="628" t="s">
        <v>1381</v>
      </c>
      <c r="G132" s="626" t="s">
        <v>1381</v>
      </c>
      <c r="H132" s="628"/>
      <c r="I132" s="628"/>
      <c r="J132" s="644" t="s">
        <v>1456</v>
      </c>
      <c r="K132" s="650"/>
      <c r="L132" s="650"/>
      <c r="M132" s="650"/>
      <c r="N132" s="650"/>
      <c r="O132" s="650"/>
      <c r="P132" s="650"/>
      <c r="Q132" s="650"/>
      <c r="R132" s="650"/>
      <c r="S132" s="650"/>
      <c r="T132" s="650"/>
      <c r="U132" s="646"/>
      <c r="V132" s="626"/>
      <c r="W132" s="639"/>
      <c r="X132" s="639"/>
      <c r="Y132" s="604" t="s">
        <v>1379</v>
      </c>
    </row>
    <row r="133" spans="1:25" ht="22.5" customHeight="1" thickTop="1" thickBot="1" x14ac:dyDescent="0.3">
      <c r="A133" s="638">
        <v>1</v>
      </c>
      <c r="B133" s="638" t="s">
        <v>1381</v>
      </c>
      <c r="C133" s="628" t="s">
        <v>1394</v>
      </c>
      <c r="D133" s="628" t="s">
        <v>1394</v>
      </c>
      <c r="E133" s="638" t="s">
        <v>1394</v>
      </c>
      <c r="F133" s="628" t="s">
        <v>1381</v>
      </c>
      <c r="G133" s="626" t="s">
        <v>1394</v>
      </c>
      <c r="H133" s="628"/>
      <c r="I133" s="628"/>
      <c r="J133" s="644" t="s">
        <v>1457</v>
      </c>
      <c r="K133" s="650"/>
      <c r="L133" s="650"/>
      <c r="M133" s="650"/>
      <c r="N133" s="650"/>
      <c r="O133" s="650"/>
      <c r="P133" s="650"/>
      <c r="Q133" s="650"/>
      <c r="R133" s="650"/>
      <c r="S133" s="650"/>
      <c r="T133" s="650"/>
      <c r="U133" s="646"/>
      <c r="V133" s="626"/>
      <c r="W133" s="639"/>
      <c r="X133" s="639"/>
      <c r="Y133" s="604" t="s">
        <v>1379</v>
      </c>
    </row>
    <row r="134" spans="1:25" ht="22.5" customHeight="1" thickTop="1" thickBot="1" x14ac:dyDescent="0.3">
      <c r="A134" s="638">
        <v>1</v>
      </c>
      <c r="B134" s="638" t="s">
        <v>1381</v>
      </c>
      <c r="C134" s="628" t="s">
        <v>1394</v>
      </c>
      <c r="D134" s="628" t="s">
        <v>1394</v>
      </c>
      <c r="E134" s="638" t="s">
        <v>1394</v>
      </c>
      <c r="F134" s="628" t="s">
        <v>1381</v>
      </c>
      <c r="G134" s="754" t="s">
        <v>1418</v>
      </c>
      <c r="H134" s="628"/>
      <c r="I134" s="628"/>
      <c r="J134" s="635" t="s">
        <v>1905</v>
      </c>
      <c r="K134" s="650"/>
      <c r="L134" s="650"/>
      <c r="M134" s="650"/>
      <c r="N134" s="650"/>
      <c r="O134" s="650"/>
      <c r="P134" s="650"/>
      <c r="Q134" s="650"/>
      <c r="R134" s="650"/>
      <c r="S134" s="650"/>
      <c r="T134" s="650"/>
      <c r="U134" s="646"/>
      <c r="V134" s="754"/>
      <c r="W134" s="639"/>
      <c r="X134" s="639"/>
      <c r="Y134" s="604"/>
    </row>
    <row r="135" spans="1:25" ht="22.5" customHeight="1" thickTop="1" thickBot="1" x14ac:dyDescent="0.3">
      <c r="A135" s="638">
        <v>1</v>
      </c>
      <c r="B135" s="638" t="s">
        <v>1381</v>
      </c>
      <c r="C135" s="628" t="s">
        <v>1394</v>
      </c>
      <c r="D135" s="628" t="s">
        <v>1394</v>
      </c>
      <c r="E135" s="638" t="s">
        <v>1394</v>
      </c>
      <c r="F135" s="628" t="s">
        <v>1381</v>
      </c>
      <c r="G135" s="754" t="s">
        <v>1422</v>
      </c>
      <c r="H135" s="628"/>
      <c r="I135" s="628"/>
      <c r="J135" s="635" t="s">
        <v>1906</v>
      </c>
      <c r="K135" s="650"/>
      <c r="L135" s="650"/>
      <c r="M135" s="650"/>
      <c r="N135" s="650"/>
      <c r="O135" s="650"/>
      <c r="P135" s="650"/>
      <c r="Q135" s="650"/>
      <c r="R135" s="650"/>
      <c r="S135" s="650"/>
      <c r="T135" s="650"/>
      <c r="U135" s="646"/>
      <c r="V135" s="754"/>
      <c r="W135" s="639"/>
      <c r="X135" s="639"/>
      <c r="Y135" s="604"/>
    </row>
    <row r="136" spans="1:25" ht="22.5" customHeight="1" thickTop="1" thickBot="1" x14ac:dyDescent="0.3">
      <c r="A136" s="638">
        <v>1</v>
      </c>
      <c r="B136" s="638" t="s">
        <v>1381</v>
      </c>
      <c r="C136" s="628" t="s">
        <v>1394</v>
      </c>
      <c r="D136" s="628" t="s">
        <v>1394</v>
      </c>
      <c r="E136" s="638" t="s">
        <v>1394</v>
      </c>
      <c r="F136" s="628" t="s">
        <v>1381</v>
      </c>
      <c r="G136" s="754" t="s">
        <v>1447</v>
      </c>
      <c r="H136" s="628"/>
      <c r="I136" s="628"/>
      <c r="J136" s="635" t="s">
        <v>1907</v>
      </c>
      <c r="K136" s="650"/>
      <c r="L136" s="650"/>
      <c r="M136" s="650"/>
      <c r="N136" s="650"/>
      <c r="O136" s="650"/>
      <c r="P136" s="650"/>
      <c r="Q136" s="650"/>
      <c r="R136" s="650"/>
      <c r="S136" s="650"/>
      <c r="T136" s="650"/>
      <c r="U136" s="646"/>
      <c r="V136" s="754"/>
      <c r="W136" s="639"/>
      <c r="X136" s="639"/>
      <c r="Y136" s="604"/>
    </row>
    <row r="137" spans="1:25" ht="22.5" customHeight="1" thickTop="1" thickBot="1" x14ac:dyDescent="0.3">
      <c r="A137" s="638">
        <v>1</v>
      </c>
      <c r="B137" s="638" t="s">
        <v>1381</v>
      </c>
      <c r="C137" s="628" t="s">
        <v>1394</v>
      </c>
      <c r="D137" s="628" t="s">
        <v>1394</v>
      </c>
      <c r="E137" s="638" t="s">
        <v>1394</v>
      </c>
      <c r="F137" s="628" t="s">
        <v>1381</v>
      </c>
      <c r="G137" s="754" t="s">
        <v>1470</v>
      </c>
      <c r="H137" s="628"/>
      <c r="I137" s="628"/>
      <c r="J137" s="635" t="s">
        <v>1908</v>
      </c>
      <c r="K137" s="650"/>
      <c r="L137" s="650"/>
      <c r="M137" s="650"/>
      <c r="N137" s="650"/>
      <c r="O137" s="650"/>
      <c r="P137" s="650"/>
      <c r="Q137" s="650"/>
      <c r="R137" s="650"/>
      <c r="S137" s="650"/>
      <c r="T137" s="650"/>
      <c r="U137" s="646"/>
      <c r="V137" s="754"/>
      <c r="W137" s="639"/>
      <c r="X137" s="639"/>
      <c r="Y137" s="604"/>
    </row>
    <row r="138" spans="1:25" ht="22.5" customHeight="1" thickTop="1" thickBot="1" x14ac:dyDescent="0.3">
      <c r="A138" s="638">
        <v>1</v>
      </c>
      <c r="B138" s="638" t="s">
        <v>1381</v>
      </c>
      <c r="C138" s="628" t="s">
        <v>1394</v>
      </c>
      <c r="D138" s="628" t="s">
        <v>1394</v>
      </c>
      <c r="E138" s="638" t="s">
        <v>1394</v>
      </c>
      <c r="F138" s="628" t="s">
        <v>1381</v>
      </c>
      <c r="G138" s="754" t="s">
        <v>1474</v>
      </c>
      <c r="H138" s="628"/>
      <c r="I138" s="628"/>
      <c r="J138" s="635" t="s">
        <v>1909</v>
      </c>
      <c r="K138" s="650"/>
      <c r="L138" s="650"/>
      <c r="M138" s="650"/>
      <c r="N138" s="650"/>
      <c r="O138" s="650"/>
      <c r="P138" s="650"/>
      <c r="Q138" s="650"/>
      <c r="R138" s="650"/>
      <c r="S138" s="650"/>
      <c r="T138" s="650"/>
      <c r="U138" s="646"/>
      <c r="V138" s="754"/>
      <c r="W138" s="639"/>
      <c r="X138" s="639"/>
      <c r="Y138" s="604"/>
    </row>
    <row r="139" spans="1:25" ht="22.5" customHeight="1" thickTop="1" thickBot="1" x14ac:dyDescent="0.3">
      <c r="A139" s="638">
        <v>1</v>
      </c>
      <c r="B139" s="638" t="s">
        <v>1381</v>
      </c>
      <c r="C139" s="628" t="s">
        <v>1394</v>
      </c>
      <c r="D139" s="628" t="s">
        <v>1394</v>
      </c>
      <c r="E139" s="638" t="s">
        <v>1394</v>
      </c>
      <c r="F139" s="628" t="s">
        <v>1381</v>
      </c>
      <c r="G139" s="754" t="s">
        <v>1478</v>
      </c>
      <c r="H139" s="628"/>
      <c r="I139" s="628"/>
      <c r="J139" s="635" t="s">
        <v>1906</v>
      </c>
      <c r="K139" s="650"/>
      <c r="L139" s="650"/>
      <c r="M139" s="650"/>
      <c r="N139" s="650"/>
      <c r="O139" s="650"/>
      <c r="P139" s="650"/>
      <c r="Q139" s="650"/>
      <c r="R139" s="650"/>
      <c r="S139" s="650"/>
      <c r="T139" s="650"/>
      <c r="U139" s="646"/>
      <c r="V139" s="754"/>
      <c r="W139" s="639"/>
      <c r="X139" s="639"/>
      <c r="Y139" s="604"/>
    </row>
    <row r="140" spans="1:25" ht="22.5" customHeight="1" thickTop="1" thickBot="1" x14ac:dyDescent="0.3">
      <c r="A140" s="638">
        <v>1</v>
      </c>
      <c r="B140" s="638" t="s">
        <v>1381</v>
      </c>
      <c r="C140" s="628" t="s">
        <v>1394</v>
      </c>
      <c r="D140" s="628" t="s">
        <v>1394</v>
      </c>
      <c r="E140" s="638" t="s">
        <v>1394</v>
      </c>
      <c r="F140" s="626" t="s">
        <v>1394</v>
      </c>
      <c r="G140" s="628"/>
      <c r="H140" s="628"/>
      <c r="I140" s="628"/>
      <c r="J140" s="641" t="s">
        <v>1458</v>
      </c>
      <c r="K140" s="649"/>
      <c r="L140" s="649"/>
      <c r="M140" s="649"/>
      <c r="N140" s="649"/>
      <c r="O140" s="649"/>
      <c r="P140" s="649"/>
      <c r="Q140" s="649"/>
      <c r="R140" s="649"/>
      <c r="S140" s="649"/>
      <c r="T140" s="649"/>
      <c r="U140" s="643"/>
      <c r="V140" s="626"/>
      <c r="W140" s="639" t="s">
        <v>1455</v>
      </c>
      <c r="X140" s="639"/>
      <c r="Y140" s="604" t="s">
        <v>1379</v>
      </c>
    </row>
    <row r="141" spans="1:25" ht="22.5" customHeight="1" thickTop="1" thickBot="1" x14ac:dyDescent="0.3">
      <c r="A141" s="638">
        <v>1</v>
      </c>
      <c r="B141" s="638" t="s">
        <v>1381</v>
      </c>
      <c r="C141" s="628" t="s">
        <v>1394</v>
      </c>
      <c r="D141" s="628" t="s">
        <v>1394</v>
      </c>
      <c r="E141" s="638" t="s">
        <v>1394</v>
      </c>
      <c r="F141" s="628" t="s">
        <v>1394</v>
      </c>
      <c r="G141" s="626" t="s">
        <v>1381</v>
      </c>
      <c r="H141" s="628"/>
      <c r="I141" s="628"/>
      <c r="J141" s="644" t="s">
        <v>1459</v>
      </c>
      <c r="K141" s="650"/>
      <c r="L141" s="650"/>
      <c r="M141" s="650"/>
      <c r="N141" s="650"/>
      <c r="O141" s="650"/>
      <c r="P141" s="650"/>
      <c r="Q141" s="650"/>
      <c r="R141" s="650"/>
      <c r="S141" s="650"/>
      <c r="T141" s="650"/>
      <c r="U141" s="646"/>
      <c r="V141" s="626"/>
      <c r="W141" s="639"/>
      <c r="X141" s="639"/>
      <c r="Y141" s="604" t="s">
        <v>1379</v>
      </c>
    </row>
    <row r="142" spans="1:25" ht="22.5" customHeight="1" thickTop="1" thickBot="1" x14ac:dyDescent="0.3">
      <c r="A142" s="638">
        <v>1</v>
      </c>
      <c r="B142" s="638" t="s">
        <v>1381</v>
      </c>
      <c r="C142" s="628" t="s">
        <v>1394</v>
      </c>
      <c r="D142" s="628" t="s">
        <v>1394</v>
      </c>
      <c r="E142" s="638" t="s">
        <v>1394</v>
      </c>
      <c r="F142" s="628" t="s">
        <v>1394</v>
      </c>
      <c r="G142" s="626" t="s">
        <v>1394</v>
      </c>
      <c r="H142" s="628"/>
      <c r="I142" s="628"/>
      <c r="J142" s="644" t="s">
        <v>1460</v>
      </c>
      <c r="K142" s="650"/>
      <c r="L142" s="650"/>
      <c r="M142" s="650"/>
      <c r="N142" s="650"/>
      <c r="O142" s="650"/>
      <c r="P142" s="650"/>
      <c r="Q142" s="650"/>
      <c r="R142" s="650"/>
      <c r="S142" s="650"/>
      <c r="T142" s="650"/>
      <c r="U142" s="646"/>
      <c r="V142" s="626"/>
      <c r="W142" s="639"/>
      <c r="X142" s="639"/>
      <c r="Y142" s="604" t="s">
        <v>1379</v>
      </c>
    </row>
    <row r="143" spans="1:25" ht="22.5" customHeight="1" thickTop="1" thickBot="1" x14ac:dyDescent="0.3">
      <c r="A143" s="638">
        <v>1</v>
      </c>
      <c r="B143" s="638" t="s">
        <v>1381</v>
      </c>
      <c r="C143" s="628" t="s">
        <v>1394</v>
      </c>
      <c r="D143" s="628" t="s">
        <v>1394</v>
      </c>
      <c r="E143" s="638" t="s">
        <v>1394</v>
      </c>
      <c r="F143" s="628" t="s">
        <v>1394</v>
      </c>
      <c r="G143" s="754" t="s">
        <v>1418</v>
      </c>
      <c r="H143" s="628"/>
      <c r="I143" s="628"/>
      <c r="J143" s="635" t="s">
        <v>1915</v>
      </c>
      <c r="K143" s="650"/>
      <c r="L143" s="650"/>
      <c r="M143" s="650"/>
      <c r="N143" s="650"/>
      <c r="O143" s="650"/>
      <c r="P143" s="650"/>
      <c r="Q143" s="650"/>
      <c r="R143" s="650"/>
      <c r="S143" s="650"/>
      <c r="T143" s="650"/>
      <c r="U143" s="646"/>
      <c r="V143" s="754"/>
      <c r="W143" s="639"/>
      <c r="X143" s="639"/>
      <c r="Y143" s="604"/>
    </row>
    <row r="144" spans="1:25" ht="22.5" customHeight="1" thickTop="1" thickBot="1" x14ac:dyDescent="0.3">
      <c r="A144" s="638">
        <v>1</v>
      </c>
      <c r="B144" s="638" t="s">
        <v>1381</v>
      </c>
      <c r="C144" s="628" t="s">
        <v>1394</v>
      </c>
      <c r="D144" s="628" t="s">
        <v>1394</v>
      </c>
      <c r="E144" s="638" t="s">
        <v>1394</v>
      </c>
      <c r="F144" s="628" t="s">
        <v>1394</v>
      </c>
      <c r="G144" s="754" t="s">
        <v>1422</v>
      </c>
      <c r="H144" s="628"/>
      <c r="I144" s="628"/>
      <c r="J144" s="635" t="s">
        <v>1916</v>
      </c>
      <c r="K144" s="650"/>
      <c r="L144" s="650"/>
      <c r="M144" s="650"/>
      <c r="N144" s="650"/>
      <c r="O144" s="650"/>
      <c r="P144" s="650"/>
      <c r="Q144" s="650"/>
      <c r="R144" s="650"/>
      <c r="S144" s="650"/>
      <c r="T144" s="650"/>
      <c r="U144" s="646"/>
      <c r="V144" s="754"/>
      <c r="W144" s="639"/>
      <c r="X144" s="639"/>
      <c r="Y144" s="604"/>
    </row>
    <row r="145" spans="1:25" ht="22.5" customHeight="1" thickTop="1" thickBot="1" x14ac:dyDescent="0.3">
      <c r="A145" s="638">
        <v>1</v>
      </c>
      <c r="B145" s="638" t="s">
        <v>1381</v>
      </c>
      <c r="C145" s="628" t="s">
        <v>1394</v>
      </c>
      <c r="D145" s="628" t="s">
        <v>1394</v>
      </c>
      <c r="E145" s="638" t="s">
        <v>1394</v>
      </c>
      <c r="F145" s="628" t="s">
        <v>1394</v>
      </c>
      <c r="G145" s="754" t="s">
        <v>1447</v>
      </c>
      <c r="H145" s="628"/>
      <c r="I145" s="628"/>
      <c r="J145" s="635" t="s">
        <v>1917</v>
      </c>
      <c r="K145" s="650"/>
      <c r="L145" s="650"/>
      <c r="M145" s="650"/>
      <c r="N145" s="650"/>
      <c r="O145" s="650"/>
      <c r="P145" s="650"/>
      <c r="Q145" s="650"/>
      <c r="R145" s="650"/>
      <c r="S145" s="650"/>
      <c r="T145" s="650"/>
      <c r="U145" s="646"/>
      <c r="V145" s="754"/>
      <c r="W145" s="639"/>
      <c r="X145" s="639"/>
      <c r="Y145" s="604"/>
    </row>
    <row r="146" spans="1:25" ht="22.5" customHeight="1" thickTop="1" thickBot="1" x14ac:dyDescent="0.3">
      <c r="A146" s="638">
        <v>1</v>
      </c>
      <c r="B146" s="638" t="s">
        <v>1381</v>
      </c>
      <c r="C146" s="628" t="s">
        <v>1394</v>
      </c>
      <c r="D146" s="628" t="s">
        <v>1394</v>
      </c>
      <c r="E146" s="638" t="s">
        <v>1394</v>
      </c>
      <c r="F146" s="628" t="s">
        <v>1394</v>
      </c>
      <c r="G146" s="754" t="s">
        <v>1470</v>
      </c>
      <c r="H146" s="628"/>
      <c r="I146" s="628"/>
      <c r="J146" s="635" t="s">
        <v>1918</v>
      </c>
      <c r="K146" s="650"/>
      <c r="L146" s="650"/>
      <c r="M146" s="650"/>
      <c r="N146" s="650"/>
      <c r="O146" s="650"/>
      <c r="P146" s="650"/>
      <c r="Q146" s="650"/>
      <c r="R146" s="650"/>
      <c r="S146" s="650"/>
      <c r="T146" s="650"/>
      <c r="U146" s="646"/>
      <c r="V146" s="754"/>
      <c r="W146" s="639"/>
      <c r="X146" s="639"/>
      <c r="Y146" s="604"/>
    </row>
    <row r="147" spans="1:25" ht="22.5" customHeight="1" thickTop="1" thickBot="1" x14ac:dyDescent="0.3">
      <c r="A147" s="638">
        <v>1</v>
      </c>
      <c r="B147" s="638" t="s">
        <v>1381</v>
      </c>
      <c r="C147" s="628" t="s">
        <v>1394</v>
      </c>
      <c r="D147" s="628" t="s">
        <v>1394</v>
      </c>
      <c r="E147" s="638" t="s">
        <v>1394</v>
      </c>
      <c r="F147" s="628" t="s">
        <v>1394</v>
      </c>
      <c r="G147" s="754" t="s">
        <v>1474</v>
      </c>
      <c r="H147" s="628"/>
      <c r="I147" s="628"/>
      <c r="J147" s="635" t="s">
        <v>1919</v>
      </c>
      <c r="K147" s="650"/>
      <c r="L147" s="650"/>
      <c r="M147" s="650"/>
      <c r="N147" s="650"/>
      <c r="O147" s="650"/>
      <c r="P147" s="650"/>
      <c r="Q147" s="650"/>
      <c r="R147" s="650"/>
      <c r="S147" s="650"/>
      <c r="T147" s="650"/>
      <c r="U147" s="646"/>
      <c r="V147" s="754"/>
      <c r="W147" s="639"/>
      <c r="X147" s="639"/>
      <c r="Y147" s="604"/>
    </row>
    <row r="148" spans="1:25" ht="22.5" customHeight="1" thickTop="1" thickBot="1" x14ac:dyDescent="0.3">
      <c r="A148" s="638">
        <v>1</v>
      </c>
      <c r="B148" s="638" t="s">
        <v>1381</v>
      </c>
      <c r="C148" s="628" t="s">
        <v>1394</v>
      </c>
      <c r="D148" s="628" t="s">
        <v>1394</v>
      </c>
      <c r="E148" s="638" t="s">
        <v>1394</v>
      </c>
      <c r="F148" s="628" t="s">
        <v>1394</v>
      </c>
      <c r="G148" s="754" t="s">
        <v>1478</v>
      </c>
      <c r="H148" s="628"/>
      <c r="I148" s="628"/>
      <c r="J148" s="635" t="s">
        <v>1916</v>
      </c>
      <c r="K148" s="650"/>
      <c r="L148" s="650"/>
      <c r="M148" s="650"/>
      <c r="N148" s="650"/>
      <c r="O148" s="650"/>
      <c r="P148" s="650"/>
      <c r="Q148" s="650"/>
      <c r="R148" s="650"/>
      <c r="S148" s="650"/>
      <c r="T148" s="650"/>
      <c r="U148" s="646"/>
      <c r="V148" s="754"/>
      <c r="W148" s="639"/>
      <c r="X148" s="639"/>
      <c r="Y148" s="604"/>
    </row>
    <row r="149" spans="1:25" ht="22.5" customHeight="1" thickTop="1" thickBot="1" x14ac:dyDescent="0.3">
      <c r="A149" s="638">
        <v>1</v>
      </c>
      <c r="B149" s="638" t="s">
        <v>1381</v>
      </c>
      <c r="C149" s="628" t="s">
        <v>1394</v>
      </c>
      <c r="D149" s="628" t="s">
        <v>1394</v>
      </c>
      <c r="E149" s="638" t="s">
        <v>1394</v>
      </c>
      <c r="F149" s="626" t="s">
        <v>1418</v>
      </c>
      <c r="G149" s="628"/>
      <c r="H149" s="628"/>
      <c r="I149" s="628"/>
      <c r="J149" s="641" t="s">
        <v>1461</v>
      </c>
      <c r="K149" s="649"/>
      <c r="L149" s="649"/>
      <c r="M149" s="649"/>
      <c r="N149" s="649"/>
      <c r="O149" s="649"/>
      <c r="P149" s="649"/>
      <c r="Q149" s="649"/>
      <c r="R149" s="649"/>
      <c r="S149" s="649"/>
      <c r="T149" s="649"/>
      <c r="U149" s="643"/>
      <c r="V149" s="626"/>
      <c r="W149" s="639"/>
      <c r="X149" s="639"/>
      <c r="Y149" s="604" t="s">
        <v>1379</v>
      </c>
    </row>
    <row r="150" spans="1:25" ht="22.5" customHeight="1" thickTop="1" thickBot="1" x14ac:dyDescent="0.3">
      <c r="A150" s="638">
        <v>1</v>
      </c>
      <c r="B150" s="638" t="s">
        <v>1381</v>
      </c>
      <c r="C150" s="628" t="s">
        <v>1394</v>
      </c>
      <c r="D150" s="628" t="s">
        <v>1394</v>
      </c>
      <c r="E150" s="638" t="s">
        <v>1394</v>
      </c>
      <c r="F150" s="628" t="s">
        <v>1418</v>
      </c>
      <c r="G150" s="626" t="s">
        <v>1381</v>
      </c>
      <c r="H150" s="628"/>
      <c r="I150" s="628"/>
      <c r="J150" s="644" t="s">
        <v>1462</v>
      </c>
      <c r="K150" s="650"/>
      <c r="L150" s="650"/>
      <c r="M150" s="650"/>
      <c r="N150" s="650"/>
      <c r="O150" s="650"/>
      <c r="P150" s="650"/>
      <c r="Q150" s="650"/>
      <c r="R150" s="650"/>
      <c r="S150" s="650"/>
      <c r="T150" s="650"/>
      <c r="U150" s="646"/>
      <c r="V150" s="626"/>
      <c r="W150" s="639"/>
      <c r="X150" s="639"/>
      <c r="Y150" s="604" t="s">
        <v>1379</v>
      </c>
    </row>
    <row r="151" spans="1:25" ht="22.5" customHeight="1" thickTop="1" thickBot="1" x14ac:dyDescent="0.3">
      <c r="A151" s="638">
        <v>1</v>
      </c>
      <c r="B151" s="638" t="s">
        <v>1381</v>
      </c>
      <c r="C151" s="628" t="s">
        <v>1394</v>
      </c>
      <c r="D151" s="628" t="s">
        <v>1394</v>
      </c>
      <c r="E151" s="638" t="s">
        <v>1394</v>
      </c>
      <c r="F151" s="628" t="s">
        <v>1418</v>
      </c>
      <c r="G151" s="626" t="s">
        <v>1394</v>
      </c>
      <c r="H151" s="628"/>
      <c r="I151" s="628"/>
      <c r="J151" s="644" t="s">
        <v>1463</v>
      </c>
      <c r="K151" s="650"/>
      <c r="L151" s="650"/>
      <c r="M151" s="650"/>
      <c r="N151" s="650"/>
      <c r="O151" s="650"/>
      <c r="P151" s="650"/>
      <c r="Q151" s="650"/>
      <c r="R151" s="650"/>
      <c r="S151" s="650"/>
      <c r="T151" s="650"/>
      <c r="U151" s="646"/>
      <c r="V151" s="626"/>
      <c r="W151" s="639"/>
      <c r="X151" s="639"/>
      <c r="Y151" s="604" t="s">
        <v>1379</v>
      </c>
    </row>
    <row r="152" spans="1:25" ht="22.5" customHeight="1" thickTop="1" thickBot="1" x14ac:dyDescent="0.3">
      <c r="A152" s="638">
        <v>1</v>
      </c>
      <c r="B152" s="638" t="s">
        <v>1381</v>
      </c>
      <c r="C152" s="628" t="s">
        <v>1394</v>
      </c>
      <c r="D152" s="628" t="s">
        <v>1394</v>
      </c>
      <c r="E152" s="638" t="s">
        <v>1394</v>
      </c>
      <c r="F152" s="628" t="s">
        <v>1418</v>
      </c>
      <c r="G152" s="754" t="s">
        <v>1418</v>
      </c>
      <c r="H152" s="628"/>
      <c r="I152" s="628"/>
      <c r="J152" s="635" t="s">
        <v>1920</v>
      </c>
      <c r="K152" s="650"/>
      <c r="L152" s="650"/>
      <c r="M152" s="650"/>
      <c r="N152" s="650"/>
      <c r="O152" s="650"/>
      <c r="P152" s="650"/>
      <c r="Q152" s="650"/>
      <c r="R152" s="650"/>
      <c r="S152" s="650"/>
      <c r="T152" s="650"/>
      <c r="U152" s="646"/>
      <c r="V152" s="754"/>
      <c r="W152" s="639"/>
      <c r="X152" s="639"/>
      <c r="Y152" s="604"/>
    </row>
    <row r="153" spans="1:25" ht="22.5" customHeight="1" thickTop="1" thickBot="1" x14ac:dyDescent="0.3">
      <c r="A153" s="638">
        <v>1</v>
      </c>
      <c r="B153" s="638" t="s">
        <v>1381</v>
      </c>
      <c r="C153" s="628" t="s">
        <v>1394</v>
      </c>
      <c r="D153" s="628" t="s">
        <v>1394</v>
      </c>
      <c r="E153" s="638" t="s">
        <v>1394</v>
      </c>
      <c r="F153" s="628" t="s">
        <v>1418</v>
      </c>
      <c r="G153" s="754" t="s">
        <v>1422</v>
      </c>
      <c r="H153" s="628"/>
      <c r="I153" s="628"/>
      <c r="J153" s="635" t="s">
        <v>1921</v>
      </c>
      <c r="K153" s="650"/>
      <c r="L153" s="650"/>
      <c r="M153" s="650"/>
      <c r="N153" s="650"/>
      <c r="O153" s="650"/>
      <c r="P153" s="650"/>
      <c r="Q153" s="650"/>
      <c r="R153" s="650"/>
      <c r="S153" s="650"/>
      <c r="T153" s="650"/>
      <c r="U153" s="646"/>
      <c r="V153" s="754"/>
      <c r="W153" s="639"/>
      <c r="X153" s="639"/>
      <c r="Y153" s="604"/>
    </row>
    <row r="154" spans="1:25" ht="22.5" customHeight="1" thickTop="1" thickBot="1" x14ac:dyDescent="0.3">
      <c r="A154" s="638">
        <v>1</v>
      </c>
      <c r="B154" s="638" t="s">
        <v>1381</v>
      </c>
      <c r="C154" s="628" t="s">
        <v>1394</v>
      </c>
      <c r="D154" s="628" t="s">
        <v>1394</v>
      </c>
      <c r="E154" s="638" t="s">
        <v>1394</v>
      </c>
      <c r="F154" s="628" t="s">
        <v>1418</v>
      </c>
      <c r="G154" s="754" t="s">
        <v>1447</v>
      </c>
      <c r="H154" s="628"/>
      <c r="I154" s="628"/>
      <c r="J154" s="635" t="s">
        <v>1922</v>
      </c>
      <c r="K154" s="650"/>
      <c r="L154" s="650"/>
      <c r="M154" s="650"/>
      <c r="N154" s="650"/>
      <c r="O154" s="650"/>
      <c r="P154" s="650"/>
      <c r="Q154" s="650"/>
      <c r="R154" s="650"/>
      <c r="S154" s="650"/>
      <c r="T154" s="650"/>
      <c r="U154" s="646"/>
      <c r="V154" s="754"/>
      <c r="W154" s="639"/>
      <c r="X154" s="639"/>
      <c r="Y154" s="604"/>
    </row>
    <row r="155" spans="1:25" ht="22.5" customHeight="1" thickTop="1" thickBot="1" x14ac:dyDescent="0.3">
      <c r="A155" s="638">
        <v>1</v>
      </c>
      <c r="B155" s="638" t="s">
        <v>1381</v>
      </c>
      <c r="C155" s="628" t="s">
        <v>1394</v>
      </c>
      <c r="D155" s="628" t="s">
        <v>1394</v>
      </c>
      <c r="E155" s="638" t="s">
        <v>1394</v>
      </c>
      <c r="F155" s="628" t="s">
        <v>1418</v>
      </c>
      <c r="G155" s="754" t="s">
        <v>1470</v>
      </c>
      <c r="H155" s="628"/>
      <c r="I155" s="628"/>
      <c r="J155" s="635" t="s">
        <v>1923</v>
      </c>
      <c r="K155" s="650"/>
      <c r="L155" s="650"/>
      <c r="M155" s="650"/>
      <c r="N155" s="650"/>
      <c r="O155" s="650"/>
      <c r="P155" s="650"/>
      <c r="Q155" s="650"/>
      <c r="R155" s="650"/>
      <c r="S155" s="650"/>
      <c r="T155" s="650"/>
      <c r="U155" s="646"/>
      <c r="V155" s="754"/>
      <c r="W155" s="639"/>
      <c r="X155" s="639"/>
      <c r="Y155" s="604"/>
    </row>
    <row r="156" spans="1:25" ht="22.5" customHeight="1" thickTop="1" thickBot="1" x14ac:dyDescent="0.3">
      <c r="A156" s="638">
        <v>1</v>
      </c>
      <c r="B156" s="638" t="s">
        <v>1381</v>
      </c>
      <c r="C156" s="628" t="s">
        <v>1394</v>
      </c>
      <c r="D156" s="628" t="s">
        <v>1394</v>
      </c>
      <c r="E156" s="638" t="s">
        <v>1394</v>
      </c>
      <c r="F156" s="628" t="s">
        <v>1418</v>
      </c>
      <c r="G156" s="754" t="s">
        <v>1474</v>
      </c>
      <c r="H156" s="628"/>
      <c r="I156" s="628"/>
      <c r="J156" s="635" t="s">
        <v>1924</v>
      </c>
      <c r="K156" s="650"/>
      <c r="L156" s="650"/>
      <c r="M156" s="650"/>
      <c r="N156" s="650"/>
      <c r="O156" s="650"/>
      <c r="P156" s="650"/>
      <c r="Q156" s="650"/>
      <c r="R156" s="650"/>
      <c r="S156" s="650"/>
      <c r="T156" s="650"/>
      <c r="U156" s="646"/>
      <c r="V156" s="754"/>
      <c r="W156" s="639"/>
      <c r="X156" s="639"/>
      <c r="Y156" s="604"/>
    </row>
    <row r="157" spans="1:25" ht="22.5" customHeight="1" thickTop="1" thickBot="1" x14ac:dyDescent="0.3">
      <c r="A157" s="638">
        <v>1</v>
      </c>
      <c r="B157" s="638" t="s">
        <v>1381</v>
      </c>
      <c r="C157" s="628" t="s">
        <v>1394</v>
      </c>
      <c r="D157" s="628" t="s">
        <v>1394</v>
      </c>
      <c r="E157" s="638" t="s">
        <v>1394</v>
      </c>
      <c r="F157" s="628" t="s">
        <v>1418</v>
      </c>
      <c r="G157" s="754" t="s">
        <v>1478</v>
      </c>
      <c r="H157" s="628"/>
      <c r="I157" s="628"/>
      <c r="J157" s="635" t="s">
        <v>1921</v>
      </c>
      <c r="K157" s="650"/>
      <c r="L157" s="650"/>
      <c r="M157" s="650"/>
      <c r="N157" s="650"/>
      <c r="O157" s="650"/>
      <c r="P157" s="650"/>
      <c r="Q157" s="650"/>
      <c r="R157" s="650"/>
      <c r="S157" s="650"/>
      <c r="T157" s="650"/>
      <c r="U157" s="646"/>
      <c r="V157" s="754"/>
      <c r="W157" s="639"/>
      <c r="X157" s="639"/>
      <c r="Y157" s="604"/>
    </row>
    <row r="158" spans="1:25" ht="22.5" customHeight="1" thickTop="1" thickBot="1" x14ac:dyDescent="0.3">
      <c r="A158" s="638">
        <v>1</v>
      </c>
      <c r="B158" s="638" t="s">
        <v>1381</v>
      </c>
      <c r="C158" s="628" t="s">
        <v>1394</v>
      </c>
      <c r="D158" s="628" t="s">
        <v>1394</v>
      </c>
      <c r="E158" s="638" t="s">
        <v>1394</v>
      </c>
      <c r="F158" s="626" t="s">
        <v>1422</v>
      </c>
      <c r="G158" s="628"/>
      <c r="H158" s="628"/>
      <c r="I158" s="628"/>
      <c r="J158" s="641" t="s">
        <v>1464</v>
      </c>
      <c r="K158" s="649"/>
      <c r="L158" s="649"/>
      <c r="M158" s="649"/>
      <c r="N158" s="649"/>
      <c r="O158" s="649"/>
      <c r="P158" s="649"/>
      <c r="Q158" s="649"/>
      <c r="R158" s="649"/>
      <c r="S158" s="649"/>
      <c r="T158" s="649"/>
      <c r="U158" s="643"/>
      <c r="V158" s="626"/>
      <c r="W158" s="639"/>
      <c r="X158" s="639"/>
      <c r="Y158" s="604" t="s">
        <v>1379</v>
      </c>
    </row>
    <row r="159" spans="1:25" ht="22.5" customHeight="1" thickTop="1" thickBot="1" x14ac:dyDescent="0.3">
      <c r="A159" s="638">
        <v>1</v>
      </c>
      <c r="B159" s="638" t="s">
        <v>1381</v>
      </c>
      <c r="C159" s="628" t="s">
        <v>1394</v>
      </c>
      <c r="D159" s="628" t="s">
        <v>1394</v>
      </c>
      <c r="E159" s="638" t="s">
        <v>1394</v>
      </c>
      <c r="F159" s="628" t="s">
        <v>1422</v>
      </c>
      <c r="G159" s="626" t="s">
        <v>1381</v>
      </c>
      <c r="H159" s="628"/>
      <c r="I159" s="628"/>
      <c r="J159" s="644" t="s">
        <v>1465</v>
      </c>
      <c r="K159" s="650"/>
      <c r="L159" s="650"/>
      <c r="M159" s="650"/>
      <c r="N159" s="650"/>
      <c r="O159" s="650"/>
      <c r="P159" s="650"/>
      <c r="Q159" s="650"/>
      <c r="R159" s="650"/>
      <c r="S159" s="650"/>
      <c r="T159" s="650"/>
      <c r="U159" s="646"/>
      <c r="V159" s="626"/>
      <c r="W159" s="639"/>
      <c r="X159" s="639"/>
      <c r="Y159" s="604" t="s">
        <v>1379</v>
      </c>
    </row>
    <row r="160" spans="1:25" ht="22.5" customHeight="1" thickTop="1" thickBot="1" x14ac:dyDescent="0.3">
      <c r="A160" s="638">
        <v>1</v>
      </c>
      <c r="B160" s="638" t="s">
        <v>1381</v>
      </c>
      <c r="C160" s="628" t="s">
        <v>1394</v>
      </c>
      <c r="D160" s="628" t="s">
        <v>1394</v>
      </c>
      <c r="E160" s="638" t="s">
        <v>1394</v>
      </c>
      <c r="F160" s="628" t="s">
        <v>1422</v>
      </c>
      <c r="G160" s="626" t="s">
        <v>1394</v>
      </c>
      <c r="H160" s="628"/>
      <c r="I160" s="628"/>
      <c r="J160" s="644" t="s">
        <v>1466</v>
      </c>
      <c r="K160" s="650"/>
      <c r="L160" s="650"/>
      <c r="M160" s="650"/>
      <c r="N160" s="650"/>
      <c r="O160" s="650"/>
      <c r="P160" s="650"/>
      <c r="Q160" s="650"/>
      <c r="R160" s="650"/>
      <c r="S160" s="650"/>
      <c r="T160" s="650"/>
      <c r="U160" s="646"/>
      <c r="V160" s="626"/>
      <c r="W160" s="639"/>
      <c r="X160" s="639"/>
      <c r="Y160" s="604" t="s">
        <v>1379</v>
      </c>
    </row>
    <row r="161" spans="1:25" ht="22.5" customHeight="1" thickTop="1" thickBot="1" x14ac:dyDescent="0.3">
      <c r="A161" s="638">
        <v>1</v>
      </c>
      <c r="B161" s="638" t="s">
        <v>1381</v>
      </c>
      <c r="C161" s="628" t="s">
        <v>1394</v>
      </c>
      <c r="D161" s="628" t="s">
        <v>1394</v>
      </c>
      <c r="E161" s="638" t="s">
        <v>1394</v>
      </c>
      <c r="F161" s="626" t="s">
        <v>1447</v>
      </c>
      <c r="G161" s="628"/>
      <c r="H161" s="628"/>
      <c r="I161" s="628"/>
      <c r="J161" s="641" t="s">
        <v>1467</v>
      </c>
      <c r="K161" s="649"/>
      <c r="L161" s="649"/>
      <c r="M161" s="649"/>
      <c r="N161" s="649"/>
      <c r="O161" s="649"/>
      <c r="P161" s="649"/>
      <c r="Q161" s="649"/>
      <c r="R161" s="649"/>
      <c r="S161" s="649"/>
      <c r="T161" s="649"/>
      <c r="U161" s="643"/>
      <c r="V161" s="626"/>
      <c r="W161" s="639"/>
      <c r="X161" s="639"/>
      <c r="Y161" s="604" t="s">
        <v>1379</v>
      </c>
    </row>
    <row r="162" spans="1:25" ht="22.5" customHeight="1" thickTop="1" thickBot="1" x14ac:dyDescent="0.3">
      <c r="A162" s="638">
        <v>1</v>
      </c>
      <c r="B162" s="638" t="s">
        <v>1381</v>
      </c>
      <c r="C162" s="628" t="s">
        <v>1394</v>
      </c>
      <c r="D162" s="628" t="s">
        <v>1394</v>
      </c>
      <c r="E162" s="638" t="s">
        <v>1394</v>
      </c>
      <c r="F162" s="628" t="s">
        <v>1447</v>
      </c>
      <c r="G162" s="626" t="s">
        <v>1381</v>
      </c>
      <c r="H162" s="628"/>
      <c r="I162" s="628"/>
      <c r="J162" s="644" t="s">
        <v>1468</v>
      </c>
      <c r="K162" s="650"/>
      <c r="L162" s="650"/>
      <c r="M162" s="650"/>
      <c r="N162" s="650"/>
      <c r="O162" s="650"/>
      <c r="P162" s="650"/>
      <c r="Q162" s="650"/>
      <c r="R162" s="650"/>
      <c r="S162" s="650"/>
      <c r="T162" s="650"/>
      <c r="U162" s="646"/>
      <c r="V162" s="626"/>
      <c r="W162" s="639"/>
      <c r="X162" s="639"/>
      <c r="Y162" s="604" t="s">
        <v>1379</v>
      </c>
    </row>
    <row r="163" spans="1:25" ht="22.5" customHeight="1" thickTop="1" thickBot="1" x14ac:dyDescent="0.3">
      <c r="A163" s="638">
        <v>1</v>
      </c>
      <c r="B163" s="638" t="s">
        <v>1381</v>
      </c>
      <c r="C163" s="628" t="s">
        <v>1394</v>
      </c>
      <c r="D163" s="628" t="s">
        <v>1394</v>
      </c>
      <c r="E163" s="638" t="s">
        <v>1394</v>
      </c>
      <c r="F163" s="628" t="s">
        <v>1447</v>
      </c>
      <c r="G163" s="626" t="s">
        <v>1394</v>
      </c>
      <c r="H163" s="628"/>
      <c r="I163" s="628"/>
      <c r="J163" s="644" t="s">
        <v>1469</v>
      </c>
      <c r="K163" s="650"/>
      <c r="L163" s="650"/>
      <c r="M163" s="650"/>
      <c r="N163" s="650"/>
      <c r="O163" s="650"/>
      <c r="P163" s="650"/>
      <c r="Q163" s="650"/>
      <c r="R163" s="650"/>
      <c r="S163" s="650"/>
      <c r="T163" s="650"/>
      <c r="U163" s="646"/>
      <c r="V163" s="626"/>
      <c r="W163" s="639"/>
      <c r="X163" s="639"/>
      <c r="Y163" s="604" t="s">
        <v>1379</v>
      </c>
    </row>
    <row r="164" spans="1:25" ht="22.5" customHeight="1" thickTop="1" thickBot="1" x14ac:dyDescent="0.3">
      <c r="A164" s="638">
        <v>1</v>
      </c>
      <c r="B164" s="638" t="s">
        <v>1381</v>
      </c>
      <c r="C164" s="628" t="s">
        <v>1394</v>
      </c>
      <c r="D164" s="628" t="s">
        <v>1394</v>
      </c>
      <c r="E164" s="638" t="s">
        <v>1394</v>
      </c>
      <c r="F164" s="626" t="s">
        <v>1470</v>
      </c>
      <c r="G164" s="628"/>
      <c r="H164" s="628"/>
      <c r="I164" s="628"/>
      <c r="J164" s="641" t="s">
        <v>1471</v>
      </c>
      <c r="K164" s="649"/>
      <c r="L164" s="649"/>
      <c r="M164" s="649"/>
      <c r="N164" s="649"/>
      <c r="O164" s="649"/>
      <c r="P164" s="649"/>
      <c r="Q164" s="649"/>
      <c r="R164" s="649"/>
      <c r="S164" s="649"/>
      <c r="T164" s="649"/>
      <c r="U164" s="643"/>
      <c r="V164" s="626"/>
      <c r="W164" s="639"/>
      <c r="X164" s="639"/>
      <c r="Y164" s="604" t="s">
        <v>1379</v>
      </c>
    </row>
    <row r="165" spans="1:25" ht="22.5" customHeight="1" thickTop="1" thickBot="1" x14ac:dyDescent="0.3">
      <c r="A165" s="638">
        <v>1</v>
      </c>
      <c r="B165" s="638" t="s">
        <v>1381</v>
      </c>
      <c r="C165" s="628" t="s">
        <v>1394</v>
      </c>
      <c r="D165" s="628" t="s">
        <v>1394</v>
      </c>
      <c r="E165" s="638" t="s">
        <v>1394</v>
      </c>
      <c r="F165" s="628" t="s">
        <v>1470</v>
      </c>
      <c r="G165" s="626" t="s">
        <v>1381</v>
      </c>
      <c r="H165" s="628"/>
      <c r="I165" s="628"/>
      <c r="J165" s="644" t="s">
        <v>1472</v>
      </c>
      <c r="K165" s="650"/>
      <c r="L165" s="650"/>
      <c r="M165" s="650"/>
      <c r="N165" s="650"/>
      <c r="O165" s="650"/>
      <c r="P165" s="650"/>
      <c r="Q165" s="650"/>
      <c r="R165" s="650"/>
      <c r="S165" s="650"/>
      <c r="T165" s="650"/>
      <c r="U165" s="646"/>
      <c r="V165" s="626"/>
      <c r="W165" s="639"/>
      <c r="X165" s="639"/>
      <c r="Y165" s="604" t="s">
        <v>1379</v>
      </c>
    </row>
    <row r="166" spans="1:25" ht="22.5" customHeight="1" thickTop="1" thickBot="1" x14ac:dyDescent="0.3">
      <c r="A166" s="638">
        <v>1</v>
      </c>
      <c r="B166" s="638" t="s">
        <v>1381</v>
      </c>
      <c r="C166" s="628" t="s">
        <v>1394</v>
      </c>
      <c r="D166" s="628" t="s">
        <v>1394</v>
      </c>
      <c r="E166" s="638" t="s">
        <v>1394</v>
      </c>
      <c r="F166" s="628" t="s">
        <v>1470</v>
      </c>
      <c r="G166" s="626" t="s">
        <v>1394</v>
      </c>
      <c r="H166" s="628"/>
      <c r="I166" s="628"/>
      <c r="J166" s="644" t="s">
        <v>1473</v>
      </c>
      <c r="K166" s="650"/>
      <c r="L166" s="650"/>
      <c r="M166" s="650"/>
      <c r="N166" s="650"/>
      <c r="O166" s="650"/>
      <c r="P166" s="650"/>
      <c r="Q166" s="650"/>
      <c r="R166" s="650"/>
      <c r="S166" s="650"/>
      <c r="T166" s="650"/>
      <c r="U166" s="646"/>
      <c r="V166" s="626"/>
      <c r="W166" s="639"/>
      <c r="X166" s="639"/>
      <c r="Y166" s="604" t="s">
        <v>1379</v>
      </c>
    </row>
    <row r="167" spans="1:25" ht="22.5" customHeight="1" thickTop="1" thickBot="1" x14ac:dyDescent="0.3">
      <c r="A167" s="638">
        <v>1</v>
      </c>
      <c r="B167" s="638" t="s">
        <v>1381</v>
      </c>
      <c r="C167" s="628" t="s">
        <v>1394</v>
      </c>
      <c r="D167" s="628" t="s">
        <v>1394</v>
      </c>
      <c r="E167" s="638" t="s">
        <v>1394</v>
      </c>
      <c r="F167" s="626" t="s">
        <v>1474</v>
      </c>
      <c r="G167" s="628"/>
      <c r="H167" s="628"/>
      <c r="I167" s="628"/>
      <c r="J167" s="641" t="s">
        <v>1475</v>
      </c>
      <c r="K167" s="649"/>
      <c r="L167" s="649"/>
      <c r="M167" s="649"/>
      <c r="N167" s="649"/>
      <c r="O167" s="649"/>
      <c r="P167" s="649"/>
      <c r="Q167" s="649"/>
      <c r="R167" s="649"/>
      <c r="S167" s="649"/>
      <c r="T167" s="649"/>
      <c r="U167" s="643"/>
      <c r="V167" s="626"/>
      <c r="W167" s="639"/>
      <c r="X167" s="639"/>
      <c r="Y167" s="604" t="s">
        <v>1379</v>
      </c>
    </row>
    <row r="168" spans="1:25" ht="22.5" customHeight="1" thickTop="1" thickBot="1" x14ac:dyDescent="0.3">
      <c r="A168" s="638">
        <v>1</v>
      </c>
      <c r="B168" s="638" t="s">
        <v>1381</v>
      </c>
      <c r="C168" s="628" t="s">
        <v>1394</v>
      </c>
      <c r="D168" s="628" t="s">
        <v>1394</v>
      </c>
      <c r="E168" s="638" t="s">
        <v>1394</v>
      </c>
      <c r="F168" s="628" t="s">
        <v>1474</v>
      </c>
      <c r="G168" s="626" t="s">
        <v>1381</v>
      </c>
      <c r="H168" s="628"/>
      <c r="I168" s="628"/>
      <c r="J168" s="644" t="s">
        <v>1476</v>
      </c>
      <c r="K168" s="650"/>
      <c r="L168" s="650"/>
      <c r="M168" s="650"/>
      <c r="N168" s="650"/>
      <c r="O168" s="650"/>
      <c r="P168" s="650"/>
      <c r="Q168" s="650"/>
      <c r="R168" s="650"/>
      <c r="S168" s="650"/>
      <c r="T168" s="650"/>
      <c r="U168" s="646"/>
      <c r="V168" s="626"/>
      <c r="W168" s="639"/>
      <c r="X168" s="639"/>
      <c r="Y168" s="604" t="s">
        <v>1379</v>
      </c>
    </row>
    <row r="169" spans="1:25" ht="22.5" customHeight="1" thickTop="1" thickBot="1" x14ac:dyDescent="0.3">
      <c r="A169" s="638">
        <v>1</v>
      </c>
      <c r="B169" s="638" t="s">
        <v>1381</v>
      </c>
      <c r="C169" s="628" t="s">
        <v>1394</v>
      </c>
      <c r="D169" s="628" t="s">
        <v>1394</v>
      </c>
      <c r="E169" s="638" t="s">
        <v>1394</v>
      </c>
      <c r="F169" s="628" t="s">
        <v>1474</v>
      </c>
      <c r="G169" s="626" t="s">
        <v>1394</v>
      </c>
      <c r="H169" s="628"/>
      <c r="I169" s="628"/>
      <c r="J169" s="644" t="s">
        <v>1477</v>
      </c>
      <c r="K169" s="650"/>
      <c r="L169" s="650"/>
      <c r="M169" s="650"/>
      <c r="N169" s="650"/>
      <c r="O169" s="650"/>
      <c r="P169" s="650"/>
      <c r="Q169" s="650"/>
      <c r="R169" s="650"/>
      <c r="S169" s="650"/>
      <c r="T169" s="650"/>
      <c r="U169" s="646"/>
      <c r="V169" s="626"/>
      <c r="W169" s="639"/>
      <c r="X169" s="639"/>
      <c r="Y169" s="604" t="s">
        <v>1379</v>
      </c>
    </row>
    <row r="170" spans="1:25" ht="22.5" customHeight="1" thickTop="1" thickBot="1" x14ac:dyDescent="0.3">
      <c r="A170" s="638">
        <v>1</v>
      </c>
      <c r="B170" s="638" t="s">
        <v>1381</v>
      </c>
      <c r="C170" s="628" t="s">
        <v>1394</v>
      </c>
      <c r="D170" s="628" t="s">
        <v>1394</v>
      </c>
      <c r="E170" s="638" t="s">
        <v>1394</v>
      </c>
      <c r="F170" s="626" t="s">
        <v>1478</v>
      </c>
      <c r="G170" s="628"/>
      <c r="H170" s="628"/>
      <c r="I170" s="628"/>
      <c r="J170" s="641" t="s">
        <v>1479</v>
      </c>
      <c r="K170" s="649"/>
      <c r="L170" s="649"/>
      <c r="M170" s="649"/>
      <c r="N170" s="649"/>
      <c r="O170" s="649"/>
      <c r="P170" s="649"/>
      <c r="Q170" s="649"/>
      <c r="R170" s="649"/>
      <c r="S170" s="649"/>
      <c r="T170" s="649"/>
      <c r="U170" s="643"/>
      <c r="V170" s="626"/>
      <c r="W170" s="639"/>
      <c r="X170" s="639"/>
      <c r="Y170" s="604" t="s">
        <v>1379</v>
      </c>
    </row>
    <row r="171" spans="1:25" ht="22.5" customHeight="1" thickTop="1" thickBot="1" x14ac:dyDescent="0.3">
      <c r="A171" s="638">
        <v>1</v>
      </c>
      <c r="B171" s="638" t="s">
        <v>1381</v>
      </c>
      <c r="C171" s="628" t="s">
        <v>1394</v>
      </c>
      <c r="D171" s="628" t="s">
        <v>1394</v>
      </c>
      <c r="E171" s="638" t="s">
        <v>1394</v>
      </c>
      <c r="F171" s="628" t="s">
        <v>1478</v>
      </c>
      <c r="G171" s="626" t="s">
        <v>1381</v>
      </c>
      <c r="H171" s="628"/>
      <c r="I171" s="628"/>
      <c r="J171" s="644" t="s">
        <v>1480</v>
      </c>
      <c r="K171" s="650"/>
      <c r="L171" s="650"/>
      <c r="M171" s="650"/>
      <c r="N171" s="650"/>
      <c r="O171" s="650"/>
      <c r="P171" s="650"/>
      <c r="Q171" s="650"/>
      <c r="R171" s="650"/>
      <c r="S171" s="650"/>
      <c r="T171" s="650"/>
      <c r="U171" s="646"/>
      <c r="V171" s="626"/>
      <c r="W171" s="639"/>
      <c r="X171" s="639"/>
      <c r="Y171" s="604" t="s">
        <v>1379</v>
      </c>
    </row>
    <row r="172" spans="1:25" ht="22.5" customHeight="1" thickTop="1" thickBot="1" x14ac:dyDescent="0.3">
      <c r="A172" s="638">
        <v>1</v>
      </c>
      <c r="B172" s="638" t="s">
        <v>1381</v>
      </c>
      <c r="C172" s="628" t="s">
        <v>1394</v>
      </c>
      <c r="D172" s="628" t="s">
        <v>1394</v>
      </c>
      <c r="E172" s="638" t="s">
        <v>1394</v>
      </c>
      <c r="F172" s="628" t="s">
        <v>1478</v>
      </c>
      <c r="G172" s="626" t="s">
        <v>1394</v>
      </c>
      <c r="H172" s="628"/>
      <c r="I172" s="628"/>
      <c r="J172" s="644" t="s">
        <v>1481</v>
      </c>
      <c r="K172" s="650"/>
      <c r="L172" s="650"/>
      <c r="M172" s="650"/>
      <c r="N172" s="650"/>
      <c r="O172" s="650"/>
      <c r="P172" s="650"/>
      <c r="Q172" s="650"/>
      <c r="R172" s="650"/>
      <c r="S172" s="650"/>
      <c r="T172" s="650"/>
      <c r="U172" s="646"/>
      <c r="V172" s="626"/>
      <c r="W172" s="639"/>
      <c r="X172" s="639"/>
      <c r="Y172" s="604" t="s">
        <v>1379</v>
      </c>
    </row>
    <row r="173" spans="1:25" ht="22.5" customHeight="1" thickTop="1" thickBot="1" x14ac:dyDescent="0.3">
      <c r="A173" s="619" t="s">
        <v>1377</v>
      </c>
      <c r="B173" s="620" t="s">
        <v>1381</v>
      </c>
      <c r="C173" s="620" t="s">
        <v>1394</v>
      </c>
      <c r="D173" s="620" t="s">
        <v>1418</v>
      </c>
      <c r="E173" s="620"/>
      <c r="F173" s="621"/>
      <c r="G173" s="621"/>
      <c r="H173" s="621"/>
      <c r="I173" s="621"/>
      <c r="J173" s="622" t="s">
        <v>1482</v>
      </c>
      <c r="K173" s="623"/>
      <c r="L173" s="623"/>
      <c r="M173" s="623"/>
      <c r="N173" s="623"/>
      <c r="O173" s="623"/>
      <c r="P173" s="623"/>
      <c r="Q173" s="623"/>
      <c r="R173" s="623"/>
      <c r="S173" s="623"/>
      <c r="T173" s="623"/>
      <c r="U173" s="624"/>
      <c r="V173" s="620"/>
      <c r="W173" s="625" t="s">
        <v>1483</v>
      </c>
      <c r="X173" s="625" t="s">
        <v>1484</v>
      </c>
      <c r="Y173" s="604" t="s">
        <v>1379</v>
      </c>
    </row>
    <row r="174" spans="1:25" s="183" customFormat="1" ht="22.5" customHeight="1" thickTop="1" thickBot="1" x14ac:dyDescent="0.3">
      <c r="A174" s="626" t="s">
        <v>1377</v>
      </c>
      <c r="B174" s="626" t="s">
        <v>1381</v>
      </c>
      <c r="C174" s="626" t="s">
        <v>1394</v>
      </c>
      <c r="D174" s="626" t="s">
        <v>1418</v>
      </c>
      <c r="E174" s="627" t="s">
        <v>1381</v>
      </c>
      <c r="F174" s="626"/>
      <c r="G174" s="626"/>
      <c r="H174" s="628"/>
      <c r="I174" s="628"/>
      <c r="J174" s="629" t="s">
        <v>1299</v>
      </c>
      <c r="K174" s="649"/>
      <c r="L174" s="649"/>
      <c r="M174" s="649"/>
      <c r="N174" s="649"/>
      <c r="O174" s="649"/>
      <c r="P174" s="649"/>
      <c r="Q174" s="649"/>
      <c r="R174" s="649"/>
      <c r="S174" s="649"/>
      <c r="T174" s="649"/>
      <c r="U174" s="643"/>
      <c r="V174" s="632"/>
      <c r="W174" s="633" t="s">
        <v>1485</v>
      </c>
      <c r="X174" s="633" t="s">
        <v>1486</v>
      </c>
      <c r="Y174" s="604" t="s">
        <v>1379</v>
      </c>
    </row>
    <row r="175" spans="1:25" ht="22.5" customHeight="1" thickTop="1" thickBot="1" x14ac:dyDescent="0.3">
      <c r="A175" s="638" t="s">
        <v>1377</v>
      </c>
      <c r="B175" s="628" t="s">
        <v>1381</v>
      </c>
      <c r="C175" s="628" t="s">
        <v>1394</v>
      </c>
      <c r="D175" s="628" t="s">
        <v>1418</v>
      </c>
      <c r="E175" s="628" t="s">
        <v>1381</v>
      </c>
      <c r="F175" s="626" t="s">
        <v>1381</v>
      </c>
      <c r="G175" s="628"/>
      <c r="H175" s="628"/>
      <c r="I175" s="628"/>
      <c r="J175" s="629" t="s">
        <v>1487</v>
      </c>
      <c r="K175" s="649"/>
      <c r="L175" s="649"/>
      <c r="M175" s="649"/>
      <c r="N175" s="649"/>
      <c r="O175" s="649"/>
      <c r="P175" s="649"/>
      <c r="Q175" s="649"/>
      <c r="R175" s="649"/>
      <c r="S175" s="649"/>
      <c r="T175" s="649"/>
      <c r="U175" s="643"/>
      <c r="V175" s="638"/>
      <c r="W175" s="639" t="s">
        <v>1488</v>
      </c>
      <c r="X175" s="639" t="s">
        <v>1489</v>
      </c>
      <c r="Y175" s="604" t="s">
        <v>1379</v>
      </c>
    </row>
    <row r="176" spans="1:25" ht="22.5" customHeight="1" thickTop="1" thickBot="1" x14ac:dyDescent="0.3">
      <c r="A176" s="638" t="s">
        <v>1377</v>
      </c>
      <c r="B176" s="628" t="s">
        <v>1381</v>
      </c>
      <c r="C176" s="628" t="s">
        <v>1394</v>
      </c>
      <c r="D176" s="628" t="s">
        <v>1418</v>
      </c>
      <c r="E176" s="628" t="s">
        <v>1381</v>
      </c>
      <c r="F176" s="628" t="s">
        <v>1381</v>
      </c>
      <c r="G176" s="626" t="s">
        <v>1381</v>
      </c>
      <c r="H176" s="628"/>
      <c r="I176" s="628"/>
      <c r="J176" s="635" t="s">
        <v>1490</v>
      </c>
      <c r="K176" s="649"/>
      <c r="L176" s="649"/>
      <c r="M176" s="649"/>
      <c r="N176" s="649"/>
      <c r="O176" s="649"/>
      <c r="P176" s="649"/>
      <c r="Q176" s="649"/>
      <c r="R176" s="649"/>
      <c r="S176" s="649"/>
      <c r="T176" s="649"/>
      <c r="U176" s="643"/>
      <c r="V176" s="638"/>
      <c r="W176" s="639"/>
      <c r="X176" s="639"/>
      <c r="Y176" s="604" t="s">
        <v>1379</v>
      </c>
    </row>
    <row r="177" spans="1:25" ht="22.5" customHeight="1" thickTop="1" thickBot="1" x14ac:dyDescent="0.3">
      <c r="A177" s="638" t="s">
        <v>1377</v>
      </c>
      <c r="B177" s="628" t="s">
        <v>1381</v>
      </c>
      <c r="C177" s="628" t="s">
        <v>1394</v>
      </c>
      <c r="D177" s="628" t="s">
        <v>1418</v>
      </c>
      <c r="E177" s="628" t="s">
        <v>1381</v>
      </c>
      <c r="F177" s="628" t="s">
        <v>1381</v>
      </c>
      <c r="G177" s="626" t="s">
        <v>1394</v>
      </c>
      <c r="H177" s="628"/>
      <c r="I177" s="628"/>
      <c r="J177" s="635" t="s">
        <v>1491</v>
      </c>
      <c r="K177" s="650"/>
      <c r="L177" s="650"/>
      <c r="M177" s="650"/>
      <c r="N177" s="650"/>
      <c r="O177" s="650"/>
      <c r="P177" s="650"/>
      <c r="Q177" s="650"/>
      <c r="R177" s="650"/>
      <c r="S177" s="650"/>
      <c r="T177" s="650"/>
      <c r="U177" s="646"/>
      <c r="V177" s="638"/>
      <c r="W177" s="639"/>
      <c r="X177" s="639"/>
      <c r="Y177" s="604" t="s">
        <v>1379</v>
      </c>
    </row>
    <row r="178" spans="1:25" ht="22.5" customHeight="1" thickTop="1" thickBot="1" x14ac:dyDescent="0.3">
      <c r="A178" s="638" t="s">
        <v>1377</v>
      </c>
      <c r="B178" s="628" t="s">
        <v>1381</v>
      </c>
      <c r="C178" s="628" t="s">
        <v>1394</v>
      </c>
      <c r="D178" s="628" t="s">
        <v>1418</v>
      </c>
      <c r="E178" s="628" t="s">
        <v>1381</v>
      </c>
      <c r="F178" s="628" t="s">
        <v>1381</v>
      </c>
      <c r="G178" s="754" t="s">
        <v>1418</v>
      </c>
      <c r="H178" s="628"/>
      <c r="I178" s="628"/>
      <c r="J178" s="635" t="s">
        <v>1957</v>
      </c>
      <c r="K178" s="650"/>
      <c r="L178" s="650"/>
      <c r="M178" s="650"/>
      <c r="N178" s="650"/>
      <c r="O178" s="650"/>
      <c r="P178" s="650"/>
      <c r="Q178" s="650"/>
      <c r="R178" s="650"/>
      <c r="S178" s="650"/>
      <c r="T178" s="650"/>
      <c r="U178" s="646"/>
      <c r="V178" s="638"/>
      <c r="W178" s="639"/>
      <c r="X178" s="639"/>
      <c r="Y178" s="604"/>
    </row>
    <row r="179" spans="1:25" ht="22.5" customHeight="1" thickTop="1" thickBot="1" x14ac:dyDescent="0.3">
      <c r="A179" s="638" t="s">
        <v>1377</v>
      </c>
      <c r="B179" s="628" t="s">
        <v>1381</v>
      </c>
      <c r="C179" s="628" t="s">
        <v>1394</v>
      </c>
      <c r="D179" s="628" t="s">
        <v>1418</v>
      </c>
      <c r="E179" s="628" t="s">
        <v>1381</v>
      </c>
      <c r="F179" s="628" t="s">
        <v>1381</v>
      </c>
      <c r="G179" s="754" t="s">
        <v>1422</v>
      </c>
      <c r="H179" s="628"/>
      <c r="I179" s="628"/>
      <c r="J179" s="635" t="s">
        <v>1958</v>
      </c>
      <c r="K179" s="650"/>
      <c r="L179" s="650"/>
      <c r="M179" s="650"/>
      <c r="N179" s="650"/>
      <c r="O179" s="650"/>
      <c r="P179" s="650"/>
      <c r="Q179" s="650"/>
      <c r="R179" s="650"/>
      <c r="S179" s="650"/>
      <c r="T179" s="650"/>
      <c r="U179" s="646"/>
      <c r="V179" s="638"/>
      <c r="W179" s="639"/>
      <c r="X179" s="639"/>
      <c r="Y179" s="604"/>
    </row>
    <row r="180" spans="1:25" ht="22.5" customHeight="1" thickTop="1" thickBot="1" x14ac:dyDescent="0.3">
      <c r="A180" s="638" t="s">
        <v>1377</v>
      </c>
      <c r="B180" s="628" t="s">
        <v>1381</v>
      </c>
      <c r="C180" s="628" t="s">
        <v>1394</v>
      </c>
      <c r="D180" s="628" t="s">
        <v>1418</v>
      </c>
      <c r="E180" s="628" t="s">
        <v>1381</v>
      </c>
      <c r="F180" s="628" t="s">
        <v>1381</v>
      </c>
      <c r="G180" s="754" t="s">
        <v>1447</v>
      </c>
      <c r="H180" s="628"/>
      <c r="I180" s="628"/>
      <c r="J180" s="635" t="s">
        <v>1959</v>
      </c>
      <c r="K180" s="650"/>
      <c r="L180" s="650"/>
      <c r="M180" s="650"/>
      <c r="N180" s="650"/>
      <c r="O180" s="650"/>
      <c r="P180" s="650"/>
      <c r="Q180" s="650"/>
      <c r="R180" s="650"/>
      <c r="S180" s="650"/>
      <c r="T180" s="650"/>
      <c r="U180" s="646"/>
      <c r="V180" s="638"/>
      <c r="W180" s="639"/>
      <c r="X180" s="639"/>
      <c r="Y180" s="604"/>
    </row>
    <row r="181" spans="1:25" ht="22.5" customHeight="1" thickTop="1" thickBot="1" x14ac:dyDescent="0.3">
      <c r="A181" s="638" t="s">
        <v>1377</v>
      </c>
      <c r="B181" s="628" t="s">
        <v>1381</v>
      </c>
      <c r="C181" s="628" t="s">
        <v>1394</v>
      </c>
      <c r="D181" s="628" t="s">
        <v>1418</v>
      </c>
      <c r="E181" s="628" t="s">
        <v>1381</v>
      </c>
      <c r="F181" s="628" t="s">
        <v>1381</v>
      </c>
      <c r="G181" s="754" t="s">
        <v>1470</v>
      </c>
      <c r="H181" s="628"/>
      <c r="I181" s="628"/>
      <c r="J181" s="635" t="s">
        <v>1960</v>
      </c>
      <c r="K181" s="650"/>
      <c r="L181" s="650"/>
      <c r="M181" s="650"/>
      <c r="N181" s="650"/>
      <c r="O181" s="650"/>
      <c r="P181" s="650"/>
      <c r="Q181" s="650"/>
      <c r="R181" s="650"/>
      <c r="S181" s="650"/>
      <c r="T181" s="650"/>
      <c r="U181" s="646"/>
      <c r="V181" s="638"/>
      <c r="W181" s="639"/>
      <c r="X181" s="639"/>
      <c r="Y181" s="604"/>
    </row>
    <row r="182" spans="1:25" ht="22.5" customHeight="1" thickTop="1" thickBot="1" x14ac:dyDescent="0.3">
      <c r="A182" s="638" t="s">
        <v>1377</v>
      </c>
      <c r="B182" s="628" t="s">
        <v>1381</v>
      </c>
      <c r="C182" s="628" t="s">
        <v>1394</v>
      </c>
      <c r="D182" s="628" t="s">
        <v>1418</v>
      </c>
      <c r="E182" s="628" t="s">
        <v>1381</v>
      </c>
      <c r="F182" s="628" t="s">
        <v>1381</v>
      </c>
      <c r="G182" s="754" t="s">
        <v>1474</v>
      </c>
      <c r="H182" s="628"/>
      <c r="I182" s="628"/>
      <c r="J182" s="635" t="s">
        <v>1961</v>
      </c>
      <c r="K182" s="650"/>
      <c r="L182" s="650"/>
      <c r="M182" s="650"/>
      <c r="N182" s="650"/>
      <c r="O182" s="650"/>
      <c r="P182" s="650"/>
      <c r="Q182" s="650"/>
      <c r="R182" s="650"/>
      <c r="S182" s="650"/>
      <c r="T182" s="650"/>
      <c r="U182" s="646"/>
      <c r="V182" s="638"/>
      <c r="W182" s="639"/>
      <c r="X182" s="639"/>
      <c r="Y182" s="604"/>
    </row>
    <row r="183" spans="1:25" ht="22.5" customHeight="1" thickTop="1" thickBot="1" x14ac:dyDescent="0.3">
      <c r="A183" s="638" t="s">
        <v>1377</v>
      </c>
      <c r="B183" s="628" t="s">
        <v>1381</v>
      </c>
      <c r="C183" s="628" t="s">
        <v>1394</v>
      </c>
      <c r="D183" s="628" t="s">
        <v>1418</v>
      </c>
      <c r="E183" s="628" t="s">
        <v>1381</v>
      </c>
      <c r="F183" s="628" t="s">
        <v>1381</v>
      </c>
      <c r="G183" s="754" t="s">
        <v>1478</v>
      </c>
      <c r="H183" s="628"/>
      <c r="I183" s="628"/>
      <c r="J183" s="635" t="s">
        <v>1958</v>
      </c>
      <c r="K183" s="650"/>
      <c r="L183" s="650"/>
      <c r="M183" s="650"/>
      <c r="N183" s="650"/>
      <c r="O183" s="650"/>
      <c r="P183" s="650"/>
      <c r="Q183" s="650"/>
      <c r="R183" s="650"/>
      <c r="S183" s="650"/>
      <c r="T183" s="650"/>
      <c r="U183" s="646"/>
      <c r="V183" s="638"/>
      <c r="W183" s="639"/>
      <c r="X183" s="639"/>
      <c r="Y183" s="604"/>
    </row>
    <row r="184" spans="1:25" s="764" customFormat="1" ht="22.5" customHeight="1" thickTop="1" thickBot="1" x14ac:dyDescent="0.3">
      <c r="A184" s="756" t="s">
        <v>1377</v>
      </c>
      <c r="B184" s="757" t="s">
        <v>1381</v>
      </c>
      <c r="C184" s="757" t="s">
        <v>1394</v>
      </c>
      <c r="D184" s="757" t="s">
        <v>1418</v>
      </c>
      <c r="E184" s="757" t="s">
        <v>1381</v>
      </c>
      <c r="F184" s="758" t="s">
        <v>1394</v>
      </c>
      <c r="G184" s="757"/>
      <c r="H184" s="757"/>
      <c r="I184" s="757"/>
      <c r="J184" s="759" t="s">
        <v>1956</v>
      </c>
      <c r="K184" s="760"/>
      <c r="L184" s="760"/>
      <c r="M184" s="760"/>
      <c r="N184" s="760"/>
      <c r="O184" s="760"/>
      <c r="P184" s="760"/>
      <c r="Q184" s="760"/>
      <c r="R184" s="760"/>
      <c r="S184" s="760"/>
      <c r="T184" s="760"/>
      <c r="U184" s="761"/>
      <c r="V184" s="756"/>
      <c r="W184" s="762" t="s">
        <v>1493</v>
      </c>
      <c r="X184" s="762" t="s">
        <v>1494</v>
      </c>
      <c r="Y184" s="763" t="s">
        <v>1379</v>
      </c>
    </row>
    <row r="185" spans="1:25" ht="22.5" customHeight="1" thickTop="1" thickBot="1" x14ac:dyDescent="0.3">
      <c r="A185" s="638"/>
      <c r="B185" s="628"/>
      <c r="C185" s="628"/>
      <c r="D185" s="628"/>
      <c r="E185" s="628"/>
      <c r="F185" s="628"/>
      <c r="G185" s="626"/>
      <c r="H185" s="628"/>
      <c r="I185" s="628"/>
      <c r="J185" s="635"/>
      <c r="K185" s="650"/>
      <c r="L185" s="650"/>
      <c r="M185" s="650"/>
      <c r="N185" s="650"/>
      <c r="O185" s="650"/>
      <c r="P185" s="650"/>
      <c r="Q185" s="650"/>
      <c r="R185" s="650"/>
      <c r="S185" s="650"/>
      <c r="T185" s="650"/>
      <c r="U185" s="646"/>
      <c r="V185" s="638"/>
      <c r="W185" s="639"/>
      <c r="X185" s="639"/>
      <c r="Y185" s="604"/>
    </row>
    <row r="186" spans="1:25" ht="22.5" customHeight="1" thickTop="1" thickBot="1" x14ac:dyDescent="0.3">
      <c r="A186" s="619" t="s">
        <v>1377</v>
      </c>
      <c r="B186" s="620" t="s">
        <v>1381</v>
      </c>
      <c r="C186" s="620" t="s">
        <v>1394</v>
      </c>
      <c r="D186" s="620" t="s">
        <v>1422</v>
      </c>
      <c r="E186" s="620"/>
      <c r="F186" s="621"/>
      <c r="G186" s="621"/>
      <c r="H186" s="621"/>
      <c r="I186" s="621"/>
      <c r="J186" s="622" t="s">
        <v>1495</v>
      </c>
      <c r="K186" s="648"/>
      <c r="L186" s="648"/>
      <c r="M186" s="648"/>
      <c r="N186" s="648"/>
      <c r="O186" s="648"/>
      <c r="P186" s="648"/>
      <c r="Q186" s="648"/>
      <c r="R186" s="648"/>
      <c r="S186" s="648"/>
      <c r="T186" s="648"/>
      <c r="U186" s="624"/>
      <c r="V186" s="620"/>
      <c r="W186" s="625" t="s">
        <v>1452</v>
      </c>
      <c r="X186" s="625" t="s">
        <v>1453</v>
      </c>
      <c r="Y186" s="604" t="s">
        <v>1379</v>
      </c>
    </row>
    <row r="187" spans="1:25" s="183" customFormat="1" ht="22.5" customHeight="1" thickTop="1" thickBot="1" x14ac:dyDescent="0.3">
      <c r="A187" s="632" t="s">
        <v>1377</v>
      </c>
      <c r="B187" s="632" t="s">
        <v>1381</v>
      </c>
      <c r="C187" s="626" t="s">
        <v>1394</v>
      </c>
      <c r="D187" s="626" t="s">
        <v>1422</v>
      </c>
      <c r="E187" s="627" t="s">
        <v>1381</v>
      </c>
      <c r="F187" s="626"/>
      <c r="G187" s="626"/>
      <c r="H187" s="628"/>
      <c r="I187" s="628"/>
      <c r="J187" s="629" t="s">
        <v>1496</v>
      </c>
      <c r="K187" s="649"/>
      <c r="L187" s="649"/>
      <c r="M187" s="649"/>
      <c r="N187" s="649"/>
      <c r="O187" s="649"/>
      <c r="P187" s="649"/>
      <c r="Q187" s="649"/>
      <c r="R187" s="649"/>
      <c r="S187" s="649"/>
      <c r="T187" s="649"/>
      <c r="U187" s="643"/>
      <c r="V187" s="626"/>
      <c r="W187" s="633" t="s">
        <v>1497</v>
      </c>
      <c r="X187" s="633"/>
      <c r="Y187" s="604" t="s">
        <v>1379</v>
      </c>
    </row>
    <row r="188" spans="1:25" s="183" customFormat="1" ht="22.5" customHeight="1" thickTop="1" thickBot="1" x14ac:dyDescent="0.3">
      <c r="A188" s="638" t="s">
        <v>1377</v>
      </c>
      <c r="B188" s="638" t="s">
        <v>1381</v>
      </c>
      <c r="C188" s="628" t="s">
        <v>1394</v>
      </c>
      <c r="D188" s="628" t="s">
        <v>1422</v>
      </c>
      <c r="E188" s="638" t="s">
        <v>1381</v>
      </c>
      <c r="F188" s="626" t="s">
        <v>1381</v>
      </c>
      <c r="G188" s="626"/>
      <c r="H188" s="628"/>
      <c r="I188" s="628"/>
      <c r="J188" s="629" t="s">
        <v>1498</v>
      </c>
      <c r="K188" s="649"/>
      <c r="L188" s="649"/>
      <c r="M188" s="649"/>
      <c r="N188" s="649"/>
      <c r="O188" s="649"/>
      <c r="P188" s="649"/>
      <c r="Q188" s="649"/>
      <c r="R188" s="649"/>
      <c r="S188" s="649"/>
      <c r="T188" s="649"/>
      <c r="U188" s="643"/>
      <c r="V188" s="626"/>
      <c r="W188" s="633"/>
      <c r="X188" s="633"/>
      <c r="Y188" s="604"/>
    </row>
    <row r="189" spans="1:25" ht="22.5" customHeight="1" thickTop="1" thickBot="1" x14ac:dyDescent="0.3">
      <c r="A189" s="638" t="s">
        <v>1377</v>
      </c>
      <c r="B189" s="638" t="s">
        <v>1381</v>
      </c>
      <c r="C189" s="628" t="s">
        <v>1394</v>
      </c>
      <c r="D189" s="628" t="s">
        <v>1422</v>
      </c>
      <c r="E189" s="638" t="s">
        <v>1381</v>
      </c>
      <c r="F189" s="628" t="s">
        <v>1381</v>
      </c>
      <c r="G189" s="626" t="s">
        <v>1381</v>
      </c>
      <c r="H189" s="628"/>
      <c r="I189" s="628"/>
      <c r="J189" s="641" t="s">
        <v>1499</v>
      </c>
      <c r="K189" s="649"/>
      <c r="L189" s="649"/>
      <c r="M189" s="649"/>
      <c r="N189" s="649"/>
      <c r="O189" s="649"/>
      <c r="P189" s="649"/>
      <c r="Q189" s="649"/>
      <c r="R189" s="649"/>
      <c r="S189" s="649"/>
      <c r="T189" s="649"/>
      <c r="U189" s="643"/>
      <c r="V189" s="626"/>
      <c r="W189" s="639" t="s">
        <v>1455</v>
      </c>
      <c r="X189" s="639"/>
      <c r="Y189" s="604" t="s">
        <v>1379</v>
      </c>
    </row>
    <row r="190" spans="1:25" ht="22.5" customHeight="1" thickTop="1" thickBot="1" x14ac:dyDescent="0.3">
      <c r="A190" s="638" t="s">
        <v>1377</v>
      </c>
      <c r="B190" s="638" t="s">
        <v>1381</v>
      </c>
      <c r="C190" s="628" t="s">
        <v>1394</v>
      </c>
      <c r="D190" s="628" t="s">
        <v>1422</v>
      </c>
      <c r="E190" s="638" t="s">
        <v>1381</v>
      </c>
      <c r="F190" s="628" t="s">
        <v>1381</v>
      </c>
      <c r="G190" s="628" t="s">
        <v>1381</v>
      </c>
      <c r="H190" s="628" t="s">
        <v>1381</v>
      </c>
      <c r="I190" s="628"/>
      <c r="J190" s="641" t="s">
        <v>1500</v>
      </c>
      <c r="K190" s="650"/>
      <c r="L190" s="650"/>
      <c r="M190" s="650"/>
      <c r="N190" s="650"/>
      <c r="O190" s="650"/>
      <c r="P190" s="650"/>
      <c r="Q190" s="650"/>
      <c r="R190" s="650"/>
      <c r="S190" s="650"/>
      <c r="T190" s="650"/>
      <c r="U190" s="643"/>
      <c r="V190" s="626"/>
      <c r="W190" s="639"/>
      <c r="X190" s="639"/>
      <c r="Y190" s="604" t="s">
        <v>1379</v>
      </c>
    </row>
    <row r="191" spans="1:25" ht="22.5" customHeight="1" thickTop="1" thickBot="1" x14ac:dyDescent="0.3">
      <c r="A191" s="638" t="s">
        <v>1377</v>
      </c>
      <c r="B191" s="638" t="s">
        <v>1381</v>
      </c>
      <c r="C191" s="628" t="s">
        <v>1394</v>
      </c>
      <c r="D191" s="628" t="s">
        <v>1422</v>
      </c>
      <c r="E191" s="638" t="s">
        <v>1381</v>
      </c>
      <c r="F191" s="628" t="s">
        <v>1381</v>
      </c>
      <c r="G191" s="628" t="s">
        <v>1381</v>
      </c>
      <c r="H191" s="628" t="s">
        <v>1381</v>
      </c>
      <c r="I191" s="628" t="s">
        <v>1381</v>
      </c>
      <c r="J191" s="644" t="s">
        <v>1501</v>
      </c>
      <c r="K191" s="650"/>
      <c r="L191" s="650"/>
      <c r="M191" s="650"/>
      <c r="N191" s="650"/>
      <c r="O191" s="650"/>
      <c r="P191" s="650"/>
      <c r="Q191" s="650"/>
      <c r="R191" s="650"/>
      <c r="S191" s="650"/>
      <c r="T191" s="650"/>
      <c r="U191" s="646"/>
      <c r="V191" s="626"/>
      <c r="W191" s="639"/>
      <c r="X191" s="639"/>
      <c r="Y191" s="604"/>
    </row>
    <row r="192" spans="1:25" ht="22.5" customHeight="1" thickTop="1" thickBot="1" x14ac:dyDescent="0.3">
      <c r="A192" s="638" t="s">
        <v>1377</v>
      </c>
      <c r="B192" s="638" t="s">
        <v>1381</v>
      </c>
      <c r="C192" s="628" t="s">
        <v>1394</v>
      </c>
      <c r="D192" s="628" t="s">
        <v>1422</v>
      </c>
      <c r="E192" s="638" t="s">
        <v>1381</v>
      </c>
      <c r="F192" s="628" t="s">
        <v>1381</v>
      </c>
      <c r="G192" s="628" t="s">
        <v>1381</v>
      </c>
      <c r="H192" s="628" t="s">
        <v>1381</v>
      </c>
      <c r="I192" s="628" t="s">
        <v>1394</v>
      </c>
      <c r="J192" s="644" t="s">
        <v>1502</v>
      </c>
      <c r="K192" s="650"/>
      <c r="L192" s="650"/>
      <c r="M192" s="650"/>
      <c r="N192" s="650"/>
      <c r="O192" s="650"/>
      <c r="P192" s="650"/>
      <c r="Q192" s="650"/>
      <c r="R192" s="650"/>
      <c r="S192" s="650"/>
      <c r="T192" s="650"/>
      <c r="U192" s="646"/>
      <c r="V192" s="626"/>
      <c r="W192" s="639"/>
      <c r="X192" s="639"/>
      <c r="Y192" s="604"/>
    </row>
    <row r="193" spans="1:25" ht="22.5" customHeight="1" thickTop="1" thickBot="1" x14ac:dyDescent="0.3">
      <c r="A193" s="638" t="s">
        <v>1377</v>
      </c>
      <c r="B193" s="638" t="s">
        <v>1381</v>
      </c>
      <c r="C193" s="628" t="s">
        <v>1394</v>
      </c>
      <c r="D193" s="628" t="s">
        <v>1422</v>
      </c>
      <c r="E193" s="638" t="s">
        <v>1381</v>
      </c>
      <c r="F193" s="628" t="s">
        <v>1381</v>
      </c>
      <c r="G193" s="628" t="s">
        <v>1381</v>
      </c>
      <c r="H193" s="628" t="s">
        <v>1394</v>
      </c>
      <c r="I193" s="628"/>
      <c r="J193" s="641" t="s">
        <v>1503</v>
      </c>
      <c r="K193" s="650"/>
      <c r="L193" s="650"/>
      <c r="M193" s="650"/>
      <c r="N193" s="650"/>
      <c r="O193" s="650"/>
      <c r="P193" s="650"/>
      <c r="Q193" s="650"/>
      <c r="R193" s="650"/>
      <c r="S193" s="650"/>
      <c r="T193" s="650"/>
      <c r="U193" s="643"/>
      <c r="V193" s="626"/>
      <c r="W193" s="639"/>
      <c r="X193" s="639"/>
      <c r="Y193" s="604" t="s">
        <v>1379</v>
      </c>
    </row>
    <row r="194" spans="1:25" ht="22.5" customHeight="1" thickTop="1" thickBot="1" x14ac:dyDescent="0.3">
      <c r="A194" s="638" t="s">
        <v>1377</v>
      </c>
      <c r="B194" s="638" t="s">
        <v>1381</v>
      </c>
      <c r="C194" s="628" t="s">
        <v>1394</v>
      </c>
      <c r="D194" s="628" t="s">
        <v>1422</v>
      </c>
      <c r="E194" s="638" t="s">
        <v>1381</v>
      </c>
      <c r="F194" s="628" t="s">
        <v>1381</v>
      </c>
      <c r="G194" s="628" t="s">
        <v>1381</v>
      </c>
      <c r="H194" s="628" t="s">
        <v>1394</v>
      </c>
      <c r="I194" s="628" t="s">
        <v>1381</v>
      </c>
      <c r="J194" s="644" t="s">
        <v>1504</v>
      </c>
      <c r="K194" s="650"/>
      <c r="L194" s="650"/>
      <c r="M194" s="650"/>
      <c r="N194" s="650"/>
      <c r="O194" s="650"/>
      <c r="P194" s="650"/>
      <c r="Q194" s="650"/>
      <c r="R194" s="650"/>
      <c r="S194" s="650"/>
      <c r="T194" s="650"/>
      <c r="U194" s="646"/>
      <c r="V194" s="626"/>
      <c r="W194" s="639"/>
      <c r="X194" s="639"/>
      <c r="Y194" s="604"/>
    </row>
    <row r="195" spans="1:25" ht="22.5" customHeight="1" thickTop="1" thickBot="1" x14ac:dyDescent="0.3">
      <c r="A195" s="638" t="s">
        <v>1377</v>
      </c>
      <c r="B195" s="638" t="s">
        <v>1381</v>
      </c>
      <c r="C195" s="628" t="s">
        <v>1394</v>
      </c>
      <c r="D195" s="628" t="s">
        <v>1422</v>
      </c>
      <c r="E195" s="638" t="s">
        <v>1381</v>
      </c>
      <c r="F195" s="628" t="s">
        <v>1381</v>
      </c>
      <c r="G195" s="628" t="s">
        <v>1381</v>
      </c>
      <c r="H195" s="628" t="s">
        <v>1394</v>
      </c>
      <c r="I195" s="628" t="s">
        <v>1394</v>
      </c>
      <c r="J195" s="644" t="s">
        <v>1505</v>
      </c>
      <c r="K195" s="650"/>
      <c r="L195" s="650"/>
      <c r="M195" s="650"/>
      <c r="N195" s="650"/>
      <c r="O195" s="650"/>
      <c r="P195" s="650"/>
      <c r="Q195" s="650"/>
      <c r="R195" s="650"/>
      <c r="S195" s="650"/>
      <c r="T195" s="650"/>
      <c r="U195" s="646"/>
      <c r="V195" s="626"/>
      <c r="W195" s="639"/>
      <c r="X195" s="639"/>
      <c r="Y195" s="604"/>
    </row>
    <row r="196" spans="1:25" ht="22.5" customHeight="1" thickTop="1" thickBot="1" x14ac:dyDescent="0.3">
      <c r="A196" s="638" t="s">
        <v>1377</v>
      </c>
      <c r="B196" s="638" t="s">
        <v>1381</v>
      </c>
      <c r="C196" s="628" t="s">
        <v>1394</v>
      </c>
      <c r="D196" s="628" t="s">
        <v>1422</v>
      </c>
      <c r="E196" s="638" t="s">
        <v>1381</v>
      </c>
      <c r="F196" s="626" t="s">
        <v>1394</v>
      </c>
      <c r="G196" s="628"/>
      <c r="H196" s="628"/>
      <c r="I196" s="628"/>
      <c r="J196" s="641" t="s">
        <v>1506</v>
      </c>
      <c r="K196" s="650"/>
      <c r="L196" s="650"/>
      <c r="M196" s="650"/>
      <c r="N196" s="650"/>
      <c r="O196" s="650"/>
      <c r="P196" s="650"/>
      <c r="Q196" s="650"/>
      <c r="R196" s="650"/>
      <c r="S196" s="650"/>
      <c r="T196" s="650"/>
      <c r="U196" s="643"/>
      <c r="V196" s="626"/>
      <c r="W196" s="639"/>
      <c r="X196" s="639"/>
      <c r="Y196" s="604"/>
    </row>
    <row r="197" spans="1:25" ht="22.5" customHeight="1" thickTop="1" thickBot="1" x14ac:dyDescent="0.3">
      <c r="A197" s="638" t="s">
        <v>1377</v>
      </c>
      <c r="B197" s="638" t="s">
        <v>1381</v>
      </c>
      <c r="C197" s="628" t="s">
        <v>1394</v>
      </c>
      <c r="D197" s="628" t="s">
        <v>1422</v>
      </c>
      <c r="E197" s="638" t="s">
        <v>1381</v>
      </c>
      <c r="F197" s="628" t="s">
        <v>1394</v>
      </c>
      <c r="G197" s="626" t="s">
        <v>1381</v>
      </c>
      <c r="H197" s="628"/>
      <c r="I197" s="628"/>
      <c r="J197" s="644" t="s">
        <v>1507</v>
      </c>
      <c r="K197" s="650"/>
      <c r="L197" s="650"/>
      <c r="M197" s="650"/>
      <c r="N197" s="650"/>
      <c r="O197" s="650"/>
      <c r="P197" s="650"/>
      <c r="Q197" s="650"/>
      <c r="R197" s="650"/>
      <c r="S197" s="650"/>
      <c r="T197" s="650"/>
      <c r="U197" s="646"/>
      <c r="V197" s="626"/>
      <c r="W197" s="639"/>
      <c r="X197" s="639"/>
      <c r="Y197" s="604"/>
    </row>
    <row r="198" spans="1:25" ht="22.5" customHeight="1" thickTop="1" thickBot="1" x14ac:dyDescent="0.3">
      <c r="A198" s="638" t="s">
        <v>1377</v>
      </c>
      <c r="B198" s="638" t="s">
        <v>1381</v>
      </c>
      <c r="C198" s="628" t="s">
        <v>1394</v>
      </c>
      <c r="D198" s="628" t="s">
        <v>1422</v>
      </c>
      <c r="E198" s="638" t="s">
        <v>1381</v>
      </c>
      <c r="F198" s="628" t="s">
        <v>1394</v>
      </c>
      <c r="G198" s="626" t="s">
        <v>1394</v>
      </c>
      <c r="H198" s="628"/>
      <c r="I198" s="628"/>
      <c r="J198" s="644" t="s">
        <v>1508</v>
      </c>
      <c r="K198" s="650"/>
      <c r="L198" s="650"/>
      <c r="M198" s="650"/>
      <c r="N198" s="650"/>
      <c r="O198" s="650"/>
      <c r="P198" s="650"/>
      <c r="Q198" s="650"/>
      <c r="R198" s="650"/>
      <c r="S198" s="650"/>
      <c r="T198" s="650"/>
      <c r="U198" s="646"/>
      <c r="V198" s="626"/>
      <c r="W198" s="639"/>
      <c r="X198" s="639"/>
      <c r="Y198" s="604"/>
    </row>
    <row r="199" spans="1:25" s="183" customFormat="1" ht="22.5" customHeight="1" thickTop="1" thickBot="1" x14ac:dyDescent="0.3">
      <c r="A199" s="632" t="s">
        <v>1377</v>
      </c>
      <c r="B199" s="632" t="s">
        <v>1381</v>
      </c>
      <c r="C199" s="626" t="s">
        <v>1394</v>
      </c>
      <c r="D199" s="626" t="s">
        <v>1422</v>
      </c>
      <c r="E199" s="627" t="s">
        <v>1394</v>
      </c>
      <c r="F199" s="626"/>
      <c r="G199" s="626"/>
      <c r="H199" s="628"/>
      <c r="I199" s="628"/>
      <c r="J199" s="641" t="s">
        <v>1509</v>
      </c>
      <c r="K199" s="651"/>
      <c r="L199" s="651"/>
      <c r="M199" s="651"/>
      <c r="N199" s="651"/>
      <c r="O199" s="651"/>
      <c r="P199" s="651"/>
      <c r="Q199" s="651"/>
      <c r="R199" s="651"/>
      <c r="S199" s="651"/>
      <c r="T199" s="651"/>
      <c r="U199" s="631"/>
      <c r="V199" s="626"/>
      <c r="W199" s="633" t="s">
        <v>1510</v>
      </c>
      <c r="X199" s="633"/>
      <c r="Y199" s="604" t="s">
        <v>1379</v>
      </c>
    </row>
    <row r="200" spans="1:25" ht="22.5" customHeight="1" thickTop="1" thickBot="1" x14ac:dyDescent="0.3">
      <c r="A200" s="628" t="s">
        <v>1377</v>
      </c>
      <c r="B200" s="638" t="s">
        <v>1381</v>
      </c>
      <c r="C200" s="628" t="s">
        <v>1394</v>
      </c>
      <c r="D200" s="628" t="s">
        <v>1422</v>
      </c>
      <c r="E200" s="628" t="s">
        <v>1394</v>
      </c>
      <c r="F200" s="626" t="s">
        <v>1381</v>
      </c>
      <c r="G200" s="628"/>
      <c r="H200" s="628"/>
      <c r="I200" s="628"/>
      <c r="J200" s="641" t="s">
        <v>1511</v>
      </c>
      <c r="K200" s="649"/>
      <c r="L200" s="649"/>
      <c r="M200" s="649"/>
      <c r="N200" s="649"/>
      <c r="O200" s="649"/>
      <c r="P200" s="649"/>
      <c r="Q200" s="649"/>
      <c r="R200" s="649"/>
      <c r="S200" s="649"/>
      <c r="T200" s="649"/>
      <c r="U200" s="643"/>
      <c r="V200" s="626"/>
      <c r="W200" s="639" t="s">
        <v>1512</v>
      </c>
      <c r="X200" s="639" t="s">
        <v>1513</v>
      </c>
      <c r="Y200" s="604" t="s">
        <v>1379</v>
      </c>
    </row>
    <row r="201" spans="1:25" ht="22.5" customHeight="1" thickTop="1" thickBot="1" x14ac:dyDescent="0.3">
      <c r="A201" s="638" t="s">
        <v>1377</v>
      </c>
      <c r="B201" s="638" t="s">
        <v>1381</v>
      </c>
      <c r="C201" s="628" t="s">
        <v>1394</v>
      </c>
      <c r="D201" s="628" t="s">
        <v>1422</v>
      </c>
      <c r="E201" s="628" t="s">
        <v>1394</v>
      </c>
      <c r="F201" s="628" t="s">
        <v>1381</v>
      </c>
      <c r="G201" s="626" t="s">
        <v>1381</v>
      </c>
      <c r="H201" s="628"/>
      <c r="I201" s="628"/>
      <c r="J201" s="644" t="s">
        <v>1514</v>
      </c>
      <c r="K201" s="650"/>
      <c r="L201" s="650"/>
      <c r="M201" s="650"/>
      <c r="N201" s="650"/>
      <c r="O201" s="650"/>
      <c r="P201" s="650"/>
      <c r="Q201" s="650"/>
      <c r="R201" s="650"/>
      <c r="S201" s="650"/>
      <c r="T201" s="650"/>
      <c r="U201" s="646"/>
      <c r="V201" s="626"/>
      <c r="W201" s="639"/>
      <c r="X201" s="639"/>
      <c r="Y201" s="604" t="s">
        <v>1379</v>
      </c>
    </row>
    <row r="202" spans="1:25" ht="22.5" customHeight="1" thickTop="1" thickBot="1" x14ac:dyDescent="0.3">
      <c r="A202" s="638" t="s">
        <v>1377</v>
      </c>
      <c r="B202" s="638" t="s">
        <v>1381</v>
      </c>
      <c r="C202" s="628" t="s">
        <v>1394</v>
      </c>
      <c r="D202" s="628" t="s">
        <v>1422</v>
      </c>
      <c r="E202" s="628" t="s">
        <v>1394</v>
      </c>
      <c r="F202" s="628" t="s">
        <v>1381</v>
      </c>
      <c r="G202" s="626" t="s">
        <v>1394</v>
      </c>
      <c r="H202" s="628"/>
      <c r="I202" s="628"/>
      <c r="J202" s="644" t="s">
        <v>1515</v>
      </c>
      <c r="K202" s="650"/>
      <c r="L202" s="650"/>
      <c r="M202" s="650"/>
      <c r="N202" s="650"/>
      <c r="O202" s="650"/>
      <c r="P202" s="650"/>
      <c r="Q202" s="650"/>
      <c r="R202" s="650"/>
      <c r="S202" s="650"/>
      <c r="T202" s="650"/>
      <c r="U202" s="646"/>
      <c r="V202" s="626"/>
      <c r="W202" s="639"/>
      <c r="X202" s="639"/>
      <c r="Y202" s="604" t="s">
        <v>1379</v>
      </c>
    </row>
    <row r="203" spans="1:25" ht="22.5" customHeight="1" thickTop="1" thickBot="1" x14ac:dyDescent="0.3">
      <c r="A203" s="638" t="s">
        <v>1377</v>
      </c>
      <c r="B203" s="638" t="s">
        <v>1381</v>
      </c>
      <c r="C203" s="628" t="s">
        <v>1394</v>
      </c>
      <c r="D203" s="628" t="s">
        <v>1422</v>
      </c>
      <c r="E203" s="628" t="s">
        <v>1394</v>
      </c>
      <c r="F203" s="626" t="s">
        <v>1394</v>
      </c>
      <c r="G203" s="628"/>
      <c r="H203" s="628"/>
      <c r="I203" s="628"/>
      <c r="J203" s="641" t="s">
        <v>1516</v>
      </c>
      <c r="K203" s="649"/>
      <c r="L203" s="649"/>
      <c r="M203" s="649"/>
      <c r="N203" s="649"/>
      <c r="O203" s="649"/>
      <c r="P203" s="649"/>
      <c r="Q203" s="649"/>
      <c r="R203" s="649"/>
      <c r="S203" s="649"/>
      <c r="T203" s="649"/>
      <c r="U203" s="643"/>
      <c r="V203" s="626"/>
      <c r="W203" s="639"/>
      <c r="X203" s="639"/>
      <c r="Y203" s="604" t="s">
        <v>1379</v>
      </c>
    </row>
    <row r="204" spans="1:25" ht="22.5" customHeight="1" thickTop="1" thickBot="1" x14ac:dyDescent="0.3">
      <c r="A204" s="638" t="s">
        <v>1377</v>
      </c>
      <c r="B204" s="638" t="s">
        <v>1381</v>
      </c>
      <c r="C204" s="628" t="s">
        <v>1394</v>
      </c>
      <c r="D204" s="628" t="s">
        <v>1422</v>
      </c>
      <c r="E204" s="628" t="s">
        <v>1394</v>
      </c>
      <c r="F204" s="628" t="s">
        <v>1394</v>
      </c>
      <c r="G204" s="626" t="s">
        <v>1381</v>
      </c>
      <c r="H204" s="628"/>
      <c r="I204" s="628"/>
      <c r="J204" s="644" t="s">
        <v>1517</v>
      </c>
      <c r="K204" s="650"/>
      <c r="L204" s="650"/>
      <c r="M204" s="650"/>
      <c r="N204" s="650"/>
      <c r="O204" s="650"/>
      <c r="P204" s="650"/>
      <c r="Q204" s="650"/>
      <c r="R204" s="650"/>
      <c r="S204" s="650"/>
      <c r="T204" s="650"/>
      <c r="U204" s="646"/>
      <c r="V204" s="626"/>
      <c r="W204" s="639"/>
      <c r="X204" s="639"/>
      <c r="Y204" s="604" t="s">
        <v>1379</v>
      </c>
    </row>
    <row r="205" spans="1:25" ht="22.5" customHeight="1" thickTop="1" thickBot="1" x14ac:dyDescent="0.3">
      <c r="A205" s="638" t="s">
        <v>1377</v>
      </c>
      <c r="B205" s="638" t="s">
        <v>1381</v>
      </c>
      <c r="C205" s="628" t="s">
        <v>1394</v>
      </c>
      <c r="D205" s="628" t="s">
        <v>1422</v>
      </c>
      <c r="E205" s="628" t="s">
        <v>1394</v>
      </c>
      <c r="F205" s="628" t="s">
        <v>1394</v>
      </c>
      <c r="G205" s="626" t="s">
        <v>1394</v>
      </c>
      <c r="H205" s="628"/>
      <c r="I205" s="628"/>
      <c r="J205" s="644" t="s">
        <v>1518</v>
      </c>
      <c r="K205" s="650"/>
      <c r="L205" s="650"/>
      <c r="M205" s="650"/>
      <c r="N205" s="650"/>
      <c r="O205" s="650"/>
      <c r="P205" s="650"/>
      <c r="Q205" s="650"/>
      <c r="R205" s="650"/>
      <c r="S205" s="650"/>
      <c r="T205" s="650"/>
      <c r="U205" s="646"/>
      <c r="V205" s="626"/>
      <c r="W205" s="639"/>
      <c r="X205" s="639"/>
      <c r="Y205" s="604" t="s">
        <v>1379</v>
      </c>
    </row>
    <row r="206" spans="1:25" ht="22.5" customHeight="1" thickTop="1" thickBot="1" x14ac:dyDescent="0.3">
      <c r="A206" s="638" t="s">
        <v>1377</v>
      </c>
      <c r="B206" s="638" t="s">
        <v>1381</v>
      </c>
      <c r="C206" s="628" t="s">
        <v>1394</v>
      </c>
      <c r="D206" s="628" t="s">
        <v>1422</v>
      </c>
      <c r="E206" s="628" t="s">
        <v>1394</v>
      </c>
      <c r="F206" s="626" t="s">
        <v>1418</v>
      </c>
      <c r="G206" s="628"/>
      <c r="H206" s="628"/>
      <c r="I206" s="628"/>
      <c r="J206" s="641" t="s">
        <v>1519</v>
      </c>
      <c r="K206" s="649"/>
      <c r="L206" s="649"/>
      <c r="M206" s="649"/>
      <c r="N206" s="649"/>
      <c r="O206" s="649"/>
      <c r="P206" s="649"/>
      <c r="Q206" s="649"/>
      <c r="R206" s="649"/>
      <c r="S206" s="649"/>
      <c r="T206" s="649"/>
      <c r="U206" s="643"/>
      <c r="V206" s="626"/>
      <c r="W206" s="639"/>
      <c r="X206" s="639"/>
      <c r="Y206" s="604" t="s">
        <v>1379</v>
      </c>
    </row>
    <row r="207" spans="1:25" ht="22.5" customHeight="1" thickTop="1" thickBot="1" x14ac:dyDescent="0.3">
      <c r="A207" s="638" t="s">
        <v>1377</v>
      </c>
      <c r="B207" s="638" t="s">
        <v>1381</v>
      </c>
      <c r="C207" s="628" t="s">
        <v>1394</v>
      </c>
      <c r="D207" s="628" t="s">
        <v>1422</v>
      </c>
      <c r="E207" s="628" t="s">
        <v>1394</v>
      </c>
      <c r="F207" s="628" t="s">
        <v>1418</v>
      </c>
      <c r="G207" s="626" t="s">
        <v>1381</v>
      </c>
      <c r="H207" s="628"/>
      <c r="I207" s="628"/>
      <c r="J207" s="644" t="s">
        <v>1520</v>
      </c>
      <c r="K207" s="650"/>
      <c r="L207" s="650"/>
      <c r="M207" s="650"/>
      <c r="N207" s="650"/>
      <c r="O207" s="650"/>
      <c r="P207" s="650"/>
      <c r="Q207" s="650"/>
      <c r="R207" s="650"/>
      <c r="S207" s="650"/>
      <c r="T207" s="650"/>
      <c r="U207" s="646"/>
      <c r="V207" s="626"/>
      <c r="W207" s="639"/>
      <c r="X207" s="639"/>
      <c r="Y207" s="604" t="s">
        <v>1379</v>
      </c>
    </row>
    <row r="208" spans="1:25" ht="22.5" customHeight="1" thickTop="1" thickBot="1" x14ac:dyDescent="0.3">
      <c r="A208" s="638" t="s">
        <v>1377</v>
      </c>
      <c r="B208" s="638" t="s">
        <v>1381</v>
      </c>
      <c r="C208" s="628" t="s">
        <v>1394</v>
      </c>
      <c r="D208" s="628" t="s">
        <v>1422</v>
      </c>
      <c r="E208" s="628" t="s">
        <v>1394</v>
      </c>
      <c r="F208" s="628" t="s">
        <v>1418</v>
      </c>
      <c r="G208" s="626" t="s">
        <v>1394</v>
      </c>
      <c r="H208" s="628"/>
      <c r="I208" s="628"/>
      <c r="J208" s="644" t="s">
        <v>1521</v>
      </c>
      <c r="K208" s="650"/>
      <c r="L208" s="650"/>
      <c r="M208" s="650"/>
      <c r="N208" s="650"/>
      <c r="O208" s="650"/>
      <c r="P208" s="650"/>
      <c r="Q208" s="650"/>
      <c r="R208" s="650"/>
      <c r="S208" s="650"/>
      <c r="T208" s="650"/>
      <c r="U208" s="646"/>
      <c r="V208" s="626"/>
      <c r="W208" s="639"/>
      <c r="X208" s="639"/>
      <c r="Y208" s="604" t="s">
        <v>1379</v>
      </c>
    </row>
    <row r="209" spans="1:25" ht="22.5" customHeight="1" thickTop="1" thickBot="1" x14ac:dyDescent="0.3">
      <c r="A209" s="638" t="s">
        <v>1377</v>
      </c>
      <c r="B209" s="638" t="s">
        <v>1381</v>
      </c>
      <c r="C209" s="628" t="s">
        <v>1394</v>
      </c>
      <c r="D209" s="628" t="s">
        <v>1422</v>
      </c>
      <c r="E209" s="628" t="s">
        <v>1394</v>
      </c>
      <c r="F209" s="626" t="s">
        <v>1422</v>
      </c>
      <c r="G209" s="628"/>
      <c r="H209" s="628"/>
      <c r="I209" s="628"/>
      <c r="J209" s="641" t="s">
        <v>1522</v>
      </c>
      <c r="K209" s="649"/>
      <c r="L209" s="649"/>
      <c r="M209" s="649"/>
      <c r="N209" s="649"/>
      <c r="O209" s="649"/>
      <c r="P209" s="649"/>
      <c r="Q209" s="649"/>
      <c r="R209" s="649"/>
      <c r="S209" s="649"/>
      <c r="T209" s="649"/>
      <c r="U209" s="643"/>
      <c r="V209" s="626"/>
      <c r="W209" s="639"/>
      <c r="X209" s="639"/>
      <c r="Y209" s="604" t="s">
        <v>1379</v>
      </c>
    </row>
    <row r="210" spans="1:25" ht="22.5" customHeight="1" thickTop="1" thickBot="1" x14ac:dyDescent="0.3">
      <c r="A210" s="638" t="s">
        <v>1377</v>
      </c>
      <c r="B210" s="638" t="s">
        <v>1381</v>
      </c>
      <c r="C210" s="628" t="s">
        <v>1394</v>
      </c>
      <c r="D210" s="628" t="s">
        <v>1422</v>
      </c>
      <c r="E210" s="628" t="s">
        <v>1394</v>
      </c>
      <c r="F210" s="628" t="s">
        <v>1422</v>
      </c>
      <c r="G210" s="626" t="s">
        <v>1381</v>
      </c>
      <c r="H210" s="628"/>
      <c r="I210" s="628"/>
      <c r="J210" s="644" t="s">
        <v>1523</v>
      </c>
      <c r="K210" s="650"/>
      <c r="L210" s="650"/>
      <c r="M210" s="650"/>
      <c r="N210" s="650"/>
      <c r="O210" s="650"/>
      <c r="P210" s="650"/>
      <c r="Q210" s="650"/>
      <c r="R210" s="650"/>
      <c r="S210" s="650"/>
      <c r="T210" s="650"/>
      <c r="U210" s="646"/>
      <c r="V210" s="626"/>
      <c r="W210" s="639"/>
      <c r="X210" s="639"/>
      <c r="Y210" s="604" t="s">
        <v>1379</v>
      </c>
    </row>
    <row r="211" spans="1:25" ht="22.5" customHeight="1" thickTop="1" thickBot="1" x14ac:dyDescent="0.3">
      <c r="A211" s="638" t="s">
        <v>1377</v>
      </c>
      <c r="B211" s="638" t="s">
        <v>1381</v>
      </c>
      <c r="C211" s="628" t="s">
        <v>1394</v>
      </c>
      <c r="D211" s="628" t="s">
        <v>1422</v>
      </c>
      <c r="E211" s="628" t="s">
        <v>1394</v>
      </c>
      <c r="F211" s="628" t="s">
        <v>1422</v>
      </c>
      <c r="G211" s="626" t="s">
        <v>1394</v>
      </c>
      <c r="H211" s="628"/>
      <c r="I211" s="628"/>
      <c r="J211" s="644" t="s">
        <v>1524</v>
      </c>
      <c r="K211" s="650"/>
      <c r="L211" s="650"/>
      <c r="M211" s="650"/>
      <c r="N211" s="650"/>
      <c r="O211" s="650"/>
      <c r="P211" s="650"/>
      <c r="Q211" s="650"/>
      <c r="R211" s="650"/>
      <c r="S211" s="650"/>
      <c r="T211" s="650"/>
      <c r="U211" s="646"/>
      <c r="V211" s="626"/>
      <c r="W211" s="639"/>
      <c r="X211" s="639"/>
      <c r="Y211" s="604" t="s">
        <v>1379</v>
      </c>
    </row>
    <row r="212" spans="1:25" s="768" customFormat="1" ht="22.5" customHeight="1" thickTop="1" thickBot="1" x14ac:dyDescent="0.3">
      <c r="A212" s="765" t="s">
        <v>1377</v>
      </c>
      <c r="B212" s="758" t="s">
        <v>1381</v>
      </c>
      <c r="C212" s="758" t="s">
        <v>1394</v>
      </c>
      <c r="D212" s="758" t="s">
        <v>1447</v>
      </c>
      <c r="E212" s="758"/>
      <c r="F212" s="758"/>
      <c r="G212" s="758"/>
      <c r="H212" s="757"/>
      <c r="I212" s="757"/>
      <c r="J212" s="759" t="s">
        <v>1525</v>
      </c>
      <c r="K212" s="766"/>
      <c r="L212" s="766"/>
      <c r="M212" s="766"/>
      <c r="N212" s="766"/>
      <c r="O212" s="766"/>
      <c r="P212" s="766"/>
      <c r="Q212" s="766"/>
      <c r="R212" s="766"/>
      <c r="S212" s="766"/>
      <c r="T212" s="766"/>
      <c r="U212" s="767"/>
      <c r="V212" s="758"/>
      <c r="W212" s="758"/>
      <c r="X212" s="758"/>
      <c r="Y212" s="763" t="s">
        <v>1379</v>
      </c>
    </row>
    <row r="213" spans="1:25" s="768" customFormat="1" ht="22.5" customHeight="1" thickTop="1" thickBot="1" x14ac:dyDescent="0.3">
      <c r="A213" s="765"/>
      <c r="B213" s="765"/>
      <c r="C213" s="758"/>
      <c r="D213" s="758"/>
      <c r="E213" s="758"/>
      <c r="F213" s="758"/>
      <c r="G213" s="758"/>
      <c r="H213" s="757"/>
      <c r="I213" s="757"/>
      <c r="J213" s="759"/>
      <c r="K213" s="766"/>
      <c r="L213" s="766"/>
      <c r="M213" s="766"/>
      <c r="N213" s="766"/>
      <c r="O213" s="766"/>
      <c r="P213" s="766"/>
      <c r="Q213" s="766"/>
      <c r="R213" s="766"/>
      <c r="S213" s="766"/>
      <c r="T213" s="766"/>
      <c r="U213" s="767"/>
      <c r="V213" s="758"/>
      <c r="W213" s="769"/>
      <c r="X213" s="769"/>
      <c r="Y213" s="763"/>
    </row>
    <row r="214" spans="1:25" s="764" customFormat="1" ht="22.5" customHeight="1" thickTop="1" thickBot="1" x14ac:dyDescent="0.3">
      <c r="A214" s="756"/>
      <c r="B214" s="758"/>
      <c r="C214" s="758"/>
      <c r="D214" s="758"/>
      <c r="E214" s="758"/>
      <c r="F214" s="758"/>
      <c r="G214" s="758"/>
      <c r="H214" s="757"/>
      <c r="I214" s="757"/>
      <c r="J214" s="759"/>
      <c r="K214" s="766"/>
      <c r="L214" s="766"/>
      <c r="M214" s="766"/>
      <c r="N214" s="766"/>
      <c r="O214" s="766"/>
      <c r="P214" s="766"/>
      <c r="Q214" s="766"/>
      <c r="R214" s="766"/>
      <c r="S214" s="766"/>
      <c r="T214" s="766"/>
      <c r="U214" s="766"/>
      <c r="V214" s="758"/>
      <c r="W214" s="758"/>
      <c r="X214" s="758"/>
      <c r="Y214" s="763"/>
    </row>
    <row r="215" spans="1:25" s="183" customFormat="1" ht="22.5" customHeight="1" thickTop="1" thickBot="1" x14ac:dyDescent="0.3">
      <c r="A215" s="605" t="s">
        <v>1377</v>
      </c>
      <c r="B215" s="606" t="s">
        <v>1394</v>
      </c>
      <c r="C215" s="606"/>
      <c r="D215" s="606"/>
      <c r="E215" s="606"/>
      <c r="F215" s="606"/>
      <c r="G215" s="606"/>
      <c r="H215" s="607"/>
      <c r="I215" s="607"/>
      <c r="J215" s="608" t="s">
        <v>1554</v>
      </c>
      <c r="K215" s="609"/>
      <c r="L215" s="609"/>
      <c r="M215" s="609"/>
      <c r="N215" s="609"/>
      <c r="O215" s="609"/>
      <c r="P215" s="609"/>
      <c r="Q215" s="609"/>
      <c r="R215" s="609"/>
      <c r="S215" s="609"/>
      <c r="T215" s="609"/>
      <c r="U215" s="610"/>
      <c r="V215" s="605"/>
      <c r="W215" s="611" t="s">
        <v>1555</v>
      </c>
      <c r="X215" s="611"/>
      <c r="Y215" s="604" t="s">
        <v>1379</v>
      </c>
    </row>
    <row r="216" spans="1:25" s="183" customFormat="1" ht="22.5" customHeight="1" thickTop="1" thickBot="1" x14ac:dyDescent="0.3">
      <c r="A216" s="612" t="s">
        <v>1377</v>
      </c>
      <c r="B216" s="613" t="s">
        <v>1394</v>
      </c>
      <c r="C216" s="613" t="s">
        <v>1381</v>
      </c>
      <c r="D216" s="613"/>
      <c r="E216" s="613"/>
      <c r="F216" s="613"/>
      <c r="G216" s="613"/>
      <c r="H216" s="614"/>
      <c r="I216" s="614"/>
      <c r="J216" s="615" t="s">
        <v>1556</v>
      </c>
      <c r="K216" s="616"/>
      <c r="L216" s="616"/>
      <c r="M216" s="616"/>
      <c r="N216" s="616"/>
      <c r="O216" s="616"/>
      <c r="P216" s="616"/>
      <c r="Q216" s="616"/>
      <c r="R216" s="616"/>
      <c r="S216" s="616"/>
      <c r="T216" s="616"/>
      <c r="U216" s="617"/>
      <c r="V216" s="613"/>
      <c r="W216" s="612" t="s">
        <v>1557</v>
      </c>
      <c r="X216" s="613"/>
      <c r="Y216" s="604" t="s">
        <v>1379</v>
      </c>
    </row>
    <row r="217" spans="1:25" s="183" customFormat="1" ht="22.5" customHeight="1" thickTop="1" thickBot="1" x14ac:dyDescent="0.3">
      <c r="A217" s="619" t="s">
        <v>1377</v>
      </c>
      <c r="B217" s="620" t="s">
        <v>1394</v>
      </c>
      <c r="C217" s="620" t="s">
        <v>1381</v>
      </c>
      <c r="D217" s="620" t="s">
        <v>1381</v>
      </c>
      <c r="E217" s="620"/>
      <c r="F217" s="620"/>
      <c r="G217" s="620"/>
      <c r="H217" s="621"/>
      <c r="I217" s="621"/>
      <c r="J217" s="622" t="s">
        <v>1558</v>
      </c>
      <c r="K217" s="623"/>
      <c r="L217" s="623"/>
      <c r="M217" s="623"/>
      <c r="N217" s="623"/>
      <c r="O217" s="623"/>
      <c r="P217" s="623"/>
      <c r="Q217" s="623"/>
      <c r="R217" s="623"/>
      <c r="S217" s="623"/>
      <c r="T217" s="623"/>
      <c r="U217" s="624"/>
      <c r="V217" s="620"/>
      <c r="W217" s="625" t="s">
        <v>1559</v>
      </c>
      <c r="X217" s="625"/>
      <c r="Y217" s="604" t="s">
        <v>1379</v>
      </c>
    </row>
    <row r="218" spans="1:25" s="183" customFormat="1" ht="22.5" customHeight="1" thickTop="1" thickBot="1" x14ac:dyDescent="0.3">
      <c r="A218" s="632" t="s">
        <v>1377</v>
      </c>
      <c r="B218" s="626" t="s">
        <v>1394</v>
      </c>
      <c r="C218" s="626" t="s">
        <v>1381</v>
      </c>
      <c r="D218" s="627" t="s">
        <v>1381</v>
      </c>
      <c r="E218" s="627" t="s">
        <v>1381</v>
      </c>
      <c r="F218" s="627"/>
      <c r="G218" s="627"/>
      <c r="H218" s="634"/>
      <c r="I218" s="634"/>
      <c r="J218" s="629" t="s">
        <v>1560</v>
      </c>
      <c r="K218" s="630"/>
      <c r="L218" s="630"/>
      <c r="M218" s="630"/>
      <c r="N218" s="630"/>
      <c r="O218" s="630"/>
      <c r="P218" s="630"/>
      <c r="Q218" s="630"/>
      <c r="R218" s="630"/>
      <c r="S218" s="630"/>
      <c r="T218" s="630"/>
      <c r="U218" s="631"/>
      <c r="V218" s="626"/>
      <c r="W218" s="633" t="s">
        <v>1561</v>
      </c>
      <c r="X218" s="633"/>
      <c r="Y218" s="604" t="s">
        <v>1379</v>
      </c>
    </row>
    <row r="219" spans="1:25" ht="22.5" customHeight="1" thickTop="1" thickBot="1" x14ac:dyDescent="0.3">
      <c r="A219" s="638" t="s">
        <v>1377</v>
      </c>
      <c r="B219" s="628" t="s">
        <v>1394</v>
      </c>
      <c r="C219" s="628" t="s">
        <v>1381</v>
      </c>
      <c r="D219" s="634" t="s">
        <v>1381</v>
      </c>
      <c r="E219" s="634" t="s">
        <v>1381</v>
      </c>
      <c r="F219" s="627" t="s">
        <v>1381</v>
      </c>
      <c r="G219" s="634"/>
      <c r="H219" s="634"/>
      <c r="I219" s="634"/>
      <c r="J219" s="635" t="s">
        <v>1562</v>
      </c>
      <c r="K219" s="636"/>
      <c r="L219" s="636"/>
      <c r="M219" s="636"/>
      <c r="N219" s="636"/>
      <c r="O219" s="636"/>
      <c r="P219" s="636"/>
      <c r="Q219" s="636"/>
      <c r="R219" s="636"/>
      <c r="S219" s="636"/>
      <c r="T219" s="636"/>
      <c r="U219" s="637"/>
      <c r="V219" s="626"/>
      <c r="W219" s="639" t="s">
        <v>1563</v>
      </c>
      <c r="X219" s="639"/>
      <c r="Y219" s="604" t="s">
        <v>1379</v>
      </c>
    </row>
    <row r="220" spans="1:25" ht="22.5" customHeight="1" thickTop="1" thickBot="1" x14ac:dyDescent="0.3">
      <c r="A220" s="638" t="s">
        <v>1377</v>
      </c>
      <c r="B220" s="628" t="s">
        <v>1394</v>
      </c>
      <c r="C220" s="628" t="s">
        <v>1381</v>
      </c>
      <c r="D220" s="634" t="s">
        <v>1381</v>
      </c>
      <c r="E220" s="634" t="s">
        <v>1381</v>
      </c>
      <c r="F220" s="627" t="s">
        <v>1394</v>
      </c>
      <c r="G220" s="634"/>
      <c r="H220" s="634"/>
      <c r="I220" s="634"/>
      <c r="J220" s="635" t="s">
        <v>1564</v>
      </c>
      <c r="K220" s="636"/>
      <c r="L220" s="636"/>
      <c r="M220" s="636"/>
      <c r="N220" s="636"/>
      <c r="O220" s="636"/>
      <c r="P220" s="636"/>
      <c r="Q220" s="636"/>
      <c r="R220" s="636"/>
      <c r="S220" s="636"/>
      <c r="T220" s="636"/>
      <c r="U220" s="637"/>
      <c r="V220" s="626"/>
      <c r="W220" s="639" t="s">
        <v>1565</v>
      </c>
      <c r="X220" s="639"/>
      <c r="Y220" s="604" t="s">
        <v>1379</v>
      </c>
    </row>
    <row r="221" spans="1:25" ht="22.5" customHeight="1" thickTop="1" thickBot="1" x14ac:dyDescent="0.3">
      <c r="A221" s="638" t="s">
        <v>1377</v>
      </c>
      <c r="B221" s="628" t="s">
        <v>1394</v>
      </c>
      <c r="C221" s="628" t="s">
        <v>1381</v>
      </c>
      <c r="D221" s="634" t="s">
        <v>1381</v>
      </c>
      <c r="E221" s="634" t="s">
        <v>1381</v>
      </c>
      <c r="F221" s="627" t="s">
        <v>1418</v>
      </c>
      <c r="G221" s="634"/>
      <c r="H221" s="634"/>
      <c r="I221" s="634"/>
      <c r="J221" s="635" t="s">
        <v>1566</v>
      </c>
      <c r="K221" s="636"/>
      <c r="L221" s="636"/>
      <c r="M221" s="636"/>
      <c r="N221" s="636"/>
      <c r="O221" s="636"/>
      <c r="P221" s="636"/>
      <c r="Q221" s="636"/>
      <c r="R221" s="636"/>
      <c r="S221" s="636"/>
      <c r="T221" s="636"/>
      <c r="U221" s="637"/>
      <c r="V221" s="626"/>
      <c r="W221" s="639" t="s">
        <v>1567</v>
      </c>
      <c r="X221" s="639"/>
      <c r="Y221" s="604" t="s">
        <v>1379</v>
      </c>
    </row>
    <row r="222" spans="1:25" ht="22.5" customHeight="1" thickTop="1" thickBot="1" x14ac:dyDescent="0.3">
      <c r="A222" s="638" t="s">
        <v>1377</v>
      </c>
      <c r="B222" s="628" t="s">
        <v>1394</v>
      </c>
      <c r="C222" s="628" t="s">
        <v>1381</v>
      </c>
      <c r="D222" s="634" t="s">
        <v>1381</v>
      </c>
      <c r="E222" s="634" t="s">
        <v>1381</v>
      </c>
      <c r="F222" s="634" t="s">
        <v>1418</v>
      </c>
      <c r="G222" s="627" t="s">
        <v>1381</v>
      </c>
      <c r="H222" s="634"/>
      <c r="I222" s="634"/>
      <c r="J222" s="635" t="s">
        <v>1568</v>
      </c>
      <c r="K222" s="630"/>
      <c r="L222" s="630"/>
      <c r="M222" s="630"/>
      <c r="N222" s="630"/>
      <c r="O222" s="630"/>
      <c r="P222" s="630"/>
      <c r="Q222" s="630"/>
      <c r="R222" s="630"/>
      <c r="S222" s="630"/>
      <c r="T222" s="630"/>
      <c r="U222" s="631"/>
      <c r="V222" s="626"/>
      <c r="W222" s="639" t="s">
        <v>1569</v>
      </c>
      <c r="X222" s="639"/>
      <c r="Y222" s="604" t="s">
        <v>1379</v>
      </c>
    </row>
    <row r="223" spans="1:25" s="183" customFormat="1" ht="22.5" customHeight="1" thickTop="1" thickBot="1" x14ac:dyDescent="0.3">
      <c r="A223" s="632" t="s">
        <v>1377</v>
      </c>
      <c r="B223" s="626" t="s">
        <v>1394</v>
      </c>
      <c r="C223" s="626" t="s">
        <v>1381</v>
      </c>
      <c r="D223" s="627" t="s">
        <v>1381</v>
      </c>
      <c r="E223" s="627" t="s">
        <v>1394</v>
      </c>
      <c r="F223" s="627"/>
      <c r="G223" s="627"/>
      <c r="H223" s="634"/>
      <c r="I223" s="634"/>
      <c r="J223" s="629" t="s">
        <v>1570</v>
      </c>
      <c r="K223" s="630"/>
      <c r="L223" s="630"/>
      <c r="M223" s="630"/>
      <c r="N223" s="630"/>
      <c r="O223" s="630"/>
      <c r="P223" s="630"/>
      <c r="Q223" s="630"/>
      <c r="R223" s="630"/>
      <c r="S223" s="630"/>
      <c r="T223" s="630"/>
      <c r="U223" s="631"/>
      <c r="V223" s="626"/>
      <c r="W223" s="633" t="s">
        <v>1571</v>
      </c>
      <c r="X223" s="633"/>
      <c r="Y223" s="604" t="s">
        <v>1379</v>
      </c>
    </row>
    <row r="224" spans="1:25" ht="22.5" customHeight="1" thickTop="1" thickBot="1" x14ac:dyDescent="0.3">
      <c r="A224" s="638" t="s">
        <v>1377</v>
      </c>
      <c r="B224" s="628" t="s">
        <v>1394</v>
      </c>
      <c r="C224" s="628" t="s">
        <v>1381</v>
      </c>
      <c r="D224" s="634" t="s">
        <v>1381</v>
      </c>
      <c r="E224" s="634" t="s">
        <v>1394</v>
      </c>
      <c r="F224" s="627" t="s">
        <v>1381</v>
      </c>
      <c r="G224" s="634"/>
      <c r="H224" s="634"/>
      <c r="I224" s="634"/>
      <c r="J224" s="635" t="s">
        <v>1572</v>
      </c>
      <c r="K224" s="636"/>
      <c r="L224" s="636"/>
      <c r="M224" s="636"/>
      <c r="N224" s="636"/>
      <c r="O224" s="636"/>
      <c r="P224" s="636"/>
      <c r="Q224" s="636"/>
      <c r="R224" s="636"/>
      <c r="S224" s="636"/>
      <c r="T224" s="636"/>
      <c r="U224" s="637"/>
      <c r="V224" s="626"/>
      <c r="W224" s="639" t="s">
        <v>1573</v>
      </c>
      <c r="X224" s="639"/>
      <c r="Y224" s="604" t="s">
        <v>1379</v>
      </c>
    </row>
    <row r="225" spans="1:25" s="768" customFormat="1" ht="22.5" customHeight="1" thickTop="1" thickBot="1" x14ac:dyDescent="0.3">
      <c r="A225" s="765" t="s">
        <v>1377</v>
      </c>
      <c r="B225" s="758" t="s">
        <v>1394</v>
      </c>
      <c r="C225" s="758" t="s">
        <v>1394</v>
      </c>
      <c r="D225" s="758"/>
      <c r="E225" s="758"/>
      <c r="F225" s="758"/>
      <c r="G225" s="758"/>
      <c r="H225" s="757"/>
      <c r="I225" s="757"/>
      <c r="J225" s="759" t="s">
        <v>1574</v>
      </c>
      <c r="K225" s="766"/>
      <c r="L225" s="766"/>
      <c r="M225" s="766"/>
      <c r="N225" s="766"/>
      <c r="O225" s="766"/>
      <c r="P225" s="766"/>
      <c r="Q225" s="766"/>
      <c r="R225" s="766"/>
      <c r="S225" s="766"/>
      <c r="T225" s="766"/>
      <c r="U225" s="767"/>
      <c r="V225" s="758"/>
      <c r="W225" s="758" t="s">
        <v>1575</v>
      </c>
      <c r="X225" s="758"/>
      <c r="Y225" s="763" t="s">
        <v>1379</v>
      </c>
    </row>
    <row r="226" spans="1:25" s="768" customFormat="1" ht="22.5" customHeight="1" thickTop="1" thickBot="1" x14ac:dyDescent="0.3">
      <c r="A226" s="765"/>
      <c r="B226" s="758"/>
      <c r="C226" s="758"/>
      <c r="D226" s="758"/>
      <c r="E226" s="758"/>
      <c r="F226" s="758"/>
      <c r="G226" s="758"/>
      <c r="H226" s="757"/>
      <c r="I226" s="757"/>
      <c r="J226" s="759"/>
      <c r="K226" s="766"/>
      <c r="L226" s="766"/>
      <c r="M226" s="766"/>
      <c r="N226" s="766"/>
      <c r="O226" s="766"/>
      <c r="P226" s="766"/>
      <c r="Q226" s="766"/>
      <c r="R226" s="766"/>
      <c r="S226" s="766"/>
      <c r="T226" s="766"/>
      <c r="U226" s="767"/>
      <c r="V226" s="758"/>
      <c r="W226" s="769"/>
      <c r="X226" s="769"/>
      <c r="Y226" s="763"/>
    </row>
    <row r="227" spans="1:25" s="768" customFormat="1" ht="22.5" customHeight="1" thickTop="1" thickBot="1" x14ac:dyDescent="0.3">
      <c r="A227" s="765"/>
      <c r="B227" s="758"/>
      <c r="C227" s="758"/>
      <c r="D227" s="758"/>
      <c r="E227" s="758"/>
      <c r="F227" s="758"/>
      <c r="G227" s="758"/>
      <c r="H227" s="757"/>
      <c r="I227" s="757"/>
      <c r="J227" s="759"/>
      <c r="K227" s="766"/>
      <c r="L227" s="766"/>
      <c r="M227" s="766"/>
      <c r="N227" s="766"/>
      <c r="O227" s="766"/>
      <c r="P227" s="766"/>
      <c r="Q227" s="766"/>
      <c r="R227" s="766"/>
      <c r="S227" s="766"/>
      <c r="T227" s="766"/>
      <c r="U227" s="767"/>
      <c r="V227" s="758"/>
      <c r="W227" s="769"/>
      <c r="X227" s="769"/>
      <c r="Y227" s="763"/>
    </row>
    <row r="228" spans="1:25" s="768" customFormat="1" ht="22.5" customHeight="1" thickTop="1" thickBot="1" x14ac:dyDescent="0.3">
      <c r="A228" s="765"/>
      <c r="B228" s="758"/>
      <c r="C228" s="758"/>
      <c r="D228" s="758"/>
      <c r="E228" s="758"/>
      <c r="F228" s="758"/>
      <c r="G228" s="758"/>
      <c r="H228" s="757"/>
      <c r="I228" s="757"/>
      <c r="J228" s="759"/>
      <c r="K228" s="766"/>
      <c r="L228" s="766"/>
      <c r="M228" s="766"/>
      <c r="N228" s="766"/>
      <c r="O228" s="766"/>
      <c r="P228" s="766"/>
      <c r="Q228" s="766"/>
      <c r="R228" s="766"/>
      <c r="S228" s="766"/>
      <c r="T228" s="766"/>
      <c r="U228" s="767"/>
      <c r="V228" s="765"/>
      <c r="W228" s="769"/>
      <c r="X228" s="769"/>
      <c r="Y228" s="763"/>
    </row>
    <row r="229" spans="1:25" s="183" customFormat="1" ht="22.5" customHeight="1" thickTop="1" thickBot="1" x14ac:dyDescent="0.3">
      <c r="A229" s="612" t="s">
        <v>1377</v>
      </c>
      <c r="B229" s="613" t="s">
        <v>1394</v>
      </c>
      <c r="C229" s="613" t="s">
        <v>1418</v>
      </c>
      <c r="D229" s="613"/>
      <c r="E229" s="613"/>
      <c r="F229" s="613"/>
      <c r="G229" s="613"/>
      <c r="H229" s="614"/>
      <c r="I229" s="614"/>
      <c r="J229" s="615" t="s">
        <v>1580</v>
      </c>
      <c r="K229" s="653"/>
      <c r="L229" s="653"/>
      <c r="M229" s="653"/>
      <c r="N229" s="653"/>
      <c r="O229" s="653"/>
      <c r="P229" s="653"/>
      <c r="Q229" s="653"/>
      <c r="R229" s="653"/>
      <c r="S229" s="653"/>
      <c r="T229" s="653"/>
      <c r="U229" s="617"/>
      <c r="V229" s="613"/>
      <c r="W229" s="613" t="s">
        <v>1581</v>
      </c>
      <c r="X229" s="613"/>
      <c r="Y229" s="604" t="s">
        <v>1379</v>
      </c>
    </row>
    <row r="230" spans="1:25" s="183" customFormat="1" ht="22.5" customHeight="1" thickTop="1" thickBot="1" x14ac:dyDescent="0.3">
      <c r="A230" s="620" t="s">
        <v>1377</v>
      </c>
      <c r="B230" s="620" t="s">
        <v>1394</v>
      </c>
      <c r="C230" s="620" t="s">
        <v>1418</v>
      </c>
      <c r="D230" s="620" t="s">
        <v>1381</v>
      </c>
      <c r="E230" s="620"/>
      <c r="F230" s="620"/>
      <c r="G230" s="620"/>
      <c r="H230" s="621"/>
      <c r="I230" s="621"/>
      <c r="J230" s="622" t="s">
        <v>1582</v>
      </c>
      <c r="K230" s="648"/>
      <c r="L230" s="648"/>
      <c r="M230" s="648"/>
      <c r="N230" s="648"/>
      <c r="O230" s="648"/>
      <c r="P230" s="648"/>
      <c r="Q230" s="648"/>
      <c r="R230" s="648"/>
      <c r="S230" s="648"/>
      <c r="T230" s="648"/>
      <c r="U230" s="624"/>
      <c r="V230" s="620"/>
      <c r="W230" s="625" t="s">
        <v>1583</v>
      </c>
      <c r="X230" s="625" t="s">
        <v>1584</v>
      </c>
      <c r="Y230" s="604" t="s">
        <v>1379</v>
      </c>
    </row>
    <row r="231" spans="1:25" s="183" customFormat="1" ht="22.5" customHeight="1" thickTop="1" thickBot="1" x14ac:dyDescent="0.3">
      <c r="A231" s="632" t="s">
        <v>1377</v>
      </c>
      <c r="B231" s="626" t="s">
        <v>1394</v>
      </c>
      <c r="C231" s="626" t="s">
        <v>1418</v>
      </c>
      <c r="D231" s="626" t="s">
        <v>1381</v>
      </c>
      <c r="E231" s="627" t="s">
        <v>1381</v>
      </c>
      <c r="F231" s="626"/>
      <c r="G231" s="626"/>
      <c r="H231" s="628"/>
      <c r="I231" s="628"/>
      <c r="J231" s="629" t="s">
        <v>1585</v>
      </c>
      <c r="K231" s="651"/>
      <c r="L231" s="651"/>
      <c r="M231" s="651"/>
      <c r="N231" s="651"/>
      <c r="O231" s="651"/>
      <c r="P231" s="651"/>
      <c r="Q231" s="651"/>
      <c r="R231" s="651"/>
      <c r="S231" s="651"/>
      <c r="T231" s="651"/>
      <c r="U231" s="631"/>
      <c r="V231" s="632"/>
      <c r="W231" s="633" t="s">
        <v>1586</v>
      </c>
      <c r="X231" s="633" t="s">
        <v>1587</v>
      </c>
      <c r="Y231" s="604" t="s">
        <v>1379</v>
      </c>
    </row>
    <row r="232" spans="1:25" s="183" customFormat="1" ht="22.5" customHeight="1" thickTop="1" thickBot="1" x14ac:dyDescent="0.3">
      <c r="A232" s="632" t="s">
        <v>1377</v>
      </c>
      <c r="B232" s="626" t="s">
        <v>1394</v>
      </c>
      <c r="C232" s="626" t="s">
        <v>1418</v>
      </c>
      <c r="D232" s="626" t="s">
        <v>1381</v>
      </c>
      <c r="E232" s="627" t="s">
        <v>1394</v>
      </c>
      <c r="F232" s="626"/>
      <c r="G232" s="626"/>
      <c r="H232" s="628"/>
      <c r="I232" s="628"/>
      <c r="J232" s="629" t="s">
        <v>1588</v>
      </c>
      <c r="K232" s="651"/>
      <c r="L232" s="651"/>
      <c r="M232" s="651"/>
      <c r="N232" s="651"/>
      <c r="O232" s="651"/>
      <c r="P232" s="651"/>
      <c r="Q232" s="651"/>
      <c r="R232" s="651"/>
      <c r="S232" s="651"/>
      <c r="T232" s="651"/>
      <c r="U232" s="631"/>
      <c r="V232" s="626"/>
      <c r="W232" s="633" t="s">
        <v>1589</v>
      </c>
      <c r="X232" s="633"/>
      <c r="Y232" s="604" t="s">
        <v>1379</v>
      </c>
    </row>
    <row r="233" spans="1:25" s="183" customFormat="1" ht="22.5" customHeight="1" thickTop="1" thickBot="1" x14ac:dyDescent="0.3">
      <c r="A233" s="619" t="s">
        <v>1377</v>
      </c>
      <c r="B233" s="620" t="s">
        <v>1394</v>
      </c>
      <c r="C233" s="620" t="s">
        <v>1418</v>
      </c>
      <c r="D233" s="620" t="s">
        <v>1394</v>
      </c>
      <c r="E233" s="620"/>
      <c r="F233" s="620"/>
      <c r="G233" s="620"/>
      <c r="H233" s="621"/>
      <c r="I233" s="621"/>
      <c r="J233" s="622" t="s">
        <v>1590</v>
      </c>
      <c r="K233" s="648"/>
      <c r="L233" s="648"/>
      <c r="M233" s="648"/>
      <c r="N233" s="648"/>
      <c r="O233" s="648"/>
      <c r="P233" s="648"/>
      <c r="Q233" s="648"/>
      <c r="R233" s="648"/>
      <c r="S233" s="648"/>
      <c r="T233" s="648"/>
      <c r="U233" s="624"/>
      <c r="V233" s="620"/>
      <c r="W233" s="625" t="s">
        <v>1591</v>
      </c>
      <c r="X233" s="625"/>
      <c r="Y233" s="604" t="s">
        <v>1379</v>
      </c>
    </row>
    <row r="234" spans="1:25" s="183" customFormat="1" ht="22.5" customHeight="1" thickTop="1" thickBot="1" x14ac:dyDescent="0.3">
      <c r="A234" s="619" t="s">
        <v>1377</v>
      </c>
      <c r="B234" s="620" t="s">
        <v>1394</v>
      </c>
      <c r="C234" s="620" t="s">
        <v>1418</v>
      </c>
      <c r="D234" s="620" t="s">
        <v>1418</v>
      </c>
      <c r="E234" s="620"/>
      <c r="F234" s="620"/>
      <c r="G234" s="620"/>
      <c r="H234" s="621"/>
      <c r="I234" s="621"/>
      <c r="J234" s="622" t="s">
        <v>1592</v>
      </c>
      <c r="K234" s="648"/>
      <c r="L234" s="648"/>
      <c r="M234" s="648"/>
      <c r="N234" s="648"/>
      <c r="O234" s="648"/>
      <c r="P234" s="648"/>
      <c r="Q234" s="648"/>
      <c r="R234" s="648"/>
      <c r="S234" s="648"/>
      <c r="T234" s="648"/>
      <c r="U234" s="624"/>
      <c r="V234" s="620"/>
      <c r="W234" s="625" t="s">
        <v>1593</v>
      </c>
      <c r="X234" s="625" t="s">
        <v>1594</v>
      </c>
      <c r="Y234" s="604" t="s">
        <v>1379</v>
      </c>
    </row>
    <row r="235" spans="1:25" s="183" customFormat="1" ht="22.5" customHeight="1" thickTop="1" thickBot="1" x14ac:dyDescent="0.3">
      <c r="A235" s="612" t="s">
        <v>1377</v>
      </c>
      <c r="B235" s="613" t="s">
        <v>1394</v>
      </c>
      <c r="C235" s="613" t="s">
        <v>1422</v>
      </c>
      <c r="D235" s="613"/>
      <c r="E235" s="613"/>
      <c r="F235" s="613"/>
      <c r="G235" s="613"/>
      <c r="H235" s="614"/>
      <c r="I235" s="614"/>
      <c r="J235" s="615" t="s">
        <v>1595</v>
      </c>
      <c r="K235" s="653"/>
      <c r="L235" s="653"/>
      <c r="M235" s="653"/>
      <c r="N235" s="653"/>
      <c r="O235" s="653"/>
      <c r="P235" s="653"/>
      <c r="Q235" s="653"/>
      <c r="R235" s="653"/>
      <c r="S235" s="653"/>
      <c r="T235" s="653"/>
      <c r="U235" s="617"/>
      <c r="V235" s="613"/>
      <c r="W235" s="613" t="s">
        <v>1596</v>
      </c>
      <c r="X235" s="613"/>
      <c r="Y235" s="604" t="s">
        <v>1379</v>
      </c>
    </row>
    <row r="236" spans="1:25" s="183" customFormat="1" ht="22.5" customHeight="1" thickTop="1" thickBot="1" x14ac:dyDescent="0.3">
      <c r="A236" s="619" t="s">
        <v>1377</v>
      </c>
      <c r="B236" s="620" t="s">
        <v>1394</v>
      </c>
      <c r="C236" s="620" t="s">
        <v>1422</v>
      </c>
      <c r="D236" s="620" t="s">
        <v>1381</v>
      </c>
      <c r="E236" s="620"/>
      <c r="F236" s="620"/>
      <c r="G236" s="620"/>
      <c r="H236" s="621"/>
      <c r="I236" s="621"/>
      <c r="J236" s="622" t="s">
        <v>1597</v>
      </c>
      <c r="K236" s="648"/>
      <c r="L236" s="648"/>
      <c r="M236" s="648"/>
      <c r="N236" s="648"/>
      <c r="O236" s="648"/>
      <c r="P236" s="648"/>
      <c r="Q236" s="648"/>
      <c r="R236" s="648"/>
      <c r="S236" s="648"/>
      <c r="T236" s="648"/>
      <c r="U236" s="624"/>
      <c r="V236" s="620"/>
      <c r="W236" s="625" t="s">
        <v>1598</v>
      </c>
      <c r="X236" s="625" t="s">
        <v>1599</v>
      </c>
      <c r="Y236" s="604" t="s">
        <v>1379</v>
      </c>
    </row>
    <row r="237" spans="1:25" s="183" customFormat="1" ht="22.5" customHeight="1" thickTop="1" thickBot="1" x14ac:dyDescent="0.3">
      <c r="A237" s="632" t="s">
        <v>1377</v>
      </c>
      <c r="B237" s="626" t="s">
        <v>1394</v>
      </c>
      <c r="C237" s="626" t="s">
        <v>1422</v>
      </c>
      <c r="D237" s="626" t="s">
        <v>1381</v>
      </c>
      <c r="E237" s="627" t="s">
        <v>1381</v>
      </c>
      <c r="F237" s="626"/>
      <c r="G237" s="626"/>
      <c r="H237" s="628"/>
      <c r="I237" s="628"/>
      <c r="J237" s="629" t="s">
        <v>1600</v>
      </c>
      <c r="K237" s="651"/>
      <c r="L237" s="651"/>
      <c r="M237" s="651"/>
      <c r="N237" s="651"/>
      <c r="O237" s="651"/>
      <c r="P237" s="651"/>
      <c r="Q237" s="651"/>
      <c r="R237" s="651"/>
      <c r="S237" s="651"/>
      <c r="T237" s="651"/>
      <c r="U237" s="631"/>
      <c r="V237" s="632"/>
      <c r="W237" s="633" t="s">
        <v>1601</v>
      </c>
      <c r="X237" s="633" t="s">
        <v>1587</v>
      </c>
      <c r="Y237" s="604" t="s">
        <v>1379</v>
      </c>
    </row>
    <row r="238" spans="1:25" ht="22.5" customHeight="1" thickTop="1" thickBot="1" x14ac:dyDescent="0.3">
      <c r="A238" s="638" t="s">
        <v>1377</v>
      </c>
      <c r="B238" s="628" t="s">
        <v>1394</v>
      </c>
      <c r="C238" s="628" t="s">
        <v>1422</v>
      </c>
      <c r="D238" s="628" t="s">
        <v>1381</v>
      </c>
      <c r="E238" s="634" t="s">
        <v>1381</v>
      </c>
      <c r="F238" s="626" t="s">
        <v>1381</v>
      </c>
      <c r="G238" s="628"/>
      <c r="H238" s="628"/>
      <c r="I238" s="628"/>
      <c r="J238" s="635" t="s">
        <v>1602</v>
      </c>
      <c r="K238" s="652"/>
      <c r="L238" s="652"/>
      <c r="M238" s="652"/>
      <c r="N238" s="652"/>
      <c r="O238" s="652"/>
      <c r="P238" s="652"/>
      <c r="Q238" s="652"/>
      <c r="R238" s="652"/>
      <c r="S238" s="652"/>
      <c r="T238" s="652"/>
      <c r="U238" s="637"/>
      <c r="V238" s="628"/>
      <c r="W238" s="639" t="s">
        <v>1603</v>
      </c>
      <c r="X238" s="639"/>
      <c r="Y238" s="604" t="s">
        <v>1379</v>
      </c>
    </row>
    <row r="239" spans="1:25" ht="22.5" customHeight="1" thickTop="1" thickBot="1" x14ac:dyDescent="0.3">
      <c r="A239" s="638" t="s">
        <v>1377</v>
      </c>
      <c r="B239" s="628" t="s">
        <v>1394</v>
      </c>
      <c r="C239" s="628" t="s">
        <v>1422</v>
      </c>
      <c r="D239" s="628" t="s">
        <v>1381</v>
      </c>
      <c r="E239" s="634" t="s">
        <v>1381</v>
      </c>
      <c r="F239" s="626" t="s">
        <v>1394</v>
      </c>
      <c r="G239" s="628"/>
      <c r="H239" s="628"/>
      <c r="I239" s="628"/>
      <c r="J239" s="635" t="s">
        <v>1604</v>
      </c>
      <c r="K239" s="652"/>
      <c r="L239" s="652"/>
      <c r="M239" s="652"/>
      <c r="N239" s="652"/>
      <c r="O239" s="652"/>
      <c r="P239" s="652"/>
      <c r="Q239" s="652"/>
      <c r="R239" s="652"/>
      <c r="S239" s="652"/>
      <c r="T239" s="652"/>
      <c r="U239" s="637"/>
      <c r="V239" s="638"/>
      <c r="W239" s="639" t="s">
        <v>1605</v>
      </c>
      <c r="X239" s="639"/>
      <c r="Y239" s="604" t="s">
        <v>1379</v>
      </c>
    </row>
    <row r="240" spans="1:25" s="183" customFormat="1" ht="22.5" customHeight="1" thickTop="1" thickBot="1" x14ac:dyDescent="0.3">
      <c r="A240" s="632" t="s">
        <v>1377</v>
      </c>
      <c r="B240" s="626" t="s">
        <v>1394</v>
      </c>
      <c r="C240" s="626" t="s">
        <v>1422</v>
      </c>
      <c r="D240" s="626" t="s">
        <v>1381</v>
      </c>
      <c r="E240" s="627" t="s">
        <v>1394</v>
      </c>
      <c r="F240" s="626"/>
      <c r="G240" s="626"/>
      <c r="H240" s="628"/>
      <c r="I240" s="628"/>
      <c r="J240" s="629" t="s">
        <v>1606</v>
      </c>
      <c r="K240" s="651"/>
      <c r="L240" s="651"/>
      <c r="M240" s="651"/>
      <c r="N240" s="651"/>
      <c r="O240" s="651"/>
      <c r="P240" s="651"/>
      <c r="Q240" s="651"/>
      <c r="R240" s="651"/>
      <c r="S240" s="651"/>
      <c r="T240" s="651"/>
      <c r="U240" s="631"/>
      <c r="V240" s="632"/>
      <c r="W240" s="633" t="s">
        <v>1607</v>
      </c>
      <c r="X240" s="633"/>
      <c r="Y240" s="604" t="s">
        <v>1379</v>
      </c>
    </row>
    <row r="241" spans="1:25" ht="22.5" customHeight="1" thickTop="1" thickBot="1" x14ac:dyDescent="0.3">
      <c r="A241" s="638" t="s">
        <v>1377</v>
      </c>
      <c r="B241" s="628" t="s">
        <v>1394</v>
      </c>
      <c r="C241" s="628" t="s">
        <v>1422</v>
      </c>
      <c r="D241" s="628" t="s">
        <v>1381</v>
      </c>
      <c r="E241" s="634" t="s">
        <v>1394</v>
      </c>
      <c r="F241" s="626" t="s">
        <v>1381</v>
      </c>
      <c r="G241" s="628"/>
      <c r="H241" s="628"/>
      <c r="I241" s="628"/>
      <c r="J241" s="635" t="s">
        <v>1608</v>
      </c>
      <c r="K241" s="652"/>
      <c r="L241" s="652"/>
      <c r="M241" s="652"/>
      <c r="N241" s="652"/>
      <c r="O241" s="652"/>
      <c r="P241" s="652"/>
      <c r="Q241" s="652"/>
      <c r="R241" s="652"/>
      <c r="S241" s="652"/>
      <c r="T241" s="652"/>
      <c r="U241" s="637"/>
      <c r="V241" s="638"/>
      <c r="W241" s="639" t="s">
        <v>1609</v>
      </c>
      <c r="X241" s="639"/>
      <c r="Y241" s="604" t="s">
        <v>1379</v>
      </c>
    </row>
    <row r="242" spans="1:25" ht="22.5" customHeight="1" thickTop="1" thickBot="1" x14ac:dyDescent="0.3">
      <c r="A242" s="638" t="s">
        <v>1377</v>
      </c>
      <c r="B242" s="628" t="s">
        <v>1394</v>
      </c>
      <c r="C242" s="628" t="s">
        <v>1422</v>
      </c>
      <c r="D242" s="628" t="s">
        <v>1381</v>
      </c>
      <c r="E242" s="634" t="s">
        <v>1394</v>
      </c>
      <c r="F242" s="626" t="s">
        <v>1394</v>
      </c>
      <c r="G242" s="628"/>
      <c r="H242" s="628"/>
      <c r="I242" s="628"/>
      <c r="J242" s="635" t="s">
        <v>1610</v>
      </c>
      <c r="K242" s="652"/>
      <c r="L242" s="652"/>
      <c r="M242" s="652"/>
      <c r="N242" s="652"/>
      <c r="O242" s="652"/>
      <c r="P242" s="652"/>
      <c r="Q242" s="652"/>
      <c r="R242" s="652"/>
      <c r="S242" s="652"/>
      <c r="T242" s="652"/>
      <c r="U242" s="637"/>
      <c r="V242" s="638"/>
      <c r="W242" s="639" t="s">
        <v>1611</v>
      </c>
      <c r="X242" s="639"/>
      <c r="Y242" s="604" t="s">
        <v>1379</v>
      </c>
    </row>
    <row r="243" spans="1:25" ht="22.5" customHeight="1" thickTop="1" thickBot="1" x14ac:dyDescent="0.3">
      <c r="A243" s="638" t="s">
        <v>1377</v>
      </c>
      <c r="B243" s="628" t="s">
        <v>1394</v>
      </c>
      <c r="C243" s="628" t="s">
        <v>1422</v>
      </c>
      <c r="D243" s="628" t="s">
        <v>1381</v>
      </c>
      <c r="E243" s="634" t="s">
        <v>1394</v>
      </c>
      <c r="F243" s="626" t="s">
        <v>1418</v>
      </c>
      <c r="G243" s="628"/>
      <c r="H243" s="628"/>
      <c r="I243" s="628"/>
      <c r="J243" s="635" t="s">
        <v>1612</v>
      </c>
      <c r="K243" s="652"/>
      <c r="L243" s="652"/>
      <c r="M243" s="652"/>
      <c r="N243" s="652"/>
      <c r="O243" s="652"/>
      <c r="P243" s="652"/>
      <c r="Q243" s="652"/>
      <c r="R243" s="652"/>
      <c r="S243" s="652"/>
      <c r="T243" s="652"/>
      <c r="U243" s="637"/>
      <c r="V243" s="638"/>
      <c r="W243" s="639" t="s">
        <v>1613</v>
      </c>
      <c r="X243" s="639"/>
      <c r="Y243" s="604" t="s">
        <v>1379</v>
      </c>
    </row>
    <row r="244" spans="1:25" ht="22.5" customHeight="1" thickTop="1" thickBot="1" x14ac:dyDescent="0.3">
      <c r="A244" s="638" t="s">
        <v>1377</v>
      </c>
      <c r="B244" s="628" t="s">
        <v>1394</v>
      </c>
      <c r="C244" s="628" t="s">
        <v>1422</v>
      </c>
      <c r="D244" s="628" t="s">
        <v>1381</v>
      </c>
      <c r="E244" s="634" t="s">
        <v>1394</v>
      </c>
      <c r="F244" s="626" t="s">
        <v>1422</v>
      </c>
      <c r="G244" s="628"/>
      <c r="H244" s="628"/>
      <c r="I244" s="628"/>
      <c r="J244" s="635" t="s">
        <v>1614</v>
      </c>
      <c r="K244" s="652"/>
      <c r="L244" s="652"/>
      <c r="M244" s="652"/>
      <c r="N244" s="652"/>
      <c r="O244" s="652"/>
      <c r="P244" s="652"/>
      <c r="Q244" s="652"/>
      <c r="R244" s="652"/>
      <c r="S244" s="652"/>
      <c r="T244" s="652"/>
      <c r="U244" s="637"/>
      <c r="V244" s="638"/>
      <c r="W244" s="639" t="s">
        <v>1615</v>
      </c>
      <c r="X244" s="639"/>
      <c r="Y244" s="604" t="s">
        <v>1379</v>
      </c>
    </row>
    <row r="245" spans="1:25" ht="22.5" customHeight="1" thickTop="1" thickBot="1" x14ac:dyDescent="0.3">
      <c r="A245" s="638" t="s">
        <v>1377</v>
      </c>
      <c r="B245" s="628" t="s">
        <v>1394</v>
      </c>
      <c r="C245" s="628" t="s">
        <v>1422</v>
      </c>
      <c r="D245" s="628" t="s">
        <v>1381</v>
      </c>
      <c r="E245" s="634" t="s">
        <v>1394</v>
      </c>
      <c r="F245" s="626" t="s">
        <v>1447</v>
      </c>
      <c r="G245" s="628"/>
      <c r="H245" s="628"/>
      <c r="I245" s="628"/>
      <c r="J245" s="635" t="s">
        <v>1616</v>
      </c>
      <c r="K245" s="652"/>
      <c r="L245" s="652"/>
      <c r="M245" s="652"/>
      <c r="N245" s="652"/>
      <c r="O245" s="652"/>
      <c r="P245" s="652"/>
      <c r="Q245" s="652"/>
      <c r="R245" s="652"/>
      <c r="S245" s="652"/>
      <c r="T245" s="652"/>
      <c r="U245" s="637"/>
      <c r="V245" s="638"/>
      <c r="W245" s="639" t="s">
        <v>1617</v>
      </c>
      <c r="X245" s="639" t="s">
        <v>1618</v>
      </c>
      <c r="Y245" s="604" t="s">
        <v>1379</v>
      </c>
    </row>
    <row r="246" spans="1:25" s="183" customFormat="1" ht="22.5" customHeight="1" thickTop="1" thickBot="1" x14ac:dyDescent="0.3">
      <c r="A246" s="632" t="s">
        <v>1377</v>
      </c>
      <c r="B246" s="626" t="s">
        <v>1394</v>
      </c>
      <c r="C246" s="626" t="s">
        <v>1422</v>
      </c>
      <c r="D246" s="626" t="s">
        <v>1381</v>
      </c>
      <c r="E246" s="627" t="s">
        <v>1418</v>
      </c>
      <c r="F246" s="626"/>
      <c r="G246" s="626"/>
      <c r="H246" s="628"/>
      <c r="I246" s="628"/>
      <c r="J246" s="629" t="s">
        <v>1619</v>
      </c>
      <c r="K246" s="651"/>
      <c r="L246" s="651"/>
      <c r="M246" s="651"/>
      <c r="N246" s="651"/>
      <c r="O246" s="651"/>
      <c r="P246" s="651"/>
      <c r="Q246" s="651"/>
      <c r="R246" s="651"/>
      <c r="S246" s="651"/>
      <c r="T246" s="651"/>
      <c r="U246" s="631"/>
      <c r="V246" s="632"/>
      <c r="W246" s="633" t="s">
        <v>1620</v>
      </c>
      <c r="X246" s="633"/>
      <c r="Y246" s="604" t="s">
        <v>1379</v>
      </c>
    </row>
    <row r="247" spans="1:25" s="183" customFormat="1" ht="22.5" customHeight="1" thickTop="1" thickBot="1" x14ac:dyDescent="0.3">
      <c r="A247" s="619" t="s">
        <v>1377</v>
      </c>
      <c r="B247" s="620" t="s">
        <v>1394</v>
      </c>
      <c r="C247" s="620" t="s">
        <v>1422</v>
      </c>
      <c r="D247" s="620" t="s">
        <v>1394</v>
      </c>
      <c r="E247" s="620"/>
      <c r="F247" s="620"/>
      <c r="G247" s="620"/>
      <c r="H247" s="621"/>
      <c r="I247" s="621"/>
      <c r="J247" s="622" t="s">
        <v>1621</v>
      </c>
      <c r="K247" s="648"/>
      <c r="L247" s="648"/>
      <c r="M247" s="648"/>
      <c r="N247" s="648"/>
      <c r="O247" s="648"/>
      <c r="P247" s="648"/>
      <c r="Q247" s="648"/>
      <c r="R247" s="648"/>
      <c r="S247" s="648"/>
      <c r="T247" s="648"/>
      <c r="U247" s="624"/>
      <c r="V247" s="620"/>
      <c r="W247" s="625" t="s">
        <v>1622</v>
      </c>
      <c r="X247" s="625" t="s">
        <v>1623</v>
      </c>
      <c r="Y247" s="604" t="s">
        <v>1379</v>
      </c>
    </row>
    <row r="248" spans="1:25" s="183" customFormat="1" ht="22.5" customHeight="1" thickTop="1" thickBot="1" x14ac:dyDescent="0.3">
      <c r="A248" s="632" t="s">
        <v>1377</v>
      </c>
      <c r="B248" s="626" t="s">
        <v>1394</v>
      </c>
      <c r="C248" s="626" t="s">
        <v>1422</v>
      </c>
      <c r="D248" s="626" t="s">
        <v>1394</v>
      </c>
      <c r="E248" s="627" t="s">
        <v>1381</v>
      </c>
      <c r="F248" s="627"/>
      <c r="G248" s="626"/>
      <c r="H248" s="628"/>
      <c r="I248" s="628"/>
      <c r="J248" s="629" t="s">
        <v>1624</v>
      </c>
      <c r="K248" s="654"/>
      <c r="L248" s="654"/>
      <c r="M248" s="654"/>
      <c r="N248" s="654"/>
      <c r="O248" s="654"/>
      <c r="P248" s="654"/>
      <c r="Q248" s="654"/>
      <c r="R248" s="654"/>
      <c r="S248" s="654"/>
      <c r="T248" s="654"/>
      <c r="U248" s="655"/>
      <c r="V248" s="626"/>
      <c r="W248" s="633" t="s">
        <v>1625</v>
      </c>
      <c r="X248" s="633"/>
      <c r="Y248" s="604" t="s">
        <v>1379</v>
      </c>
    </row>
    <row r="249" spans="1:25" ht="22.5" customHeight="1" thickTop="1" thickBot="1" x14ac:dyDescent="0.3">
      <c r="A249" s="638" t="s">
        <v>1377</v>
      </c>
      <c r="B249" s="628" t="s">
        <v>1394</v>
      </c>
      <c r="C249" s="628" t="s">
        <v>1422</v>
      </c>
      <c r="D249" s="628" t="s">
        <v>1394</v>
      </c>
      <c r="E249" s="634" t="s">
        <v>1381</v>
      </c>
      <c r="F249" s="627" t="s">
        <v>1381</v>
      </c>
      <c r="G249" s="628"/>
      <c r="H249" s="628"/>
      <c r="I249" s="628"/>
      <c r="J249" s="635" t="s">
        <v>1626</v>
      </c>
      <c r="K249" s="656"/>
      <c r="L249" s="656"/>
      <c r="M249" s="656"/>
      <c r="N249" s="656"/>
      <c r="O249" s="656"/>
      <c r="P249" s="656"/>
      <c r="Q249" s="656"/>
      <c r="R249" s="656"/>
      <c r="S249" s="656"/>
      <c r="T249" s="656"/>
      <c r="U249" s="657"/>
      <c r="V249" s="628"/>
      <c r="W249" s="639" t="s">
        <v>1627</v>
      </c>
      <c r="X249" s="639"/>
      <c r="Y249" s="604" t="s">
        <v>1379</v>
      </c>
    </row>
    <row r="250" spans="1:25" ht="22.5" customHeight="1" thickTop="1" thickBot="1" x14ac:dyDescent="0.3">
      <c r="A250" s="638" t="s">
        <v>1377</v>
      </c>
      <c r="B250" s="628" t="s">
        <v>1394</v>
      </c>
      <c r="C250" s="628" t="s">
        <v>1422</v>
      </c>
      <c r="D250" s="628" t="s">
        <v>1394</v>
      </c>
      <c r="E250" s="634" t="s">
        <v>1381</v>
      </c>
      <c r="F250" s="627" t="s">
        <v>1394</v>
      </c>
      <c r="G250" s="628"/>
      <c r="H250" s="628"/>
      <c r="I250" s="628"/>
      <c r="J250" s="635" t="s">
        <v>1628</v>
      </c>
      <c r="K250" s="656"/>
      <c r="L250" s="656"/>
      <c r="M250" s="656"/>
      <c r="N250" s="656"/>
      <c r="O250" s="656"/>
      <c r="P250" s="656"/>
      <c r="Q250" s="656"/>
      <c r="R250" s="656"/>
      <c r="S250" s="656"/>
      <c r="T250" s="656"/>
      <c r="U250" s="657"/>
      <c r="V250" s="628"/>
      <c r="W250" s="639" t="s">
        <v>1629</v>
      </c>
      <c r="X250" s="639"/>
      <c r="Y250" s="604" t="s">
        <v>1379</v>
      </c>
    </row>
    <row r="251" spans="1:25" s="183" customFormat="1" ht="22.5" customHeight="1" thickTop="1" thickBot="1" x14ac:dyDescent="0.3">
      <c r="A251" s="632" t="s">
        <v>1377</v>
      </c>
      <c r="B251" s="626" t="s">
        <v>1394</v>
      </c>
      <c r="C251" s="626" t="s">
        <v>1422</v>
      </c>
      <c r="D251" s="626" t="s">
        <v>1394</v>
      </c>
      <c r="E251" s="627" t="s">
        <v>1394</v>
      </c>
      <c r="F251" s="626"/>
      <c r="G251" s="626"/>
      <c r="H251" s="628"/>
      <c r="I251" s="628"/>
      <c r="J251" s="629" t="s">
        <v>1630</v>
      </c>
      <c r="K251" s="654"/>
      <c r="L251" s="654"/>
      <c r="M251" s="654"/>
      <c r="N251" s="654"/>
      <c r="O251" s="654"/>
      <c r="P251" s="654"/>
      <c r="Q251" s="654"/>
      <c r="R251" s="654"/>
      <c r="S251" s="654"/>
      <c r="T251" s="654"/>
      <c r="U251" s="655"/>
      <c r="V251" s="626"/>
      <c r="W251" s="633" t="s">
        <v>1631</v>
      </c>
      <c r="X251" s="633"/>
      <c r="Y251" s="604" t="s">
        <v>1379</v>
      </c>
    </row>
    <row r="252" spans="1:25" s="183" customFormat="1" ht="22.5" customHeight="1" thickTop="1" thickBot="1" x14ac:dyDescent="0.3">
      <c r="A252" s="632" t="s">
        <v>1377</v>
      </c>
      <c r="B252" s="626" t="s">
        <v>1394</v>
      </c>
      <c r="C252" s="626" t="s">
        <v>1422</v>
      </c>
      <c r="D252" s="626" t="s">
        <v>1394</v>
      </c>
      <c r="E252" s="627" t="s">
        <v>1418</v>
      </c>
      <c r="F252" s="626"/>
      <c r="G252" s="626"/>
      <c r="H252" s="628"/>
      <c r="I252" s="628"/>
      <c r="J252" s="629" t="s">
        <v>1632</v>
      </c>
      <c r="K252" s="654"/>
      <c r="L252" s="654"/>
      <c r="M252" s="654"/>
      <c r="N252" s="654"/>
      <c r="O252" s="654"/>
      <c r="P252" s="654"/>
      <c r="Q252" s="654"/>
      <c r="R252" s="654"/>
      <c r="S252" s="654"/>
      <c r="T252" s="654"/>
      <c r="U252" s="655"/>
      <c r="V252" s="626"/>
      <c r="W252" s="633" t="s">
        <v>1633</v>
      </c>
      <c r="X252" s="633"/>
      <c r="Y252" s="604" t="s">
        <v>1379</v>
      </c>
    </row>
    <row r="253" spans="1:25" s="183" customFormat="1" ht="22.5" customHeight="1" thickTop="1" thickBot="1" x14ac:dyDescent="0.3">
      <c r="A253" s="619" t="s">
        <v>1377</v>
      </c>
      <c r="B253" s="620" t="s">
        <v>1394</v>
      </c>
      <c r="C253" s="620" t="s">
        <v>1422</v>
      </c>
      <c r="D253" s="620" t="s">
        <v>1418</v>
      </c>
      <c r="E253" s="620"/>
      <c r="F253" s="620"/>
      <c r="G253" s="620"/>
      <c r="H253" s="621"/>
      <c r="I253" s="621"/>
      <c r="J253" s="622" t="s">
        <v>1592</v>
      </c>
      <c r="K253" s="658"/>
      <c r="L253" s="658"/>
      <c r="M253" s="658"/>
      <c r="N253" s="658"/>
      <c r="O253" s="658"/>
      <c r="P253" s="658"/>
      <c r="Q253" s="658"/>
      <c r="R253" s="658"/>
      <c r="S253" s="658"/>
      <c r="T253" s="658"/>
      <c r="U253" s="659"/>
      <c r="V253" s="620"/>
      <c r="W253" s="625" t="s">
        <v>1634</v>
      </c>
      <c r="X253" s="625" t="s">
        <v>1594</v>
      </c>
      <c r="Y253" s="604" t="s">
        <v>1379</v>
      </c>
    </row>
    <row r="254" spans="1:25" s="183" customFormat="1" ht="22.5" customHeight="1" thickTop="1" thickBot="1" x14ac:dyDescent="0.3">
      <c r="A254" s="612" t="s">
        <v>1377</v>
      </c>
      <c r="B254" s="613" t="s">
        <v>1394</v>
      </c>
      <c r="C254" s="613" t="s">
        <v>1447</v>
      </c>
      <c r="D254" s="613"/>
      <c r="E254" s="613"/>
      <c r="F254" s="613"/>
      <c r="G254" s="613"/>
      <c r="H254" s="614"/>
      <c r="I254" s="614"/>
      <c r="J254" s="660" t="s">
        <v>1635</v>
      </c>
      <c r="K254" s="661"/>
      <c r="L254" s="661"/>
      <c r="M254" s="661"/>
      <c r="N254" s="661"/>
      <c r="O254" s="661"/>
      <c r="P254" s="661"/>
      <c r="Q254" s="661"/>
      <c r="R254" s="661"/>
      <c r="S254" s="661"/>
      <c r="T254" s="661"/>
      <c r="U254" s="662"/>
      <c r="V254" s="613"/>
      <c r="W254" s="613" t="s">
        <v>1636</v>
      </c>
      <c r="X254" s="613"/>
      <c r="Y254" s="604" t="s">
        <v>1379</v>
      </c>
    </row>
    <row r="255" spans="1:25" s="183" customFormat="1" ht="22.5" customHeight="1" thickTop="1" thickBot="1" x14ac:dyDescent="0.3">
      <c r="A255" s="619" t="s">
        <v>1377</v>
      </c>
      <c r="B255" s="620" t="s">
        <v>1394</v>
      </c>
      <c r="C255" s="620" t="s">
        <v>1447</v>
      </c>
      <c r="D255" s="620" t="s">
        <v>1381</v>
      </c>
      <c r="E255" s="620"/>
      <c r="F255" s="620"/>
      <c r="G255" s="620"/>
      <c r="H255" s="621"/>
      <c r="I255" s="621"/>
      <c r="J255" s="622" t="s">
        <v>1298</v>
      </c>
      <c r="K255" s="658"/>
      <c r="L255" s="658"/>
      <c r="M255" s="658"/>
      <c r="N255" s="658"/>
      <c r="O255" s="658"/>
      <c r="P255" s="658"/>
      <c r="Q255" s="658"/>
      <c r="R255" s="658"/>
      <c r="S255" s="658"/>
      <c r="T255" s="658"/>
      <c r="U255" s="659"/>
      <c r="V255" s="620"/>
      <c r="W255" s="625"/>
      <c r="X255" s="625"/>
      <c r="Y255" s="604"/>
    </row>
    <row r="256" spans="1:25" s="666" customFormat="1" ht="22.5" customHeight="1" thickTop="1" thickBot="1" x14ac:dyDescent="0.3">
      <c r="A256" s="638" t="s">
        <v>1377</v>
      </c>
      <c r="B256" s="634" t="s">
        <v>1394</v>
      </c>
      <c r="C256" s="634" t="s">
        <v>1447</v>
      </c>
      <c r="D256" s="634" t="s">
        <v>1381</v>
      </c>
      <c r="E256" s="627" t="s">
        <v>1381</v>
      </c>
      <c r="F256" s="634"/>
      <c r="G256" s="634"/>
      <c r="H256" s="634"/>
      <c r="I256" s="634"/>
      <c r="J256" s="635" t="s">
        <v>1637</v>
      </c>
      <c r="K256" s="663"/>
      <c r="L256" s="663"/>
      <c r="M256" s="663"/>
      <c r="N256" s="663"/>
      <c r="O256" s="663"/>
      <c r="P256" s="663"/>
      <c r="Q256" s="663"/>
      <c r="R256" s="663"/>
      <c r="S256" s="663"/>
      <c r="T256" s="663"/>
      <c r="U256" s="664"/>
      <c r="V256" s="634"/>
      <c r="W256" s="665"/>
      <c r="X256" s="665"/>
      <c r="Y256" s="647"/>
    </row>
    <row r="257" spans="1:25" s="666" customFormat="1" ht="22.5" customHeight="1" thickTop="1" thickBot="1" x14ac:dyDescent="0.3">
      <c r="A257" s="638" t="s">
        <v>1377</v>
      </c>
      <c r="B257" s="634" t="s">
        <v>1394</v>
      </c>
      <c r="C257" s="634" t="s">
        <v>1447</v>
      </c>
      <c r="D257" s="634" t="s">
        <v>1381</v>
      </c>
      <c r="E257" s="627" t="s">
        <v>1394</v>
      </c>
      <c r="F257" s="634"/>
      <c r="G257" s="634"/>
      <c r="H257" s="634"/>
      <c r="I257" s="634"/>
      <c r="J257" s="635" t="s">
        <v>1638</v>
      </c>
      <c r="K257" s="663"/>
      <c r="L257" s="663"/>
      <c r="M257" s="663"/>
      <c r="N257" s="663"/>
      <c r="O257" s="663"/>
      <c r="P257" s="663"/>
      <c r="Q257" s="663"/>
      <c r="R257" s="663"/>
      <c r="S257" s="663"/>
      <c r="T257" s="663"/>
      <c r="U257" s="664"/>
      <c r="V257" s="634"/>
      <c r="W257" s="665"/>
      <c r="X257" s="665"/>
      <c r="Y257" s="647"/>
    </row>
    <row r="258" spans="1:25" s="666" customFormat="1" ht="22.5" customHeight="1" thickTop="1" thickBot="1" x14ac:dyDescent="0.3">
      <c r="A258" s="638" t="s">
        <v>1377</v>
      </c>
      <c r="B258" s="634" t="s">
        <v>1394</v>
      </c>
      <c r="C258" s="634" t="s">
        <v>1447</v>
      </c>
      <c r="D258" s="634" t="s">
        <v>1381</v>
      </c>
      <c r="E258" s="627" t="s">
        <v>1418</v>
      </c>
      <c r="F258" s="634"/>
      <c r="G258" s="634"/>
      <c r="H258" s="634"/>
      <c r="I258" s="634"/>
      <c r="J258" s="644" t="s">
        <v>1639</v>
      </c>
      <c r="K258" s="663"/>
      <c r="L258" s="663"/>
      <c r="M258" s="663"/>
      <c r="N258" s="663"/>
      <c r="O258" s="663"/>
      <c r="P258" s="663"/>
      <c r="Q258" s="663"/>
      <c r="R258" s="663"/>
      <c r="S258" s="663"/>
      <c r="T258" s="663"/>
      <c r="U258" s="664"/>
      <c r="V258" s="634"/>
      <c r="W258" s="665"/>
      <c r="X258" s="665"/>
      <c r="Y258" s="647"/>
    </row>
    <row r="259" spans="1:25" s="183" customFormat="1" ht="22.5" customHeight="1" thickTop="1" thickBot="1" x14ac:dyDescent="0.3">
      <c r="A259" s="619" t="s">
        <v>1377</v>
      </c>
      <c r="B259" s="620" t="s">
        <v>1394</v>
      </c>
      <c r="C259" s="620" t="s">
        <v>1447</v>
      </c>
      <c r="D259" s="620" t="s">
        <v>1394</v>
      </c>
      <c r="E259" s="620"/>
      <c r="F259" s="620"/>
      <c r="G259" s="620"/>
      <c r="H259" s="621"/>
      <c r="I259" s="621"/>
      <c r="J259" s="622" t="s">
        <v>1526</v>
      </c>
      <c r="K259" s="658"/>
      <c r="L259" s="658"/>
      <c r="M259" s="658"/>
      <c r="N259" s="658"/>
      <c r="O259" s="658"/>
      <c r="P259" s="658"/>
      <c r="Q259" s="658"/>
      <c r="R259" s="658"/>
      <c r="S259" s="658"/>
      <c r="T259" s="658"/>
      <c r="U259" s="659"/>
      <c r="V259" s="620"/>
      <c r="W259" s="625"/>
      <c r="X259" s="625"/>
      <c r="Y259" s="604" t="s">
        <v>1379</v>
      </c>
    </row>
    <row r="260" spans="1:25" s="183" customFormat="1" ht="22.5" customHeight="1" thickTop="1" thickBot="1" x14ac:dyDescent="0.3">
      <c r="A260" s="632" t="s">
        <v>1377</v>
      </c>
      <c r="B260" s="626" t="s">
        <v>1394</v>
      </c>
      <c r="C260" s="626" t="s">
        <v>1447</v>
      </c>
      <c r="D260" s="626" t="s">
        <v>1394</v>
      </c>
      <c r="E260" s="627" t="s">
        <v>1381</v>
      </c>
      <c r="F260" s="626"/>
      <c r="G260" s="626"/>
      <c r="H260" s="628"/>
      <c r="I260" s="628"/>
      <c r="J260" s="629" t="s">
        <v>1640</v>
      </c>
      <c r="K260" s="654"/>
      <c r="L260" s="654"/>
      <c r="M260" s="654"/>
      <c r="N260" s="654"/>
      <c r="O260" s="654"/>
      <c r="P260" s="654"/>
      <c r="Q260" s="654"/>
      <c r="R260" s="654"/>
      <c r="S260" s="654"/>
      <c r="T260" s="654"/>
      <c r="U260" s="655"/>
      <c r="V260" s="626"/>
      <c r="W260" s="633"/>
      <c r="X260" s="633"/>
      <c r="Y260" s="604" t="s">
        <v>1379</v>
      </c>
    </row>
    <row r="261" spans="1:25" s="183" customFormat="1" ht="22.5" customHeight="1" thickTop="1" thickBot="1" x14ac:dyDescent="0.3">
      <c r="A261" s="619" t="s">
        <v>1377</v>
      </c>
      <c r="B261" s="620" t="s">
        <v>1394</v>
      </c>
      <c r="C261" s="620" t="s">
        <v>1447</v>
      </c>
      <c r="D261" s="620" t="s">
        <v>1418</v>
      </c>
      <c r="E261" s="620"/>
      <c r="F261" s="620"/>
      <c r="G261" s="620"/>
      <c r="H261" s="621"/>
      <c r="I261" s="621"/>
      <c r="J261" s="622" t="s">
        <v>1641</v>
      </c>
      <c r="K261" s="658"/>
      <c r="L261" s="658"/>
      <c r="M261" s="658"/>
      <c r="N261" s="658"/>
      <c r="O261" s="658"/>
      <c r="P261" s="658"/>
      <c r="Q261" s="658"/>
      <c r="R261" s="658"/>
      <c r="S261" s="658"/>
      <c r="T261" s="658"/>
      <c r="U261" s="659"/>
      <c r="V261" s="620"/>
      <c r="W261" s="625"/>
      <c r="X261" s="625"/>
      <c r="Y261" s="604" t="s">
        <v>1379</v>
      </c>
    </row>
    <row r="262" spans="1:25" s="183" customFormat="1" ht="22.5" customHeight="1" thickTop="1" thickBot="1" x14ac:dyDescent="0.3">
      <c r="A262" s="619" t="s">
        <v>1377</v>
      </c>
      <c r="B262" s="620" t="s">
        <v>1394</v>
      </c>
      <c r="C262" s="620" t="s">
        <v>1447</v>
      </c>
      <c r="D262" s="620" t="s">
        <v>1422</v>
      </c>
      <c r="E262" s="620"/>
      <c r="F262" s="620"/>
      <c r="G262" s="620"/>
      <c r="H262" s="621"/>
      <c r="I262" s="621"/>
      <c r="J262" s="622" t="s">
        <v>1642</v>
      </c>
      <c r="K262" s="658"/>
      <c r="L262" s="658"/>
      <c r="M262" s="658"/>
      <c r="N262" s="658"/>
      <c r="O262" s="658"/>
      <c r="P262" s="658"/>
      <c r="Q262" s="658"/>
      <c r="R262" s="658"/>
      <c r="S262" s="658"/>
      <c r="T262" s="658"/>
      <c r="U262" s="659"/>
      <c r="V262" s="620"/>
      <c r="W262" s="625"/>
      <c r="X262" s="625"/>
      <c r="Y262" s="604" t="s">
        <v>1379</v>
      </c>
    </row>
    <row r="263" spans="1:25" s="183" customFormat="1" ht="22.5" customHeight="1" thickTop="1" thickBot="1" x14ac:dyDescent="0.3">
      <c r="A263" s="619" t="s">
        <v>1377</v>
      </c>
      <c r="B263" s="620" t="s">
        <v>1394</v>
      </c>
      <c r="C263" s="620" t="s">
        <v>1447</v>
      </c>
      <c r="D263" s="620" t="s">
        <v>1447</v>
      </c>
      <c r="E263" s="620"/>
      <c r="F263" s="620"/>
      <c r="G263" s="620"/>
      <c r="H263" s="621"/>
      <c r="I263" s="621"/>
      <c r="J263" s="622" t="s">
        <v>1643</v>
      </c>
      <c r="K263" s="658"/>
      <c r="L263" s="658"/>
      <c r="M263" s="658"/>
      <c r="N263" s="658"/>
      <c r="O263" s="658"/>
      <c r="P263" s="658"/>
      <c r="Q263" s="658"/>
      <c r="R263" s="658"/>
      <c r="S263" s="658"/>
      <c r="T263" s="658"/>
      <c r="U263" s="659"/>
      <c r="V263" s="620"/>
      <c r="W263" s="625"/>
      <c r="X263" s="625"/>
      <c r="Y263" s="604" t="s">
        <v>1379</v>
      </c>
    </row>
    <row r="264" spans="1:25" s="183" customFormat="1" ht="22.5" customHeight="1" thickTop="1" thickBot="1" x14ac:dyDescent="0.3">
      <c r="A264" s="632" t="s">
        <v>1377</v>
      </c>
      <c r="B264" s="626" t="s">
        <v>1394</v>
      </c>
      <c r="C264" s="626" t="s">
        <v>1447</v>
      </c>
      <c r="D264" s="626" t="s">
        <v>1447</v>
      </c>
      <c r="E264" s="627" t="s">
        <v>1381</v>
      </c>
      <c r="F264" s="626"/>
      <c r="G264" s="626"/>
      <c r="H264" s="628"/>
      <c r="I264" s="628"/>
      <c r="J264" s="629" t="s">
        <v>1644</v>
      </c>
      <c r="K264" s="654"/>
      <c r="L264" s="654"/>
      <c r="M264" s="654"/>
      <c r="N264" s="654"/>
      <c r="O264" s="654"/>
      <c r="P264" s="654"/>
      <c r="Q264" s="654"/>
      <c r="R264" s="654"/>
      <c r="S264" s="654"/>
      <c r="T264" s="654"/>
      <c r="U264" s="655"/>
      <c r="V264" s="626"/>
      <c r="W264" s="633"/>
      <c r="X264" s="633"/>
      <c r="Y264" s="604" t="s">
        <v>1379</v>
      </c>
    </row>
    <row r="265" spans="1:25" s="183" customFormat="1" ht="22.5" customHeight="1" thickTop="1" thickBot="1" x14ac:dyDescent="0.3">
      <c r="A265" s="632" t="s">
        <v>1377</v>
      </c>
      <c r="B265" s="626" t="s">
        <v>1394</v>
      </c>
      <c r="C265" s="626" t="s">
        <v>1447</v>
      </c>
      <c r="D265" s="626" t="s">
        <v>1447</v>
      </c>
      <c r="E265" s="627" t="s">
        <v>1394</v>
      </c>
      <c r="F265" s="626"/>
      <c r="G265" s="626"/>
      <c r="H265" s="628"/>
      <c r="I265" s="628"/>
      <c r="J265" s="629" t="s">
        <v>1645</v>
      </c>
      <c r="K265" s="654"/>
      <c r="L265" s="654"/>
      <c r="M265" s="654"/>
      <c r="N265" s="654"/>
      <c r="O265" s="654"/>
      <c r="P265" s="654"/>
      <c r="Q265" s="654"/>
      <c r="R265" s="654"/>
      <c r="S265" s="654"/>
      <c r="T265" s="654"/>
      <c r="U265" s="655"/>
      <c r="V265" s="632"/>
      <c r="W265" s="633"/>
      <c r="X265" s="633"/>
      <c r="Y265" s="604" t="s">
        <v>1379</v>
      </c>
    </row>
    <row r="266" spans="1:25" s="183" customFormat="1" ht="22.5" customHeight="1" thickTop="1" thickBot="1" x14ac:dyDescent="0.3">
      <c r="A266" s="619" t="s">
        <v>1377</v>
      </c>
      <c r="B266" s="620" t="s">
        <v>1394</v>
      </c>
      <c r="C266" s="620" t="s">
        <v>1447</v>
      </c>
      <c r="D266" s="620" t="s">
        <v>1470</v>
      </c>
      <c r="E266" s="620"/>
      <c r="F266" s="620"/>
      <c r="G266" s="620"/>
      <c r="H266" s="621"/>
      <c r="I266" s="621"/>
      <c r="J266" s="622" t="s">
        <v>1646</v>
      </c>
      <c r="K266" s="658"/>
      <c r="L266" s="658"/>
      <c r="M266" s="658"/>
      <c r="N266" s="658"/>
      <c r="O266" s="658"/>
      <c r="P266" s="658"/>
      <c r="Q266" s="658"/>
      <c r="R266" s="658"/>
      <c r="S266" s="658"/>
      <c r="T266" s="658"/>
      <c r="U266" s="659"/>
      <c r="V266" s="620"/>
      <c r="W266" s="625"/>
      <c r="X266" s="625"/>
      <c r="Y266" s="604" t="s">
        <v>1379</v>
      </c>
    </row>
    <row r="267" spans="1:25" s="183" customFormat="1" ht="22.5" customHeight="1" thickTop="1" thickBot="1" x14ac:dyDescent="0.3">
      <c r="A267" s="619" t="s">
        <v>1377</v>
      </c>
      <c r="B267" s="620" t="s">
        <v>1394</v>
      </c>
      <c r="C267" s="620" t="s">
        <v>1447</v>
      </c>
      <c r="D267" s="620" t="s">
        <v>1474</v>
      </c>
      <c r="E267" s="620"/>
      <c r="F267" s="620"/>
      <c r="G267" s="620"/>
      <c r="H267" s="621"/>
      <c r="I267" s="621"/>
      <c r="J267" s="622" t="s">
        <v>1647</v>
      </c>
      <c r="K267" s="658"/>
      <c r="L267" s="658"/>
      <c r="M267" s="658"/>
      <c r="N267" s="658"/>
      <c r="O267" s="658"/>
      <c r="P267" s="658"/>
      <c r="Q267" s="658"/>
      <c r="R267" s="658"/>
      <c r="S267" s="658"/>
      <c r="T267" s="658"/>
      <c r="U267" s="659"/>
      <c r="V267" s="620"/>
      <c r="W267" s="625"/>
      <c r="X267" s="625"/>
      <c r="Y267" s="604" t="s">
        <v>1379</v>
      </c>
    </row>
    <row r="268" spans="1:25" s="183" customFormat="1" ht="22.5" customHeight="1" thickTop="1" thickBot="1" x14ac:dyDescent="0.3">
      <c r="A268" s="619" t="s">
        <v>1377</v>
      </c>
      <c r="B268" s="620" t="s">
        <v>1394</v>
      </c>
      <c r="C268" s="620" t="s">
        <v>1447</v>
      </c>
      <c r="D268" s="620" t="s">
        <v>1478</v>
      </c>
      <c r="E268" s="620"/>
      <c r="F268" s="620"/>
      <c r="G268" s="620"/>
      <c r="H268" s="621"/>
      <c r="I268" s="621"/>
      <c r="J268" s="622" t="s">
        <v>1648</v>
      </c>
      <c r="K268" s="658"/>
      <c r="L268" s="658"/>
      <c r="M268" s="658"/>
      <c r="N268" s="658"/>
      <c r="O268" s="658"/>
      <c r="P268" s="658"/>
      <c r="Q268" s="658"/>
      <c r="R268" s="658"/>
      <c r="S268" s="658"/>
      <c r="T268" s="658"/>
      <c r="U268" s="659"/>
      <c r="V268" s="620"/>
      <c r="W268" s="625"/>
      <c r="X268" s="625"/>
      <c r="Y268" s="604" t="s">
        <v>1379</v>
      </c>
    </row>
    <row r="269" spans="1:25" s="183" customFormat="1" ht="22.5" customHeight="1" thickTop="1" thickBot="1" x14ac:dyDescent="0.3">
      <c r="A269" s="619" t="s">
        <v>1377</v>
      </c>
      <c r="B269" s="620" t="s">
        <v>1394</v>
      </c>
      <c r="C269" s="620" t="s">
        <v>1447</v>
      </c>
      <c r="D269" s="620" t="s">
        <v>1576</v>
      </c>
      <c r="E269" s="620"/>
      <c r="F269" s="620"/>
      <c r="G269" s="620"/>
      <c r="H269" s="621"/>
      <c r="I269" s="621"/>
      <c r="J269" s="622" t="s">
        <v>1649</v>
      </c>
      <c r="K269" s="658"/>
      <c r="L269" s="658"/>
      <c r="M269" s="658"/>
      <c r="N269" s="658"/>
      <c r="O269" s="658"/>
      <c r="P269" s="658"/>
      <c r="Q269" s="658"/>
      <c r="R269" s="658"/>
      <c r="S269" s="658"/>
      <c r="T269" s="658"/>
      <c r="U269" s="659"/>
      <c r="V269" s="620"/>
      <c r="W269" s="625"/>
      <c r="X269" s="625"/>
      <c r="Y269" s="604" t="s">
        <v>1379</v>
      </c>
    </row>
    <row r="270" spans="1:25" s="183" customFormat="1" ht="22.5" customHeight="1" thickTop="1" thickBot="1" x14ac:dyDescent="0.3">
      <c r="A270" s="619" t="s">
        <v>1377</v>
      </c>
      <c r="B270" s="620" t="s">
        <v>1394</v>
      </c>
      <c r="C270" s="620" t="s">
        <v>1447</v>
      </c>
      <c r="D270" s="620" t="s">
        <v>1577</v>
      </c>
      <c r="E270" s="620"/>
      <c r="F270" s="620"/>
      <c r="G270" s="620"/>
      <c r="H270" s="621"/>
      <c r="I270" s="621"/>
      <c r="J270" s="622" t="s">
        <v>1650</v>
      </c>
      <c r="K270" s="658"/>
      <c r="L270" s="658"/>
      <c r="M270" s="658"/>
      <c r="N270" s="658"/>
      <c r="O270" s="658"/>
      <c r="P270" s="658"/>
      <c r="Q270" s="658"/>
      <c r="R270" s="658"/>
      <c r="S270" s="658"/>
      <c r="T270" s="658"/>
      <c r="U270" s="659"/>
      <c r="V270" s="620"/>
      <c r="W270" s="625"/>
      <c r="X270" s="625"/>
      <c r="Y270" s="604" t="s">
        <v>1379</v>
      </c>
    </row>
    <row r="271" spans="1:25" s="183" customFormat="1" ht="22.5" customHeight="1" thickTop="1" thickBot="1" x14ac:dyDescent="0.3">
      <c r="A271" s="619" t="s">
        <v>1377</v>
      </c>
      <c r="B271" s="620" t="s">
        <v>1394</v>
      </c>
      <c r="C271" s="620" t="s">
        <v>1447</v>
      </c>
      <c r="D271" s="620" t="s">
        <v>1578</v>
      </c>
      <c r="E271" s="620"/>
      <c r="F271" s="620"/>
      <c r="G271" s="620"/>
      <c r="H271" s="621"/>
      <c r="I271" s="621"/>
      <c r="J271" s="622" t="s">
        <v>1651</v>
      </c>
      <c r="K271" s="658"/>
      <c r="L271" s="658"/>
      <c r="M271" s="658"/>
      <c r="N271" s="658"/>
      <c r="O271" s="658"/>
      <c r="P271" s="658"/>
      <c r="Q271" s="658"/>
      <c r="R271" s="658"/>
      <c r="S271" s="658"/>
      <c r="T271" s="658"/>
      <c r="U271" s="659"/>
      <c r="V271" s="620"/>
      <c r="W271" s="625" t="s">
        <v>1652</v>
      </c>
      <c r="X271" s="625"/>
      <c r="Y271" s="604" t="s">
        <v>1379</v>
      </c>
    </row>
    <row r="272" spans="1:25" s="183" customFormat="1" ht="22.5" customHeight="1" thickTop="1" thickBot="1" x14ac:dyDescent="0.3">
      <c r="A272" s="619" t="s">
        <v>1377</v>
      </c>
      <c r="B272" s="620" t="s">
        <v>1394</v>
      </c>
      <c r="C272" s="620" t="s">
        <v>1447</v>
      </c>
      <c r="D272" s="620" t="s">
        <v>1579</v>
      </c>
      <c r="E272" s="620"/>
      <c r="F272" s="620"/>
      <c r="G272" s="620"/>
      <c r="H272" s="621"/>
      <c r="I272" s="621"/>
      <c r="J272" s="622" t="s">
        <v>1300</v>
      </c>
      <c r="K272" s="658"/>
      <c r="L272" s="658"/>
      <c r="M272" s="658"/>
      <c r="N272" s="658"/>
      <c r="O272" s="658"/>
      <c r="P272" s="658"/>
      <c r="Q272" s="658"/>
      <c r="R272" s="658"/>
      <c r="S272" s="658"/>
      <c r="T272" s="658"/>
      <c r="U272" s="659"/>
      <c r="V272" s="620"/>
      <c r="W272" s="625" t="s">
        <v>1653</v>
      </c>
      <c r="X272" s="625"/>
      <c r="Y272" s="604" t="s">
        <v>1379</v>
      </c>
    </row>
    <row r="273" spans="1:25" s="183" customFormat="1" ht="22.5" customHeight="1" thickTop="1" thickBot="1" x14ac:dyDescent="0.3">
      <c r="A273" s="632" t="s">
        <v>1377</v>
      </c>
      <c r="B273" s="626" t="s">
        <v>1394</v>
      </c>
      <c r="C273" s="626" t="s">
        <v>1447</v>
      </c>
      <c r="D273" s="626" t="s">
        <v>1579</v>
      </c>
      <c r="E273" s="627" t="s">
        <v>1381</v>
      </c>
      <c r="F273" s="626"/>
      <c r="G273" s="626"/>
      <c r="H273" s="628"/>
      <c r="I273" s="628"/>
      <c r="J273" s="629" t="s">
        <v>1654</v>
      </c>
      <c r="K273" s="654"/>
      <c r="L273" s="654"/>
      <c r="M273" s="654"/>
      <c r="N273" s="654"/>
      <c r="O273" s="654"/>
      <c r="P273" s="654"/>
      <c r="Q273" s="654"/>
      <c r="R273" s="654"/>
      <c r="S273" s="654"/>
      <c r="T273" s="654"/>
      <c r="U273" s="655"/>
      <c r="V273" s="632"/>
      <c r="W273" s="633" t="s">
        <v>1655</v>
      </c>
      <c r="X273" s="633"/>
      <c r="Y273" s="604" t="s">
        <v>1379</v>
      </c>
    </row>
    <row r="274" spans="1:25" s="183" customFormat="1" ht="22.5" customHeight="1" thickTop="1" thickBot="1" x14ac:dyDescent="0.3">
      <c r="A274" s="632" t="s">
        <v>1377</v>
      </c>
      <c r="B274" s="626" t="s">
        <v>1394</v>
      </c>
      <c r="C274" s="626" t="s">
        <v>1447</v>
      </c>
      <c r="D274" s="626" t="s">
        <v>1579</v>
      </c>
      <c r="E274" s="627" t="s">
        <v>1394</v>
      </c>
      <c r="F274" s="626"/>
      <c r="G274" s="626"/>
      <c r="H274" s="628"/>
      <c r="I274" s="628"/>
      <c r="J274" s="629" t="s">
        <v>1656</v>
      </c>
      <c r="K274" s="654"/>
      <c r="L274" s="654"/>
      <c r="M274" s="654"/>
      <c r="N274" s="654"/>
      <c r="O274" s="654"/>
      <c r="P274" s="654"/>
      <c r="Q274" s="654"/>
      <c r="R274" s="654"/>
      <c r="S274" s="654"/>
      <c r="T274" s="654"/>
      <c r="U274" s="655"/>
      <c r="V274" s="626"/>
      <c r="W274" s="633" t="s">
        <v>1657</v>
      </c>
      <c r="X274" s="633"/>
      <c r="Y274" s="604" t="s">
        <v>1379</v>
      </c>
    </row>
    <row r="275" spans="1:25" s="183" customFormat="1" ht="22.5" customHeight="1" thickTop="1" thickBot="1" x14ac:dyDescent="0.3">
      <c r="A275" s="632" t="s">
        <v>1377</v>
      </c>
      <c r="B275" s="626" t="s">
        <v>1394</v>
      </c>
      <c r="C275" s="626" t="s">
        <v>1447</v>
      </c>
      <c r="D275" s="626" t="s">
        <v>1579</v>
      </c>
      <c r="E275" s="627" t="s">
        <v>1418</v>
      </c>
      <c r="F275" s="626"/>
      <c r="G275" s="626"/>
      <c r="H275" s="628"/>
      <c r="I275" s="628"/>
      <c r="J275" s="629" t="s">
        <v>1658</v>
      </c>
      <c r="K275" s="654"/>
      <c r="L275" s="654"/>
      <c r="M275" s="654"/>
      <c r="N275" s="654"/>
      <c r="O275" s="654"/>
      <c r="P275" s="654"/>
      <c r="Q275" s="654"/>
      <c r="R275" s="654"/>
      <c r="S275" s="654"/>
      <c r="T275" s="654"/>
      <c r="U275" s="655"/>
      <c r="V275" s="632"/>
      <c r="W275" s="633" t="s">
        <v>1659</v>
      </c>
      <c r="X275" s="633"/>
      <c r="Y275" s="604" t="s">
        <v>1379</v>
      </c>
    </row>
    <row r="276" spans="1:25" s="183" customFormat="1" ht="22.5" customHeight="1" thickTop="1" thickBot="1" x14ac:dyDescent="0.3">
      <c r="A276" s="619" t="s">
        <v>1377</v>
      </c>
      <c r="B276" s="620" t="s">
        <v>1394</v>
      </c>
      <c r="C276" s="620" t="s">
        <v>1447</v>
      </c>
      <c r="D276" s="620" t="s">
        <v>1660</v>
      </c>
      <c r="E276" s="620"/>
      <c r="F276" s="620"/>
      <c r="G276" s="620"/>
      <c r="H276" s="621"/>
      <c r="I276" s="621"/>
      <c r="J276" s="622" t="s">
        <v>1661</v>
      </c>
      <c r="K276" s="658"/>
      <c r="L276" s="658"/>
      <c r="M276" s="658"/>
      <c r="N276" s="658"/>
      <c r="O276" s="658"/>
      <c r="P276" s="658"/>
      <c r="Q276" s="658"/>
      <c r="R276" s="658"/>
      <c r="S276" s="658"/>
      <c r="T276" s="658"/>
      <c r="U276" s="659"/>
      <c r="V276" s="620"/>
      <c r="W276" s="620" t="s">
        <v>1662</v>
      </c>
      <c r="X276" s="620"/>
      <c r="Y276" s="604" t="s">
        <v>1379</v>
      </c>
    </row>
    <row r="277" spans="1:25" s="669" customFormat="1" ht="22.5" customHeight="1" thickTop="1" thickBot="1" x14ac:dyDescent="0.3">
      <c r="A277" s="632" t="s">
        <v>1377</v>
      </c>
      <c r="B277" s="627" t="s">
        <v>1394</v>
      </c>
      <c r="C277" s="627" t="s">
        <v>1447</v>
      </c>
      <c r="D277" s="627" t="s">
        <v>1660</v>
      </c>
      <c r="E277" s="627" t="s">
        <v>1381</v>
      </c>
      <c r="F277" s="627"/>
      <c r="G277" s="627"/>
      <c r="H277" s="634"/>
      <c r="I277" s="634"/>
      <c r="J277" s="641" t="s">
        <v>1663</v>
      </c>
      <c r="K277" s="667"/>
      <c r="L277" s="667"/>
      <c r="M277" s="667"/>
      <c r="N277" s="667"/>
      <c r="O277" s="667"/>
      <c r="P277" s="667"/>
      <c r="Q277" s="667"/>
      <c r="R277" s="667"/>
      <c r="S277" s="667"/>
      <c r="T277" s="667"/>
      <c r="U277" s="668"/>
      <c r="V277" s="627"/>
      <c r="W277" s="627" t="s">
        <v>1664</v>
      </c>
      <c r="X277" s="627"/>
      <c r="Y277" s="604" t="s">
        <v>1379</v>
      </c>
    </row>
    <row r="278" spans="1:25" s="180" customFormat="1" ht="22.5" customHeight="1" thickTop="1" thickBot="1" x14ac:dyDescent="0.3">
      <c r="A278" s="638" t="s">
        <v>1377</v>
      </c>
      <c r="B278" s="634" t="s">
        <v>1394</v>
      </c>
      <c r="C278" s="634" t="s">
        <v>1447</v>
      </c>
      <c r="D278" s="634" t="s">
        <v>1660</v>
      </c>
      <c r="E278" s="634" t="s">
        <v>1381</v>
      </c>
      <c r="F278" s="627" t="s">
        <v>1381</v>
      </c>
      <c r="G278" s="634"/>
      <c r="H278" s="634"/>
      <c r="I278" s="634"/>
      <c r="J278" s="644" t="s">
        <v>1665</v>
      </c>
      <c r="K278" s="667"/>
      <c r="L278" s="667"/>
      <c r="M278" s="667"/>
      <c r="N278" s="667"/>
      <c r="O278" s="667"/>
      <c r="P278" s="667"/>
      <c r="Q278" s="667"/>
      <c r="R278" s="667"/>
      <c r="S278" s="667"/>
      <c r="T278" s="667"/>
      <c r="U278" s="668"/>
      <c r="V278" s="627"/>
      <c r="W278" s="627"/>
      <c r="X278" s="627"/>
      <c r="Y278" s="604"/>
    </row>
    <row r="279" spans="1:25" s="180" customFormat="1" ht="22.5" customHeight="1" thickTop="1" thickBot="1" x14ac:dyDescent="0.3">
      <c r="A279" s="638" t="s">
        <v>1377</v>
      </c>
      <c r="B279" s="634" t="s">
        <v>1394</v>
      </c>
      <c r="C279" s="634" t="s">
        <v>1447</v>
      </c>
      <c r="D279" s="634" t="s">
        <v>1660</v>
      </c>
      <c r="E279" s="634" t="s">
        <v>1381</v>
      </c>
      <c r="F279" s="627" t="s">
        <v>1394</v>
      </c>
      <c r="G279" s="634"/>
      <c r="H279" s="634"/>
      <c r="I279" s="634"/>
      <c r="J279" s="644" t="s">
        <v>1666</v>
      </c>
      <c r="K279" s="667"/>
      <c r="L279" s="667"/>
      <c r="M279" s="667"/>
      <c r="N279" s="667"/>
      <c r="O279" s="667"/>
      <c r="P279" s="667"/>
      <c r="Q279" s="667"/>
      <c r="R279" s="667"/>
      <c r="S279" s="667"/>
      <c r="T279" s="667"/>
      <c r="U279" s="668"/>
      <c r="V279" s="627"/>
      <c r="W279" s="627"/>
      <c r="X279" s="627"/>
      <c r="Y279" s="604"/>
    </row>
    <row r="280" spans="1:25" s="669" customFormat="1" ht="22.5" customHeight="1" thickTop="1" thickBot="1" x14ac:dyDescent="0.3">
      <c r="A280" s="632" t="s">
        <v>1377</v>
      </c>
      <c r="B280" s="627" t="s">
        <v>1394</v>
      </c>
      <c r="C280" s="627" t="s">
        <v>1447</v>
      </c>
      <c r="D280" s="627" t="s">
        <v>1660</v>
      </c>
      <c r="E280" s="627" t="s">
        <v>1394</v>
      </c>
      <c r="F280" s="627"/>
      <c r="G280" s="627"/>
      <c r="H280" s="634"/>
      <c r="I280" s="634"/>
      <c r="J280" s="641" t="s">
        <v>1667</v>
      </c>
      <c r="K280" s="667"/>
      <c r="L280" s="667"/>
      <c r="M280" s="667"/>
      <c r="N280" s="667"/>
      <c r="O280" s="667"/>
      <c r="P280" s="667"/>
      <c r="Q280" s="667"/>
      <c r="R280" s="667"/>
      <c r="S280" s="667"/>
      <c r="T280" s="667"/>
      <c r="U280" s="668"/>
      <c r="V280" s="627"/>
      <c r="W280" s="627"/>
      <c r="X280" s="627"/>
      <c r="Y280" s="604" t="s">
        <v>1379</v>
      </c>
    </row>
    <row r="281" spans="1:25" s="183" customFormat="1" ht="22.5" customHeight="1" thickTop="1" thickBot="1" x14ac:dyDescent="0.3">
      <c r="A281" s="619">
        <v>1</v>
      </c>
      <c r="B281" s="620" t="s">
        <v>1394</v>
      </c>
      <c r="C281" s="620" t="s">
        <v>1447</v>
      </c>
      <c r="D281" s="620" t="s">
        <v>1668</v>
      </c>
      <c r="E281" s="620"/>
      <c r="F281" s="620"/>
      <c r="G281" s="620"/>
      <c r="H281" s="621"/>
      <c r="I281" s="621"/>
      <c r="J281" s="622" t="s">
        <v>1669</v>
      </c>
      <c r="K281" s="658"/>
      <c r="L281" s="658"/>
      <c r="M281" s="658"/>
      <c r="N281" s="658"/>
      <c r="O281" s="658"/>
      <c r="P281" s="658"/>
      <c r="Q281" s="658"/>
      <c r="R281" s="658"/>
      <c r="S281" s="658"/>
      <c r="T281" s="658"/>
      <c r="U281" s="659"/>
      <c r="V281" s="620"/>
      <c r="W281" s="620"/>
      <c r="X281" s="620"/>
      <c r="Y281" s="604"/>
    </row>
    <row r="282" spans="1:25" s="666" customFormat="1" ht="22.5" customHeight="1" thickTop="1" thickBot="1" x14ac:dyDescent="0.3">
      <c r="A282" s="638">
        <v>1</v>
      </c>
      <c r="B282" s="634" t="s">
        <v>1394</v>
      </c>
      <c r="C282" s="634" t="s">
        <v>1447</v>
      </c>
      <c r="D282" s="634" t="s">
        <v>1668</v>
      </c>
      <c r="E282" s="627" t="s">
        <v>1381</v>
      </c>
      <c r="F282" s="634"/>
      <c r="G282" s="634"/>
      <c r="H282" s="634"/>
      <c r="I282" s="634"/>
      <c r="J282" s="644" t="s">
        <v>1670</v>
      </c>
      <c r="K282" s="663"/>
      <c r="L282" s="663"/>
      <c r="M282" s="663"/>
      <c r="N282" s="663"/>
      <c r="O282" s="663"/>
      <c r="P282" s="663"/>
      <c r="Q282" s="663"/>
      <c r="R282" s="663"/>
      <c r="S282" s="663"/>
      <c r="T282" s="663"/>
      <c r="U282" s="664"/>
      <c r="V282" s="634"/>
      <c r="W282" s="634"/>
      <c r="X282" s="634"/>
      <c r="Y282" s="647"/>
    </row>
    <row r="283" spans="1:25" s="666" customFormat="1" ht="22.5" customHeight="1" thickTop="1" thickBot="1" x14ac:dyDescent="0.3">
      <c r="A283" s="638">
        <v>1</v>
      </c>
      <c r="B283" s="634" t="s">
        <v>1394</v>
      </c>
      <c r="C283" s="634" t="s">
        <v>1447</v>
      </c>
      <c r="D283" s="634" t="s">
        <v>1668</v>
      </c>
      <c r="E283" s="627" t="s">
        <v>1394</v>
      </c>
      <c r="F283" s="634"/>
      <c r="G283" s="634"/>
      <c r="H283" s="634"/>
      <c r="I283" s="634"/>
      <c r="J283" s="644" t="s">
        <v>1671</v>
      </c>
      <c r="K283" s="663"/>
      <c r="L283" s="663"/>
      <c r="M283" s="663"/>
      <c r="N283" s="663"/>
      <c r="O283" s="663"/>
      <c r="P283" s="663"/>
      <c r="Q283" s="663"/>
      <c r="R283" s="663"/>
      <c r="S283" s="663"/>
      <c r="T283" s="663"/>
      <c r="U283" s="664"/>
      <c r="V283" s="634"/>
      <c r="W283" s="634"/>
      <c r="X283" s="634"/>
      <c r="Y283" s="647"/>
    </row>
    <row r="284" spans="1:25" s="183" customFormat="1" ht="22.5" customHeight="1" thickTop="1" thickBot="1" x14ac:dyDescent="0.3">
      <c r="A284" s="612" t="s">
        <v>1377</v>
      </c>
      <c r="B284" s="613" t="s">
        <v>1394</v>
      </c>
      <c r="C284" s="613" t="s">
        <v>1470</v>
      </c>
      <c r="D284" s="613"/>
      <c r="E284" s="613"/>
      <c r="F284" s="613"/>
      <c r="G284" s="613"/>
      <c r="H284" s="614"/>
      <c r="I284" s="614"/>
      <c r="J284" s="615" t="s">
        <v>1672</v>
      </c>
      <c r="K284" s="670"/>
      <c r="L284" s="670"/>
      <c r="M284" s="670"/>
      <c r="N284" s="670"/>
      <c r="O284" s="670"/>
      <c r="P284" s="670"/>
      <c r="Q284" s="670"/>
      <c r="R284" s="670"/>
      <c r="S284" s="670"/>
      <c r="T284" s="670"/>
      <c r="U284" s="671"/>
      <c r="V284" s="613"/>
      <c r="W284" s="613" t="s">
        <v>1673</v>
      </c>
      <c r="X284" s="613" t="s">
        <v>1674</v>
      </c>
      <c r="Y284" s="604" t="s">
        <v>1379</v>
      </c>
    </row>
    <row r="285" spans="1:25" s="183" customFormat="1" ht="22.5" customHeight="1" thickTop="1" thickBot="1" x14ac:dyDescent="0.3">
      <c r="A285" s="619" t="s">
        <v>1377</v>
      </c>
      <c r="B285" s="620" t="s">
        <v>1394</v>
      </c>
      <c r="C285" s="620" t="s">
        <v>1470</v>
      </c>
      <c r="D285" s="620" t="s">
        <v>1381</v>
      </c>
      <c r="E285" s="620"/>
      <c r="F285" s="620"/>
      <c r="G285" s="620"/>
      <c r="H285" s="621"/>
      <c r="I285" s="621"/>
      <c r="J285" s="622" t="s">
        <v>1675</v>
      </c>
      <c r="K285" s="658"/>
      <c r="L285" s="658"/>
      <c r="M285" s="658"/>
      <c r="N285" s="658"/>
      <c r="O285" s="658"/>
      <c r="P285" s="658"/>
      <c r="Q285" s="658"/>
      <c r="R285" s="658"/>
      <c r="S285" s="658"/>
      <c r="T285" s="658"/>
      <c r="U285" s="659"/>
      <c r="V285" s="620"/>
      <c r="W285" s="625"/>
      <c r="X285" s="625"/>
      <c r="Y285" s="604" t="s">
        <v>1379</v>
      </c>
    </row>
    <row r="286" spans="1:25" s="183" customFormat="1" ht="22.5" customHeight="1" thickTop="1" thickBot="1" x14ac:dyDescent="0.3">
      <c r="A286" s="632" t="s">
        <v>1377</v>
      </c>
      <c r="B286" s="626" t="s">
        <v>1394</v>
      </c>
      <c r="C286" s="626" t="s">
        <v>1470</v>
      </c>
      <c r="D286" s="626" t="s">
        <v>1381</v>
      </c>
      <c r="E286" s="627" t="s">
        <v>1381</v>
      </c>
      <c r="F286" s="626"/>
      <c r="G286" s="626"/>
      <c r="H286" s="628"/>
      <c r="I286" s="628"/>
      <c r="J286" s="629" t="s">
        <v>1676</v>
      </c>
      <c r="K286" s="654"/>
      <c r="L286" s="654"/>
      <c r="M286" s="654"/>
      <c r="N286" s="654"/>
      <c r="O286" s="654"/>
      <c r="P286" s="654"/>
      <c r="Q286" s="654"/>
      <c r="R286" s="654"/>
      <c r="S286" s="654"/>
      <c r="T286" s="654"/>
      <c r="U286" s="655"/>
      <c r="V286" s="626"/>
      <c r="W286" s="633"/>
      <c r="X286" s="633"/>
      <c r="Y286" s="604" t="s">
        <v>1379</v>
      </c>
    </row>
    <row r="287" spans="1:25" s="183" customFormat="1" ht="22.5" customHeight="1" thickTop="1" thickBot="1" x14ac:dyDescent="0.3">
      <c r="A287" s="619" t="s">
        <v>1377</v>
      </c>
      <c r="B287" s="620" t="s">
        <v>1394</v>
      </c>
      <c r="C287" s="620" t="s">
        <v>1470</v>
      </c>
      <c r="D287" s="620" t="s">
        <v>1394</v>
      </c>
      <c r="E287" s="620"/>
      <c r="F287" s="620"/>
      <c r="G287" s="620"/>
      <c r="H287" s="621"/>
      <c r="I287" s="621"/>
      <c r="J287" s="622" t="s">
        <v>1677</v>
      </c>
      <c r="K287" s="658"/>
      <c r="L287" s="658"/>
      <c r="M287" s="658"/>
      <c r="N287" s="658"/>
      <c r="O287" s="658"/>
      <c r="P287" s="658"/>
      <c r="Q287" s="658"/>
      <c r="R287" s="658"/>
      <c r="S287" s="658"/>
      <c r="T287" s="658"/>
      <c r="U287" s="659"/>
      <c r="V287" s="620"/>
      <c r="W287" s="625"/>
      <c r="X287" s="625"/>
      <c r="Y287" s="604" t="s">
        <v>1379</v>
      </c>
    </row>
    <row r="288" spans="1:25" s="183" customFormat="1" ht="22.5" customHeight="1" thickTop="1" thickBot="1" x14ac:dyDescent="0.3">
      <c r="A288" s="619" t="s">
        <v>1377</v>
      </c>
      <c r="B288" s="620" t="s">
        <v>1394</v>
      </c>
      <c r="C288" s="620" t="s">
        <v>1470</v>
      </c>
      <c r="D288" s="620" t="s">
        <v>1418</v>
      </c>
      <c r="E288" s="620"/>
      <c r="F288" s="620"/>
      <c r="G288" s="620"/>
      <c r="H288" s="621"/>
      <c r="I288" s="621"/>
      <c r="J288" s="622" t="s">
        <v>1678</v>
      </c>
      <c r="K288" s="658"/>
      <c r="L288" s="658"/>
      <c r="M288" s="658"/>
      <c r="N288" s="658"/>
      <c r="O288" s="658"/>
      <c r="P288" s="658"/>
      <c r="Q288" s="658"/>
      <c r="R288" s="658"/>
      <c r="S288" s="658"/>
      <c r="T288" s="658"/>
      <c r="U288" s="659"/>
      <c r="V288" s="620"/>
      <c r="W288" s="625"/>
      <c r="X288" s="625"/>
      <c r="Y288" s="604" t="s">
        <v>1379</v>
      </c>
    </row>
    <row r="289" spans="1:25" s="640" customFormat="1" ht="22.5" customHeight="1" thickTop="1" thickBot="1" x14ac:dyDescent="0.3">
      <c r="A289" s="638" t="s">
        <v>1377</v>
      </c>
      <c r="B289" s="628" t="s">
        <v>1394</v>
      </c>
      <c r="C289" s="628" t="s">
        <v>1470</v>
      </c>
      <c r="D289" s="628" t="s">
        <v>1418</v>
      </c>
      <c r="E289" s="627" t="s">
        <v>1381</v>
      </c>
      <c r="F289" s="628"/>
      <c r="G289" s="628"/>
      <c r="H289" s="628"/>
      <c r="I289" s="628"/>
      <c r="J289" s="635" t="s">
        <v>1679</v>
      </c>
      <c r="K289" s="656"/>
      <c r="L289" s="656"/>
      <c r="M289" s="656"/>
      <c r="N289" s="656"/>
      <c r="O289" s="656"/>
      <c r="P289" s="656"/>
      <c r="Q289" s="656"/>
      <c r="R289" s="656"/>
      <c r="S289" s="656"/>
      <c r="T289" s="656"/>
      <c r="U289" s="657"/>
      <c r="V289" s="638"/>
      <c r="W289" s="639"/>
      <c r="X289" s="639"/>
      <c r="Y289" s="647" t="s">
        <v>1379</v>
      </c>
    </row>
    <row r="290" spans="1:25" s="640" customFormat="1" ht="22.5" customHeight="1" thickTop="1" thickBot="1" x14ac:dyDescent="0.3">
      <c r="A290" s="638" t="s">
        <v>1377</v>
      </c>
      <c r="B290" s="628" t="s">
        <v>1394</v>
      </c>
      <c r="C290" s="628" t="s">
        <v>1470</v>
      </c>
      <c r="D290" s="628" t="s">
        <v>1418</v>
      </c>
      <c r="E290" s="627" t="s">
        <v>1394</v>
      </c>
      <c r="F290" s="628"/>
      <c r="G290" s="628"/>
      <c r="H290" s="628"/>
      <c r="I290" s="628"/>
      <c r="J290" s="635" t="s">
        <v>1680</v>
      </c>
      <c r="K290" s="656"/>
      <c r="L290" s="656"/>
      <c r="M290" s="656"/>
      <c r="N290" s="656"/>
      <c r="O290" s="656"/>
      <c r="P290" s="656"/>
      <c r="Q290" s="656"/>
      <c r="R290" s="656"/>
      <c r="S290" s="656"/>
      <c r="T290" s="656"/>
      <c r="U290" s="657"/>
      <c r="V290" s="638"/>
      <c r="W290" s="639"/>
      <c r="X290" s="639"/>
      <c r="Y290" s="647" t="s">
        <v>1379</v>
      </c>
    </row>
    <row r="291" spans="1:25" s="640" customFormat="1" ht="22.5" customHeight="1" thickTop="1" thickBot="1" x14ac:dyDescent="0.3">
      <c r="A291" s="638" t="s">
        <v>1377</v>
      </c>
      <c r="B291" s="628" t="s">
        <v>1394</v>
      </c>
      <c r="C291" s="628" t="s">
        <v>1470</v>
      </c>
      <c r="D291" s="628" t="s">
        <v>1418</v>
      </c>
      <c r="E291" s="627" t="s">
        <v>1418</v>
      </c>
      <c r="F291" s="628"/>
      <c r="G291" s="628"/>
      <c r="H291" s="628"/>
      <c r="I291" s="628"/>
      <c r="J291" s="635" t="s">
        <v>1681</v>
      </c>
      <c r="K291" s="656"/>
      <c r="L291" s="656"/>
      <c r="M291" s="656"/>
      <c r="N291" s="656"/>
      <c r="O291" s="656"/>
      <c r="P291" s="656"/>
      <c r="Q291" s="656"/>
      <c r="R291" s="656"/>
      <c r="S291" s="656"/>
      <c r="T291" s="656"/>
      <c r="U291" s="657"/>
      <c r="V291" s="638"/>
      <c r="W291" s="639"/>
      <c r="X291" s="639"/>
      <c r="Y291" s="647" t="s">
        <v>1379</v>
      </c>
    </row>
    <row r="292" spans="1:25" s="640" customFormat="1" ht="22.5" customHeight="1" thickTop="1" thickBot="1" x14ac:dyDescent="0.3">
      <c r="A292" s="638" t="s">
        <v>1377</v>
      </c>
      <c r="B292" s="628" t="s">
        <v>1394</v>
      </c>
      <c r="C292" s="628" t="s">
        <v>1470</v>
      </c>
      <c r="D292" s="628" t="s">
        <v>1418</v>
      </c>
      <c r="E292" s="627" t="s">
        <v>1422</v>
      </c>
      <c r="F292" s="628"/>
      <c r="G292" s="628"/>
      <c r="H292" s="628"/>
      <c r="I292" s="628"/>
      <c r="J292" s="635" t="s">
        <v>1682</v>
      </c>
      <c r="K292" s="656"/>
      <c r="L292" s="656"/>
      <c r="M292" s="656"/>
      <c r="N292" s="656"/>
      <c r="O292" s="656"/>
      <c r="P292" s="656"/>
      <c r="Q292" s="656"/>
      <c r="R292" s="656"/>
      <c r="S292" s="656"/>
      <c r="T292" s="656"/>
      <c r="U292" s="657"/>
      <c r="V292" s="638"/>
      <c r="W292" s="639"/>
      <c r="X292" s="639"/>
      <c r="Y292" s="647" t="s">
        <v>1379</v>
      </c>
    </row>
    <row r="293" spans="1:25" s="640" customFormat="1" ht="22.5" customHeight="1" thickTop="1" thickBot="1" x14ac:dyDescent="0.3">
      <c r="A293" s="638" t="s">
        <v>1377</v>
      </c>
      <c r="B293" s="628" t="s">
        <v>1394</v>
      </c>
      <c r="C293" s="628" t="s">
        <v>1470</v>
      </c>
      <c r="D293" s="628" t="s">
        <v>1418</v>
      </c>
      <c r="E293" s="627" t="s">
        <v>1447</v>
      </c>
      <c r="F293" s="628"/>
      <c r="G293" s="628"/>
      <c r="H293" s="628"/>
      <c r="I293" s="628"/>
      <c r="J293" s="635" t="s">
        <v>1683</v>
      </c>
      <c r="K293" s="656"/>
      <c r="L293" s="656"/>
      <c r="M293" s="656"/>
      <c r="N293" s="656"/>
      <c r="O293" s="656"/>
      <c r="P293" s="656"/>
      <c r="Q293" s="656"/>
      <c r="R293" s="656"/>
      <c r="S293" s="656"/>
      <c r="T293" s="656"/>
      <c r="U293" s="657"/>
      <c r="V293" s="638"/>
      <c r="W293" s="639"/>
      <c r="X293" s="639"/>
      <c r="Y293" s="647" t="s">
        <v>1379</v>
      </c>
    </row>
    <row r="294" spans="1:25" s="183" customFormat="1" ht="22.5" customHeight="1" thickTop="1" thickBot="1" x14ac:dyDescent="0.3">
      <c r="A294" s="619" t="s">
        <v>1377</v>
      </c>
      <c r="B294" s="620" t="s">
        <v>1394</v>
      </c>
      <c r="C294" s="620" t="s">
        <v>1470</v>
      </c>
      <c r="D294" s="620" t="s">
        <v>1422</v>
      </c>
      <c r="E294" s="620"/>
      <c r="F294" s="620"/>
      <c r="G294" s="620"/>
      <c r="H294" s="621"/>
      <c r="I294" s="621"/>
      <c r="J294" s="622" t="s">
        <v>1684</v>
      </c>
      <c r="K294" s="658"/>
      <c r="L294" s="658"/>
      <c r="M294" s="658"/>
      <c r="N294" s="658"/>
      <c r="O294" s="658"/>
      <c r="P294" s="658"/>
      <c r="Q294" s="658"/>
      <c r="R294" s="658"/>
      <c r="S294" s="658"/>
      <c r="T294" s="658"/>
      <c r="U294" s="659"/>
      <c r="V294" s="620"/>
      <c r="W294" s="625"/>
      <c r="X294" s="625"/>
      <c r="Y294" s="604" t="s">
        <v>1379</v>
      </c>
    </row>
    <row r="295" spans="1:25" s="183" customFormat="1" ht="22.5" customHeight="1" thickTop="1" thickBot="1" x14ac:dyDescent="0.3">
      <c r="A295" s="619" t="s">
        <v>1377</v>
      </c>
      <c r="B295" s="620" t="s">
        <v>1394</v>
      </c>
      <c r="C295" s="620" t="s">
        <v>1470</v>
      </c>
      <c r="D295" s="620" t="s">
        <v>1447</v>
      </c>
      <c r="E295" s="620"/>
      <c r="F295" s="620"/>
      <c r="G295" s="620"/>
      <c r="H295" s="621"/>
      <c r="I295" s="621"/>
      <c r="J295" s="622" t="s">
        <v>1685</v>
      </c>
      <c r="K295" s="658"/>
      <c r="L295" s="658"/>
      <c r="M295" s="658"/>
      <c r="N295" s="658"/>
      <c r="O295" s="658"/>
      <c r="P295" s="658"/>
      <c r="Q295" s="658"/>
      <c r="R295" s="658"/>
      <c r="S295" s="658"/>
      <c r="T295" s="658"/>
      <c r="U295" s="659"/>
      <c r="V295" s="620"/>
      <c r="W295" s="625"/>
      <c r="X295" s="625"/>
      <c r="Y295" s="604" t="s">
        <v>1379</v>
      </c>
    </row>
    <row r="296" spans="1:25" s="183" customFormat="1" ht="22.5" customHeight="1" thickTop="1" thickBot="1" x14ac:dyDescent="0.3">
      <c r="A296" s="619">
        <v>1</v>
      </c>
      <c r="B296" s="620" t="s">
        <v>1394</v>
      </c>
      <c r="C296" s="620" t="s">
        <v>1470</v>
      </c>
      <c r="D296" s="620" t="s">
        <v>1470</v>
      </c>
      <c r="E296" s="620"/>
      <c r="F296" s="620"/>
      <c r="G296" s="620"/>
      <c r="H296" s="621"/>
      <c r="I296" s="621"/>
      <c r="J296" s="622" t="s">
        <v>1686</v>
      </c>
      <c r="K296" s="658"/>
      <c r="L296" s="658"/>
      <c r="M296" s="658"/>
      <c r="N296" s="658"/>
      <c r="O296" s="658"/>
      <c r="P296" s="658"/>
      <c r="Q296" s="658"/>
      <c r="R296" s="658"/>
      <c r="S296" s="658"/>
      <c r="T296" s="658"/>
      <c r="U296" s="659"/>
      <c r="V296" s="620"/>
      <c r="W296" s="625"/>
      <c r="X296" s="625"/>
      <c r="Y296" s="604"/>
    </row>
    <row r="297" spans="1:25" s="768" customFormat="1" ht="22.5" customHeight="1" thickTop="1" thickBot="1" x14ac:dyDescent="0.3">
      <c r="A297" s="765" t="s">
        <v>1377</v>
      </c>
      <c r="B297" s="758" t="s">
        <v>1394</v>
      </c>
      <c r="C297" s="758" t="s">
        <v>1474</v>
      </c>
      <c r="D297" s="758"/>
      <c r="E297" s="758"/>
      <c r="F297" s="758"/>
      <c r="G297" s="758"/>
      <c r="H297" s="757"/>
      <c r="I297" s="757"/>
      <c r="J297" s="759" t="s">
        <v>1687</v>
      </c>
      <c r="K297" s="766"/>
      <c r="L297" s="766"/>
      <c r="M297" s="766"/>
      <c r="N297" s="766"/>
      <c r="O297" s="766"/>
      <c r="P297" s="766"/>
      <c r="Q297" s="766"/>
      <c r="R297" s="766"/>
      <c r="S297" s="766"/>
      <c r="T297" s="766"/>
      <c r="U297" s="767"/>
      <c r="V297" s="758"/>
      <c r="W297" s="758" t="s">
        <v>1688</v>
      </c>
      <c r="X297" s="758"/>
      <c r="Y297" s="763" t="s">
        <v>1379</v>
      </c>
    </row>
    <row r="298" spans="1:25" s="768" customFormat="1" ht="22.5" customHeight="1" thickTop="1" thickBot="1" x14ac:dyDescent="0.3">
      <c r="A298" s="765"/>
      <c r="B298" s="758"/>
      <c r="C298" s="758"/>
      <c r="D298" s="758"/>
      <c r="E298" s="758"/>
      <c r="F298" s="758"/>
      <c r="G298" s="758"/>
      <c r="H298" s="757"/>
      <c r="I298" s="757"/>
      <c r="J298" s="759"/>
      <c r="K298" s="766"/>
      <c r="L298" s="766"/>
      <c r="M298" s="766"/>
      <c r="N298" s="766"/>
      <c r="O298" s="766"/>
      <c r="P298" s="766"/>
      <c r="Q298" s="766"/>
      <c r="R298" s="766"/>
      <c r="S298" s="766"/>
      <c r="T298" s="766"/>
      <c r="U298" s="767"/>
      <c r="V298" s="758"/>
      <c r="W298" s="758"/>
      <c r="X298" s="758"/>
      <c r="Y298" s="763"/>
    </row>
    <row r="299" spans="1:25" s="768" customFormat="1" ht="22.5" customHeight="1" thickTop="1" thickBot="1" x14ac:dyDescent="0.3">
      <c r="A299" s="765"/>
      <c r="B299" s="758"/>
      <c r="C299" s="758"/>
      <c r="D299" s="758"/>
      <c r="E299" s="758"/>
      <c r="F299" s="758"/>
      <c r="G299" s="758"/>
      <c r="H299" s="757"/>
      <c r="I299" s="757"/>
      <c r="J299" s="759"/>
      <c r="K299" s="766"/>
      <c r="L299" s="766"/>
      <c r="M299" s="766"/>
      <c r="N299" s="766"/>
      <c r="O299" s="766"/>
      <c r="P299" s="766"/>
      <c r="Q299" s="766"/>
      <c r="R299" s="766"/>
      <c r="S299" s="766"/>
      <c r="T299" s="766"/>
      <c r="U299" s="767"/>
      <c r="V299" s="758"/>
      <c r="W299" s="769"/>
      <c r="X299" s="769"/>
      <c r="Y299" s="763"/>
    </row>
    <row r="300" spans="1:25" s="183" customFormat="1" ht="22.5" customHeight="1" thickTop="1" thickBot="1" x14ac:dyDescent="0.3">
      <c r="A300" s="619" t="s">
        <v>1377</v>
      </c>
      <c r="B300" s="620" t="s">
        <v>1394</v>
      </c>
      <c r="C300" s="620" t="s">
        <v>1474</v>
      </c>
      <c r="D300" s="620" t="s">
        <v>1418</v>
      </c>
      <c r="E300" s="620"/>
      <c r="F300" s="620"/>
      <c r="G300" s="620"/>
      <c r="H300" s="621"/>
      <c r="I300" s="621"/>
      <c r="J300" s="622" t="s">
        <v>1689</v>
      </c>
      <c r="K300" s="623"/>
      <c r="L300" s="623"/>
      <c r="M300" s="623"/>
      <c r="N300" s="623"/>
      <c r="O300" s="623"/>
      <c r="P300" s="623"/>
      <c r="Q300" s="623"/>
      <c r="R300" s="623"/>
      <c r="S300" s="623"/>
      <c r="T300" s="623"/>
      <c r="U300" s="624"/>
      <c r="V300" s="620"/>
      <c r="W300" s="620"/>
      <c r="X300" s="620"/>
      <c r="Y300" s="604" t="s">
        <v>1379</v>
      </c>
    </row>
    <row r="301" spans="1:25" s="183" customFormat="1" ht="22.5" customHeight="1" thickTop="1" thickBot="1" x14ac:dyDescent="0.3">
      <c r="A301" s="632" t="s">
        <v>1377</v>
      </c>
      <c r="B301" s="626" t="s">
        <v>1394</v>
      </c>
      <c r="C301" s="626" t="s">
        <v>1474</v>
      </c>
      <c r="D301" s="626" t="s">
        <v>1418</v>
      </c>
      <c r="E301" s="627" t="s">
        <v>1381</v>
      </c>
      <c r="F301" s="626"/>
      <c r="G301" s="626"/>
      <c r="H301" s="628"/>
      <c r="I301" s="628"/>
      <c r="J301" s="629" t="s">
        <v>1690</v>
      </c>
      <c r="K301" s="630"/>
      <c r="L301" s="630"/>
      <c r="M301" s="630"/>
      <c r="N301" s="630"/>
      <c r="O301" s="630"/>
      <c r="P301" s="630"/>
      <c r="Q301" s="630"/>
      <c r="R301" s="630"/>
      <c r="S301" s="630"/>
      <c r="T301" s="630"/>
      <c r="U301" s="631"/>
      <c r="V301" s="626"/>
      <c r="W301" s="633"/>
      <c r="X301" s="633"/>
      <c r="Y301" s="604" t="s">
        <v>1379</v>
      </c>
    </row>
    <row r="302" spans="1:25" ht="22.5" customHeight="1" thickTop="1" thickBot="1" x14ac:dyDescent="0.3">
      <c r="A302" s="638" t="s">
        <v>1377</v>
      </c>
      <c r="B302" s="628" t="s">
        <v>1394</v>
      </c>
      <c r="C302" s="628" t="s">
        <v>1474</v>
      </c>
      <c r="D302" s="628" t="s">
        <v>1418</v>
      </c>
      <c r="E302" s="634" t="s">
        <v>1381</v>
      </c>
      <c r="F302" s="626" t="s">
        <v>1381</v>
      </c>
      <c r="G302" s="628"/>
      <c r="H302" s="628"/>
      <c r="I302" s="628"/>
      <c r="J302" s="635" t="s">
        <v>1691</v>
      </c>
      <c r="K302" s="636"/>
      <c r="L302" s="636"/>
      <c r="M302" s="636"/>
      <c r="N302" s="630"/>
      <c r="O302" s="636"/>
      <c r="P302" s="636"/>
      <c r="Q302" s="636"/>
      <c r="R302" s="636"/>
      <c r="S302" s="630"/>
      <c r="T302" s="636"/>
      <c r="U302" s="637"/>
      <c r="V302" s="628"/>
      <c r="W302" s="639"/>
      <c r="X302" s="639"/>
      <c r="Y302" s="604" t="s">
        <v>1379</v>
      </c>
    </row>
    <row r="303" spans="1:25" s="183" customFormat="1" ht="22.5" customHeight="1" thickTop="1" thickBot="1" x14ac:dyDescent="0.3">
      <c r="A303" s="632" t="s">
        <v>1377</v>
      </c>
      <c r="B303" s="626" t="s">
        <v>1394</v>
      </c>
      <c r="C303" s="626" t="s">
        <v>1474</v>
      </c>
      <c r="D303" s="626" t="s">
        <v>1418</v>
      </c>
      <c r="E303" s="627" t="s">
        <v>1394</v>
      </c>
      <c r="F303" s="627"/>
      <c r="G303" s="626"/>
      <c r="H303" s="628"/>
      <c r="I303" s="628"/>
      <c r="J303" s="629" t="s">
        <v>1692</v>
      </c>
      <c r="K303" s="630"/>
      <c r="L303" s="630"/>
      <c r="M303" s="630"/>
      <c r="N303" s="630"/>
      <c r="O303" s="630"/>
      <c r="P303" s="630"/>
      <c r="Q303" s="630"/>
      <c r="R303" s="630"/>
      <c r="S303" s="630"/>
      <c r="T303" s="630"/>
      <c r="U303" s="631"/>
      <c r="V303" s="626"/>
      <c r="W303" s="633"/>
      <c r="X303" s="633"/>
      <c r="Y303" s="604" t="s">
        <v>1379</v>
      </c>
    </row>
    <row r="304" spans="1:25" s="183" customFormat="1" ht="22.5" customHeight="1" thickTop="1" thickBot="1" x14ac:dyDescent="0.3">
      <c r="A304" s="632" t="s">
        <v>1377</v>
      </c>
      <c r="B304" s="626" t="s">
        <v>1394</v>
      </c>
      <c r="C304" s="626" t="s">
        <v>1474</v>
      </c>
      <c r="D304" s="626" t="s">
        <v>1418</v>
      </c>
      <c r="E304" s="627" t="s">
        <v>1418</v>
      </c>
      <c r="F304" s="626"/>
      <c r="G304" s="626"/>
      <c r="H304" s="628"/>
      <c r="I304" s="628"/>
      <c r="J304" s="629" t="s">
        <v>1693</v>
      </c>
      <c r="K304" s="630"/>
      <c r="L304" s="630"/>
      <c r="M304" s="630"/>
      <c r="N304" s="630"/>
      <c r="O304" s="630"/>
      <c r="P304" s="630"/>
      <c r="Q304" s="630"/>
      <c r="R304" s="630"/>
      <c r="S304" s="630"/>
      <c r="T304" s="630"/>
      <c r="U304" s="631"/>
      <c r="V304" s="626"/>
      <c r="W304" s="633"/>
      <c r="X304" s="633"/>
      <c r="Y304" s="604" t="s">
        <v>1379</v>
      </c>
    </row>
    <row r="305" spans="1:25" ht="22.5" customHeight="1" thickTop="1" thickBot="1" x14ac:dyDescent="0.3">
      <c r="A305" s="638" t="s">
        <v>1377</v>
      </c>
      <c r="B305" s="628" t="s">
        <v>1394</v>
      </c>
      <c r="C305" s="628" t="s">
        <v>1474</v>
      </c>
      <c r="D305" s="628" t="s">
        <v>1418</v>
      </c>
      <c r="E305" s="634" t="s">
        <v>1418</v>
      </c>
      <c r="F305" s="626" t="s">
        <v>1381</v>
      </c>
      <c r="G305" s="628"/>
      <c r="H305" s="628"/>
      <c r="I305" s="628"/>
      <c r="J305" s="635" t="s">
        <v>1694</v>
      </c>
      <c r="K305" s="636"/>
      <c r="L305" s="636"/>
      <c r="M305" s="636"/>
      <c r="N305" s="630"/>
      <c r="O305" s="636"/>
      <c r="P305" s="636"/>
      <c r="Q305" s="636"/>
      <c r="R305" s="636"/>
      <c r="S305" s="630"/>
      <c r="T305" s="636"/>
      <c r="U305" s="637"/>
      <c r="V305" s="628"/>
      <c r="W305" s="639"/>
      <c r="X305" s="639"/>
      <c r="Y305" s="604" t="s">
        <v>1379</v>
      </c>
    </row>
    <row r="306" spans="1:25" ht="22.5" customHeight="1" thickTop="1" thickBot="1" x14ac:dyDescent="0.3">
      <c r="A306" s="638" t="s">
        <v>1377</v>
      </c>
      <c r="B306" s="628" t="s">
        <v>1394</v>
      </c>
      <c r="C306" s="628" t="s">
        <v>1474</v>
      </c>
      <c r="D306" s="628" t="s">
        <v>1418</v>
      </c>
      <c r="E306" s="634" t="s">
        <v>1418</v>
      </c>
      <c r="F306" s="626" t="s">
        <v>1394</v>
      </c>
      <c r="G306" s="628"/>
      <c r="H306" s="628"/>
      <c r="I306" s="628"/>
      <c r="J306" s="635" t="s">
        <v>1695</v>
      </c>
      <c r="K306" s="636"/>
      <c r="L306" s="636"/>
      <c r="M306" s="636"/>
      <c r="N306" s="630"/>
      <c r="O306" s="636"/>
      <c r="P306" s="636"/>
      <c r="Q306" s="636"/>
      <c r="R306" s="636"/>
      <c r="S306" s="630"/>
      <c r="T306" s="636"/>
      <c r="U306" s="637"/>
      <c r="V306" s="628"/>
      <c r="W306" s="639"/>
      <c r="X306" s="639"/>
      <c r="Y306" s="604" t="s">
        <v>1379</v>
      </c>
    </row>
    <row r="307" spans="1:25" ht="22.5" customHeight="1" thickTop="1" thickBot="1" x14ac:dyDescent="0.3">
      <c r="A307" s="638" t="s">
        <v>1377</v>
      </c>
      <c r="B307" s="628" t="s">
        <v>1394</v>
      </c>
      <c r="C307" s="628" t="s">
        <v>1474</v>
      </c>
      <c r="D307" s="628" t="s">
        <v>1418</v>
      </c>
      <c r="E307" s="634" t="s">
        <v>1418</v>
      </c>
      <c r="F307" s="626" t="s">
        <v>1418</v>
      </c>
      <c r="G307" s="628"/>
      <c r="H307" s="628"/>
      <c r="I307" s="628"/>
      <c r="J307" s="635" t="s">
        <v>1696</v>
      </c>
      <c r="K307" s="636"/>
      <c r="L307" s="636"/>
      <c r="M307" s="636"/>
      <c r="N307" s="630"/>
      <c r="O307" s="636"/>
      <c r="P307" s="636"/>
      <c r="Q307" s="636"/>
      <c r="R307" s="636"/>
      <c r="S307" s="630"/>
      <c r="T307" s="636"/>
      <c r="U307" s="637"/>
      <c r="V307" s="628"/>
      <c r="W307" s="639"/>
      <c r="X307" s="639"/>
      <c r="Y307" s="604" t="s">
        <v>1379</v>
      </c>
    </row>
    <row r="308" spans="1:25" ht="22.5" customHeight="1" thickTop="1" thickBot="1" x14ac:dyDescent="0.3">
      <c r="A308" s="638" t="s">
        <v>1377</v>
      </c>
      <c r="B308" s="628" t="s">
        <v>1394</v>
      </c>
      <c r="C308" s="628" t="s">
        <v>1474</v>
      </c>
      <c r="D308" s="628" t="s">
        <v>1418</v>
      </c>
      <c r="E308" s="634" t="s">
        <v>1418</v>
      </c>
      <c r="F308" s="626" t="s">
        <v>1422</v>
      </c>
      <c r="G308" s="628"/>
      <c r="H308" s="628"/>
      <c r="I308" s="628"/>
      <c r="J308" s="635" t="s">
        <v>1697</v>
      </c>
      <c r="K308" s="636"/>
      <c r="L308" s="636"/>
      <c r="M308" s="636"/>
      <c r="N308" s="630"/>
      <c r="O308" s="636"/>
      <c r="P308" s="636"/>
      <c r="Q308" s="636"/>
      <c r="R308" s="636"/>
      <c r="S308" s="630"/>
      <c r="T308" s="636"/>
      <c r="U308" s="637"/>
      <c r="V308" s="628"/>
      <c r="W308" s="639"/>
      <c r="X308" s="639"/>
      <c r="Y308" s="604" t="s">
        <v>1379</v>
      </c>
    </row>
    <row r="309" spans="1:25" ht="22.5" customHeight="1" thickTop="1" thickBot="1" x14ac:dyDescent="0.3">
      <c r="A309" s="638" t="s">
        <v>1377</v>
      </c>
      <c r="B309" s="628" t="s">
        <v>1394</v>
      </c>
      <c r="C309" s="628" t="s">
        <v>1474</v>
      </c>
      <c r="D309" s="628" t="s">
        <v>1418</v>
      </c>
      <c r="E309" s="634" t="s">
        <v>1418</v>
      </c>
      <c r="F309" s="626" t="s">
        <v>1447</v>
      </c>
      <c r="G309" s="628"/>
      <c r="H309" s="628"/>
      <c r="I309" s="628"/>
      <c r="J309" s="635" t="s">
        <v>1698</v>
      </c>
      <c r="K309" s="636"/>
      <c r="L309" s="636"/>
      <c r="M309" s="636"/>
      <c r="N309" s="630"/>
      <c r="O309" s="636"/>
      <c r="P309" s="636"/>
      <c r="Q309" s="636"/>
      <c r="R309" s="636"/>
      <c r="S309" s="630"/>
      <c r="T309" s="636"/>
      <c r="U309" s="637"/>
      <c r="V309" s="628"/>
      <c r="W309" s="639"/>
      <c r="X309" s="639"/>
      <c r="Y309" s="604" t="s">
        <v>1379</v>
      </c>
    </row>
    <row r="310" spans="1:25" s="183" customFormat="1" ht="22.5" customHeight="1" thickTop="1" thickBot="1" x14ac:dyDescent="0.3">
      <c r="A310" s="632" t="s">
        <v>1377</v>
      </c>
      <c r="B310" s="626" t="s">
        <v>1394</v>
      </c>
      <c r="C310" s="626" t="s">
        <v>1474</v>
      </c>
      <c r="D310" s="626" t="s">
        <v>1418</v>
      </c>
      <c r="E310" s="627" t="s">
        <v>1422</v>
      </c>
      <c r="F310" s="626"/>
      <c r="G310" s="626"/>
      <c r="H310" s="628"/>
      <c r="I310" s="628"/>
      <c r="J310" s="629" t="s">
        <v>1699</v>
      </c>
      <c r="K310" s="630"/>
      <c r="L310" s="630"/>
      <c r="M310" s="630"/>
      <c r="N310" s="630"/>
      <c r="O310" s="630"/>
      <c r="P310" s="630"/>
      <c r="Q310" s="630"/>
      <c r="R310" s="630"/>
      <c r="S310" s="630"/>
      <c r="T310" s="630"/>
      <c r="U310" s="631"/>
      <c r="V310" s="626"/>
      <c r="W310" s="633"/>
      <c r="X310" s="633"/>
      <c r="Y310" s="604" t="s">
        <v>1379</v>
      </c>
    </row>
    <row r="311" spans="1:25" s="183" customFormat="1" ht="22.5" customHeight="1" thickTop="1" thickBot="1" x14ac:dyDescent="0.3">
      <c r="A311" s="632" t="s">
        <v>1377</v>
      </c>
      <c r="B311" s="626" t="s">
        <v>1394</v>
      </c>
      <c r="C311" s="626" t="s">
        <v>1474</v>
      </c>
      <c r="D311" s="626" t="s">
        <v>1418</v>
      </c>
      <c r="E311" s="627" t="s">
        <v>1447</v>
      </c>
      <c r="F311" s="626"/>
      <c r="G311" s="626"/>
      <c r="H311" s="628"/>
      <c r="I311" s="628"/>
      <c r="J311" s="629" t="s">
        <v>1700</v>
      </c>
      <c r="K311" s="630"/>
      <c r="L311" s="630"/>
      <c r="M311" s="630"/>
      <c r="N311" s="630"/>
      <c r="O311" s="630"/>
      <c r="P311" s="630"/>
      <c r="Q311" s="630"/>
      <c r="R311" s="630"/>
      <c r="S311" s="630"/>
      <c r="T311" s="630"/>
      <c r="U311" s="631"/>
      <c r="V311" s="626"/>
      <c r="W311" s="633"/>
      <c r="X311" s="633"/>
      <c r="Y311" s="604" t="s">
        <v>1379</v>
      </c>
    </row>
    <row r="312" spans="1:25" ht="22.5" customHeight="1" thickTop="1" thickBot="1" x14ac:dyDescent="0.3">
      <c r="A312" s="632" t="s">
        <v>1377</v>
      </c>
      <c r="B312" s="626" t="s">
        <v>1394</v>
      </c>
      <c r="C312" s="626" t="s">
        <v>1474</v>
      </c>
      <c r="D312" s="626" t="s">
        <v>1418</v>
      </c>
      <c r="E312" s="627" t="s">
        <v>1470</v>
      </c>
      <c r="F312" s="628"/>
      <c r="G312" s="628"/>
      <c r="H312" s="628"/>
      <c r="I312" s="628"/>
      <c r="J312" s="629" t="s">
        <v>1701</v>
      </c>
      <c r="K312" s="630"/>
      <c r="L312" s="630"/>
      <c r="M312" s="630"/>
      <c r="N312" s="630"/>
      <c r="O312" s="630"/>
      <c r="P312" s="630"/>
      <c r="Q312" s="630"/>
      <c r="R312" s="630"/>
      <c r="S312" s="630"/>
      <c r="T312" s="630"/>
      <c r="U312" s="631"/>
      <c r="V312" s="626"/>
      <c r="W312" s="633"/>
      <c r="X312" s="633"/>
    </row>
    <row r="313" spans="1:25" ht="22.5" customHeight="1" thickTop="1" thickBot="1" x14ac:dyDescent="0.3">
      <c r="A313" s="632" t="s">
        <v>1377</v>
      </c>
      <c r="B313" s="626" t="s">
        <v>1394</v>
      </c>
      <c r="C313" s="626" t="s">
        <v>1474</v>
      </c>
      <c r="D313" s="626" t="s">
        <v>1418</v>
      </c>
      <c r="E313" s="627" t="s">
        <v>1474</v>
      </c>
      <c r="F313" s="628"/>
      <c r="G313" s="628"/>
      <c r="H313" s="628"/>
      <c r="I313" s="628"/>
      <c r="J313" s="629" t="s">
        <v>1702</v>
      </c>
      <c r="K313" s="630"/>
      <c r="L313" s="630"/>
      <c r="M313" s="630"/>
      <c r="N313" s="630"/>
      <c r="O313" s="630"/>
      <c r="P313" s="630"/>
      <c r="Q313" s="630"/>
      <c r="R313" s="630"/>
      <c r="S313" s="630"/>
      <c r="T313" s="630"/>
      <c r="U313" s="631"/>
      <c r="V313" s="626"/>
      <c r="W313" s="633"/>
      <c r="X313" s="633"/>
    </row>
    <row r="314" spans="1:25" ht="22.5" customHeight="1" thickTop="1" thickBot="1" x14ac:dyDescent="0.3">
      <c r="A314" s="632" t="s">
        <v>1377</v>
      </c>
      <c r="B314" s="626" t="s">
        <v>1394</v>
      </c>
      <c r="C314" s="626" t="s">
        <v>1474</v>
      </c>
      <c r="D314" s="626" t="s">
        <v>1418</v>
      </c>
      <c r="E314" s="627" t="s">
        <v>1478</v>
      </c>
      <c r="F314" s="628"/>
      <c r="G314" s="628"/>
      <c r="H314" s="628"/>
      <c r="I314" s="628"/>
      <c r="J314" s="641" t="s">
        <v>1703</v>
      </c>
      <c r="K314" s="630"/>
      <c r="L314" s="630"/>
      <c r="M314" s="630"/>
      <c r="N314" s="630"/>
      <c r="O314" s="630"/>
      <c r="P314" s="630"/>
      <c r="Q314" s="630"/>
      <c r="R314" s="630"/>
      <c r="S314" s="630"/>
      <c r="T314" s="630"/>
      <c r="U314" s="631"/>
      <c r="V314" s="626"/>
      <c r="W314" s="633"/>
      <c r="X314" s="633"/>
    </row>
    <row r="315" spans="1:25" ht="22.5" customHeight="1" thickTop="1" thickBot="1" x14ac:dyDescent="0.3">
      <c r="A315" s="638" t="s">
        <v>1377</v>
      </c>
      <c r="B315" s="628" t="s">
        <v>1394</v>
      </c>
      <c r="C315" s="628" t="s">
        <v>1474</v>
      </c>
      <c r="D315" s="628" t="s">
        <v>1418</v>
      </c>
      <c r="E315" s="634" t="s">
        <v>1478</v>
      </c>
      <c r="F315" s="626" t="s">
        <v>1381</v>
      </c>
      <c r="G315" s="628"/>
      <c r="H315" s="628"/>
      <c r="I315" s="628"/>
      <c r="J315" s="641" t="s">
        <v>1704</v>
      </c>
      <c r="K315" s="630"/>
      <c r="L315" s="630"/>
      <c r="M315" s="630"/>
      <c r="N315" s="630"/>
      <c r="O315" s="630"/>
      <c r="P315" s="630"/>
      <c r="Q315" s="630"/>
      <c r="R315" s="630"/>
      <c r="S315" s="630"/>
      <c r="T315" s="630"/>
      <c r="U315" s="631"/>
      <c r="V315" s="626"/>
      <c r="W315" s="633"/>
      <c r="X315" s="633"/>
    </row>
    <row r="316" spans="1:25" ht="22.5" customHeight="1" thickTop="1" thickBot="1" x14ac:dyDescent="0.3">
      <c r="A316" s="638" t="s">
        <v>1377</v>
      </c>
      <c r="B316" s="628" t="s">
        <v>1394</v>
      </c>
      <c r="C316" s="628" t="s">
        <v>1474</v>
      </c>
      <c r="D316" s="628" t="s">
        <v>1418</v>
      </c>
      <c r="E316" s="634" t="s">
        <v>1478</v>
      </c>
      <c r="F316" s="628" t="s">
        <v>1381</v>
      </c>
      <c r="G316" s="626" t="s">
        <v>1381</v>
      </c>
      <c r="H316" s="628"/>
      <c r="I316" s="628"/>
      <c r="J316" s="644" t="s">
        <v>1705</v>
      </c>
      <c r="K316" s="630"/>
      <c r="L316" s="630"/>
      <c r="M316" s="630"/>
      <c r="N316" s="630"/>
      <c r="O316" s="630"/>
      <c r="P316" s="630"/>
      <c r="Q316" s="630"/>
      <c r="R316" s="630"/>
      <c r="S316" s="630"/>
      <c r="T316" s="630"/>
      <c r="U316" s="631"/>
      <c r="V316" s="626"/>
      <c r="W316" s="633"/>
      <c r="X316" s="633"/>
    </row>
    <row r="317" spans="1:25" ht="22.5" customHeight="1" thickTop="1" thickBot="1" x14ac:dyDescent="0.3">
      <c r="A317" s="638" t="s">
        <v>1377</v>
      </c>
      <c r="B317" s="628" t="s">
        <v>1394</v>
      </c>
      <c r="C317" s="628" t="s">
        <v>1474</v>
      </c>
      <c r="D317" s="628" t="s">
        <v>1418</v>
      </c>
      <c r="E317" s="634" t="s">
        <v>1478</v>
      </c>
      <c r="F317" s="628" t="s">
        <v>1381</v>
      </c>
      <c r="G317" s="626" t="s">
        <v>1394</v>
      </c>
      <c r="H317" s="628"/>
      <c r="I317" s="628"/>
      <c r="J317" s="644" t="s">
        <v>1706</v>
      </c>
      <c r="K317" s="630"/>
      <c r="L317" s="630"/>
      <c r="M317" s="630"/>
      <c r="N317" s="630"/>
      <c r="O317" s="630"/>
      <c r="P317" s="630"/>
      <c r="Q317" s="630"/>
      <c r="R317" s="630"/>
      <c r="S317" s="630"/>
      <c r="T317" s="630"/>
      <c r="U317" s="631"/>
      <c r="V317" s="626"/>
      <c r="W317" s="633"/>
      <c r="X317" s="633"/>
    </row>
    <row r="318" spans="1:25" ht="22.5" customHeight="1" thickTop="1" thickBot="1" x14ac:dyDescent="0.3">
      <c r="A318" s="638" t="s">
        <v>1377</v>
      </c>
      <c r="B318" s="628" t="s">
        <v>1394</v>
      </c>
      <c r="C318" s="628" t="s">
        <v>1474</v>
      </c>
      <c r="D318" s="628" t="s">
        <v>1418</v>
      </c>
      <c r="E318" s="634" t="s">
        <v>1478</v>
      </c>
      <c r="F318" s="628" t="s">
        <v>1381</v>
      </c>
      <c r="G318" s="626" t="s">
        <v>1418</v>
      </c>
      <c r="H318" s="628"/>
      <c r="I318" s="628"/>
      <c r="J318" s="644" t="s">
        <v>1707</v>
      </c>
      <c r="K318" s="630"/>
      <c r="L318" s="630"/>
      <c r="M318" s="630"/>
      <c r="N318" s="630"/>
      <c r="O318" s="630"/>
      <c r="P318" s="630"/>
      <c r="Q318" s="630"/>
      <c r="R318" s="630"/>
      <c r="S318" s="630"/>
      <c r="T318" s="630"/>
      <c r="U318" s="631"/>
      <c r="V318" s="626"/>
      <c r="W318" s="633"/>
      <c r="X318" s="633"/>
    </row>
    <row r="319" spans="1:25" ht="22.5" customHeight="1" thickTop="1" thickBot="1" x14ac:dyDescent="0.3">
      <c r="A319" s="632" t="s">
        <v>1377</v>
      </c>
      <c r="B319" s="626" t="s">
        <v>1394</v>
      </c>
      <c r="C319" s="626" t="s">
        <v>1474</v>
      </c>
      <c r="D319" s="626" t="s">
        <v>1418</v>
      </c>
      <c r="E319" s="627" t="s">
        <v>1576</v>
      </c>
      <c r="F319" s="628"/>
      <c r="G319" s="628"/>
      <c r="H319" s="628"/>
      <c r="I319" s="628"/>
      <c r="J319" s="641" t="s">
        <v>1708</v>
      </c>
      <c r="K319" s="630"/>
      <c r="L319" s="630"/>
      <c r="M319" s="630"/>
      <c r="N319" s="630"/>
      <c r="O319" s="630"/>
      <c r="P319" s="630"/>
      <c r="Q319" s="630"/>
      <c r="R319" s="630"/>
      <c r="S319" s="630"/>
      <c r="T319" s="630"/>
      <c r="U319" s="631"/>
      <c r="V319" s="626"/>
      <c r="W319" s="633"/>
      <c r="X319" s="633"/>
    </row>
    <row r="320" spans="1:25" ht="22.5" customHeight="1" thickTop="1" thickBot="1" x14ac:dyDescent="0.3">
      <c r="A320" s="638" t="s">
        <v>1377</v>
      </c>
      <c r="B320" s="628" t="s">
        <v>1394</v>
      </c>
      <c r="C320" s="628" t="s">
        <v>1474</v>
      </c>
      <c r="D320" s="628" t="s">
        <v>1418</v>
      </c>
      <c r="E320" s="634" t="s">
        <v>1576</v>
      </c>
      <c r="F320" s="626" t="s">
        <v>1381</v>
      </c>
      <c r="G320" s="628"/>
      <c r="H320" s="628"/>
      <c r="I320" s="628"/>
      <c r="J320" s="644" t="s">
        <v>1709</v>
      </c>
      <c r="K320" s="630"/>
      <c r="L320" s="630"/>
      <c r="M320" s="630"/>
      <c r="N320" s="630"/>
      <c r="O320" s="630"/>
      <c r="P320" s="630"/>
      <c r="Q320" s="630"/>
      <c r="R320" s="630"/>
      <c r="S320" s="630"/>
      <c r="T320" s="630"/>
      <c r="U320" s="631"/>
      <c r="V320" s="626"/>
      <c r="W320" s="633"/>
      <c r="X320" s="633"/>
    </row>
    <row r="321" spans="1:22" ht="36" customHeight="1" thickTop="1" thickBot="1" x14ac:dyDescent="0.3"/>
    <row r="322" spans="1:22" ht="18.75" customHeight="1" thickTop="1" thickBot="1" x14ac:dyDescent="0.3">
      <c r="A322" s="639">
        <v>1</v>
      </c>
      <c r="B322" s="754" t="s">
        <v>1394</v>
      </c>
      <c r="C322" s="628"/>
      <c r="D322" s="628"/>
      <c r="E322" s="639"/>
      <c r="F322" s="628"/>
      <c r="G322" s="628"/>
      <c r="H322" s="628"/>
      <c r="I322" s="628"/>
      <c r="J322" s="770" t="s">
        <v>1962</v>
      </c>
      <c r="K322" s="630"/>
      <c r="L322" s="630"/>
      <c r="M322" s="630"/>
      <c r="N322" s="630"/>
      <c r="O322" s="630"/>
      <c r="P322" s="630"/>
      <c r="Q322" s="630"/>
      <c r="R322" s="630"/>
      <c r="S322" s="630"/>
      <c r="T322" s="630"/>
      <c r="U322" s="630"/>
      <c r="V322" s="630"/>
    </row>
    <row r="323" spans="1:22" ht="18.75" customHeight="1" thickTop="1" thickBot="1" x14ac:dyDescent="0.3">
      <c r="A323" s="639">
        <v>1</v>
      </c>
      <c r="B323" s="754" t="s">
        <v>1394</v>
      </c>
      <c r="C323" s="628" t="s">
        <v>1381</v>
      </c>
      <c r="D323" s="628"/>
      <c r="E323" s="639"/>
      <c r="F323" s="628"/>
      <c r="G323" s="628"/>
      <c r="H323" s="628"/>
      <c r="I323" s="628"/>
      <c r="J323" s="770" t="s">
        <v>1963</v>
      </c>
      <c r="K323" s="630"/>
      <c r="L323" s="630"/>
      <c r="M323" s="630"/>
      <c r="N323" s="630"/>
      <c r="O323" s="630"/>
      <c r="P323" s="630"/>
      <c r="Q323" s="630"/>
      <c r="R323" s="630"/>
      <c r="S323" s="630"/>
      <c r="T323" s="630"/>
      <c r="U323" s="630"/>
      <c r="V323" s="630"/>
    </row>
    <row r="324" spans="1:22" ht="18.75" customHeight="1" thickTop="1" thickBot="1" x14ac:dyDescent="0.3">
      <c r="A324" s="639">
        <v>1</v>
      </c>
      <c r="B324" s="754" t="s">
        <v>1394</v>
      </c>
      <c r="C324" s="628" t="s">
        <v>1381</v>
      </c>
      <c r="D324" s="628" t="s">
        <v>1381</v>
      </c>
      <c r="E324" s="628"/>
      <c r="F324" s="628"/>
      <c r="G324" s="628"/>
      <c r="H324" s="628"/>
      <c r="I324" s="628"/>
      <c r="J324" s="771" t="s">
        <v>1541</v>
      </c>
      <c r="K324" s="630"/>
      <c r="L324" s="630"/>
      <c r="M324" s="630"/>
      <c r="N324" s="630"/>
      <c r="O324" s="630"/>
      <c r="P324" s="630"/>
      <c r="Q324" s="630"/>
      <c r="R324" s="630"/>
      <c r="S324" s="630"/>
      <c r="T324" s="630"/>
      <c r="U324" s="630"/>
      <c r="V324" s="630"/>
    </row>
    <row r="325" spans="1:22" ht="18.75" customHeight="1" thickTop="1" thickBot="1" x14ac:dyDescent="0.3">
      <c r="A325" s="639">
        <v>1</v>
      </c>
      <c r="B325" s="754" t="s">
        <v>1394</v>
      </c>
      <c r="C325" s="628" t="s">
        <v>1381</v>
      </c>
      <c r="D325" s="628" t="s">
        <v>1394</v>
      </c>
      <c r="E325" s="628"/>
      <c r="F325" s="628"/>
      <c r="G325" s="628"/>
      <c r="H325" s="628"/>
      <c r="I325" s="628"/>
      <c r="J325" s="771" t="s">
        <v>1542</v>
      </c>
      <c r="K325" s="630"/>
      <c r="L325" s="630"/>
      <c r="M325" s="630"/>
      <c r="N325" s="630"/>
      <c r="O325" s="630"/>
      <c r="P325" s="630"/>
      <c r="Q325" s="630"/>
      <c r="R325" s="630"/>
      <c r="S325" s="630"/>
      <c r="T325" s="630"/>
      <c r="U325" s="630"/>
      <c r="V325" s="630"/>
    </row>
    <row r="326" spans="1:22" ht="18.75" customHeight="1" thickTop="1" thickBot="1" x14ac:dyDescent="0.3">
      <c r="A326" s="639">
        <v>1</v>
      </c>
      <c r="B326" s="754" t="s">
        <v>1394</v>
      </c>
      <c r="C326" s="628" t="s">
        <v>1381</v>
      </c>
      <c r="D326" s="628" t="s">
        <v>1418</v>
      </c>
      <c r="E326" s="628"/>
      <c r="F326" s="628"/>
      <c r="G326" s="628"/>
      <c r="H326" s="628"/>
      <c r="I326" s="628"/>
      <c r="J326" s="771" t="s">
        <v>1543</v>
      </c>
      <c r="K326" s="630"/>
      <c r="L326" s="630"/>
      <c r="M326" s="630"/>
      <c r="N326" s="630"/>
      <c r="O326" s="630"/>
      <c r="P326" s="630"/>
      <c r="Q326" s="630"/>
      <c r="R326" s="630"/>
      <c r="S326" s="630"/>
      <c r="T326" s="630"/>
      <c r="U326" s="630"/>
      <c r="V326" s="630"/>
    </row>
    <row r="327" spans="1:22" ht="18.75" customHeight="1" thickTop="1" thickBot="1" x14ac:dyDescent="0.3">
      <c r="A327" s="639">
        <v>1</v>
      </c>
      <c r="B327" s="754" t="s">
        <v>1394</v>
      </c>
      <c r="C327" s="628" t="s">
        <v>1394</v>
      </c>
      <c r="D327" s="628"/>
      <c r="E327" s="639"/>
      <c r="F327" s="628"/>
      <c r="G327" s="628"/>
      <c r="H327" s="628"/>
      <c r="I327" s="628"/>
      <c r="J327" s="770" t="s">
        <v>1964</v>
      </c>
      <c r="K327" s="630"/>
      <c r="L327" s="630"/>
      <c r="M327" s="630"/>
      <c r="N327" s="630"/>
      <c r="O327" s="630"/>
      <c r="P327" s="630"/>
      <c r="Q327" s="630"/>
      <c r="R327" s="630"/>
      <c r="S327" s="630"/>
      <c r="T327" s="630"/>
      <c r="U327" s="630"/>
      <c r="V327" s="630"/>
    </row>
    <row r="328" spans="1:22" ht="18.75" customHeight="1" thickTop="1" thickBot="1" x14ac:dyDescent="0.3">
      <c r="A328" s="639">
        <v>1</v>
      </c>
      <c r="B328" s="754" t="s">
        <v>1418</v>
      </c>
      <c r="C328" s="628"/>
      <c r="D328" s="628"/>
      <c r="E328" s="639"/>
      <c r="F328" s="628"/>
      <c r="G328" s="628"/>
      <c r="H328" s="628"/>
      <c r="I328" s="628"/>
      <c r="J328" s="770" t="s">
        <v>1865</v>
      </c>
      <c r="K328" s="630"/>
      <c r="L328" s="630"/>
      <c r="M328" s="630"/>
      <c r="N328" s="630"/>
      <c r="O328" s="630"/>
      <c r="P328" s="630"/>
      <c r="Q328" s="630"/>
      <c r="R328" s="630"/>
      <c r="S328" s="630"/>
      <c r="T328" s="630"/>
      <c r="U328" s="630"/>
      <c r="V328" s="630"/>
    </row>
    <row r="329" spans="1:22" ht="18.75" customHeight="1" thickTop="1" thickBot="1" x14ac:dyDescent="0.3">
      <c r="A329" s="639">
        <v>1</v>
      </c>
      <c r="B329" s="754" t="s">
        <v>1418</v>
      </c>
      <c r="C329" s="628" t="s">
        <v>1381</v>
      </c>
      <c r="D329" s="628"/>
      <c r="E329" s="639"/>
      <c r="F329" s="628"/>
      <c r="G329" s="628"/>
      <c r="H329" s="628"/>
      <c r="I329" s="628"/>
      <c r="J329" s="770" t="s">
        <v>1544</v>
      </c>
      <c r="K329" s="630"/>
      <c r="L329" s="630"/>
      <c r="M329" s="630"/>
      <c r="N329" s="630"/>
      <c r="O329" s="630"/>
      <c r="P329" s="630"/>
      <c r="Q329" s="630"/>
      <c r="R329" s="630"/>
      <c r="S329" s="630"/>
      <c r="T329" s="630"/>
      <c r="U329" s="630"/>
      <c r="V329" s="630"/>
    </row>
    <row r="330" spans="1:22" ht="18.75" customHeight="1" thickTop="1" thickBot="1" x14ac:dyDescent="0.3">
      <c r="A330" s="639">
        <v>1</v>
      </c>
      <c r="B330" s="755" t="s">
        <v>1418</v>
      </c>
      <c r="C330" s="628" t="s">
        <v>1381</v>
      </c>
      <c r="D330" s="628" t="s">
        <v>1381</v>
      </c>
      <c r="E330" s="628"/>
      <c r="F330" s="628"/>
      <c r="G330" s="628"/>
      <c r="H330" s="628"/>
      <c r="I330" s="628"/>
      <c r="J330" s="771" t="s">
        <v>1545</v>
      </c>
      <c r="K330" s="630"/>
      <c r="L330" s="630"/>
      <c r="M330" s="630"/>
      <c r="N330" s="630"/>
      <c r="O330" s="630"/>
      <c r="P330" s="630"/>
      <c r="Q330" s="630"/>
      <c r="R330" s="630"/>
      <c r="S330" s="630"/>
      <c r="T330" s="630"/>
      <c r="U330" s="630"/>
      <c r="V330" s="630"/>
    </row>
    <row r="331" spans="1:22" ht="18.75" customHeight="1" thickTop="1" thickBot="1" x14ac:dyDescent="0.3">
      <c r="A331" s="639">
        <v>1</v>
      </c>
      <c r="B331" s="755" t="s">
        <v>1418</v>
      </c>
      <c r="C331" s="628" t="s">
        <v>1381</v>
      </c>
      <c r="D331" s="628" t="s">
        <v>1394</v>
      </c>
      <c r="E331" s="628"/>
      <c r="F331" s="628"/>
      <c r="G331" s="628"/>
      <c r="H331" s="628"/>
      <c r="I331" s="628"/>
      <c r="J331" s="771" t="s">
        <v>1546</v>
      </c>
      <c r="K331" s="630"/>
      <c r="L331" s="630"/>
      <c r="M331" s="630"/>
      <c r="N331" s="630"/>
      <c r="O331" s="630"/>
      <c r="P331" s="630"/>
      <c r="Q331" s="630"/>
      <c r="R331" s="630"/>
      <c r="S331" s="630"/>
      <c r="T331" s="630"/>
      <c r="U331" s="630"/>
      <c r="V331" s="630"/>
    </row>
    <row r="332" spans="1:22" ht="18.75" customHeight="1" thickTop="1" thickBot="1" x14ac:dyDescent="0.3">
      <c r="A332" s="639">
        <v>1</v>
      </c>
      <c r="B332" s="755" t="s">
        <v>1418</v>
      </c>
      <c r="C332" s="628" t="s">
        <v>1381</v>
      </c>
      <c r="D332" s="628" t="s">
        <v>1418</v>
      </c>
      <c r="E332" s="628"/>
      <c r="F332" s="628"/>
      <c r="G332" s="628"/>
      <c r="H332" s="628"/>
      <c r="I332" s="628"/>
      <c r="J332" s="771" t="s">
        <v>1547</v>
      </c>
      <c r="K332" s="630"/>
      <c r="L332" s="630"/>
      <c r="M332" s="630"/>
      <c r="N332" s="630"/>
      <c r="O332" s="630"/>
      <c r="P332" s="630"/>
      <c r="Q332" s="630"/>
      <c r="R332" s="630"/>
      <c r="S332" s="630"/>
      <c r="T332" s="630"/>
      <c r="U332" s="630"/>
      <c r="V332" s="630"/>
    </row>
    <row r="333" spans="1:22" ht="18.75" customHeight="1" thickTop="1" thickBot="1" x14ac:dyDescent="0.3">
      <c r="A333" s="639">
        <v>1</v>
      </c>
      <c r="B333" s="755" t="s">
        <v>1418</v>
      </c>
      <c r="C333" s="628" t="s">
        <v>1394</v>
      </c>
      <c r="D333" s="628"/>
      <c r="E333" s="639"/>
      <c r="F333" s="628"/>
      <c r="G333" s="628"/>
      <c r="H333" s="628"/>
      <c r="I333" s="628"/>
      <c r="J333" s="770" t="s">
        <v>1548</v>
      </c>
      <c r="K333" s="630"/>
      <c r="L333" s="630"/>
      <c r="M333" s="630"/>
      <c r="N333" s="630"/>
      <c r="O333" s="630"/>
      <c r="P333" s="630"/>
      <c r="Q333" s="630"/>
      <c r="R333" s="630"/>
      <c r="S333" s="630"/>
      <c r="T333" s="630"/>
      <c r="U333" s="630"/>
      <c r="V333" s="630"/>
    </row>
    <row r="334" spans="1:22" ht="18.75" customHeight="1" thickTop="1" thickBot="1" x14ac:dyDescent="0.3">
      <c r="A334" s="639">
        <v>1</v>
      </c>
      <c r="B334" s="755" t="s">
        <v>1422</v>
      </c>
      <c r="C334" s="628"/>
      <c r="D334" s="628"/>
      <c r="E334" s="639"/>
      <c r="F334" s="628"/>
      <c r="G334" s="628"/>
      <c r="H334" s="628"/>
      <c r="I334" s="628"/>
      <c r="J334" s="770" t="s">
        <v>1549</v>
      </c>
      <c r="K334" s="630"/>
      <c r="L334" s="630"/>
      <c r="M334" s="630"/>
      <c r="N334" s="630"/>
      <c r="O334" s="630"/>
      <c r="P334" s="630"/>
      <c r="Q334" s="630"/>
      <c r="R334" s="630"/>
      <c r="S334" s="630"/>
      <c r="T334" s="630"/>
      <c r="U334" s="630"/>
      <c r="V334" s="630"/>
    </row>
    <row r="335" spans="1:22" ht="18.75" customHeight="1" thickTop="1" thickBot="1" x14ac:dyDescent="0.3">
      <c r="A335" s="639" t="s">
        <v>1377</v>
      </c>
      <c r="B335" s="754" t="s">
        <v>1447</v>
      </c>
      <c r="C335" s="628"/>
      <c r="D335" s="628"/>
      <c r="E335" s="639"/>
      <c r="F335" s="628"/>
      <c r="G335" s="628"/>
      <c r="H335" s="628"/>
      <c r="I335" s="628"/>
      <c r="J335" s="772" t="s">
        <v>1550</v>
      </c>
      <c r="K335" s="630"/>
      <c r="L335" s="630"/>
      <c r="M335" s="630"/>
      <c r="N335" s="630"/>
      <c r="O335" s="630"/>
      <c r="P335" s="630"/>
      <c r="Q335" s="630"/>
      <c r="R335" s="630"/>
      <c r="S335" s="630"/>
      <c r="T335" s="630"/>
      <c r="U335" s="630"/>
      <c r="V335" s="630"/>
    </row>
    <row r="336" spans="1:22" ht="18.75" customHeight="1" thickTop="1" thickBot="1" x14ac:dyDescent="0.3">
      <c r="A336" s="639" t="s">
        <v>1377</v>
      </c>
      <c r="B336" s="755" t="s">
        <v>1447</v>
      </c>
      <c r="C336" s="628" t="s">
        <v>1381</v>
      </c>
      <c r="D336" s="628"/>
      <c r="E336" s="639"/>
      <c r="F336" s="628"/>
      <c r="G336" s="628"/>
      <c r="H336" s="628"/>
      <c r="I336" s="628"/>
      <c r="J336" s="772" t="s">
        <v>1551</v>
      </c>
      <c r="K336" s="630"/>
      <c r="L336" s="630"/>
      <c r="M336" s="630"/>
      <c r="N336" s="630"/>
      <c r="O336" s="630"/>
      <c r="P336" s="630"/>
      <c r="Q336" s="630"/>
      <c r="R336" s="630"/>
      <c r="S336" s="630"/>
      <c r="T336" s="630"/>
      <c r="U336" s="630"/>
      <c r="V336" s="630"/>
    </row>
    <row r="337" spans="1:22" ht="18.75" customHeight="1" thickTop="1" thickBot="1" x14ac:dyDescent="0.3">
      <c r="A337" s="639" t="s">
        <v>1377</v>
      </c>
      <c r="B337" s="755" t="s">
        <v>1447</v>
      </c>
      <c r="C337" s="628" t="s">
        <v>1381</v>
      </c>
      <c r="D337" s="628" t="s">
        <v>1381</v>
      </c>
      <c r="E337" s="628"/>
      <c r="F337" s="628"/>
      <c r="G337" s="628"/>
      <c r="H337" s="628"/>
      <c r="I337" s="628"/>
      <c r="J337" s="771" t="s">
        <v>1965</v>
      </c>
      <c r="K337" s="630"/>
      <c r="L337" s="630"/>
      <c r="M337" s="630"/>
      <c r="N337" s="630"/>
      <c r="O337" s="630"/>
      <c r="P337" s="630"/>
      <c r="Q337" s="630"/>
      <c r="R337" s="630"/>
      <c r="S337" s="630"/>
      <c r="T337" s="630"/>
      <c r="U337" s="630"/>
      <c r="V337" s="630"/>
    </row>
    <row r="338" spans="1:22" ht="18.75" customHeight="1" thickTop="1" thickBot="1" x14ac:dyDescent="0.3">
      <c r="A338" s="639" t="s">
        <v>1377</v>
      </c>
      <c r="B338" s="755" t="s">
        <v>1447</v>
      </c>
      <c r="C338" s="628" t="s">
        <v>1381</v>
      </c>
      <c r="D338" s="628" t="s">
        <v>1394</v>
      </c>
      <c r="E338" s="628"/>
      <c r="F338" s="628"/>
      <c r="G338" s="628"/>
      <c r="H338" s="628"/>
      <c r="I338" s="628"/>
      <c r="J338" s="771" t="s">
        <v>1966</v>
      </c>
      <c r="K338" s="630"/>
      <c r="L338" s="630"/>
      <c r="M338" s="630"/>
      <c r="N338" s="630"/>
      <c r="O338" s="630"/>
      <c r="P338" s="630"/>
      <c r="Q338" s="630"/>
      <c r="R338" s="630"/>
      <c r="S338" s="630"/>
      <c r="T338" s="630"/>
      <c r="U338" s="630"/>
      <c r="V338" s="630"/>
    </row>
    <row r="339" spans="1:22" ht="18.75" customHeight="1" thickTop="1" thickBot="1" x14ac:dyDescent="0.3">
      <c r="A339" s="639" t="s">
        <v>1377</v>
      </c>
      <c r="B339" s="755" t="s">
        <v>1447</v>
      </c>
      <c r="C339" s="628" t="s">
        <v>1381</v>
      </c>
      <c r="D339" s="628" t="s">
        <v>1418</v>
      </c>
      <c r="E339" s="628"/>
      <c r="F339" s="628"/>
      <c r="G339" s="628"/>
      <c r="H339" s="628"/>
      <c r="I339" s="628"/>
      <c r="J339" s="771" t="s">
        <v>1967</v>
      </c>
      <c r="K339" s="630"/>
      <c r="L339" s="630"/>
      <c r="M339" s="630"/>
      <c r="N339" s="630"/>
      <c r="O339" s="630"/>
      <c r="P339" s="630"/>
      <c r="Q339" s="630"/>
      <c r="R339" s="630"/>
      <c r="S339" s="630"/>
      <c r="T339" s="630"/>
      <c r="U339" s="630"/>
      <c r="V339" s="630"/>
    </row>
    <row r="340" spans="1:22" ht="18.75" customHeight="1" thickTop="1" thickBot="1" x14ac:dyDescent="0.3">
      <c r="A340" s="639" t="s">
        <v>1377</v>
      </c>
      <c r="B340" s="755" t="s">
        <v>1447</v>
      </c>
      <c r="C340" s="628" t="s">
        <v>1394</v>
      </c>
      <c r="D340" s="628"/>
      <c r="E340" s="639"/>
      <c r="F340" s="628"/>
      <c r="G340" s="628"/>
      <c r="H340" s="628"/>
      <c r="I340" s="628"/>
      <c r="J340" s="773" t="s">
        <v>1552</v>
      </c>
      <c r="K340" s="630"/>
      <c r="L340" s="630"/>
      <c r="M340" s="630"/>
      <c r="N340" s="630"/>
      <c r="O340" s="630"/>
      <c r="P340" s="630"/>
      <c r="Q340" s="630"/>
      <c r="R340" s="630"/>
      <c r="S340" s="630"/>
      <c r="T340" s="630"/>
      <c r="U340" s="630"/>
      <c r="V340" s="630"/>
    </row>
    <row r="341" spans="1:22" ht="18.75" customHeight="1" thickTop="1" thickBot="1" x14ac:dyDescent="0.3">
      <c r="A341" s="639" t="s">
        <v>1377</v>
      </c>
      <c r="B341" s="755" t="s">
        <v>1447</v>
      </c>
      <c r="C341" s="628" t="s">
        <v>1418</v>
      </c>
      <c r="D341" s="628"/>
      <c r="E341" s="639"/>
      <c r="F341" s="628"/>
      <c r="G341" s="628"/>
      <c r="H341" s="628"/>
      <c r="I341" s="628"/>
      <c r="J341" s="773" t="s">
        <v>1553</v>
      </c>
      <c r="K341" s="630"/>
      <c r="L341" s="630"/>
      <c r="M341" s="630"/>
      <c r="N341" s="630"/>
      <c r="O341" s="630"/>
      <c r="P341" s="630"/>
      <c r="Q341" s="630"/>
      <c r="R341" s="630"/>
      <c r="S341" s="630"/>
      <c r="T341" s="630"/>
      <c r="U341" s="630"/>
      <c r="V341" s="630"/>
    </row>
    <row r="342" spans="1:22" ht="36" customHeight="1" thickTop="1" thickBot="1" x14ac:dyDescent="0.3">
      <c r="A342" s="639"/>
      <c r="B342" s="755"/>
    </row>
    <row r="343" spans="1:22" ht="36" customHeight="1" thickTop="1" x14ac:dyDescent="0.25"/>
  </sheetData>
  <mergeCells count="16">
    <mergeCell ref="U5:U6"/>
    <mergeCell ref="V5:V6"/>
    <mergeCell ref="W5:W6"/>
    <mergeCell ref="X5:X6"/>
    <mergeCell ref="A1:V1"/>
    <mergeCell ref="A2:V2"/>
    <mergeCell ref="A3:V3"/>
    <mergeCell ref="A4:V4"/>
    <mergeCell ref="A5:I5"/>
    <mergeCell ref="J5:J6"/>
    <mergeCell ref="K5:K6"/>
    <mergeCell ref="L5:M5"/>
    <mergeCell ref="N5:N6"/>
    <mergeCell ref="O5:R5"/>
    <mergeCell ref="S5:S6"/>
    <mergeCell ref="T5:T6"/>
  </mergeCells>
  <phoneticPr fontId="60" type="noConversion"/>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19"/>
  <sheetViews>
    <sheetView workbookViewId="0">
      <selection activeCell="E8" sqref="E8"/>
    </sheetView>
  </sheetViews>
  <sheetFormatPr baseColWidth="10" defaultRowHeight="12.75" x14ac:dyDescent="0.25"/>
  <cols>
    <col min="1" max="1" width="34.140625" style="710" customWidth="1"/>
    <col min="2" max="2" width="70.5703125" style="710" customWidth="1"/>
    <col min="3" max="16384" width="11.42578125" style="710"/>
  </cols>
  <sheetData>
    <row r="1" spans="1:2" ht="13.5" thickBot="1" x14ac:dyDescent="0.3">
      <c r="A1" s="1687"/>
      <c r="B1" s="1687"/>
    </row>
    <row r="2" spans="1:2" ht="13.5" thickBot="1" x14ac:dyDescent="0.3">
      <c r="A2" s="1688" t="s">
        <v>1794</v>
      </c>
      <c r="B2" s="1689"/>
    </row>
    <row r="3" spans="1:2" ht="13.5" thickBot="1" x14ac:dyDescent="0.3">
      <c r="A3" s="1690" t="s">
        <v>1268</v>
      </c>
      <c r="B3" s="1691"/>
    </row>
    <row r="4" spans="1:2" ht="13.5" thickBot="1" x14ac:dyDescent="0.3">
      <c r="A4" s="711" t="s">
        <v>1795</v>
      </c>
      <c r="B4" s="711" t="s">
        <v>1270</v>
      </c>
    </row>
    <row r="5" spans="1:2" ht="26.25" thickBot="1" x14ac:dyDescent="0.3">
      <c r="A5" s="712" t="s">
        <v>1796</v>
      </c>
      <c r="B5" s="713" t="s">
        <v>1797</v>
      </c>
    </row>
    <row r="6" spans="1:2" ht="14.25" thickTop="1" thickBot="1" x14ac:dyDescent="0.3">
      <c r="A6" s="714" t="s">
        <v>1798</v>
      </c>
      <c r="B6" s="713" t="s">
        <v>1799</v>
      </c>
    </row>
    <row r="7" spans="1:2" ht="27" thickTop="1" thickBot="1" x14ac:dyDescent="0.3">
      <c r="A7" s="714" t="s">
        <v>1800</v>
      </c>
      <c r="B7" s="715" t="s">
        <v>1801</v>
      </c>
    </row>
    <row r="8" spans="1:2" ht="52.5" thickTop="1" thickBot="1" x14ac:dyDescent="0.3">
      <c r="A8" s="714" t="s">
        <v>1802</v>
      </c>
      <c r="B8" s="713" t="s">
        <v>1803</v>
      </c>
    </row>
    <row r="9" spans="1:2" ht="52.5" thickTop="1" thickBot="1" x14ac:dyDescent="0.3">
      <c r="A9" s="716" t="s">
        <v>1804</v>
      </c>
      <c r="B9" s="713" t="s">
        <v>1805</v>
      </c>
    </row>
    <row r="10" spans="1:2" ht="27" thickTop="1" thickBot="1" x14ac:dyDescent="0.3">
      <c r="A10" s="716" t="s">
        <v>1806</v>
      </c>
      <c r="B10" s="713" t="s">
        <v>1807</v>
      </c>
    </row>
    <row r="11" spans="1:2" ht="27" thickTop="1" thickBot="1" x14ac:dyDescent="0.3">
      <c r="A11" s="717" t="s">
        <v>1808</v>
      </c>
      <c r="B11" s="715" t="s">
        <v>1809</v>
      </c>
    </row>
    <row r="12" spans="1:2" ht="27" thickTop="1" thickBot="1" x14ac:dyDescent="0.3">
      <c r="A12" s="714" t="s">
        <v>1810</v>
      </c>
      <c r="B12" s="715" t="s">
        <v>1811</v>
      </c>
    </row>
    <row r="13" spans="1:2" ht="90.75" thickTop="1" thickBot="1" x14ac:dyDescent="0.3">
      <c r="A13" s="717" t="s">
        <v>1812</v>
      </c>
      <c r="B13" s="713" t="s">
        <v>1813</v>
      </c>
    </row>
    <row r="14" spans="1:2" ht="39.75" thickTop="1" thickBot="1" x14ac:dyDescent="0.3">
      <c r="A14" s="717" t="s">
        <v>1814</v>
      </c>
      <c r="B14" s="713" t="s">
        <v>1815</v>
      </c>
    </row>
    <row r="15" spans="1:2" ht="78" thickTop="1" thickBot="1" x14ac:dyDescent="0.3">
      <c r="A15" s="718" t="s">
        <v>1816</v>
      </c>
      <c r="B15" s="715" t="s">
        <v>1817</v>
      </c>
    </row>
    <row r="16" spans="1:2" ht="14.25" thickTop="1" thickBot="1" x14ac:dyDescent="0.3">
      <c r="A16" s="714" t="s">
        <v>1818</v>
      </c>
      <c r="B16" s="715" t="s">
        <v>1819</v>
      </c>
    </row>
    <row r="17" spans="1:2" ht="27" thickTop="1" thickBot="1" x14ac:dyDescent="0.3">
      <c r="A17" s="719" t="s">
        <v>1820</v>
      </c>
      <c r="B17" s="715" t="s">
        <v>1821</v>
      </c>
    </row>
    <row r="18" spans="1:2" ht="27" thickTop="1" thickBot="1" x14ac:dyDescent="0.3">
      <c r="A18" s="714" t="s">
        <v>1822</v>
      </c>
      <c r="B18" s="720" t="s">
        <v>1823</v>
      </c>
    </row>
    <row r="19" spans="1:2" ht="13.5" thickTop="1" x14ac:dyDescent="0.25"/>
  </sheetData>
  <mergeCells count="3">
    <mergeCell ref="A1:B1"/>
    <mergeCell ref="A2:B2"/>
    <mergeCell ref="A3:B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17"/>
  <sheetViews>
    <sheetView topLeftCell="K5" zoomScale="81" zoomScaleNormal="130" zoomScaleSheetLayoutView="100" workbookViewId="0">
      <pane xSplit="1" ySplit="2" topLeftCell="L490" activePane="bottomRight" state="frozen"/>
      <selection activeCell="K5" sqref="K5"/>
      <selection pane="topRight" activeCell="L5" sqref="L5"/>
      <selection pane="bottomLeft" activeCell="K8" sqref="K8"/>
      <selection pane="bottomRight" activeCell="K31" sqref="K31"/>
    </sheetView>
  </sheetViews>
  <sheetFormatPr baseColWidth="10" defaultRowHeight="36" customHeight="1" x14ac:dyDescent="0.25"/>
  <cols>
    <col min="1" max="1" width="10" style="774" customWidth="1"/>
    <col min="2" max="2" width="14.7109375" style="774" customWidth="1"/>
    <col min="3" max="3" width="14.140625" style="774" customWidth="1"/>
    <col min="4" max="4" width="16.140625" style="774" customWidth="1"/>
    <col min="5" max="5" width="11.42578125" style="774"/>
    <col min="6" max="10" width="11.42578125" style="778"/>
    <col min="11" max="11" width="86.42578125" style="774" customWidth="1"/>
    <col min="12" max="12" width="18.7109375" style="774" customWidth="1"/>
    <col min="13" max="14" width="17.28515625" style="774" customWidth="1"/>
    <col min="15" max="15" width="19.5703125" style="774" bestFit="1" customWidth="1"/>
    <col min="16" max="16" width="25.7109375" style="774" customWidth="1"/>
    <col min="17" max="19" width="18.85546875" style="774" customWidth="1"/>
    <col min="20" max="21" width="19.28515625" style="774" customWidth="1"/>
    <col min="22" max="22" width="19.5703125" style="774" bestFit="1" customWidth="1"/>
    <col min="23" max="23" width="16.85546875" style="774" bestFit="1" customWidth="1"/>
    <col min="24" max="24" width="26.85546875" style="774" customWidth="1"/>
    <col min="25" max="25" width="29.140625" style="774" customWidth="1"/>
    <col min="26" max="26" width="36.140625" style="774" customWidth="1"/>
    <col min="27" max="16384" width="11.42578125" style="774"/>
  </cols>
  <sheetData>
    <row r="1" spans="1:26" ht="109.5" customHeight="1" thickBot="1" x14ac:dyDescent="0.3">
      <c r="A1" s="1662"/>
      <c r="B1" s="1663"/>
      <c r="C1" s="1663"/>
      <c r="D1" s="1663"/>
      <c r="E1" s="1663"/>
      <c r="F1" s="1664"/>
      <c r="G1" s="1664"/>
      <c r="H1" s="1664"/>
      <c r="I1" s="1663"/>
      <c r="J1" s="1663"/>
      <c r="K1" s="1663"/>
      <c r="L1" s="1663"/>
      <c r="M1" s="1663"/>
      <c r="N1" s="1663"/>
      <c r="O1" s="1663"/>
      <c r="P1" s="1663"/>
      <c r="Q1" s="1663"/>
      <c r="R1" s="1663"/>
      <c r="S1" s="1663"/>
      <c r="T1" s="1663"/>
      <c r="U1" s="1663"/>
      <c r="V1" s="1663"/>
      <c r="W1" s="1663"/>
      <c r="X1" s="1665"/>
    </row>
    <row r="2" spans="1:26" ht="26.25" customHeight="1" x14ac:dyDescent="0.25">
      <c r="A2" s="1666" t="s">
        <v>1710</v>
      </c>
      <c r="B2" s="1667"/>
      <c r="C2" s="1667"/>
      <c r="D2" s="1667"/>
      <c r="E2" s="1667"/>
      <c r="F2" s="1692"/>
      <c r="G2" s="1692"/>
      <c r="H2" s="1692"/>
      <c r="I2" s="1667"/>
      <c r="J2" s="1667"/>
      <c r="K2" s="1667"/>
      <c r="L2" s="1667"/>
      <c r="M2" s="1667"/>
      <c r="N2" s="1667"/>
      <c r="O2" s="1667"/>
      <c r="P2" s="1667"/>
      <c r="Q2" s="1667"/>
      <c r="R2" s="1667"/>
      <c r="S2" s="1667"/>
      <c r="T2" s="1667"/>
      <c r="U2" s="1667"/>
      <c r="V2" s="1667"/>
      <c r="W2" s="1667"/>
      <c r="X2" s="1669"/>
    </row>
    <row r="3" spans="1:26" ht="26.25" customHeight="1" x14ac:dyDescent="0.25">
      <c r="A3" s="1670" t="s">
        <v>1351</v>
      </c>
      <c r="B3" s="1671"/>
      <c r="C3" s="1671"/>
      <c r="D3" s="1671"/>
      <c r="E3" s="1671"/>
      <c r="F3" s="1693"/>
      <c r="G3" s="1693"/>
      <c r="H3" s="1693"/>
      <c r="I3" s="1671"/>
      <c r="J3" s="1671"/>
      <c r="K3" s="1671"/>
      <c r="L3" s="1671"/>
      <c r="M3" s="1671"/>
      <c r="N3" s="1671"/>
      <c r="O3" s="1671"/>
      <c r="P3" s="1671"/>
      <c r="Q3" s="1671"/>
      <c r="R3" s="1671"/>
      <c r="S3" s="1671"/>
      <c r="T3" s="1671"/>
      <c r="U3" s="1671"/>
      <c r="V3" s="1671"/>
      <c r="W3" s="1671"/>
      <c r="X3" s="1673"/>
    </row>
    <row r="4" spans="1:26" ht="26.25" customHeight="1" thickBot="1" x14ac:dyDescent="0.3">
      <c r="A4" s="1674" t="s">
        <v>1296</v>
      </c>
      <c r="B4" s="1675"/>
      <c r="C4" s="1675"/>
      <c r="D4" s="1675"/>
      <c r="E4" s="1675"/>
      <c r="F4" s="1694"/>
      <c r="G4" s="1694"/>
      <c r="H4" s="1694"/>
      <c r="I4" s="1675"/>
      <c r="J4" s="1675"/>
      <c r="K4" s="1675"/>
      <c r="L4" s="1675"/>
      <c r="M4" s="1675"/>
      <c r="N4" s="1675"/>
      <c r="O4" s="1675"/>
      <c r="P4" s="1675"/>
      <c r="Q4" s="1675"/>
      <c r="R4" s="1675"/>
      <c r="S4" s="1675"/>
      <c r="T4" s="1675"/>
      <c r="U4" s="1675"/>
      <c r="V4" s="1675"/>
      <c r="W4" s="1675"/>
      <c r="X4" s="1677"/>
    </row>
    <row r="5" spans="1:26" ht="36" customHeight="1" thickBot="1" x14ac:dyDescent="0.3">
      <c r="A5" s="1678" t="s">
        <v>1352</v>
      </c>
      <c r="B5" s="1679"/>
      <c r="C5" s="1679"/>
      <c r="D5" s="1679"/>
      <c r="E5" s="1679"/>
      <c r="F5" s="1679"/>
      <c r="G5" s="1679"/>
      <c r="H5" s="1679"/>
      <c r="I5" s="1680"/>
      <c r="J5" s="1391"/>
      <c r="K5" s="1658" t="s">
        <v>1353</v>
      </c>
      <c r="L5" s="1658" t="s">
        <v>1354</v>
      </c>
      <c r="M5" s="1681" t="s">
        <v>1355</v>
      </c>
      <c r="N5" s="1681"/>
      <c r="O5" s="1658" t="s">
        <v>1356</v>
      </c>
      <c r="P5" s="1695" t="s">
        <v>1357</v>
      </c>
      <c r="Q5" s="1696"/>
      <c r="R5" s="1696"/>
      <c r="S5" s="1696"/>
      <c r="T5" s="1697"/>
      <c r="U5" s="1392"/>
    </row>
    <row r="6" spans="1:26" s="597" customFormat="1" ht="36" customHeight="1" thickTop="1" thickBot="1" x14ac:dyDescent="0.3">
      <c r="A6" s="591" t="s">
        <v>1364</v>
      </c>
      <c r="B6" s="591" t="s">
        <v>1297</v>
      </c>
      <c r="C6" s="592" t="s">
        <v>1365</v>
      </c>
      <c r="D6" s="591" t="s">
        <v>1301</v>
      </c>
      <c r="E6" s="591" t="s">
        <v>1366</v>
      </c>
      <c r="F6" s="591" t="s">
        <v>1367</v>
      </c>
      <c r="G6" s="591" t="s">
        <v>1368</v>
      </c>
      <c r="H6" s="591" t="s">
        <v>1369</v>
      </c>
      <c r="I6" s="776" t="s">
        <v>1370</v>
      </c>
      <c r="J6" s="776"/>
      <c r="K6" s="1659"/>
      <c r="L6" s="1659"/>
      <c r="M6" s="1390" t="s">
        <v>1371</v>
      </c>
      <c r="N6" s="595" t="s">
        <v>1372</v>
      </c>
      <c r="O6" s="1659"/>
      <c r="P6" s="596" t="s">
        <v>1373</v>
      </c>
      <c r="Q6" s="1390" t="s">
        <v>1374</v>
      </c>
      <c r="R6" s="596" t="s">
        <v>1375</v>
      </c>
      <c r="S6" s="1426" t="s">
        <v>3548</v>
      </c>
      <c r="T6" s="596" t="s">
        <v>1376</v>
      </c>
      <c r="U6" s="1392" t="s">
        <v>1358</v>
      </c>
      <c r="V6" s="1427" t="s">
        <v>1359</v>
      </c>
      <c r="W6" s="1427" t="s">
        <v>1360</v>
      </c>
      <c r="X6" s="1427" t="s">
        <v>1361</v>
      </c>
      <c r="Y6" s="1427" t="s">
        <v>1362</v>
      </c>
      <c r="Z6" s="1393" t="s">
        <v>1363</v>
      </c>
    </row>
    <row r="7" spans="1:26" s="183" customFormat="1" ht="22.5" customHeight="1" thickTop="1" thickBot="1" x14ac:dyDescent="0.3">
      <c r="A7" s="1428" t="s">
        <v>1377</v>
      </c>
      <c r="B7" s="1428"/>
      <c r="C7" s="1428"/>
      <c r="D7" s="1428"/>
      <c r="E7" s="1428"/>
      <c r="F7" s="1428"/>
      <c r="G7" s="1428"/>
      <c r="H7" s="1428"/>
      <c r="I7" s="1429"/>
      <c r="J7" s="1429"/>
      <c r="K7" s="601" t="s">
        <v>1378</v>
      </c>
      <c r="L7" s="1205">
        <f>+L8+L697+L703+L709+L710</f>
        <v>45443700241.169998</v>
      </c>
      <c r="M7" s="1205">
        <f>+M8+M697+M703+M709+M710</f>
        <v>4106292000</v>
      </c>
      <c r="N7" s="1205">
        <f>+N8+N697+N703+N709+N710</f>
        <v>0</v>
      </c>
      <c r="O7" s="1206">
        <f>L7+M7-N7</f>
        <v>49549992241.169998</v>
      </c>
      <c r="P7" s="1205">
        <f t="shared" ref="P7:V7" si="0">+P8+P697+P703+P709+P710</f>
        <v>9496884356</v>
      </c>
      <c r="Q7" s="1205">
        <f t="shared" si="0"/>
        <v>37851527185.169998</v>
      </c>
      <c r="R7" s="1205">
        <f t="shared" si="0"/>
        <v>1481377600</v>
      </c>
      <c r="S7" s="1205">
        <f t="shared" si="0"/>
        <v>720203100</v>
      </c>
      <c r="T7" s="1205">
        <f t="shared" si="0"/>
        <v>0</v>
      </c>
      <c r="U7" s="1205">
        <f t="shared" si="0"/>
        <v>8161784588.249999</v>
      </c>
      <c r="V7" s="1205">
        <f t="shared" si="0"/>
        <v>37726799419.739998</v>
      </c>
      <c r="W7" s="603">
        <f t="shared" ref="W7:W70" si="1">V7/O7</f>
        <v>0.76138860398031771</v>
      </c>
      <c r="X7" s="788" t="s">
        <v>1983</v>
      </c>
      <c r="Y7" s="788"/>
    </row>
    <row r="8" spans="1:26" s="183" customFormat="1" ht="22.5" customHeight="1" thickTop="1" thickBot="1" x14ac:dyDescent="0.3">
      <c r="A8" s="1428" t="s">
        <v>1377</v>
      </c>
      <c r="B8" s="1428" t="s">
        <v>1381</v>
      </c>
      <c r="C8" s="1428"/>
      <c r="D8" s="1428"/>
      <c r="E8" s="1428"/>
      <c r="F8" s="1428"/>
      <c r="G8" s="1428"/>
      <c r="H8" s="1428"/>
      <c r="I8" s="1429"/>
      <c r="J8" s="1429"/>
      <c r="K8" s="601" t="s">
        <v>1955</v>
      </c>
      <c r="L8" s="1205">
        <f>+L9+L319</f>
        <v>15124566000</v>
      </c>
      <c r="M8" s="1205">
        <f>+M9+M319</f>
        <v>4106292000</v>
      </c>
      <c r="N8" s="1205">
        <f>+N9+N319</f>
        <v>0</v>
      </c>
      <c r="O8" s="1206">
        <f t="shared" ref="O8:O71" si="2">L8+M8-N8</f>
        <v>19230858000</v>
      </c>
      <c r="P8" s="1205">
        <f t="shared" ref="P8:V8" si="3">+P9+P319</f>
        <v>5036104620</v>
      </c>
      <c r="Q8" s="1205">
        <f t="shared" si="3"/>
        <v>11993172680</v>
      </c>
      <c r="R8" s="1205">
        <f t="shared" si="3"/>
        <v>1481377600</v>
      </c>
      <c r="S8" s="1205">
        <f t="shared" si="3"/>
        <v>720203100</v>
      </c>
      <c r="T8" s="1205">
        <f t="shared" si="3"/>
        <v>0</v>
      </c>
      <c r="U8" s="1205">
        <f t="shared" si="3"/>
        <v>8161784588.249999</v>
      </c>
      <c r="V8" s="1205">
        <f t="shared" si="3"/>
        <v>9784664949.5699997</v>
      </c>
      <c r="W8" s="603">
        <f t="shared" si="1"/>
        <v>0.50880022875578401</v>
      </c>
      <c r="X8" s="788"/>
      <c r="Y8" s="788"/>
    </row>
    <row r="9" spans="1:26" s="183" customFormat="1" ht="22.5" customHeight="1" thickTop="1" thickBot="1" x14ac:dyDescent="0.3">
      <c r="A9" s="1430">
        <v>1</v>
      </c>
      <c r="B9" s="1431" t="s">
        <v>1381</v>
      </c>
      <c r="C9" s="1431" t="s">
        <v>1381</v>
      </c>
      <c r="D9" s="1431"/>
      <c r="E9" s="1431"/>
      <c r="F9" s="1431"/>
      <c r="G9" s="1431"/>
      <c r="H9" s="1431"/>
      <c r="I9" s="1431"/>
      <c r="J9" s="1431"/>
      <c r="K9" s="1432" t="s">
        <v>1382</v>
      </c>
      <c r="L9" s="1207">
        <f>+L10+L37</f>
        <v>15124566000</v>
      </c>
      <c r="M9" s="1207">
        <f t="shared" ref="M9:V9" si="4">+M10+M37</f>
        <v>4106292000</v>
      </c>
      <c r="N9" s="1207">
        <f t="shared" si="4"/>
        <v>0</v>
      </c>
      <c r="O9" s="1206">
        <f t="shared" si="2"/>
        <v>19230858000</v>
      </c>
      <c r="P9" s="1207">
        <f t="shared" si="4"/>
        <v>5036104620</v>
      </c>
      <c r="Q9" s="1207">
        <f t="shared" si="4"/>
        <v>11993172680</v>
      </c>
      <c r="R9" s="1207">
        <f t="shared" si="4"/>
        <v>1481377600</v>
      </c>
      <c r="S9" s="1207">
        <f t="shared" si="4"/>
        <v>720203100</v>
      </c>
      <c r="T9" s="1207">
        <f t="shared" si="4"/>
        <v>0</v>
      </c>
      <c r="U9" s="1207">
        <f t="shared" si="4"/>
        <v>8161784588.249999</v>
      </c>
      <c r="V9" s="1207">
        <f t="shared" si="4"/>
        <v>9784664949.5699997</v>
      </c>
      <c r="W9" s="610">
        <f t="shared" si="1"/>
        <v>0.50880022875578401</v>
      </c>
      <c r="X9" s="788" t="s">
        <v>1383</v>
      </c>
      <c r="Y9" s="788" t="s">
        <v>1982</v>
      </c>
    </row>
    <row r="10" spans="1:26" s="183" customFormat="1" ht="22.5" customHeight="1" thickTop="1" thickBot="1" x14ac:dyDescent="0.3">
      <c r="A10" s="1433">
        <v>1</v>
      </c>
      <c r="B10" s="1434" t="s">
        <v>1381</v>
      </c>
      <c r="C10" s="1434" t="s">
        <v>1381</v>
      </c>
      <c r="D10" s="1434" t="s">
        <v>1381</v>
      </c>
      <c r="E10" s="1434"/>
      <c r="F10" s="1434"/>
      <c r="G10" s="1434"/>
      <c r="H10" s="1434"/>
      <c r="I10" s="1434"/>
      <c r="J10" s="1434"/>
      <c r="K10" s="1435" t="s">
        <v>1384</v>
      </c>
      <c r="L10" s="1208">
        <f>+L11</f>
        <v>4469841000</v>
      </c>
      <c r="M10" s="1208">
        <f t="shared" ref="M10:V11" si="5">+M11</f>
        <v>892328000</v>
      </c>
      <c r="N10" s="1208">
        <f t="shared" si="5"/>
        <v>0</v>
      </c>
      <c r="O10" s="1206">
        <f t="shared" si="2"/>
        <v>5362169000</v>
      </c>
      <c r="P10" s="1208">
        <f t="shared" si="5"/>
        <v>2244427020</v>
      </c>
      <c r="Q10" s="1208">
        <f t="shared" si="5"/>
        <v>3117741980</v>
      </c>
      <c r="R10" s="1208">
        <f t="shared" si="5"/>
        <v>0</v>
      </c>
      <c r="S10" s="1208"/>
      <c r="T10" s="1208">
        <f t="shared" si="5"/>
        <v>0</v>
      </c>
      <c r="U10" s="1208">
        <f t="shared" si="5"/>
        <v>0</v>
      </c>
      <c r="V10" s="1208">
        <f t="shared" si="5"/>
        <v>3936693241</v>
      </c>
      <c r="W10" s="617">
        <f t="shared" si="1"/>
        <v>0.73416060571757435</v>
      </c>
      <c r="X10" s="788" t="s">
        <v>1385</v>
      </c>
      <c r="Y10" s="788" t="s">
        <v>1386</v>
      </c>
    </row>
    <row r="11" spans="1:26" s="183" customFormat="1" ht="22.5" customHeight="1" thickTop="1" thickBot="1" x14ac:dyDescent="0.3">
      <c r="A11" s="1436" t="s">
        <v>1377</v>
      </c>
      <c r="B11" s="1437" t="s">
        <v>1381</v>
      </c>
      <c r="C11" s="1437" t="s">
        <v>1381</v>
      </c>
      <c r="D11" s="1437" t="s">
        <v>1381</v>
      </c>
      <c r="E11" s="1437" t="s">
        <v>1381</v>
      </c>
      <c r="F11" s="1437"/>
      <c r="G11" s="1437"/>
      <c r="H11" s="1437"/>
      <c r="I11" s="1437"/>
      <c r="J11" s="1437"/>
      <c r="K11" s="1438" t="s">
        <v>1387</v>
      </c>
      <c r="L11" s="1209">
        <f>+L12</f>
        <v>4469841000</v>
      </c>
      <c r="M11" s="1209">
        <f t="shared" si="5"/>
        <v>892328000</v>
      </c>
      <c r="N11" s="1209">
        <f t="shared" si="5"/>
        <v>0</v>
      </c>
      <c r="O11" s="1206">
        <f t="shared" si="2"/>
        <v>5362169000</v>
      </c>
      <c r="P11" s="1209">
        <f t="shared" si="5"/>
        <v>2244427020</v>
      </c>
      <c r="Q11" s="1209">
        <f t="shared" si="5"/>
        <v>3117741980</v>
      </c>
      <c r="R11" s="1209">
        <f t="shared" si="5"/>
        <v>0</v>
      </c>
      <c r="S11" s="1209"/>
      <c r="T11" s="1209">
        <f t="shared" si="5"/>
        <v>0</v>
      </c>
      <c r="U11" s="1209">
        <f t="shared" si="5"/>
        <v>0</v>
      </c>
      <c r="V11" s="1209">
        <f t="shared" si="5"/>
        <v>3936693241</v>
      </c>
      <c r="W11" s="777">
        <f t="shared" si="1"/>
        <v>0.73416060571757435</v>
      </c>
      <c r="X11" s="788" t="s">
        <v>1388</v>
      </c>
      <c r="Y11" s="788" t="s">
        <v>1389</v>
      </c>
    </row>
    <row r="12" spans="1:26" s="183" customFormat="1" ht="22.5" customHeight="1" thickTop="1" thickBot="1" x14ac:dyDescent="0.3">
      <c r="A12" s="1439">
        <v>1</v>
      </c>
      <c r="B12" s="1440" t="s">
        <v>1381</v>
      </c>
      <c r="C12" s="1440" t="s">
        <v>1381</v>
      </c>
      <c r="D12" s="1440" t="s">
        <v>1381</v>
      </c>
      <c r="E12" s="1440" t="s">
        <v>1381</v>
      </c>
      <c r="F12" s="1440" t="s">
        <v>1381</v>
      </c>
      <c r="G12" s="1440"/>
      <c r="H12" s="1440"/>
      <c r="I12" s="1440"/>
      <c r="J12" s="1440"/>
      <c r="K12" s="770" t="s">
        <v>1968</v>
      </c>
      <c r="L12" s="1206">
        <f>+L13+L25</f>
        <v>4469841000</v>
      </c>
      <c r="M12" s="1206">
        <f t="shared" ref="M12:V12" si="6">+M13+M25</f>
        <v>892328000</v>
      </c>
      <c r="N12" s="1206">
        <f t="shared" si="6"/>
        <v>0</v>
      </c>
      <c r="O12" s="1206">
        <f t="shared" si="2"/>
        <v>5362169000</v>
      </c>
      <c r="P12" s="1206">
        <f t="shared" si="6"/>
        <v>2244427020</v>
      </c>
      <c r="Q12" s="1206">
        <f t="shared" si="6"/>
        <v>3117741980</v>
      </c>
      <c r="R12" s="1206">
        <f t="shared" si="6"/>
        <v>0</v>
      </c>
      <c r="S12" s="1206"/>
      <c r="T12" s="1206">
        <f t="shared" si="6"/>
        <v>0</v>
      </c>
      <c r="U12" s="1206">
        <f t="shared" si="6"/>
        <v>0</v>
      </c>
      <c r="V12" s="1206">
        <f t="shared" si="6"/>
        <v>3936693241</v>
      </c>
      <c r="W12" s="779">
        <f t="shared" si="1"/>
        <v>0.73416060571757435</v>
      </c>
      <c r="X12" s="788" t="s">
        <v>1978</v>
      </c>
      <c r="Y12" s="788" t="s">
        <v>1979</v>
      </c>
    </row>
    <row r="13" spans="1:26" ht="22.5" customHeight="1" thickTop="1" thickBot="1" x14ac:dyDescent="0.3">
      <c r="A13" s="1441">
        <v>1</v>
      </c>
      <c r="B13" s="1442" t="s">
        <v>1381</v>
      </c>
      <c r="C13" s="1442" t="s">
        <v>1381</v>
      </c>
      <c r="D13" s="1442" t="s">
        <v>1381</v>
      </c>
      <c r="E13" s="1442" t="s">
        <v>1381</v>
      </c>
      <c r="F13" s="1442" t="s">
        <v>1381</v>
      </c>
      <c r="G13" s="1443">
        <v>1</v>
      </c>
      <c r="H13" s="1442"/>
      <c r="I13" s="1442"/>
      <c r="J13" s="1442"/>
      <c r="K13" s="770" t="s">
        <v>1969</v>
      </c>
      <c r="L13" s="1206">
        <f>SUM(L14:L24)</f>
        <v>4469841000</v>
      </c>
      <c r="M13" s="1206">
        <f>SUM(M14:M24)</f>
        <v>892328000</v>
      </c>
      <c r="N13" s="1206">
        <f t="shared" ref="N13:V13" si="7">SUM(N14:N24)</f>
        <v>0</v>
      </c>
      <c r="O13" s="1206">
        <f t="shared" si="2"/>
        <v>5362169000</v>
      </c>
      <c r="P13" s="1211">
        <v>2244427020</v>
      </c>
      <c r="Q13" s="1210">
        <v>3117741980</v>
      </c>
      <c r="R13" s="1206">
        <f t="shared" si="7"/>
        <v>0</v>
      </c>
      <c r="S13" s="1206"/>
      <c r="T13" s="1206"/>
      <c r="U13" s="1206">
        <f t="shared" si="7"/>
        <v>0</v>
      </c>
      <c r="V13" s="1206">
        <f t="shared" si="7"/>
        <v>3936693241</v>
      </c>
      <c r="W13" s="780">
        <f t="shared" si="1"/>
        <v>0.73416060571757435</v>
      </c>
      <c r="X13" s="788" t="s">
        <v>1980</v>
      </c>
      <c r="Y13" s="788" t="s">
        <v>1979</v>
      </c>
    </row>
    <row r="14" spans="1:26" ht="22.5" customHeight="1" thickTop="1" thickBot="1" x14ac:dyDescent="0.3">
      <c r="A14" s="1441"/>
      <c r="B14" s="1442"/>
      <c r="C14" s="1442" t="s">
        <v>1381</v>
      </c>
      <c r="D14" s="1442" t="s">
        <v>1381</v>
      </c>
      <c r="E14" s="1442" t="s">
        <v>1381</v>
      </c>
      <c r="F14" s="1442" t="s">
        <v>1381</v>
      </c>
      <c r="G14" s="1443">
        <v>1</v>
      </c>
      <c r="H14" s="1442" t="s">
        <v>1381</v>
      </c>
      <c r="I14" s="1442"/>
      <c r="J14" s="1442"/>
      <c r="K14" s="771" t="s">
        <v>2077</v>
      </c>
      <c r="L14" s="1211"/>
      <c r="M14" s="1211"/>
      <c r="N14" s="1211"/>
      <c r="O14" s="1206">
        <f t="shared" si="2"/>
        <v>0</v>
      </c>
      <c r="P14" s="1211"/>
      <c r="Q14" s="1211"/>
      <c r="R14" s="1211"/>
      <c r="S14" s="1211"/>
      <c r="T14" s="1211"/>
      <c r="U14" s="1211"/>
      <c r="V14" s="1211"/>
      <c r="W14" s="779" t="e">
        <f t="shared" si="1"/>
        <v>#DIV/0!</v>
      </c>
      <c r="X14" s="788"/>
      <c r="Y14" s="788"/>
    </row>
    <row r="15" spans="1:26" ht="22.5" customHeight="1" thickTop="1" thickBot="1" x14ac:dyDescent="0.3">
      <c r="A15" s="1441"/>
      <c r="B15" s="1442"/>
      <c r="C15" s="1442" t="s">
        <v>1381</v>
      </c>
      <c r="D15" s="1442" t="s">
        <v>1381</v>
      </c>
      <c r="E15" s="1442" t="s">
        <v>1381</v>
      </c>
      <c r="F15" s="1442" t="s">
        <v>1381</v>
      </c>
      <c r="G15" s="1443">
        <v>1</v>
      </c>
      <c r="H15" s="1442" t="s">
        <v>1394</v>
      </c>
      <c r="I15" s="1442"/>
      <c r="J15" s="1442"/>
      <c r="K15" s="771" t="s">
        <v>2103</v>
      </c>
      <c r="L15" s="1212">
        <v>4461841000</v>
      </c>
      <c r="M15" s="1211"/>
      <c r="N15" s="1211"/>
      <c r="O15" s="1206">
        <f t="shared" si="2"/>
        <v>4461841000</v>
      </c>
      <c r="P15" s="1211"/>
      <c r="Q15" s="1211"/>
      <c r="R15" s="1211"/>
      <c r="S15" s="1211"/>
      <c r="T15" s="1211"/>
      <c r="U15" s="1211"/>
      <c r="V15" s="1211">
        <v>3043508155</v>
      </c>
      <c r="W15" s="779">
        <f t="shared" si="1"/>
        <v>0.68211936619884039</v>
      </c>
      <c r="X15" s="788"/>
      <c r="Y15" s="788"/>
    </row>
    <row r="16" spans="1:26" ht="22.5" customHeight="1" thickTop="1" thickBot="1" x14ac:dyDescent="0.3">
      <c r="A16" s="1441"/>
      <c r="B16" s="1442"/>
      <c r="C16" s="1442" t="s">
        <v>1381</v>
      </c>
      <c r="D16" s="1442" t="s">
        <v>1381</v>
      </c>
      <c r="E16" s="1442" t="s">
        <v>1381</v>
      </c>
      <c r="F16" s="1442" t="s">
        <v>1381</v>
      </c>
      <c r="G16" s="1443">
        <v>1</v>
      </c>
      <c r="H16" s="1442" t="s">
        <v>1418</v>
      </c>
      <c r="I16" s="1442"/>
      <c r="J16" s="1442"/>
      <c r="K16" s="771" t="s">
        <v>2074</v>
      </c>
      <c r="L16" s="1212">
        <v>8000000</v>
      </c>
      <c r="M16" s="1211"/>
      <c r="N16" s="1211"/>
      <c r="O16" s="1206">
        <f t="shared" si="2"/>
        <v>8000000</v>
      </c>
      <c r="P16" s="1211"/>
      <c r="Q16" s="1211"/>
      <c r="R16" s="1211"/>
      <c r="S16" s="1211"/>
      <c r="T16" s="1211"/>
      <c r="U16" s="1211"/>
      <c r="V16" s="1211">
        <v>857086</v>
      </c>
      <c r="W16" s="779">
        <f t="shared" si="1"/>
        <v>0.10713575</v>
      </c>
      <c r="X16" s="788"/>
      <c r="Y16" s="788"/>
    </row>
    <row r="17" spans="1:25" ht="22.5" customHeight="1" thickTop="1" thickBot="1" x14ac:dyDescent="0.3">
      <c r="A17" s="1441"/>
      <c r="B17" s="1442"/>
      <c r="C17" s="1442" t="s">
        <v>1381</v>
      </c>
      <c r="D17" s="1442" t="s">
        <v>1381</v>
      </c>
      <c r="E17" s="1442" t="s">
        <v>1381</v>
      </c>
      <c r="F17" s="1442" t="s">
        <v>1381</v>
      </c>
      <c r="G17" s="1443">
        <v>1</v>
      </c>
      <c r="H17" s="1442" t="s">
        <v>1422</v>
      </c>
      <c r="I17" s="1442"/>
      <c r="J17" s="1442"/>
      <c r="K17" s="771" t="s">
        <v>2075</v>
      </c>
      <c r="L17" s="1213"/>
      <c r="M17" s="1211"/>
      <c r="N17" s="1211"/>
      <c r="O17" s="1206">
        <f t="shared" si="2"/>
        <v>0</v>
      </c>
      <c r="P17" s="1211"/>
      <c r="Q17" s="1211"/>
      <c r="R17" s="1211"/>
      <c r="S17" s="1211"/>
      <c r="T17" s="1211"/>
      <c r="U17" s="1211"/>
      <c r="V17" s="1211"/>
      <c r="W17" s="779" t="e">
        <f t="shared" si="1"/>
        <v>#DIV/0!</v>
      </c>
      <c r="X17" s="788"/>
      <c r="Y17" s="788"/>
    </row>
    <row r="18" spans="1:25" ht="22.5" customHeight="1" thickTop="1" thickBot="1" x14ac:dyDescent="0.3">
      <c r="A18" s="1441"/>
      <c r="B18" s="1442"/>
      <c r="C18" s="1442" t="s">
        <v>1381</v>
      </c>
      <c r="D18" s="1442" t="s">
        <v>1381</v>
      </c>
      <c r="E18" s="1442" t="s">
        <v>1381</v>
      </c>
      <c r="F18" s="1442" t="s">
        <v>1381</v>
      </c>
      <c r="G18" s="1443">
        <v>1</v>
      </c>
      <c r="H18" s="1442" t="s">
        <v>1447</v>
      </c>
      <c r="I18" s="1442"/>
      <c r="J18" s="1442"/>
      <c r="K18" s="771" t="s">
        <v>2076</v>
      </c>
      <c r="L18" s="1213"/>
      <c r="M18" s="1211"/>
      <c r="N18" s="1211"/>
      <c r="O18" s="1206">
        <f t="shared" si="2"/>
        <v>0</v>
      </c>
      <c r="P18" s="1211"/>
      <c r="Q18" s="1211"/>
      <c r="R18" s="1211"/>
      <c r="S18" s="1211"/>
      <c r="T18" s="1211"/>
      <c r="U18" s="1211"/>
      <c r="V18" s="1211"/>
      <c r="W18" s="779" t="e">
        <f t="shared" si="1"/>
        <v>#DIV/0!</v>
      </c>
      <c r="X18" s="788"/>
      <c r="Y18" s="788"/>
    </row>
    <row r="19" spans="1:25" ht="22.5" customHeight="1" thickTop="1" thickBot="1" x14ac:dyDescent="0.3">
      <c r="A19" s="1441"/>
      <c r="B19" s="1442"/>
      <c r="C19" s="1442" t="s">
        <v>1381</v>
      </c>
      <c r="D19" s="1442" t="s">
        <v>1381</v>
      </c>
      <c r="E19" s="1442" t="s">
        <v>1381</v>
      </c>
      <c r="F19" s="1442" t="s">
        <v>1381</v>
      </c>
      <c r="G19" s="1443">
        <v>1</v>
      </c>
      <c r="H19" s="1442" t="s">
        <v>1470</v>
      </c>
      <c r="I19" s="1442"/>
      <c r="J19" s="1442"/>
      <c r="K19" s="771" t="s">
        <v>2080</v>
      </c>
      <c r="L19" s="1213"/>
      <c r="M19" s="1211"/>
      <c r="N19" s="1211"/>
      <c r="O19" s="1206">
        <f t="shared" si="2"/>
        <v>0</v>
      </c>
      <c r="P19" s="1211"/>
      <c r="Q19" s="1211"/>
      <c r="R19" s="1211"/>
      <c r="S19" s="1211"/>
      <c r="T19" s="1211"/>
      <c r="U19" s="1211"/>
      <c r="V19" s="1211"/>
      <c r="W19" s="779" t="e">
        <f t="shared" si="1"/>
        <v>#DIV/0!</v>
      </c>
      <c r="X19" s="788"/>
      <c r="Y19" s="788"/>
    </row>
    <row r="20" spans="1:25" ht="22.5" customHeight="1" thickTop="1" thickBot="1" x14ac:dyDescent="0.3">
      <c r="A20" s="1441"/>
      <c r="B20" s="1442"/>
      <c r="C20" s="1442" t="s">
        <v>1381</v>
      </c>
      <c r="D20" s="1442" t="s">
        <v>1381</v>
      </c>
      <c r="E20" s="1442" t="s">
        <v>1381</v>
      </c>
      <c r="F20" s="1442" t="s">
        <v>1381</v>
      </c>
      <c r="G20" s="1443">
        <v>1</v>
      </c>
      <c r="H20" s="1442" t="s">
        <v>1474</v>
      </c>
      <c r="I20" s="1442"/>
      <c r="J20" s="1442"/>
      <c r="K20" s="771" t="s">
        <v>2078</v>
      </c>
      <c r="L20" s="1213"/>
      <c r="M20" s="1211"/>
      <c r="N20" s="1211"/>
      <c r="O20" s="1206">
        <f t="shared" si="2"/>
        <v>0</v>
      </c>
      <c r="P20" s="1211"/>
      <c r="Q20" s="1211"/>
      <c r="R20" s="1211"/>
      <c r="S20" s="1211"/>
      <c r="T20" s="1211"/>
      <c r="U20" s="1211"/>
      <c r="V20" s="1211"/>
      <c r="W20" s="779" t="e">
        <f t="shared" si="1"/>
        <v>#DIV/0!</v>
      </c>
      <c r="X20" s="788"/>
      <c r="Y20" s="788"/>
    </row>
    <row r="21" spans="1:25" ht="22.5" customHeight="1" thickTop="1" thickBot="1" x14ac:dyDescent="0.3">
      <c r="A21" s="1441"/>
      <c r="B21" s="1442"/>
      <c r="C21" s="1442" t="s">
        <v>1381</v>
      </c>
      <c r="D21" s="1442" t="s">
        <v>1381</v>
      </c>
      <c r="E21" s="1442" t="s">
        <v>1381</v>
      </c>
      <c r="F21" s="1442" t="s">
        <v>1381</v>
      </c>
      <c r="G21" s="1443">
        <v>1</v>
      </c>
      <c r="H21" s="1442" t="s">
        <v>1478</v>
      </c>
      <c r="I21" s="1442"/>
      <c r="J21" s="1442"/>
      <c r="K21" s="771" t="s">
        <v>2079</v>
      </c>
      <c r="L21" s="1213"/>
      <c r="M21" s="1212">
        <v>892328000</v>
      </c>
      <c r="N21" s="1211"/>
      <c r="O21" s="1206">
        <f t="shared" si="2"/>
        <v>892328000</v>
      </c>
      <c r="P21" s="1211"/>
      <c r="Q21" s="1211"/>
      <c r="R21" s="1211"/>
      <c r="S21" s="1211"/>
      <c r="T21" s="1211"/>
      <c r="U21" s="1211"/>
      <c r="V21" s="1214">
        <v>892328000</v>
      </c>
      <c r="W21" s="779">
        <f t="shared" si="1"/>
        <v>1</v>
      </c>
      <c r="X21" s="788"/>
      <c r="Y21" s="788"/>
    </row>
    <row r="22" spans="1:25" ht="22.5" customHeight="1" thickTop="1" thickBot="1" x14ac:dyDescent="0.3">
      <c r="A22" s="1441"/>
      <c r="B22" s="1442"/>
      <c r="C22" s="1442" t="s">
        <v>1381</v>
      </c>
      <c r="D22" s="1442" t="s">
        <v>1381</v>
      </c>
      <c r="E22" s="1442" t="s">
        <v>1381</v>
      </c>
      <c r="F22" s="1442" t="s">
        <v>1381</v>
      </c>
      <c r="G22" s="1443">
        <v>1</v>
      </c>
      <c r="H22" s="1442" t="s">
        <v>1576</v>
      </c>
      <c r="I22" s="1442"/>
      <c r="J22" s="1442"/>
      <c r="K22" s="771" t="s">
        <v>2081</v>
      </c>
      <c r="L22" s="1211"/>
      <c r="M22" s="1211"/>
      <c r="N22" s="1211"/>
      <c r="O22" s="1206">
        <f t="shared" si="2"/>
        <v>0</v>
      </c>
      <c r="P22" s="1211"/>
      <c r="Q22" s="1211"/>
      <c r="R22" s="1211"/>
      <c r="S22" s="1211"/>
      <c r="T22" s="1211"/>
      <c r="U22" s="1211"/>
      <c r="V22" s="1211"/>
      <c r="W22" s="779" t="e">
        <f t="shared" si="1"/>
        <v>#DIV/0!</v>
      </c>
      <c r="X22" s="788"/>
      <c r="Y22" s="788"/>
    </row>
    <row r="23" spans="1:25" ht="22.5" customHeight="1" thickTop="1" thickBot="1" x14ac:dyDescent="0.3">
      <c r="A23" s="1441"/>
      <c r="B23" s="1442"/>
      <c r="C23" s="1442" t="s">
        <v>1381</v>
      </c>
      <c r="D23" s="1442" t="s">
        <v>1381</v>
      </c>
      <c r="E23" s="1442" t="s">
        <v>1381</v>
      </c>
      <c r="F23" s="1442" t="s">
        <v>1381</v>
      </c>
      <c r="G23" s="1443">
        <v>1</v>
      </c>
      <c r="H23" s="1442" t="s">
        <v>1577</v>
      </c>
      <c r="I23" s="1442"/>
      <c r="J23" s="1442"/>
      <c r="K23" s="771" t="s">
        <v>2082</v>
      </c>
      <c r="L23" s="1211"/>
      <c r="M23" s="1211"/>
      <c r="N23" s="1211"/>
      <c r="O23" s="1206">
        <f t="shared" si="2"/>
        <v>0</v>
      </c>
      <c r="P23" s="1211"/>
      <c r="Q23" s="1211"/>
      <c r="R23" s="1211"/>
      <c r="S23" s="1211"/>
      <c r="T23" s="1211"/>
      <c r="U23" s="1211"/>
      <c r="V23" s="1211"/>
      <c r="W23" s="779" t="e">
        <f t="shared" si="1"/>
        <v>#DIV/0!</v>
      </c>
      <c r="X23" s="788"/>
      <c r="Y23" s="788"/>
    </row>
    <row r="24" spans="1:25" ht="22.5" customHeight="1" thickTop="1" thickBot="1" x14ac:dyDescent="0.3">
      <c r="A24" s="1441"/>
      <c r="B24" s="1442"/>
      <c r="C24" s="1442" t="s">
        <v>1381</v>
      </c>
      <c r="D24" s="1442" t="s">
        <v>1381</v>
      </c>
      <c r="E24" s="1442" t="s">
        <v>1381</v>
      </c>
      <c r="F24" s="1442" t="s">
        <v>1381</v>
      </c>
      <c r="G24" s="1443">
        <v>1</v>
      </c>
      <c r="H24" s="1442" t="s">
        <v>1578</v>
      </c>
      <c r="I24" s="1442"/>
      <c r="J24" s="1442"/>
      <c r="K24" s="771" t="s">
        <v>2083</v>
      </c>
      <c r="L24" s="1211"/>
      <c r="M24" s="1211"/>
      <c r="N24" s="1211"/>
      <c r="O24" s="1206">
        <f t="shared" si="2"/>
        <v>0</v>
      </c>
      <c r="P24" s="1211"/>
      <c r="Q24" s="1211"/>
      <c r="R24" s="1211"/>
      <c r="S24" s="1211"/>
      <c r="T24" s="1211"/>
      <c r="U24" s="1211"/>
      <c r="V24" s="1211"/>
      <c r="W24" s="779" t="e">
        <f t="shared" si="1"/>
        <v>#DIV/0!</v>
      </c>
      <c r="X24" s="788"/>
      <c r="Y24" s="788"/>
    </row>
    <row r="25" spans="1:25" ht="22.5" customHeight="1" thickTop="1" thickBot="1" x14ac:dyDescent="0.3">
      <c r="A25" s="1441">
        <v>1</v>
      </c>
      <c r="B25" s="1442" t="s">
        <v>1381</v>
      </c>
      <c r="C25" s="1442" t="s">
        <v>1381</v>
      </c>
      <c r="D25" s="1442" t="s">
        <v>1381</v>
      </c>
      <c r="E25" s="1442" t="s">
        <v>1381</v>
      </c>
      <c r="F25" s="1442" t="s">
        <v>1381</v>
      </c>
      <c r="G25" s="1443">
        <v>2</v>
      </c>
      <c r="H25" s="1442"/>
      <c r="I25" s="1442"/>
      <c r="J25" s="1442"/>
      <c r="K25" s="770" t="s">
        <v>1970</v>
      </c>
      <c r="L25" s="1206">
        <f>SUM(L26:L36)</f>
        <v>0</v>
      </c>
      <c r="M25" s="1206">
        <f t="shared" ref="M25:V25" si="8">SUM(M26:M36)</f>
        <v>0</v>
      </c>
      <c r="N25" s="1206">
        <f t="shared" si="8"/>
        <v>0</v>
      </c>
      <c r="O25" s="1206">
        <f t="shared" si="2"/>
        <v>0</v>
      </c>
      <c r="P25" s="1206">
        <f t="shared" si="8"/>
        <v>0</v>
      </c>
      <c r="Q25" s="1206">
        <f t="shared" si="8"/>
        <v>0</v>
      </c>
      <c r="R25" s="1206">
        <f t="shared" si="8"/>
        <v>0</v>
      </c>
      <c r="S25" s="1206"/>
      <c r="T25" s="1206">
        <f t="shared" si="8"/>
        <v>0</v>
      </c>
      <c r="U25" s="1206">
        <f t="shared" si="8"/>
        <v>0</v>
      </c>
      <c r="V25" s="1206">
        <f t="shared" si="8"/>
        <v>0</v>
      </c>
      <c r="W25" s="779" t="e">
        <f t="shared" si="1"/>
        <v>#DIV/0!</v>
      </c>
      <c r="X25" s="788" t="s">
        <v>1981</v>
      </c>
      <c r="Y25" s="788" t="s">
        <v>1979</v>
      </c>
    </row>
    <row r="26" spans="1:25" ht="22.5" customHeight="1" thickTop="1" thickBot="1" x14ac:dyDescent="0.3">
      <c r="A26" s="1441"/>
      <c r="B26" s="1442"/>
      <c r="C26" s="1442" t="s">
        <v>1381</v>
      </c>
      <c r="D26" s="1442" t="s">
        <v>1381</v>
      </c>
      <c r="E26" s="1442" t="s">
        <v>1381</v>
      </c>
      <c r="F26" s="1442" t="s">
        <v>1381</v>
      </c>
      <c r="G26" s="1443">
        <v>2</v>
      </c>
      <c r="H26" s="1442" t="s">
        <v>1381</v>
      </c>
      <c r="I26" s="1442"/>
      <c r="J26" s="1442"/>
      <c r="K26" s="771" t="s">
        <v>2092</v>
      </c>
      <c r="L26" s="1211"/>
      <c r="M26" s="1211"/>
      <c r="N26" s="1211"/>
      <c r="O26" s="1206">
        <f t="shared" si="2"/>
        <v>0</v>
      </c>
      <c r="P26" s="1211"/>
      <c r="Q26" s="1211"/>
      <c r="R26" s="1211"/>
      <c r="S26" s="1211"/>
      <c r="T26" s="1211"/>
      <c r="U26" s="1211"/>
      <c r="V26" s="1211"/>
      <c r="W26" s="779" t="e">
        <f t="shared" si="1"/>
        <v>#DIV/0!</v>
      </c>
      <c r="X26" s="788"/>
      <c r="Y26" s="788"/>
    </row>
    <row r="27" spans="1:25" ht="22.5" customHeight="1" thickTop="1" thickBot="1" x14ac:dyDescent="0.3">
      <c r="A27" s="1441"/>
      <c r="B27" s="1442"/>
      <c r="C27" s="1442" t="s">
        <v>1381</v>
      </c>
      <c r="D27" s="1442" t="s">
        <v>1381</v>
      </c>
      <c r="E27" s="1442" t="s">
        <v>1381</v>
      </c>
      <c r="F27" s="1442" t="s">
        <v>1381</v>
      </c>
      <c r="G27" s="1443">
        <v>2</v>
      </c>
      <c r="H27" s="1442" t="s">
        <v>1394</v>
      </c>
      <c r="I27" s="1442"/>
      <c r="J27" s="1442"/>
      <c r="K27" s="771" t="s">
        <v>2093</v>
      </c>
      <c r="L27" s="1211"/>
      <c r="M27" s="1211"/>
      <c r="N27" s="1211"/>
      <c r="O27" s="1206">
        <f t="shared" si="2"/>
        <v>0</v>
      </c>
      <c r="P27" s="1211"/>
      <c r="Q27" s="1211"/>
      <c r="R27" s="1211"/>
      <c r="S27" s="1211"/>
      <c r="T27" s="1211"/>
      <c r="U27" s="1211"/>
      <c r="V27" s="1211"/>
      <c r="W27" s="779" t="e">
        <f t="shared" si="1"/>
        <v>#DIV/0!</v>
      </c>
      <c r="X27" s="788"/>
      <c r="Y27" s="788"/>
    </row>
    <row r="28" spans="1:25" ht="22.5" customHeight="1" thickTop="1" thickBot="1" x14ac:dyDescent="0.3">
      <c r="A28" s="1441"/>
      <c r="B28" s="1442"/>
      <c r="C28" s="1442" t="s">
        <v>1381</v>
      </c>
      <c r="D28" s="1442" t="s">
        <v>1381</v>
      </c>
      <c r="E28" s="1442" t="s">
        <v>1381</v>
      </c>
      <c r="F28" s="1442" t="s">
        <v>1381</v>
      </c>
      <c r="G28" s="1443">
        <v>2</v>
      </c>
      <c r="H28" s="1442" t="s">
        <v>1418</v>
      </c>
      <c r="I28" s="1442"/>
      <c r="J28" s="1442"/>
      <c r="K28" s="771" t="s">
        <v>2094</v>
      </c>
      <c r="L28" s="1211"/>
      <c r="M28" s="1211"/>
      <c r="N28" s="1211"/>
      <c r="O28" s="1206">
        <f t="shared" si="2"/>
        <v>0</v>
      </c>
      <c r="P28" s="1211"/>
      <c r="Q28" s="1211"/>
      <c r="R28" s="1211"/>
      <c r="S28" s="1211"/>
      <c r="T28" s="1211"/>
      <c r="U28" s="1211"/>
      <c r="V28" s="1211"/>
      <c r="W28" s="779" t="e">
        <f t="shared" si="1"/>
        <v>#DIV/0!</v>
      </c>
      <c r="X28" s="788"/>
      <c r="Y28" s="788"/>
    </row>
    <row r="29" spans="1:25" ht="22.5" customHeight="1" thickTop="1" thickBot="1" x14ac:dyDescent="0.3">
      <c r="A29" s="1441"/>
      <c r="B29" s="1442"/>
      <c r="C29" s="1442" t="s">
        <v>1381</v>
      </c>
      <c r="D29" s="1442" t="s">
        <v>1381</v>
      </c>
      <c r="E29" s="1442" t="s">
        <v>1381</v>
      </c>
      <c r="F29" s="1442" t="s">
        <v>1381</v>
      </c>
      <c r="G29" s="1443">
        <v>2</v>
      </c>
      <c r="H29" s="1442" t="s">
        <v>1422</v>
      </c>
      <c r="I29" s="1442"/>
      <c r="J29" s="1442"/>
      <c r="K29" s="771" t="s">
        <v>2095</v>
      </c>
      <c r="L29" s="1211"/>
      <c r="M29" s="1211"/>
      <c r="N29" s="1211"/>
      <c r="O29" s="1206">
        <f t="shared" si="2"/>
        <v>0</v>
      </c>
      <c r="P29" s="1211"/>
      <c r="Q29" s="1211"/>
      <c r="R29" s="1211"/>
      <c r="S29" s="1211"/>
      <c r="T29" s="1211"/>
      <c r="U29" s="1211"/>
      <c r="V29" s="1211"/>
      <c r="W29" s="779" t="e">
        <f t="shared" si="1"/>
        <v>#DIV/0!</v>
      </c>
      <c r="X29" s="788"/>
      <c r="Y29" s="788"/>
    </row>
    <row r="30" spans="1:25" ht="22.5" customHeight="1" thickTop="1" thickBot="1" x14ac:dyDescent="0.3">
      <c r="A30" s="1441"/>
      <c r="B30" s="1442"/>
      <c r="C30" s="1442" t="s">
        <v>1381</v>
      </c>
      <c r="D30" s="1442" t="s">
        <v>1381</v>
      </c>
      <c r="E30" s="1442" t="s">
        <v>1381</v>
      </c>
      <c r="F30" s="1442" t="s">
        <v>1381</v>
      </c>
      <c r="G30" s="1443">
        <v>2</v>
      </c>
      <c r="H30" s="1442" t="s">
        <v>1447</v>
      </c>
      <c r="I30" s="1442"/>
      <c r="J30" s="1442"/>
      <c r="K30" s="771" t="s">
        <v>2096</v>
      </c>
      <c r="L30" s="1211"/>
      <c r="M30" s="1211"/>
      <c r="N30" s="1211"/>
      <c r="O30" s="1206">
        <f t="shared" si="2"/>
        <v>0</v>
      </c>
      <c r="P30" s="1211"/>
      <c r="Q30" s="1211"/>
      <c r="R30" s="1211"/>
      <c r="S30" s="1211"/>
      <c r="T30" s="1211"/>
      <c r="U30" s="1211"/>
      <c r="V30" s="1211"/>
      <c r="W30" s="779" t="e">
        <f t="shared" si="1"/>
        <v>#DIV/0!</v>
      </c>
      <c r="X30" s="788"/>
      <c r="Y30" s="788"/>
    </row>
    <row r="31" spans="1:25" ht="22.5" customHeight="1" thickTop="1" thickBot="1" x14ac:dyDescent="0.3">
      <c r="A31" s="1441"/>
      <c r="B31" s="1442"/>
      <c r="C31" s="1442" t="s">
        <v>1381</v>
      </c>
      <c r="D31" s="1442" t="s">
        <v>1381</v>
      </c>
      <c r="E31" s="1442" t="s">
        <v>1381</v>
      </c>
      <c r="F31" s="1442" t="s">
        <v>1381</v>
      </c>
      <c r="G31" s="1443">
        <v>2</v>
      </c>
      <c r="H31" s="1442" t="s">
        <v>1470</v>
      </c>
      <c r="I31" s="1442"/>
      <c r="J31" s="1442"/>
      <c r="K31" s="771" t="s">
        <v>2097</v>
      </c>
      <c r="L31" s="1211"/>
      <c r="M31" s="1211"/>
      <c r="N31" s="1211"/>
      <c r="O31" s="1206">
        <f t="shared" si="2"/>
        <v>0</v>
      </c>
      <c r="P31" s="1211"/>
      <c r="Q31" s="1211"/>
      <c r="R31" s="1211"/>
      <c r="S31" s="1211"/>
      <c r="T31" s="1211"/>
      <c r="U31" s="1211"/>
      <c r="V31" s="1211"/>
      <c r="W31" s="779" t="e">
        <f t="shared" si="1"/>
        <v>#DIV/0!</v>
      </c>
      <c r="X31" s="788"/>
      <c r="Y31" s="788"/>
    </row>
    <row r="32" spans="1:25" ht="22.5" customHeight="1" thickTop="1" thickBot="1" x14ac:dyDescent="0.3">
      <c r="A32" s="1441"/>
      <c r="B32" s="1442"/>
      <c r="C32" s="1442" t="s">
        <v>1381</v>
      </c>
      <c r="D32" s="1442" t="s">
        <v>1381</v>
      </c>
      <c r="E32" s="1442" t="s">
        <v>1381</v>
      </c>
      <c r="F32" s="1442" t="s">
        <v>1381</v>
      </c>
      <c r="G32" s="1443">
        <v>2</v>
      </c>
      <c r="H32" s="1442" t="s">
        <v>1474</v>
      </c>
      <c r="I32" s="1442"/>
      <c r="J32" s="1442"/>
      <c r="K32" s="771" t="s">
        <v>2098</v>
      </c>
      <c r="L32" s="1211"/>
      <c r="M32" s="1211"/>
      <c r="N32" s="1211"/>
      <c r="O32" s="1206">
        <f t="shared" si="2"/>
        <v>0</v>
      </c>
      <c r="P32" s="1211"/>
      <c r="Q32" s="1211"/>
      <c r="R32" s="1211"/>
      <c r="S32" s="1211"/>
      <c r="T32" s="1211"/>
      <c r="U32" s="1211"/>
      <c r="V32" s="1211"/>
      <c r="W32" s="779" t="e">
        <f t="shared" si="1"/>
        <v>#DIV/0!</v>
      </c>
      <c r="X32" s="788"/>
      <c r="Y32" s="788"/>
    </row>
    <row r="33" spans="1:25" ht="22.5" customHeight="1" thickTop="1" thickBot="1" x14ac:dyDescent="0.3">
      <c r="A33" s="1441"/>
      <c r="B33" s="1442"/>
      <c r="C33" s="1442" t="s">
        <v>1381</v>
      </c>
      <c r="D33" s="1442" t="s">
        <v>1381</v>
      </c>
      <c r="E33" s="1442" t="s">
        <v>1381</v>
      </c>
      <c r="F33" s="1442" t="s">
        <v>1381</v>
      </c>
      <c r="G33" s="1443">
        <v>2</v>
      </c>
      <c r="H33" s="1442" t="s">
        <v>1478</v>
      </c>
      <c r="I33" s="1442"/>
      <c r="J33" s="1442"/>
      <c r="K33" s="771" t="s">
        <v>2099</v>
      </c>
      <c r="L33" s="1211"/>
      <c r="M33" s="1211"/>
      <c r="N33" s="1211"/>
      <c r="O33" s="1206">
        <f t="shared" si="2"/>
        <v>0</v>
      </c>
      <c r="P33" s="1211"/>
      <c r="Q33" s="1211"/>
      <c r="R33" s="1211"/>
      <c r="S33" s="1211"/>
      <c r="T33" s="1211"/>
      <c r="U33" s="1211"/>
      <c r="V33" s="1211"/>
      <c r="W33" s="779" t="e">
        <f t="shared" si="1"/>
        <v>#DIV/0!</v>
      </c>
      <c r="X33" s="788"/>
      <c r="Y33" s="788"/>
    </row>
    <row r="34" spans="1:25" ht="22.5" customHeight="1" thickTop="1" thickBot="1" x14ac:dyDescent="0.3">
      <c r="A34" s="1441"/>
      <c r="B34" s="1442"/>
      <c r="C34" s="1442" t="s">
        <v>1381</v>
      </c>
      <c r="D34" s="1442" t="s">
        <v>1381</v>
      </c>
      <c r="E34" s="1442" t="s">
        <v>1381</v>
      </c>
      <c r="F34" s="1442" t="s">
        <v>1381</v>
      </c>
      <c r="G34" s="1443">
        <v>2</v>
      </c>
      <c r="H34" s="1442" t="s">
        <v>1576</v>
      </c>
      <c r="I34" s="1442"/>
      <c r="J34" s="1442"/>
      <c r="K34" s="771" t="s">
        <v>2100</v>
      </c>
      <c r="L34" s="1211"/>
      <c r="M34" s="1211"/>
      <c r="N34" s="1211"/>
      <c r="O34" s="1206">
        <f t="shared" si="2"/>
        <v>0</v>
      </c>
      <c r="P34" s="1211"/>
      <c r="Q34" s="1211"/>
      <c r="R34" s="1211"/>
      <c r="S34" s="1211"/>
      <c r="T34" s="1211"/>
      <c r="U34" s="1211"/>
      <c r="V34" s="1211"/>
      <c r="W34" s="779" t="e">
        <f t="shared" si="1"/>
        <v>#DIV/0!</v>
      </c>
      <c r="X34" s="788"/>
      <c r="Y34" s="788"/>
    </row>
    <row r="35" spans="1:25" ht="22.5" customHeight="1" thickTop="1" thickBot="1" x14ac:dyDescent="0.3">
      <c r="A35" s="1441"/>
      <c r="B35" s="1442"/>
      <c r="C35" s="1442" t="s">
        <v>1381</v>
      </c>
      <c r="D35" s="1442" t="s">
        <v>1381</v>
      </c>
      <c r="E35" s="1442" t="s">
        <v>1381</v>
      </c>
      <c r="F35" s="1442" t="s">
        <v>1381</v>
      </c>
      <c r="G35" s="1443">
        <v>2</v>
      </c>
      <c r="H35" s="1442" t="s">
        <v>1577</v>
      </c>
      <c r="I35" s="1442"/>
      <c r="J35" s="1442"/>
      <c r="K35" s="771" t="s">
        <v>2101</v>
      </c>
      <c r="L35" s="1211"/>
      <c r="M35" s="1211"/>
      <c r="N35" s="1211"/>
      <c r="O35" s="1206">
        <f t="shared" si="2"/>
        <v>0</v>
      </c>
      <c r="P35" s="1211"/>
      <c r="Q35" s="1211"/>
      <c r="R35" s="1211"/>
      <c r="S35" s="1211"/>
      <c r="T35" s="1211"/>
      <c r="U35" s="1211"/>
      <c r="V35" s="1211"/>
      <c r="W35" s="779" t="e">
        <f t="shared" si="1"/>
        <v>#DIV/0!</v>
      </c>
      <c r="X35" s="788"/>
      <c r="Y35" s="788"/>
    </row>
    <row r="36" spans="1:25" ht="22.5" customHeight="1" thickTop="1" thickBot="1" x14ac:dyDescent="0.3">
      <c r="A36" s="1441"/>
      <c r="B36" s="1442"/>
      <c r="C36" s="1442" t="s">
        <v>1381</v>
      </c>
      <c r="D36" s="1442" t="s">
        <v>1381</v>
      </c>
      <c r="E36" s="1442" t="s">
        <v>1381</v>
      </c>
      <c r="F36" s="1442" t="s">
        <v>1381</v>
      </c>
      <c r="G36" s="1443">
        <v>2</v>
      </c>
      <c r="H36" s="1442" t="s">
        <v>1578</v>
      </c>
      <c r="I36" s="1442"/>
      <c r="J36" s="1442"/>
      <c r="K36" s="771" t="s">
        <v>2102</v>
      </c>
      <c r="L36" s="1211"/>
      <c r="M36" s="1211"/>
      <c r="N36" s="1211"/>
      <c r="O36" s="1206">
        <f t="shared" si="2"/>
        <v>0</v>
      </c>
      <c r="P36" s="1211"/>
      <c r="Q36" s="1211"/>
      <c r="R36" s="1211"/>
      <c r="S36" s="1211"/>
      <c r="T36" s="1211"/>
      <c r="U36" s="1211"/>
      <c r="V36" s="1211"/>
      <c r="W36" s="779" t="e">
        <f t="shared" si="1"/>
        <v>#DIV/0!</v>
      </c>
      <c r="X36" s="788"/>
      <c r="Y36" s="788"/>
    </row>
    <row r="37" spans="1:25" s="183" customFormat="1" ht="22.5" customHeight="1" thickTop="1" thickBot="1" x14ac:dyDescent="0.3">
      <c r="A37" s="1433">
        <v>1</v>
      </c>
      <c r="B37" s="1434" t="s">
        <v>1381</v>
      </c>
      <c r="C37" s="1434" t="s">
        <v>1381</v>
      </c>
      <c r="D37" s="1434" t="s">
        <v>1394</v>
      </c>
      <c r="E37" s="1434"/>
      <c r="F37" s="1434"/>
      <c r="G37" s="1434"/>
      <c r="H37" s="1434"/>
      <c r="I37" s="1434"/>
      <c r="J37" s="1434"/>
      <c r="K37" s="1435" t="s">
        <v>1971</v>
      </c>
      <c r="L37" s="1209">
        <f>+L38+L78+L213+L239+L291</f>
        <v>10654725000</v>
      </c>
      <c r="M37" s="1209">
        <f>+M38+M78+M213+M239+M291</f>
        <v>3213964000</v>
      </c>
      <c r="N37" s="1209">
        <f>+N38+N78+N213+N239+N291</f>
        <v>0</v>
      </c>
      <c r="O37" s="1206">
        <f t="shared" si="2"/>
        <v>13868689000</v>
      </c>
      <c r="P37" s="1209">
        <f t="shared" ref="P37:V37" si="9">+P38+P78+P213+P239+P291</f>
        <v>2791677600</v>
      </c>
      <c r="Q37" s="1209">
        <f t="shared" si="9"/>
        <v>8875430700</v>
      </c>
      <c r="R37" s="1209">
        <f t="shared" si="9"/>
        <v>1481377600</v>
      </c>
      <c r="S37" s="1209">
        <f t="shared" si="9"/>
        <v>720203100</v>
      </c>
      <c r="T37" s="1209">
        <f t="shared" si="9"/>
        <v>0</v>
      </c>
      <c r="U37" s="1209">
        <f t="shared" si="9"/>
        <v>8161784588.249999</v>
      </c>
      <c r="V37" s="1209">
        <f t="shared" si="9"/>
        <v>5847971708.5699997</v>
      </c>
      <c r="W37" s="777">
        <f t="shared" si="1"/>
        <v>0.42166723246660154</v>
      </c>
      <c r="X37" s="788" t="s">
        <v>1402</v>
      </c>
      <c r="Y37" s="788" t="s">
        <v>1403</v>
      </c>
    </row>
    <row r="38" spans="1:25" s="183" customFormat="1" ht="22.5" customHeight="1" thickTop="1" thickBot="1" x14ac:dyDescent="0.3">
      <c r="A38" s="1436" t="s">
        <v>1377</v>
      </c>
      <c r="B38" s="1437" t="s">
        <v>1381</v>
      </c>
      <c r="C38" s="1437" t="s">
        <v>1381</v>
      </c>
      <c r="D38" s="1437" t="s">
        <v>1394</v>
      </c>
      <c r="E38" s="1437" t="s">
        <v>1381</v>
      </c>
      <c r="F38" s="1437"/>
      <c r="G38" s="1437"/>
      <c r="H38" s="1437"/>
      <c r="I38" s="1437"/>
      <c r="J38" s="1437"/>
      <c r="K38" s="1438" t="s">
        <v>1404</v>
      </c>
      <c r="L38" s="1209">
        <f>+L39</f>
        <v>3156002000</v>
      </c>
      <c r="M38" s="1209">
        <f t="shared" ref="M38:V39" si="10">+M39</f>
        <v>2223385000</v>
      </c>
      <c r="N38" s="1209">
        <f t="shared" si="10"/>
        <v>0</v>
      </c>
      <c r="O38" s="1206">
        <f t="shared" si="2"/>
        <v>5379387000</v>
      </c>
      <c r="P38" s="1209">
        <f t="shared" si="10"/>
        <v>437883200</v>
      </c>
      <c r="Q38" s="1209">
        <f t="shared" si="10"/>
        <v>3523717300</v>
      </c>
      <c r="R38" s="1209">
        <f t="shared" si="10"/>
        <v>706200400</v>
      </c>
      <c r="S38" s="1209">
        <f t="shared" si="10"/>
        <v>711586100</v>
      </c>
      <c r="T38" s="1209">
        <f t="shared" si="10"/>
        <v>0</v>
      </c>
      <c r="U38" s="1209">
        <f t="shared" si="10"/>
        <v>0</v>
      </c>
      <c r="V38" s="1209">
        <f t="shared" si="10"/>
        <v>3849955145.1700001</v>
      </c>
      <c r="W38" s="777">
        <f t="shared" si="1"/>
        <v>0.71568659127331791</v>
      </c>
      <c r="X38" s="788" t="s">
        <v>1405</v>
      </c>
      <c r="Y38" s="788" t="s">
        <v>1406</v>
      </c>
    </row>
    <row r="39" spans="1:25" s="183" customFormat="1" ht="22.5" customHeight="1" thickTop="1" thickBot="1" x14ac:dyDescent="0.3">
      <c r="A39" s="1439" t="s">
        <v>1377</v>
      </c>
      <c r="B39" s="1439" t="s">
        <v>1381</v>
      </c>
      <c r="C39" s="1440" t="s">
        <v>1381</v>
      </c>
      <c r="D39" s="1439" t="s">
        <v>1394</v>
      </c>
      <c r="E39" s="1440" t="s">
        <v>1381</v>
      </c>
      <c r="F39" s="1440" t="s">
        <v>1381</v>
      </c>
      <c r="G39" s="1440"/>
      <c r="H39" s="1440"/>
      <c r="I39" s="1440"/>
      <c r="J39" s="1440"/>
      <c r="K39" s="770" t="s">
        <v>1407</v>
      </c>
      <c r="L39" s="1215">
        <f>+L40</f>
        <v>3156002000</v>
      </c>
      <c r="M39" s="1215">
        <f t="shared" si="10"/>
        <v>2223385000</v>
      </c>
      <c r="N39" s="1215">
        <f t="shared" si="10"/>
        <v>0</v>
      </c>
      <c r="O39" s="1206">
        <f t="shared" si="2"/>
        <v>5379387000</v>
      </c>
      <c r="P39" s="1215">
        <f t="shared" si="10"/>
        <v>437883200</v>
      </c>
      <c r="Q39" s="1215">
        <f t="shared" si="10"/>
        <v>3523717300</v>
      </c>
      <c r="R39" s="1215">
        <f t="shared" si="10"/>
        <v>706200400</v>
      </c>
      <c r="S39" s="1215">
        <f t="shared" si="10"/>
        <v>711586100</v>
      </c>
      <c r="T39" s="1215">
        <f t="shared" si="10"/>
        <v>0</v>
      </c>
      <c r="U39" s="1215">
        <f t="shared" si="10"/>
        <v>0</v>
      </c>
      <c r="V39" s="1215">
        <f t="shared" si="10"/>
        <v>3849955145.1700001</v>
      </c>
      <c r="W39" s="631">
        <f t="shared" si="1"/>
        <v>0.71568659127331791</v>
      </c>
      <c r="X39" s="788" t="s">
        <v>1408</v>
      </c>
      <c r="Y39" s="788"/>
    </row>
    <row r="40" spans="1:25" ht="22.5" customHeight="1" thickTop="1" thickBot="1" x14ac:dyDescent="0.3">
      <c r="A40" s="1441" t="s">
        <v>1377</v>
      </c>
      <c r="B40" s="1441" t="s">
        <v>1381</v>
      </c>
      <c r="C40" s="1442" t="s">
        <v>1381</v>
      </c>
      <c r="D40" s="1441" t="s">
        <v>1394</v>
      </c>
      <c r="E40" s="1442" t="s">
        <v>1381</v>
      </c>
      <c r="F40" s="1442" t="s">
        <v>1381</v>
      </c>
      <c r="G40" s="1442" t="s">
        <v>1381</v>
      </c>
      <c r="H40" s="1442"/>
      <c r="I40" s="1442"/>
      <c r="J40" s="1442"/>
      <c r="K40" s="771" t="s">
        <v>1409</v>
      </c>
      <c r="L40" s="1214">
        <f>+L41+L66</f>
        <v>3156002000</v>
      </c>
      <c r="M40" s="1214">
        <f t="shared" ref="M40:V40" si="11">+M41+M66</f>
        <v>2223385000</v>
      </c>
      <c r="N40" s="1214">
        <f t="shared" si="11"/>
        <v>0</v>
      </c>
      <c r="O40" s="1206">
        <f t="shared" si="2"/>
        <v>5379387000</v>
      </c>
      <c r="P40" s="1211">
        <v>437883200</v>
      </c>
      <c r="Q40" s="1211">
        <v>3523717300</v>
      </c>
      <c r="R40" s="1211">
        <v>706200400</v>
      </c>
      <c r="S40" s="1211">
        <v>711586100</v>
      </c>
      <c r="T40" s="1211">
        <f t="shared" ref="M40:V41" si="12">+T53</f>
        <v>0</v>
      </c>
      <c r="U40" s="1214">
        <f t="shared" si="11"/>
        <v>0</v>
      </c>
      <c r="V40" s="1214">
        <f t="shared" si="11"/>
        <v>3849955145.1700001</v>
      </c>
      <c r="W40" s="631">
        <f t="shared" si="1"/>
        <v>0.71568659127331791</v>
      </c>
      <c r="X40" s="788" t="s">
        <v>1974</v>
      </c>
      <c r="Y40" s="788" t="s">
        <v>1411</v>
      </c>
    </row>
    <row r="41" spans="1:25" s="775" customFormat="1" ht="22.5" customHeight="1" thickTop="1" thickBot="1" x14ac:dyDescent="0.3">
      <c r="A41" s="1441" t="s">
        <v>1377</v>
      </c>
      <c r="B41" s="1441" t="s">
        <v>1381</v>
      </c>
      <c r="C41" s="1442" t="s">
        <v>1381</v>
      </c>
      <c r="D41" s="1441" t="s">
        <v>1394</v>
      </c>
      <c r="E41" s="1442" t="s">
        <v>1381</v>
      </c>
      <c r="F41" s="1442" t="s">
        <v>1381</v>
      </c>
      <c r="G41" s="1442" t="s">
        <v>1381</v>
      </c>
      <c r="H41" s="1442" t="s">
        <v>1381</v>
      </c>
      <c r="I41" s="1442"/>
      <c r="J41" s="1442"/>
      <c r="K41" s="771" t="s">
        <v>1972</v>
      </c>
      <c r="L41" s="1211">
        <f>+L54</f>
        <v>3156002000</v>
      </c>
      <c r="M41" s="1211">
        <f t="shared" si="12"/>
        <v>2223385000</v>
      </c>
      <c r="N41" s="1211">
        <f t="shared" si="12"/>
        <v>0</v>
      </c>
      <c r="O41" s="1206">
        <f t="shared" si="2"/>
        <v>5379387000</v>
      </c>
      <c r="P41" s="1211"/>
      <c r="Q41" s="1211"/>
      <c r="R41" s="1211"/>
      <c r="S41" s="1211"/>
      <c r="T41" s="1211">
        <f t="shared" si="12"/>
        <v>0</v>
      </c>
      <c r="U41" s="1211">
        <f t="shared" si="12"/>
        <v>0</v>
      </c>
      <c r="V41" s="1211">
        <f t="shared" si="12"/>
        <v>3849955145.1700001</v>
      </c>
      <c r="W41" s="779">
        <f t="shared" si="1"/>
        <v>0.71568659127331791</v>
      </c>
      <c r="X41" s="788" t="s">
        <v>1975</v>
      </c>
      <c r="Y41" s="788" t="s">
        <v>1411</v>
      </c>
    </row>
    <row r="42" spans="1:25" s="775" customFormat="1" ht="22.5" customHeight="1" thickTop="1" thickBot="1" x14ac:dyDescent="0.3">
      <c r="A42" s="1441" t="s">
        <v>1377</v>
      </c>
      <c r="B42" s="1441" t="s">
        <v>1381</v>
      </c>
      <c r="C42" s="1442" t="s">
        <v>1381</v>
      </c>
      <c r="D42" s="1441" t="s">
        <v>1394</v>
      </c>
      <c r="E42" s="1442" t="s">
        <v>1381</v>
      </c>
      <c r="F42" s="1442" t="s">
        <v>1381</v>
      </c>
      <c r="G42" s="1442" t="s">
        <v>1381</v>
      </c>
      <c r="H42" s="1442" t="s">
        <v>1381</v>
      </c>
      <c r="I42" s="1442" t="s">
        <v>1381</v>
      </c>
      <c r="J42" s="1442"/>
      <c r="K42" s="771" t="s">
        <v>2072</v>
      </c>
      <c r="L42" s="1211"/>
      <c r="M42" s="1211"/>
      <c r="N42" s="1211"/>
      <c r="O42" s="1206">
        <f t="shared" si="2"/>
        <v>0</v>
      </c>
      <c r="P42" s="1211"/>
      <c r="Q42" s="1211"/>
      <c r="R42" s="1211"/>
      <c r="S42" s="1211"/>
      <c r="T42" s="1211"/>
      <c r="U42" s="1211"/>
      <c r="V42" s="1211"/>
      <c r="W42" s="779" t="e">
        <f t="shared" si="1"/>
        <v>#DIV/0!</v>
      </c>
      <c r="X42" s="788"/>
      <c r="Y42" s="788"/>
    </row>
    <row r="43" spans="1:25" s="775" customFormat="1" ht="22.5" customHeight="1" thickTop="1" thickBot="1" x14ac:dyDescent="0.3">
      <c r="A43" s="1441" t="s">
        <v>1377</v>
      </c>
      <c r="B43" s="1441" t="s">
        <v>1381</v>
      </c>
      <c r="C43" s="1442" t="s">
        <v>1381</v>
      </c>
      <c r="D43" s="1441" t="s">
        <v>1394</v>
      </c>
      <c r="E43" s="1442" t="s">
        <v>1381</v>
      </c>
      <c r="F43" s="1442" t="s">
        <v>1381</v>
      </c>
      <c r="G43" s="1442" t="s">
        <v>1381</v>
      </c>
      <c r="H43" s="1442" t="s">
        <v>1381</v>
      </c>
      <c r="I43" s="1442" t="s">
        <v>1381</v>
      </c>
      <c r="J43" s="1442" t="s">
        <v>1381</v>
      </c>
      <c r="K43" s="771" t="s">
        <v>2104</v>
      </c>
      <c r="L43" s="1211"/>
      <c r="M43" s="1211"/>
      <c r="N43" s="1211"/>
      <c r="O43" s="1206">
        <f t="shared" si="2"/>
        <v>0</v>
      </c>
      <c r="P43" s="1211"/>
      <c r="Q43" s="1211"/>
      <c r="R43" s="1211"/>
      <c r="S43" s="1211"/>
      <c r="T43" s="1211"/>
      <c r="U43" s="1211"/>
      <c r="V43" s="1211"/>
      <c r="W43" s="779" t="e">
        <f t="shared" si="1"/>
        <v>#DIV/0!</v>
      </c>
      <c r="X43" s="788"/>
      <c r="Y43" s="788"/>
    </row>
    <row r="44" spans="1:25" s="775" customFormat="1" ht="22.5" customHeight="1" thickTop="1" thickBot="1" x14ac:dyDescent="0.3">
      <c r="A44" s="1441" t="s">
        <v>1377</v>
      </c>
      <c r="B44" s="1441" t="s">
        <v>1381</v>
      </c>
      <c r="C44" s="1442" t="s">
        <v>1381</v>
      </c>
      <c r="D44" s="1441" t="s">
        <v>1394</v>
      </c>
      <c r="E44" s="1442" t="s">
        <v>1381</v>
      </c>
      <c r="F44" s="1442" t="s">
        <v>1381</v>
      </c>
      <c r="G44" s="1442" t="s">
        <v>1381</v>
      </c>
      <c r="H44" s="1442" t="s">
        <v>1381</v>
      </c>
      <c r="I44" s="1442" t="s">
        <v>1381</v>
      </c>
      <c r="J44" s="1442" t="s">
        <v>1394</v>
      </c>
      <c r="K44" s="771" t="s">
        <v>2105</v>
      </c>
      <c r="L44" s="1211"/>
      <c r="M44" s="1211"/>
      <c r="N44" s="1211"/>
      <c r="O44" s="1206">
        <f t="shared" si="2"/>
        <v>0</v>
      </c>
      <c r="P44" s="1211"/>
      <c r="Q44" s="1211"/>
      <c r="R44" s="1211"/>
      <c r="S44" s="1211"/>
      <c r="T44" s="1211"/>
      <c r="U44" s="1211"/>
      <c r="V44" s="1211"/>
      <c r="W44" s="779" t="e">
        <f t="shared" si="1"/>
        <v>#DIV/0!</v>
      </c>
      <c r="X44" s="788"/>
      <c r="Y44" s="788"/>
    </row>
    <row r="45" spans="1:25" s="775" customFormat="1" ht="22.5" customHeight="1" thickTop="1" thickBot="1" x14ac:dyDescent="0.3">
      <c r="A45" s="1441" t="s">
        <v>1377</v>
      </c>
      <c r="B45" s="1441" t="s">
        <v>1381</v>
      </c>
      <c r="C45" s="1442" t="s">
        <v>1381</v>
      </c>
      <c r="D45" s="1441" t="s">
        <v>1394</v>
      </c>
      <c r="E45" s="1442" t="s">
        <v>1381</v>
      </c>
      <c r="F45" s="1442" t="s">
        <v>1381</v>
      </c>
      <c r="G45" s="1442" t="s">
        <v>1381</v>
      </c>
      <c r="H45" s="1442" t="s">
        <v>1381</v>
      </c>
      <c r="I45" s="1442" t="s">
        <v>1381</v>
      </c>
      <c r="J45" s="1442" t="s">
        <v>1418</v>
      </c>
      <c r="K45" s="771" t="s">
        <v>2106</v>
      </c>
      <c r="L45" s="1211"/>
      <c r="M45" s="1211"/>
      <c r="N45" s="1211"/>
      <c r="O45" s="1206">
        <f t="shared" si="2"/>
        <v>0</v>
      </c>
      <c r="P45" s="1211"/>
      <c r="Q45" s="1211"/>
      <c r="R45" s="1211"/>
      <c r="S45" s="1211"/>
      <c r="T45" s="1211"/>
      <c r="U45" s="1211"/>
      <c r="V45" s="1211"/>
      <c r="W45" s="779" t="e">
        <f t="shared" si="1"/>
        <v>#DIV/0!</v>
      </c>
      <c r="X45" s="788"/>
      <c r="Y45" s="788"/>
    </row>
    <row r="46" spans="1:25" s="775" customFormat="1" ht="22.5" customHeight="1" thickTop="1" thickBot="1" x14ac:dyDescent="0.3">
      <c r="A46" s="1441" t="s">
        <v>1377</v>
      </c>
      <c r="B46" s="1441" t="s">
        <v>1381</v>
      </c>
      <c r="C46" s="1442" t="s">
        <v>1381</v>
      </c>
      <c r="D46" s="1441" t="s">
        <v>1394</v>
      </c>
      <c r="E46" s="1442" t="s">
        <v>1381</v>
      </c>
      <c r="F46" s="1442" t="s">
        <v>1381</v>
      </c>
      <c r="G46" s="1442" t="s">
        <v>1381</v>
      </c>
      <c r="H46" s="1442" t="s">
        <v>1381</v>
      </c>
      <c r="I46" s="1442" t="s">
        <v>1381</v>
      </c>
      <c r="J46" s="1442" t="s">
        <v>1422</v>
      </c>
      <c r="K46" s="771" t="s">
        <v>2107</v>
      </c>
      <c r="L46" s="1211"/>
      <c r="M46" s="1211"/>
      <c r="N46" s="1211"/>
      <c r="O46" s="1206">
        <f t="shared" si="2"/>
        <v>0</v>
      </c>
      <c r="P46" s="1211"/>
      <c r="Q46" s="1211"/>
      <c r="R46" s="1211"/>
      <c r="S46" s="1211"/>
      <c r="T46" s="1211"/>
      <c r="U46" s="1211"/>
      <c r="V46" s="1211"/>
      <c r="W46" s="779" t="e">
        <f t="shared" si="1"/>
        <v>#DIV/0!</v>
      </c>
      <c r="X46" s="788"/>
      <c r="Y46" s="788"/>
    </row>
    <row r="47" spans="1:25" s="775" customFormat="1" ht="22.5" customHeight="1" thickTop="1" thickBot="1" x14ac:dyDescent="0.3">
      <c r="A47" s="1441" t="s">
        <v>1377</v>
      </c>
      <c r="B47" s="1441" t="s">
        <v>1381</v>
      </c>
      <c r="C47" s="1442" t="s">
        <v>1381</v>
      </c>
      <c r="D47" s="1441" t="s">
        <v>1394</v>
      </c>
      <c r="E47" s="1442" t="s">
        <v>1381</v>
      </c>
      <c r="F47" s="1442" t="s">
        <v>1381</v>
      </c>
      <c r="G47" s="1442" t="s">
        <v>1381</v>
      </c>
      <c r="H47" s="1442" t="s">
        <v>1381</v>
      </c>
      <c r="I47" s="1442" t="s">
        <v>1381</v>
      </c>
      <c r="J47" s="1442" t="s">
        <v>1447</v>
      </c>
      <c r="K47" s="771" t="s">
        <v>2108</v>
      </c>
      <c r="L47" s="1211"/>
      <c r="M47" s="1211"/>
      <c r="N47" s="1211"/>
      <c r="O47" s="1206">
        <f t="shared" si="2"/>
        <v>0</v>
      </c>
      <c r="P47" s="1211"/>
      <c r="Q47" s="1211"/>
      <c r="R47" s="1211"/>
      <c r="S47" s="1211"/>
      <c r="T47" s="1211"/>
      <c r="U47" s="1211"/>
      <c r="V47" s="1211"/>
      <c r="W47" s="779" t="e">
        <f t="shared" si="1"/>
        <v>#DIV/0!</v>
      </c>
      <c r="X47" s="788"/>
      <c r="Y47" s="788"/>
    </row>
    <row r="48" spans="1:25" s="775" customFormat="1" ht="22.5" customHeight="1" thickTop="1" thickBot="1" x14ac:dyDescent="0.3">
      <c r="A48" s="1441" t="s">
        <v>1377</v>
      </c>
      <c r="B48" s="1441" t="s">
        <v>1381</v>
      </c>
      <c r="C48" s="1442" t="s">
        <v>1381</v>
      </c>
      <c r="D48" s="1441" t="s">
        <v>1394</v>
      </c>
      <c r="E48" s="1442" t="s">
        <v>1381</v>
      </c>
      <c r="F48" s="1442" t="s">
        <v>1381</v>
      </c>
      <c r="G48" s="1442" t="s">
        <v>1381</v>
      </c>
      <c r="H48" s="1442" t="s">
        <v>1381</v>
      </c>
      <c r="I48" s="1442" t="s">
        <v>1381</v>
      </c>
      <c r="J48" s="1442" t="s">
        <v>1470</v>
      </c>
      <c r="K48" s="771" t="s">
        <v>2109</v>
      </c>
      <c r="L48" s="1211"/>
      <c r="M48" s="1211"/>
      <c r="N48" s="1211"/>
      <c r="O48" s="1206">
        <f t="shared" si="2"/>
        <v>0</v>
      </c>
      <c r="P48" s="1211"/>
      <c r="Q48" s="1211"/>
      <c r="R48" s="1211"/>
      <c r="S48" s="1211"/>
      <c r="T48" s="1211"/>
      <c r="U48" s="1211"/>
      <c r="V48" s="1211"/>
      <c r="W48" s="779" t="e">
        <f t="shared" si="1"/>
        <v>#DIV/0!</v>
      </c>
      <c r="X48" s="788"/>
      <c r="Y48" s="788"/>
    </row>
    <row r="49" spans="1:25" s="775" customFormat="1" ht="22.5" customHeight="1" thickTop="1" thickBot="1" x14ac:dyDescent="0.3">
      <c r="A49" s="1441" t="s">
        <v>1377</v>
      </c>
      <c r="B49" s="1441" t="s">
        <v>1381</v>
      </c>
      <c r="C49" s="1442" t="s">
        <v>1381</v>
      </c>
      <c r="D49" s="1441" t="s">
        <v>1394</v>
      </c>
      <c r="E49" s="1442" t="s">
        <v>1381</v>
      </c>
      <c r="F49" s="1442" t="s">
        <v>1381</v>
      </c>
      <c r="G49" s="1442" t="s">
        <v>1381</v>
      </c>
      <c r="H49" s="1442" t="s">
        <v>1381</v>
      </c>
      <c r="I49" s="1442" t="s">
        <v>1381</v>
      </c>
      <c r="J49" s="1442" t="s">
        <v>1474</v>
      </c>
      <c r="K49" s="771" t="s">
        <v>2110</v>
      </c>
      <c r="L49" s="1211"/>
      <c r="M49" s="1211"/>
      <c r="N49" s="1211"/>
      <c r="O49" s="1206">
        <f t="shared" si="2"/>
        <v>0</v>
      </c>
      <c r="P49" s="1211"/>
      <c r="Q49" s="1211"/>
      <c r="R49" s="1211"/>
      <c r="S49" s="1211"/>
      <c r="T49" s="1211"/>
      <c r="U49" s="1211"/>
      <c r="V49" s="1211"/>
      <c r="W49" s="779" t="e">
        <f t="shared" si="1"/>
        <v>#DIV/0!</v>
      </c>
      <c r="X49" s="788"/>
      <c r="Y49" s="788"/>
    </row>
    <row r="50" spans="1:25" s="775" customFormat="1" ht="22.5" customHeight="1" thickTop="1" thickBot="1" x14ac:dyDescent="0.3">
      <c r="A50" s="1441" t="s">
        <v>1377</v>
      </c>
      <c r="B50" s="1441" t="s">
        <v>1381</v>
      </c>
      <c r="C50" s="1442" t="s">
        <v>1381</v>
      </c>
      <c r="D50" s="1441" t="s">
        <v>1394</v>
      </c>
      <c r="E50" s="1442" t="s">
        <v>1381</v>
      </c>
      <c r="F50" s="1442" t="s">
        <v>1381</v>
      </c>
      <c r="G50" s="1442" t="s">
        <v>1381</v>
      </c>
      <c r="H50" s="1442" t="s">
        <v>1381</v>
      </c>
      <c r="I50" s="1442" t="s">
        <v>1381</v>
      </c>
      <c r="J50" s="1442" t="s">
        <v>1478</v>
      </c>
      <c r="K50" s="771" t="s">
        <v>2111</v>
      </c>
      <c r="L50" s="1211"/>
      <c r="M50" s="1211"/>
      <c r="N50" s="1211"/>
      <c r="O50" s="1206">
        <f t="shared" si="2"/>
        <v>0</v>
      </c>
      <c r="P50" s="1211"/>
      <c r="Q50" s="1211"/>
      <c r="R50" s="1211"/>
      <c r="S50" s="1211"/>
      <c r="T50" s="1211"/>
      <c r="U50" s="1211"/>
      <c r="V50" s="1211"/>
      <c r="W50" s="779" t="e">
        <f t="shared" si="1"/>
        <v>#DIV/0!</v>
      </c>
      <c r="X50" s="788"/>
      <c r="Y50" s="788"/>
    </row>
    <row r="51" spans="1:25" s="775" customFormat="1" ht="22.5" customHeight="1" thickTop="1" thickBot="1" x14ac:dyDescent="0.3">
      <c r="A51" s="1441" t="s">
        <v>1377</v>
      </c>
      <c r="B51" s="1441" t="s">
        <v>1381</v>
      </c>
      <c r="C51" s="1442" t="s">
        <v>1381</v>
      </c>
      <c r="D51" s="1441" t="s">
        <v>1394</v>
      </c>
      <c r="E51" s="1442" t="s">
        <v>1381</v>
      </c>
      <c r="F51" s="1442" t="s">
        <v>1381</v>
      </c>
      <c r="G51" s="1442" t="s">
        <v>1381</v>
      </c>
      <c r="H51" s="1442" t="s">
        <v>1381</v>
      </c>
      <c r="I51" s="1442" t="s">
        <v>1381</v>
      </c>
      <c r="J51" s="1442" t="s">
        <v>1576</v>
      </c>
      <c r="K51" s="771" t="s">
        <v>2112</v>
      </c>
      <c r="L51" s="1211"/>
      <c r="M51" s="1211"/>
      <c r="N51" s="1211"/>
      <c r="O51" s="1206">
        <f t="shared" si="2"/>
        <v>0</v>
      </c>
      <c r="P51" s="1211"/>
      <c r="Q51" s="1211"/>
      <c r="R51" s="1211"/>
      <c r="S51" s="1211"/>
      <c r="T51" s="1211"/>
      <c r="U51" s="1211"/>
      <c r="V51" s="1211"/>
      <c r="W51" s="779" t="e">
        <f t="shared" si="1"/>
        <v>#DIV/0!</v>
      </c>
      <c r="X51" s="788"/>
      <c r="Y51" s="788"/>
    </row>
    <row r="52" spans="1:25" s="775" customFormat="1" ht="22.5" customHeight="1" thickTop="1" thickBot="1" x14ac:dyDescent="0.3">
      <c r="A52" s="1441" t="s">
        <v>1377</v>
      </c>
      <c r="B52" s="1441" t="s">
        <v>1381</v>
      </c>
      <c r="C52" s="1442" t="s">
        <v>1381</v>
      </c>
      <c r="D52" s="1441" t="s">
        <v>1394</v>
      </c>
      <c r="E52" s="1442" t="s">
        <v>1381</v>
      </c>
      <c r="F52" s="1442" t="s">
        <v>1381</v>
      </c>
      <c r="G52" s="1442" t="s">
        <v>1381</v>
      </c>
      <c r="H52" s="1442" t="s">
        <v>1381</v>
      </c>
      <c r="I52" s="1442" t="s">
        <v>1381</v>
      </c>
      <c r="J52" s="1442" t="s">
        <v>1577</v>
      </c>
      <c r="K52" s="771" t="s">
        <v>2113</v>
      </c>
      <c r="L52" s="1211"/>
      <c r="M52" s="1211"/>
      <c r="N52" s="1211"/>
      <c r="O52" s="1206">
        <f t="shared" si="2"/>
        <v>0</v>
      </c>
      <c r="P52" s="1211"/>
      <c r="Q52" s="1211"/>
      <c r="R52" s="1211"/>
      <c r="S52" s="1211"/>
      <c r="T52" s="1211"/>
      <c r="U52" s="1211"/>
      <c r="V52" s="1211"/>
      <c r="W52" s="779" t="e">
        <f t="shared" si="1"/>
        <v>#DIV/0!</v>
      </c>
      <c r="X52" s="788"/>
      <c r="Y52" s="788"/>
    </row>
    <row r="53" spans="1:25" s="775" customFormat="1" ht="22.5" customHeight="1" thickTop="1" thickBot="1" x14ac:dyDescent="0.3">
      <c r="A53" s="1441" t="s">
        <v>1377</v>
      </c>
      <c r="B53" s="1441" t="s">
        <v>1381</v>
      </c>
      <c r="C53" s="1442" t="s">
        <v>1381</v>
      </c>
      <c r="D53" s="1441" t="s">
        <v>1394</v>
      </c>
      <c r="E53" s="1442" t="s">
        <v>1381</v>
      </c>
      <c r="F53" s="1442" t="s">
        <v>1381</v>
      </c>
      <c r="G53" s="1442" t="s">
        <v>1381</v>
      </c>
      <c r="H53" s="1442" t="s">
        <v>1381</v>
      </c>
      <c r="I53" s="1442" t="s">
        <v>1381</v>
      </c>
      <c r="J53" s="1442" t="s">
        <v>1578</v>
      </c>
      <c r="K53" s="771" t="s">
        <v>2114</v>
      </c>
      <c r="L53" s="1211"/>
      <c r="M53" s="1211"/>
      <c r="N53" s="1211"/>
      <c r="O53" s="1206">
        <f t="shared" si="2"/>
        <v>0</v>
      </c>
      <c r="P53" s="1211"/>
      <c r="Q53" s="1211"/>
      <c r="R53" s="1211"/>
      <c r="S53" s="1211"/>
      <c r="T53" s="1211"/>
      <c r="U53" s="1211"/>
      <c r="V53" s="1211"/>
      <c r="W53" s="779" t="e">
        <f t="shared" si="1"/>
        <v>#DIV/0!</v>
      </c>
      <c r="X53" s="788"/>
      <c r="Y53" s="788"/>
    </row>
    <row r="54" spans="1:25" s="775" customFormat="1" ht="22.5" customHeight="1" thickTop="1" thickBot="1" x14ac:dyDescent="0.3">
      <c r="A54" s="1441" t="s">
        <v>1377</v>
      </c>
      <c r="B54" s="1441" t="s">
        <v>1381</v>
      </c>
      <c r="C54" s="1442" t="s">
        <v>1381</v>
      </c>
      <c r="D54" s="1441" t="s">
        <v>1394</v>
      </c>
      <c r="E54" s="1442" t="s">
        <v>1381</v>
      </c>
      <c r="F54" s="1442" t="s">
        <v>1381</v>
      </c>
      <c r="G54" s="1442" t="s">
        <v>1381</v>
      </c>
      <c r="H54" s="1442" t="s">
        <v>1381</v>
      </c>
      <c r="I54" s="1442" t="s">
        <v>1394</v>
      </c>
      <c r="J54" s="1442"/>
      <c r="K54" s="771" t="s">
        <v>2073</v>
      </c>
      <c r="L54" s="1211">
        <f>SUM(L55:L65)</f>
        <v>3156002000</v>
      </c>
      <c r="M54" s="1211">
        <f t="shared" ref="M54:V54" si="13">SUM(M55:M65)</f>
        <v>2223385000</v>
      </c>
      <c r="N54" s="1211">
        <f t="shared" si="13"/>
        <v>0</v>
      </c>
      <c r="O54" s="1206">
        <f t="shared" si="2"/>
        <v>5379387000</v>
      </c>
      <c r="P54" s="1211"/>
      <c r="Q54" s="1211"/>
      <c r="R54" s="1211"/>
      <c r="S54" s="1211"/>
      <c r="T54" s="1211">
        <f t="shared" si="13"/>
        <v>0</v>
      </c>
      <c r="U54" s="1211">
        <f t="shared" si="13"/>
        <v>0</v>
      </c>
      <c r="V54" s="1211">
        <f t="shared" si="13"/>
        <v>3849955145.1700001</v>
      </c>
      <c r="W54" s="779">
        <f t="shared" si="1"/>
        <v>0.71568659127331791</v>
      </c>
      <c r="X54" s="788"/>
      <c r="Y54" s="788"/>
    </row>
    <row r="55" spans="1:25" s="775" customFormat="1" ht="22.5" customHeight="1" thickTop="1" thickBot="1" x14ac:dyDescent="0.3">
      <c r="A55" s="1441" t="s">
        <v>1377</v>
      </c>
      <c r="B55" s="1441" t="s">
        <v>1381</v>
      </c>
      <c r="C55" s="1442" t="s">
        <v>1381</v>
      </c>
      <c r="D55" s="1441" t="s">
        <v>1394</v>
      </c>
      <c r="E55" s="1442" t="s">
        <v>1381</v>
      </c>
      <c r="F55" s="1442" t="s">
        <v>1381</v>
      </c>
      <c r="G55" s="1442" t="s">
        <v>1381</v>
      </c>
      <c r="H55" s="1442" t="s">
        <v>1381</v>
      </c>
      <c r="I55" s="1442" t="s">
        <v>1394</v>
      </c>
      <c r="J55" s="1442" t="s">
        <v>1381</v>
      </c>
      <c r="K55" s="771" t="s">
        <v>2115</v>
      </c>
      <c r="L55" s="1212">
        <v>3146002000</v>
      </c>
      <c r="M55" s="1211"/>
      <c r="N55" s="1211"/>
      <c r="O55" s="1206">
        <f t="shared" si="2"/>
        <v>3146002000</v>
      </c>
      <c r="P55" s="1211"/>
      <c r="Q55" s="1211"/>
      <c r="R55" s="1211"/>
      <c r="S55" s="1211"/>
      <c r="T55" s="1211"/>
      <c r="U55" s="1211"/>
      <c r="V55" s="1211">
        <v>1616728701</v>
      </c>
      <c r="W55" s="779">
        <f t="shared" si="1"/>
        <v>0.51389945111287283</v>
      </c>
      <c r="X55" s="788"/>
      <c r="Y55" s="788"/>
    </row>
    <row r="56" spans="1:25" s="775" customFormat="1" ht="22.5" customHeight="1" thickTop="1" thickBot="1" x14ac:dyDescent="0.3">
      <c r="A56" s="1441" t="s">
        <v>1377</v>
      </c>
      <c r="B56" s="1441" t="s">
        <v>1381</v>
      </c>
      <c r="C56" s="1442" t="s">
        <v>1381</v>
      </c>
      <c r="D56" s="1441" t="s">
        <v>1394</v>
      </c>
      <c r="E56" s="1442" t="s">
        <v>1381</v>
      </c>
      <c r="F56" s="1442" t="s">
        <v>1381</v>
      </c>
      <c r="G56" s="1442" t="s">
        <v>1381</v>
      </c>
      <c r="H56" s="1442" t="s">
        <v>1381</v>
      </c>
      <c r="I56" s="1442" t="s">
        <v>1394</v>
      </c>
      <c r="J56" s="1442" t="s">
        <v>1394</v>
      </c>
      <c r="K56" s="771" t="s">
        <v>2116</v>
      </c>
      <c r="L56" s="1211"/>
      <c r="M56" s="1211"/>
      <c r="N56" s="1211"/>
      <c r="O56" s="1206">
        <f t="shared" si="2"/>
        <v>0</v>
      </c>
      <c r="P56" s="1211"/>
      <c r="Q56" s="1211"/>
      <c r="R56" s="1211"/>
      <c r="S56" s="1211"/>
      <c r="T56" s="1211"/>
      <c r="U56" s="1211"/>
      <c r="V56" s="1211"/>
      <c r="W56" s="779" t="e">
        <f t="shared" si="1"/>
        <v>#DIV/0!</v>
      </c>
      <c r="X56" s="788"/>
      <c r="Y56" s="788"/>
    </row>
    <row r="57" spans="1:25" s="775" customFormat="1" ht="22.5" customHeight="1" thickTop="1" thickBot="1" x14ac:dyDescent="0.3">
      <c r="A57" s="1441" t="s">
        <v>1377</v>
      </c>
      <c r="B57" s="1441" t="s">
        <v>1381</v>
      </c>
      <c r="C57" s="1442" t="s">
        <v>1381</v>
      </c>
      <c r="D57" s="1441" t="s">
        <v>1394</v>
      </c>
      <c r="E57" s="1442" t="s">
        <v>1381</v>
      </c>
      <c r="F57" s="1442" t="s">
        <v>1381</v>
      </c>
      <c r="G57" s="1442" t="s">
        <v>1381</v>
      </c>
      <c r="H57" s="1442" t="s">
        <v>1381</v>
      </c>
      <c r="I57" s="1442" t="s">
        <v>1394</v>
      </c>
      <c r="J57" s="1442" t="s">
        <v>1418</v>
      </c>
      <c r="K57" s="771" t="s">
        <v>2117</v>
      </c>
      <c r="L57" s="1212">
        <v>10000000</v>
      </c>
      <c r="M57" s="1211"/>
      <c r="N57" s="1211"/>
      <c r="O57" s="1206">
        <f t="shared" si="2"/>
        <v>10000000</v>
      </c>
      <c r="P57" s="1211"/>
      <c r="Q57" s="1211"/>
      <c r="R57" s="1211"/>
      <c r="S57" s="1211"/>
      <c r="T57" s="1211"/>
      <c r="U57" s="1211"/>
      <c r="V57" s="1214">
        <v>9841444.1699999999</v>
      </c>
      <c r="W57" s="779">
        <f t="shared" si="1"/>
        <v>0.98414441699999999</v>
      </c>
      <c r="X57" s="788"/>
      <c r="Y57" s="788"/>
    </row>
    <row r="58" spans="1:25" s="775" customFormat="1" ht="22.5" customHeight="1" thickTop="1" thickBot="1" x14ac:dyDescent="0.3">
      <c r="A58" s="1441" t="s">
        <v>1377</v>
      </c>
      <c r="B58" s="1441" t="s">
        <v>1381</v>
      </c>
      <c r="C58" s="1442" t="s">
        <v>1381</v>
      </c>
      <c r="D58" s="1441" t="s">
        <v>1394</v>
      </c>
      <c r="E58" s="1442" t="s">
        <v>1381</v>
      </c>
      <c r="F58" s="1442" t="s">
        <v>1381</v>
      </c>
      <c r="G58" s="1442" t="s">
        <v>1381</v>
      </c>
      <c r="H58" s="1442" t="s">
        <v>1381</v>
      </c>
      <c r="I58" s="1442" t="s">
        <v>1394</v>
      </c>
      <c r="J58" s="1442" t="s">
        <v>1422</v>
      </c>
      <c r="K58" s="771" t="s">
        <v>2118</v>
      </c>
      <c r="L58" s="1211"/>
      <c r="M58" s="1211"/>
      <c r="N58" s="1211"/>
      <c r="O58" s="1206">
        <f t="shared" si="2"/>
        <v>0</v>
      </c>
      <c r="P58" s="1211"/>
      <c r="Q58" s="1211"/>
      <c r="R58" s="1211"/>
      <c r="S58" s="1211"/>
      <c r="T58" s="1211"/>
      <c r="U58" s="1211"/>
      <c r="V58" s="1211"/>
      <c r="W58" s="779" t="e">
        <f t="shared" si="1"/>
        <v>#DIV/0!</v>
      </c>
      <c r="X58" s="788"/>
      <c r="Y58" s="788"/>
    </row>
    <row r="59" spans="1:25" s="775" customFormat="1" ht="22.5" customHeight="1" thickTop="1" thickBot="1" x14ac:dyDescent="0.3">
      <c r="A59" s="1441" t="s">
        <v>1377</v>
      </c>
      <c r="B59" s="1441" t="s">
        <v>1381</v>
      </c>
      <c r="C59" s="1442" t="s">
        <v>1381</v>
      </c>
      <c r="D59" s="1441" t="s">
        <v>1394</v>
      </c>
      <c r="E59" s="1442" t="s">
        <v>1381</v>
      </c>
      <c r="F59" s="1442" t="s">
        <v>1381</v>
      </c>
      <c r="G59" s="1442" t="s">
        <v>1381</v>
      </c>
      <c r="H59" s="1442" t="s">
        <v>1381</v>
      </c>
      <c r="I59" s="1442" t="s">
        <v>1394</v>
      </c>
      <c r="J59" s="1442" t="s">
        <v>1447</v>
      </c>
      <c r="K59" s="771" t="s">
        <v>2119</v>
      </c>
      <c r="L59" s="1211"/>
      <c r="M59" s="1211"/>
      <c r="N59" s="1211"/>
      <c r="O59" s="1206">
        <f t="shared" si="2"/>
        <v>0</v>
      </c>
      <c r="P59" s="1211"/>
      <c r="Q59" s="1211"/>
      <c r="R59" s="1211"/>
      <c r="S59" s="1211"/>
      <c r="T59" s="1211"/>
      <c r="U59" s="1211"/>
      <c r="V59" s="1211"/>
      <c r="W59" s="779" t="e">
        <f t="shared" si="1"/>
        <v>#DIV/0!</v>
      </c>
      <c r="X59" s="788"/>
      <c r="Y59" s="788"/>
    </row>
    <row r="60" spans="1:25" s="775" customFormat="1" ht="22.5" customHeight="1" thickTop="1" thickBot="1" x14ac:dyDescent="0.3">
      <c r="A60" s="1441" t="s">
        <v>1377</v>
      </c>
      <c r="B60" s="1441" t="s">
        <v>1381</v>
      </c>
      <c r="C60" s="1442" t="s">
        <v>1381</v>
      </c>
      <c r="D60" s="1441" t="s">
        <v>1394</v>
      </c>
      <c r="E60" s="1442" t="s">
        <v>1381</v>
      </c>
      <c r="F60" s="1442" t="s">
        <v>1381</v>
      </c>
      <c r="G60" s="1442" t="s">
        <v>1381</v>
      </c>
      <c r="H60" s="1442" t="s">
        <v>1381</v>
      </c>
      <c r="I60" s="1442" t="s">
        <v>1394</v>
      </c>
      <c r="J60" s="1442" t="s">
        <v>1470</v>
      </c>
      <c r="K60" s="771" t="s">
        <v>2120</v>
      </c>
      <c r="L60" s="1211"/>
      <c r="M60" s="1211"/>
      <c r="N60" s="1211"/>
      <c r="O60" s="1206">
        <f t="shared" si="2"/>
        <v>0</v>
      </c>
      <c r="P60" s="1211"/>
      <c r="Q60" s="1211"/>
      <c r="R60" s="1211"/>
      <c r="S60" s="1211"/>
      <c r="T60" s="1211"/>
      <c r="U60" s="1211"/>
      <c r="V60" s="1211"/>
      <c r="W60" s="779" t="e">
        <f t="shared" si="1"/>
        <v>#DIV/0!</v>
      </c>
      <c r="X60" s="788"/>
      <c r="Y60" s="788"/>
    </row>
    <row r="61" spans="1:25" s="775" customFormat="1" ht="22.5" customHeight="1" thickTop="1" thickBot="1" x14ac:dyDescent="0.3">
      <c r="A61" s="1441" t="s">
        <v>1377</v>
      </c>
      <c r="B61" s="1441" t="s">
        <v>1381</v>
      </c>
      <c r="C61" s="1442" t="s">
        <v>1381</v>
      </c>
      <c r="D61" s="1441" t="s">
        <v>1394</v>
      </c>
      <c r="E61" s="1442" t="s">
        <v>1381</v>
      </c>
      <c r="F61" s="1442" t="s">
        <v>1381</v>
      </c>
      <c r="G61" s="1442" t="s">
        <v>1381</v>
      </c>
      <c r="H61" s="1442" t="s">
        <v>1381</v>
      </c>
      <c r="I61" s="1442" t="s">
        <v>1394</v>
      </c>
      <c r="J61" s="1442" t="s">
        <v>1474</v>
      </c>
      <c r="K61" s="771" t="s">
        <v>2121</v>
      </c>
      <c r="L61" s="1211"/>
      <c r="M61" s="1211"/>
      <c r="N61" s="1211"/>
      <c r="O61" s="1206">
        <f t="shared" si="2"/>
        <v>0</v>
      </c>
      <c r="P61" s="1211"/>
      <c r="Q61" s="1211"/>
      <c r="R61" s="1211"/>
      <c r="S61" s="1211"/>
      <c r="T61" s="1211"/>
      <c r="U61" s="1211"/>
      <c r="V61" s="1211"/>
      <c r="W61" s="779" t="e">
        <f t="shared" si="1"/>
        <v>#DIV/0!</v>
      </c>
      <c r="X61" s="788"/>
      <c r="Y61" s="788"/>
    </row>
    <row r="62" spans="1:25" s="775" customFormat="1" ht="22.5" customHeight="1" thickTop="1" thickBot="1" x14ac:dyDescent="0.3">
      <c r="A62" s="1441" t="s">
        <v>1377</v>
      </c>
      <c r="B62" s="1441" t="s">
        <v>1381</v>
      </c>
      <c r="C62" s="1442" t="s">
        <v>1381</v>
      </c>
      <c r="D62" s="1441" t="s">
        <v>1394</v>
      </c>
      <c r="E62" s="1442" t="s">
        <v>1381</v>
      </c>
      <c r="F62" s="1442" t="s">
        <v>1381</v>
      </c>
      <c r="G62" s="1442" t="s">
        <v>1381</v>
      </c>
      <c r="H62" s="1442" t="s">
        <v>1381</v>
      </c>
      <c r="I62" s="1442" t="s">
        <v>1394</v>
      </c>
      <c r="J62" s="1442" t="s">
        <v>1478</v>
      </c>
      <c r="K62" s="771" t="s">
        <v>2122</v>
      </c>
      <c r="L62" s="1213"/>
      <c r="M62" s="1212">
        <v>2223385000</v>
      </c>
      <c r="N62" s="1211"/>
      <c r="O62" s="1206">
        <f t="shared" si="2"/>
        <v>2223385000</v>
      </c>
      <c r="P62" s="1211"/>
      <c r="Q62" s="1211"/>
      <c r="R62" s="1211"/>
      <c r="S62" s="1211"/>
      <c r="T62" s="1211"/>
      <c r="U62" s="1211"/>
      <c r="V62" s="1214">
        <v>2223385000</v>
      </c>
      <c r="W62" s="779">
        <f t="shared" si="1"/>
        <v>1</v>
      </c>
      <c r="X62" s="788"/>
      <c r="Y62" s="788"/>
    </row>
    <row r="63" spans="1:25" s="775" customFormat="1" ht="22.5" customHeight="1" thickTop="1" thickBot="1" x14ac:dyDescent="0.3">
      <c r="A63" s="1441" t="s">
        <v>1377</v>
      </c>
      <c r="B63" s="1441" t="s">
        <v>1381</v>
      </c>
      <c r="C63" s="1442" t="s">
        <v>1381</v>
      </c>
      <c r="D63" s="1441" t="s">
        <v>1394</v>
      </c>
      <c r="E63" s="1442" t="s">
        <v>1381</v>
      </c>
      <c r="F63" s="1442" t="s">
        <v>1381</v>
      </c>
      <c r="G63" s="1442" t="s">
        <v>1381</v>
      </c>
      <c r="H63" s="1442" t="s">
        <v>1381</v>
      </c>
      <c r="I63" s="1442" t="s">
        <v>1394</v>
      </c>
      <c r="J63" s="1442" t="s">
        <v>1576</v>
      </c>
      <c r="K63" s="771" t="s">
        <v>2123</v>
      </c>
      <c r="L63" s="1211"/>
      <c r="M63" s="1211"/>
      <c r="N63" s="1211"/>
      <c r="O63" s="1206">
        <f t="shared" si="2"/>
        <v>0</v>
      </c>
      <c r="P63" s="1211"/>
      <c r="Q63" s="1211"/>
      <c r="R63" s="1211"/>
      <c r="S63" s="1211"/>
      <c r="T63" s="1211"/>
      <c r="U63" s="1211"/>
      <c r="V63" s="1211"/>
      <c r="W63" s="779" t="e">
        <f t="shared" si="1"/>
        <v>#DIV/0!</v>
      </c>
      <c r="X63" s="788"/>
      <c r="Y63" s="788"/>
    </row>
    <row r="64" spans="1:25" s="775" customFormat="1" ht="22.5" customHeight="1" thickTop="1" thickBot="1" x14ac:dyDescent="0.3">
      <c r="A64" s="1441" t="s">
        <v>1377</v>
      </c>
      <c r="B64" s="1441" t="s">
        <v>1381</v>
      </c>
      <c r="C64" s="1442" t="s">
        <v>1381</v>
      </c>
      <c r="D64" s="1441" t="s">
        <v>1394</v>
      </c>
      <c r="E64" s="1442" t="s">
        <v>1381</v>
      </c>
      <c r="F64" s="1442" t="s">
        <v>1381</v>
      </c>
      <c r="G64" s="1442" t="s">
        <v>1381</v>
      </c>
      <c r="H64" s="1442" t="s">
        <v>1381</v>
      </c>
      <c r="I64" s="1442" t="s">
        <v>1394</v>
      </c>
      <c r="J64" s="1442" t="s">
        <v>1577</v>
      </c>
      <c r="K64" s="771" t="s">
        <v>2124</v>
      </c>
      <c r="L64" s="1211"/>
      <c r="M64" s="1211"/>
      <c r="N64" s="1211"/>
      <c r="O64" s="1206">
        <f t="shared" si="2"/>
        <v>0</v>
      </c>
      <c r="P64" s="1211"/>
      <c r="Q64" s="1211"/>
      <c r="R64" s="1211"/>
      <c r="S64" s="1211"/>
      <c r="T64" s="1211"/>
      <c r="U64" s="1211"/>
      <c r="V64" s="1211"/>
      <c r="W64" s="779" t="e">
        <f t="shared" si="1"/>
        <v>#DIV/0!</v>
      </c>
      <c r="X64" s="788"/>
      <c r="Y64" s="788"/>
    </row>
    <row r="65" spans="1:25" s="775" customFormat="1" ht="22.5" customHeight="1" thickTop="1" thickBot="1" x14ac:dyDescent="0.3">
      <c r="A65" s="1441" t="s">
        <v>1377</v>
      </c>
      <c r="B65" s="1441" t="s">
        <v>1381</v>
      </c>
      <c r="C65" s="1442" t="s">
        <v>1381</v>
      </c>
      <c r="D65" s="1441" t="s">
        <v>1394</v>
      </c>
      <c r="E65" s="1442" t="s">
        <v>1381</v>
      </c>
      <c r="F65" s="1442" t="s">
        <v>1381</v>
      </c>
      <c r="G65" s="1442" t="s">
        <v>1381</v>
      </c>
      <c r="H65" s="1442" t="s">
        <v>1381</v>
      </c>
      <c r="I65" s="1442" t="s">
        <v>1394</v>
      </c>
      <c r="J65" s="1442" t="s">
        <v>1578</v>
      </c>
      <c r="K65" s="771" t="s">
        <v>2125</v>
      </c>
      <c r="L65" s="1211"/>
      <c r="M65" s="1211"/>
      <c r="N65" s="1211"/>
      <c r="O65" s="1206">
        <f t="shared" si="2"/>
        <v>0</v>
      </c>
      <c r="P65" s="1211"/>
      <c r="Q65" s="1211"/>
      <c r="R65" s="1211"/>
      <c r="S65" s="1211"/>
      <c r="T65" s="1211"/>
      <c r="U65" s="1211"/>
      <c r="V65" s="1211"/>
      <c r="W65" s="779" t="e">
        <f t="shared" si="1"/>
        <v>#DIV/0!</v>
      </c>
      <c r="X65" s="788"/>
      <c r="Y65" s="788"/>
    </row>
    <row r="66" spans="1:25" s="775" customFormat="1" ht="22.5" customHeight="1" thickTop="1" thickBot="1" x14ac:dyDescent="0.3">
      <c r="A66" s="1441" t="s">
        <v>1377</v>
      </c>
      <c r="B66" s="1441" t="s">
        <v>1381</v>
      </c>
      <c r="C66" s="1442" t="s">
        <v>1381</v>
      </c>
      <c r="D66" s="1441" t="s">
        <v>1394</v>
      </c>
      <c r="E66" s="1442" t="s">
        <v>1381</v>
      </c>
      <c r="F66" s="1442" t="s">
        <v>1381</v>
      </c>
      <c r="G66" s="1442" t="s">
        <v>1381</v>
      </c>
      <c r="H66" s="1442" t="s">
        <v>1394</v>
      </c>
      <c r="I66" s="1442"/>
      <c r="J66" s="1442"/>
      <c r="K66" s="770" t="s">
        <v>1973</v>
      </c>
      <c r="L66" s="1206">
        <f>SUM(L67:L77)</f>
        <v>0</v>
      </c>
      <c r="M66" s="1206">
        <f t="shared" ref="M66:V66" si="14">SUM(M67:M77)</f>
        <v>0</v>
      </c>
      <c r="N66" s="1206">
        <f t="shared" si="14"/>
        <v>0</v>
      </c>
      <c r="O66" s="1206">
        <f t="shared" si="2"/>
        <v>0</v>
      </c>
      <c r="P66" s="1206">
        <f t="shared" si="14"/>
        <v>0</v>
      </c>
      <c r="Q66" s="1206">
        <f t="shared" si="14"/>
        <v>0</v>
      </c>
      <c r="R66" s="1206">
        <f t="shared" si="14"/>
        <v>0</v>
      </c>
      <c r="S66" s="1206"/>
      <c r="T66" s="1206">
        <f t="shared" si="14"/>
        <v>0</v>
      </c>
      <c r="U66" s="1206">
        <f t="shared" si="14"/>
        <v>0</v>
      </c>
      <c r="V66" s="1206">
        <f t="shared" si="14"/>
        <v>0</v>
      </c>
      <c r="W66" s="779" t="e">
        <f t="shared" si="1"/>
        <v>#DIV/0!</v>
      </c>
      <c r="X66" s="788" t="s">
        <v>1976</v>
      </c>
      <c r="Y66" s="788" t="s">
        <v>1977</v>
      </c>
    </row>
    <row r="67" spans="1:25" s="775" customFormat="1" ht="22.5" customHeight="1" thickTop="1" thickBot="1" x14ac:dyDescent="0.3">
      <c r="A67" s="1441" t="s">
        <v>1377</v>
      </c>
      <c r="B67" s="1441" t="s">
        <v>1381</v>
      </c>
      <c r="C67" s="1442" t="s">
        <v>1381</v>
      </c>
      <c r="D67" s="1441" t="s">
        <v>1394</v>
      </c>
      <c r="E67" s="1442" t="s">
        <v>1381</v>
      </c>
      <c r="F67" s="1442" t="s">
        <v>1381</v>
      </c>
      <c r="G67" s="1442" t="s">
        <v>1381</v>
      </c>
      <c r="H67" s="1442" t="s">
        <v>1394</v>
      </c>
      <c r="I67" s="1442" t="s">
        <v>1381</v>
      </c>
      <c r="J67" s="1442"/>
      <c r="K67" s="771" t="s">
        <v>2126</v>
      </c>
      <c r="L67" s="1211"/>
      <c r="M67" s="1211"/>
      <c r="N67" s="1211"/>
      <c r="O67" s="1206">
        <f t="shared" si="2"/>
        <v>0</v>
      </c>
      <c r="P67" s="1211"/>
      <c r="Q67" s="1211"/>
      <c r="R67" s="1211"/>
      <c r="S67" s="1211"/>
      <c r="T67" s="1211"/>
      <c r="U67" s="1211"/>
      <c r="V67" s="1211"/>
      <c r="W67" s="779" t="e">
        <f t="shared" si="1"/>
        <v>#DIV/0!</v>
      </c>
      <c r="X67" s="788"/>
      <c r="Y67" s="788"/>
    </row>
    <row r="68" spans="1:25" s="775" customFormat="1" ht="22.5" customHeight="1" thickTop="1" thickBot="1" x14ac:dyDescent="0.3">
      <c r="A68" s="1441" t="s">
        <v>1377</v>
      </c>
      <c r="B68" s="1441" t="s">
        <v>1381</v>
      </c>
      <c r="C68" s="1442" t="s">
        <v>1381</v>
      </c>
      <c r="D68" s="1441" t="s">
        <v>1394</v>
      </c>
      <c r="E68" s="1442" t="s">
        <v>1381</v>
      </c>
      <c r="F68" s="1442" t="s">
        <v>1381</v>
      </c>
      <c r="G68" s="1442" t="s">
        <v>1381</v>
      </c>
      <c r="H68" s="1442" t="s">
        <v>1394</v>
      </c>
      <c r="I68" s="1442" t="s">
        <v>1394</v>
      </c>
      <c r="J68" s="1442"/>
      <c r="K68" s="771" t="s">
        <v>2127</v>
      </c>
      <c r="L68" s="1211"/>
      <c r="M68" s="1211"/>
      <c r="N68" s="1211"/>
      <c r="O68" s="1206">
        <f t="shared" si="2"/>
        <v>0</v>
      </c>
      <c r="P68" s="1211"/>
      <c r="Q68" s="1211"/>
      <c r="R68" s="1211"/>
      <c r="S68" s="1211"/>
      <c r="T68" s="1211"/>
      <c r="U68" s="1211"/>
      <c r="V68" s="1211"/>
      <c r="W68" s="779" t="e">
        <f t="shared" si="1"/>
        <v>#DIV/0!</v>
      </c>
      <c r="X68" s="788"/>
      <c r="Y68" s="788"/>
    </row>
    <row r="69" spans="1:25" s="775" customFormat="1" ht="22.5" customHeight="1" thickTop="1" thickBot="1" x14ac:dyDescent="0.3">
      <c r="A69" s="1441" t="s">
        <v>1377</v>
      </c>
      <c r="B69" s="1441" t="s">
        <v>1381</v>
      </c>
      <c r="C69" s="1442" t="s">
        <v>1381</v>
      </c>
      <c r="D69" s="1441" t="s">
        <v>1394</v>
      </c>
      <c r="E69" s="1442" t="s">
        <v>1381</v>
      </c>
      <c r="F69" s="1442" t="s">
        <v>1381</v>
      </c>
      <c r="G69" s="1442" t="s">
        <v>1381</v>
      </c>
      <c r="H69" s="1442" t="s">
        <v>1394</v>
      </c>
      <c r="I69" s="1442" t="s">
        <v>1418</v>
      </c>
      <c r="J69" s="1442"/>
      <c r="K69" s="771" t="s">
        <v>2128</v>
      </c>
      <c r="L69" s="1211"/>
      <c r="M69" s="1211"/>
      <c r="N69" s="1211"/>
      <c r="O69" s="1206">
        <f t="shared" si="2"/>
        <v>0</v>
      </c>
      <c r="P69" s="1211"/>
      <c r="Q69" s="1211"/>
      <c r="R69" s="1211"/>
      <c r="S69" s="1211"/>
      <c r="T69" s="1211"/>
      <c r="U69" s="1211"/>
      <c r="V69" s="1211"/>
      <c r="W69" s="779" t="e">
        <f t="shared" si="1"/>
        <v>#DIV/0!</v>
      </c>
      <c r="X69" s="788"/>
      <c r="Y69" s="788"/>
    </row>
    <row r="70" spans="1:25" s="775" customFormat="1" ht="22.5" customHeight="1" thickTop="1" thickBot="1" x14ac:dyDescent="0.3">
      <c r="A70" s="1441" t="s">
        <v>1377</v>
      </c>
      <c r="B70" s="1441" t="s">
        <v>1381</v>
      </c>
      <c r="C70" s="1442" t="s">
        <v>1381</v>
      </c>
      <c r="D70" s="1441" t="s">
        <v>1394</v>
      </c>
      <c r="E70" s="1442" t="s">
        <v>1381</v>
      </c>
      <c r="F70" s="1442" t="s">
        <v>1381</v>
      </c>
      <c r="G70" s="1442" t="s">
        <v>1381</v>
      </c>
      <c r="H70" s="1442" t="s">
        <v>1394</v>
      </c>
      <c r="I70" s="1442" t="s">
        <v>1422</v>
      </c>
      <c r="J70" s="1442"/>
      <c r="K70" s="771" t="s">
        <v>2129</v>
      </c>
      <c r="L70" s="1211"/>
      <c r="M70" s="1211"/>
      <c r="N70" s="1211"/>
      <c r="O70" s="1206">
        <f t="shared" si="2"/>
        <v>0</v>
      </c>
      <c r="P70" s="1211"/>
      <c r="Q70" s="1211"/>
      <c r="R70" s="1211"/>
      <c r="S70" s="1211"/>
      <c r="T70" s="1211"/>
      <c r="U70" s="1211"/>
      <c r="V70" s="1211"/>
      <c r="W70" s="779" t="e">
        <f t="shared" si="1"/>
        <v>#DIV/0!</v>
      </c>
      <c r="X70" s="788"/>
      <c r="Y70" s="788"/>
    </row>
    <row r="71" spans="1:25" s="775" customFormat="1" ht="22.5" customHeight="1" thickTop="1" thickBot="1" x14ac:dyDescent="0.3">
      <c r="A71" s="1441" t="s">
        <v>1377</v>
      </c>
      <c r="B71" s="1441" t="s">
        <v>1381</v>
      </c>
      <c r="C71" s="1442" t="s">
        <v>1381</v>
      </c>
      <c r="D71" s="1441" t="s">
        <v>1394</v>
      </c>
      <c r="E71" s="1442" t="s">
        <v>1381</v>
      </c>
      <c r="F71" s="1442" t="s">
        <v>1381</v>
      </c>
      <c r="G71" s="1442" t="s">
        <v>1381</v>
      </c>
      <c r="H71" s="1442" t="s">
        <v>1394</v>
      </c>
      <c r="I71" s="1442" t="s">
        <v>1447</v>
      </c>
      <c r="J71" s="1442"/>
      <c r="K71" s="771" t="s">
        <v>2130</v>
      </c>
      <c r="L71" s="1211"/>
      <c r="M71" s="1211"/>
      <c r="N71" s="1211"/>
      <c r="O71" s="1206">
        <f t="shared" si="2"/>
        <v>0</v>
      </c>
      <c r="P71" s="1211"/>
      <c r="Q71" s="1211"/>
      <c r="R71" s="1211"/>
      <c r="S71" s="1211"/>
      <c r="T71" s="1211"/>
      <c r="U71" s="1211"/>
      <c r="V71" s="1211"/>
      <c r="W71" s="779" t="e">
        <f t="shared" ref="W71:W134" si="15">V71/O71</f>
        <v>#DIV/0!</v>
      </c>
      <c r="X71" s="788"/>
      <c r="Y71" s="788"/>
    </row>
    <row r="72" spans="1:25" s="775" customFormat="1" ht="22.5" customHeight="1" thickTop="1" thickBot="1" x14ac:dyDescent="0.3">
      <c r="A72" s="1441" t="s">
        <v>1377</v>
      </c>
      <c r="B72" s="1441" t="s">
        <v>1381</v>
      </c>
      <c r="C72" s="1442" t="s">
        <v>1381</v>
      </c>
      <c r="D72" s="1441" t="s">
        <v>1394</v>
      </c>
      <c r="E72" s="1442" t="s">
        <v>1381</v>
      </c>
      <c r="F72" s="1442" t="s">
        <v>1381</v>
      </c>
      <c r="G72" s="1442" t="s">
        <v>1381</v>
      </c>
      <c r="H72" s="1442" t="s">
        <v>1394</v>
      </c>
      <c r="I72" s="1442" t="s">
        <v>1470</v>
      </c>
      <c r="J72" s="1442"/>
      <c r="K72" s="771" t="s">
        <v>2131</v>
      </c>
      <c r="L72" s="1211"/>
      <c r="M72" s="1211"/>
      <c r="N72" s="1211"/>
      <c r="O72" s="1206">
        <f t="shared" ref="O72:O135" si="16">L72+M72-N72</f>
        <v>0</v>
      </c>
      <c r="P72" s="1211"/>
      <c r="Q72" s="1211"/>
      <c r="R72" s="1211"/>
      <c r="S72" s="1211"/>
      <c r="T72" s="1211"/>
      <c r="U72" s="1211"/>
      <c r="V72" s="1211"/>
      <c r="W72" s="779" t="e">
        <f t="shared" si="15"/>
        <v>#DIV/0!</v>
      </c>
      <c r="X72" s="788"/>
      <c r="Y72" s="788"/>
    </row>
    <row r="73" spans="1:25" s="775" customFormat="1" ht="22.5" customHeight="1" thickTop="1" thickBot="1" x14ac:dyDescent="0.3">
      <c r="A73" s="1441" t="s">
        <v>1377</v>
      </c>
      <c r="B73" s="1441" t="s">
        <v>1381</v>
      </c>
      <c r="C73" s="1442" t="s">
        <v>1381</v>
      </c>
      <c r="D73" s="1441" t="s">
        <v>1394</v>
      </c>
      <c r="E73" s="1442" t="s">
        <v>1381</v>
      </c>
      <c r="F73" s="1442" t="s">
        <v>1381</v>
      </c>
      <c r="G73" s="1442" t="s">
        <v>1381</v>
      </c>
      <c r="H73" s="1442" t="s">
        <v>1394</v>
      </c>
      <c r="I73" s="1442" t="s">
        <v>1474</v>
      </c>
      <c r="J73" s="1442"/>
      <c r="K73" s="771" t="s">
        <v>2132</v>
      </c>
      <c r="L73" s="1211"/>
      <c r="M73" s="1211"/>
      <c r="N73" s="1211"/>
      <c r="O73" s="1206">
        <f t="shared" si="16"/>
        <v>0</v>
      </c>
      <c r="P73" s="1211"/>
      <c r="Q73" s="1211"/>
      <c r="R73" s="1211"/>
      <c r="S73" s="1211"/>
      <c r="T73" s="1211"/>
      <c r="U73" s="1211"/>
      <c r="V73" s="1211"/>
      <c r="W73" s="779" t="e">
        <f t="shared" si="15"/>
        <v>#DIV/0!</v>
      </c>
      <c r="X73" s="788"/>
      <c r="Y73" s="788"/>
    </row>
    <row r="74" spans="1:25" s="775" customFormat="1" ht="22.5" customHeight="1" thickTop="1" thickBot="1" x14ac:dyDescent="0.3">
      <c r="A74" s="1441" t="s">
        <v>1377</v>
      </c>
      <c r="B74" s="1441" t="s">
        <v>1381</v>
      </c>
      <c r="C74" s="1442" t="s">
        <v>1381</v>
      </c>
      <c r="D74" s="1441" t="s">
        <v>1394</v>
      </c>
      <c r="E74" s="1442" t="s">
        <v>1381</v>
      </c>
      <c r="F74" s="1442" t="s">
        <v>1381</v>
      </c>
      <c r="G74" s="1442" t="s">
        <v>1381</v>
      </c>
      <c r="H74" s="1442" t="s">
        <v>1394</v>
      </c>
      <c r="I74" s="1442" t="s">
        <v>1478</v>
      </c>
      <c r="J74" s="1442"/>
      <c r="K74" s="771" t="s">
        <v>2133</v>
      </c>
      <c r="L74" s="1211"/>
      <c r="M74" s="1211"/>
      <c r="N74" s="1211"/>
      <c r="O74" s="1206">
        <f t="shared" si="16"/>
        <v>0</v>
      </c>
      <c r="P74" s="1211"/>
      <c r="Q74" s="1211"/>
      <c r="R74" s="1211"/>
      <c r="S74" s="1211"/>
      <c r="T74" s="1211"/>
      <c r="U74" s="1211"/>
      <c r="V74" s="1211"/>
      <c r="W74" s="779" t="e">
        <f t="shared" si="15"/>
        <v>#DIV/0!</v>
      </c>
      <c r="X74" s="788"/>
      <c r="Y74" s="788"/>
    </row>
    <row r="75" spans="1:25" s="775" customFormat="1" ht="22.5" customHeight="1" thickTop="1" thickBot="1" x14ac:dyDescent="0.3">
      <c r="A75" s="1441" t="s">
        <v>1377</v>
      </c>
      <c r="B75" s="1441" t="s">
        <v>1381</v>
      </c>
      <c r="C75" s="1442" t="s">
        <v>1381</v>
      </c>
      <c r="D75" s="1441" t="s">
        <v>1394</v>
      </c>
      <c r="E75" s="1442" t="s">
        <v>1381</v>
      </c>
      <c r="F75" s="1442" t="s">
        <v>1381</v>
      </c>
      <c r="G75" s="1442" t="s">
        <v>1381</v>
      </c>
      <c r="H75" s="1442" t="s">
        <v>1394</v>
      </c>
      <c r="I75" s="1442" t="s">
        <v>1576</v>
      </c>
      <c r="J75" s="1442"/>
      <c r="K75" s="771" t="s">
        <v>2134</v>
      </c>
      <c r="L75" s="1211"/>
      <c r="M75" s="1211"/>
      <c r="N75" s="1211"/>
      <c r="O75" s="1206">
        <f t="shared" si="16"/>
        <v>0</v>
      </c>
      <c r="P75" s="1211"/>
      <c r="Q75" s="1211"/>
      <c r="R75" s="1211"/>
      <c r="S75" s="1211"/>
      <c r="T75" s="1211"/>
      <c r="U75" s="1211"/>
      <c r="V75" s="1211"/>
      <c r="W75" s="779" t="e">
        <f t="shared" si="15"/>
        <v>#DIV/0!</v>
      </c>
      <c r="X75" s="788"/>
      <c r="Y75" s="788"/>
    </row>
    <row r="76" spans="1:25" s="775" customFormat="1" ht="22.5" customHeight="1" thickTop="1" thickBot="1" x14ac:dyDescent="0.3">
      <c r="A76" s="1441" t="s">
        <v>1377</v>
      </c>
      <c r="B76" s="1441" t="s">
        <v>1381</v>
      </c>
      <c r="C76" s="1442" t="s">
        <v>1381</v>
      </c>
      <c r="D76" s="1441" t="s">
        <v>1394</v>
      </c>
      <c r="E76" s="1442" t="s">
        <v>1381</v>
      </c>
      <c r="F76" s="1442" t="s">
        <v>1381</v>
      </c>
      <c r="G76" s="1442" t="s">
        <v>1381</v>
      </c>
      <c r="H76" s="1442" t="s">
        <v>1394</v>
      </c>
      <c r="I76" s="1442" t="s">
        <v>1577</v>
      </c>
      <c r="J76" s="1442"/>
      <c r="K76" s="771" t="s">
        <v>2135</v>
      </c>
      <c r="L76" s="1211"/>
      <c r="M76" s="1211"/>
      <c r="N76" s="1211"/>
      <c r="O76" s="1206">
        <f t="shared" si="16"/>
        <v>0</v>
      </c>
      <c r="P76" s="1211"/>
      <c r="Q76" s="1211"/>
      <c r="R76" s="1211"/>
      <c r="S76" s="1211"/>
      <c r="T76" s="1211"/>
      <c r="U76" s="1211"/>
      <c r="V76" s="1211"/>
      <c r="W76" s="779" t="e">
        <f t="shared" si="15"/>
        <v>#DIV/0!</v>
      </c>
      <c r="X76" s="788"/>
      <c r="Y76" s="788"/>
    </row>
    <row r="77" spans="1:25" s="775" customFormat="1" ht="22.5" customHeight="1" thickTop="1" thickBot="1" x14ac:dyDescent="0.3">
      <c r="A77" s="1441" t="s">
        <v>1377</v>
      </c>
      <c r="B77" s="1441" t="s">
        <v>1381</v>
      </c>
      <c r="C77" s="1442" t="s">
        <v>1381</v>
      </c>
      <c r="D77" s="1441" t="s">
        <v>1394</v>
      </c>
      <c r="E77" s="1442" t="s">
        <v>1381</v>
      </c>
      <c r="F77" s="1442" t="s">
        <v>1381</v>
      </c>
      <c r="G77" s="1442" t="s">
        <v>1381</v>
      </c>
      <c r="H77" s="1442" t="s">
        <v>1394</v>
      </c>
      <c r="I77" s="1442" t="s">
        <v>1578</v>
      </c>
      <c r="J77" s="1442"/>
      <c r="K77" s="771" t="s">
        <v>2136</v>
      </c>
      <c r="L77" s="1211"/>
      <c r="M77" s="1211"/>
      <c r="N77" s="1211"/>
      <c r="O77" s="1206">
        <f t="shared" si="16"/>
        <v>0</v>
      </c>
      <c r="P77" s="1211"/>
      <c r="Q77" s="1211"/>
      <c r="R77" s="1211"/>
      <c r="S77" s="1211"/>
      <c r="T77" s="1211"/>
      <c r="U77" s="1211"/>
      <c r="V77" s="1211"/>
      <c r="W77" s="779" t="e">
        <f t="shared" si="15"/>
        <v>#DIV/0!</v>
      </c>
      <c r="X77" s="788"/>
      <c r="Y77" s="788"/>
    </row>
    <row r="78" spans="1:25" s="183" customFormat="1" ht="22.5" customHeight="1" thickTop="1" thickBot="1" x14ac:dyDescent="0.3">
      <c r="A78" s="1436" t="s">
        <v>1377</v>
      </c>
      <c r="B78" s="1437" t="s">
        <v>1381</v>
      </c>
      <c r="C78" s="1437" t="s">
        <v>1381</v>
      </c>
      <c r="D78" s="1437" t="s">
        <v>1394</v>
      </c>
      <c r="E78" s="1437" t="s">
        <v>1394</v>
      </c>
      <c r="F78" s="1437"/>
      <c r="G78" s="1437"/>
      <c r="H78" s="1437"/>
      <c r="I78" s="1437"/>
      <c r="J78" s="1437"/>
      <c r="K78" s="1438" t="s">
        <v>1745</v>
      </c>
      <c r="L78" s="1209">
        <f>+L79+L164</f>
        <v>6350482000</v>
      </c>
      <c r="M78" s="1209">
        <f t="shared" ref="M78:V78" si="17">+M79+M164</f>
        <v>990579000</v>
      </c>
      <c r="N78" s="1209">
        <f t="shared" si="17"/>
        <v>0</v>
      </c>
      <c r="O78" s="1206">
        <f t="shared" si="16"/>
        <v>7341061000</v>
      </c>
      <c r="P78" s="1209">
        <f t="shared" si="17"/>
        <v>1320377500</v>
      </c>
      <c r="Q78" s="1209">
        <f t="shared" si="17"/>
        <v>5351713400</v>
      </c>
      <c r="R78" s="1209">
        <f t="shared" si="17"/>
        <v>660353100</v>
      </c>
      <c r="S78" s="1209">
        <f t="shared" si="17"/>
        <v>8617000</v>
      </c>
      <c r="T78" s="1209">
        <f t="shared" si="17"/>
        <v>0</v>
      </c>
      <c r="U78" s="1209">
        <f t="shared" si="17"/>
        <v>8161784588.249999</v>
      </c>
      <c r="V78" s="1209">
        <f t="shared" si="17"/>
        <v>1994016051.1599998</v>
      </c>
      <c r="W78" s="777">
        <f t="shared" si="15"/>
        <v>0.27162504863534032</v>
      </c>
      <c r="X78" s="788" t="s">
        <v>1984</v>
      </c>
      <c r="Y78" s="788" t="s">
        <v>1985</v>
      </c>
    </row>
    <row r="79" spans="1:25" s="183" customFormat="1" ht="22.5" customHeight="1" thickTop="1" thickBot="1" x14ac:dyDescent="0.3">
      <c r="A79" s="1436">
        <v>1</v>
      </c>
      <c r="B79" s="1437" t="s">
        <v>1381</v>
      </c>
      <c r="C79" s="1437" t="s">
        <v>1381</v>
      </c>
      <c r="D79" s="1437" t="s">
        <v>1394</v>
      </c>
      <c r="E79" s="1437" t="s">
        <v>1394</v>
      </c>
      <c r="F79" s="1437" t="s">
        <v>1381</v>
      </c>
      <c r="G79" s="1437"/>
      <c r="H79" s="1437"/>
      <c r="I79" s="1437"/>
      <c r="J79" s="1437"/>
      <c r="K79" s="1438" t="s">
        <v>1999</v>
      </c>
      <c r="L79" s="1209">
        <f>+L80+L92+L104+L116+L128+L140+L152</f>
        <v>5059086000</v>
      </c>
      <c r="M79" s="1209">
        <f t="shared" ref="M79:V79" si="18">+M80+M92+M104+M116+M128+M140+M152</f>
        <v>867753000</v>
      </c>
      <c r="N79" s="1209">
        <f t="shared" si="18"/>
        <v>0</v>
      </c>
      <c r="O79" s="1206">
        <f t="shared" si="16"/>
        <v>5926839000</v>
      </c>
      <c r="P79" s="1209">
        <f t="shared" si="18"/>
        <v>33000000</v>
      </c>
      <c r="Q79" s="1209">
        <f t="shared" si="18"/>
        <v>5351713400</v>
      </c>
      <c r="R79" s="1209">
        <f t="shared" si="18"/>
        <v>533508600</v>
      </c>
      <c r="S79" s="1209">
        <f t="shared" si="18"/>
        <v>8617000</v>
      </c>
      <c r="T79" s="1209">
        <f t="shared" si="18"/>
        <v>0</v>
      </c>
      <c r="U79" s="1209">
        <f t="shared" si="18"/>
        <v>7468731705.789999</v>
      </c>
      <c r="V79" s="1209">
        <f t="shared" si="18"/>
        <v>1748108344.6199999</v>
      </c>
      <c r="W79" s="777">
        <f t="shared" si="15"/>
        <v>0.29494783722318085</v>
      </c>
      <c r="X79" s="788"/>
      <c r="Y79" s="788"/>
    </row>
    <row r="80" spans="1:25" s="183" customFormat="1" ht="22.5" customHeight="1" thickTop="1" thickBot="1" x14ac:dyDescent="0.3">
      <c r="A80" s="1441">
        <v>1</v>
      </c>
      <c r="B80" s="1442" t="s">
        <v>1381</v>
      </c>
      <c r="C80" s="1442" t="s">
        <v>1381</v>
      </c>
      <c r="D80" s="1442" t="s">
        <v>1394</v>
      </c>
      <c r="E80" s="1442" t="s">
        <v>1394</v>
      </c>
      <c r="F80" s="1442" t="s">
        <v>1381</v>
      </c>
      <c r="G80" s="1442" t="s">
        <v>1381</v>
      </c>
      <c r="H80" s="1442"/>
      <c r="I80" s="1442"/>
      <c r="J80" s="1442"/>
      <c r="K80" s="771" t="s">
        <v>1434</v>
      </c>
      <c r="L80" s="1215">
        <f>SUM(L81:L91)</f>
        <v>636479000</v>
      </c>
      <c r="M80" s="1215">
        <f t="shared" ref="M80:V80" si="19">SUM(M81:M91)</f>
        <v>10217000</v>
      </c>
      <c r="N80" s="1215">
        <f t="shared" si="19"/>
        <v>0</v>
      </c>
      <c r="O80" s="1206">
        <f t="shared" si="16"/>
        <v>646696000</v>
      </c>
      <c r="P80" s="1215">
        <v>4000000</v>
      </c>
      <c r="Q80" s="1215">
        <v>569831100</v>
      </c>
      <c r="R80" s="1215">
        <v>64247900</v>
      </c>
      <c r="S80" s="1215">
        <v>8617000</v>
      </c>
      <c r="T80" s="1215">
        <f t="shared" si="19"/>
        <v>0</v>
      </c>
      <c r="U80" s="1215">
        <f t="shared" si="19"/>
        <v>2082404453</v>
      </c>
      <c r="V80" s="1215">
        <f t="shared" si="19"/>
        <v>222054719.83000001</v>
      </c>
      <c r="W80" s="631">
        <f t="shared" si="15"/>
        <v>0.34336801190976907</v>
      </c>
      <c r="X80" s="788" t="s">
        <v>1435</v>
      </c>
      <c r="Y80" s="788" t="s">
        <v>1436</v>
      </c>
    </row>
    <row r="81" spans="1:25" s="183" customFormat="1" ht="22.5" customHeight="1" thickTop="1" thickBot="1" x14ac:dyDescent="0.3">
      <c r="A81" s="1441">
        <v>1</v>
      </c>
      <c r="B81" s="1442" t="s">
        <v>1381</v>
      </c>
      <c r="C81" s="1442" t="s">
        <v>1381</v>
      </c>
      <c r="D81" s="1442" t="s">
        <v>1394</v>
      </c>
      <c r="E81" s="1442" t="s">
        <v>1394</v>
      </c>
      <c r="F81" s="1442" t="s">
        <v>1381</v>
      </c>
      <c r="G81" s="1442" t="s">
        <v>1381</v>
      </c>
      <c r="H81" s="1442" t="s">
        <v>1381</v>
      </c>
      <c r="I81" s="1442"/>
      <c r="J81" s="1442"/>
      <c r="K81" s="771" t="s">
        <v>1437</v>
      </c>
      <c r="L81" s="1212">
        <v>400981770</v>
      </c>
      <c r="M81" s="1215"/>
      <c r="N81" s="1215"/>
      <c r="O81" s="1206">
        <f t="shared" si="16"/>
        <v>400981770</v>
      </c>
      <c r="P81" s="1215"/>
      <c r="Q81" s="1215"/>
      <c r="R81" s="1215"/>
      <c r="S81" s="1215"/>
      <c r="T81" s="1215"/>
      <c r="U81" s="1214">
        <v>239719813</v>
      </c>
      <c r="V81" s="1214">
        <v>153031029</v>
      </c>
      <c r="W81" s="631">
        <f t="shared" si="15"/>
        <v>0.38164086362330135</v>
      </c>
      <c r="X81" s="788"/>
      <c r="Y81" s="788"/>
    </row>
    <row r="82" spans="1:25" s="183" customFormat="1" ht="22.5" customHeight="1" thickTop="1" thickBot="1" x14ac:dyDescent="0.3">
      <c r="A82" s="1441">
        <v>1</v>
      </c>
      <c r="B82" s="1442" t="s">
        <v>1381</v>
      </c>
      <c r="C82" s="1442" t="s">
        <v>1381</v>
      </c>
      <c r="D82" s="1442" t="s">
        <v>1394</v>
      </c>
      <c r="E82" s="1442" t="s">
        <v>1394</v>
      </c>
      <c r="F82" s="1442" t="s">
        <v>1381</v>
      </c>
      <c r="G82" s="1442" t="s">
        <v>1381</v>
      </c>
      <c r="H82" s="1442" t="s">
        <v>1394</v>
      </c>
      <c r="I82" s="1442"/>
      <c r="J82" s="1442"/>
      <c r="K82" s="771" t="s">
        <v>1438</v>
      </c>
      <c r="L82" s="1212">
        <v>230497230</v>
      </c>
      <c r="M82" s="1215"/>
      <c r="N82" s="1215"/>
      <c r="O82" s="1206">
        <f t="shared" si="16"/>
        <v>230497230</v>
      </c>
      <c r="P82" s="1215"/>
      <c r="Q82" s="1215"/>
      <c r="R82" s="1215"/>
      <c r="S82" s="1215"/>
      <c r="T82" s="1215"/>
      <c r="U82" s="1214">
        <v>1842684640</v>
      </c>
      <c r="V82" s="1214">
        <v>42628341</v>
      </c>
      <c r="W82" s="631">
        <f t="shared" si="15"/>
        <v>0.18494079516703954</v>
      </c>
      <c r="X82" s="788"/>
      <c r="Y82" s="788"/>
    </row>
    <row r="83" spans="1:25" s="183" customFormat="1" ht="22.5" customHeight="1" thickTop="1" thickBot="1" x14ac:dyDescent="0.3">
      <c r="A83" s="1441">
        <v>1</v>
      </c>
      <c r="B83" s="1442" t="s">
        <v>1381</v>
      </c>
      <c r="C83" s="1442" t="s">
        <v>1381</v>
      </c>
      <c r="D83" s="1442" t="s">
        <v>1394</v>
      </c>
      <c r="E83" s="1442" t="s">
        <v>1394</v>
      </c>
      <c r="F83" s="1442" t="s">
        <v>1381</v>
      </c>
      <c r="G83" s="1442" t="s">
        <v>1381</v>
      </c>
      <c r="H83" s="1442" t="s">
        <v>1418</v>
      </c>
      <c r="I83" s="1442"/>
      <c r="J83" s="1442"/>
      <c r="K83" s="771" t="s">
        <v>1890</v>
      </c>
      <c r="L83" s="1212">
        <v>1000000</v>
      </c>
      <c r="M83" s="1215"/>
      <c r="N83" s="1215"/>
      <c r="O83" s="1206">
        <f t="shared" si="16"/>
        <v>1000000</v>
      </c>
      <c r="P83" s="1215"/>
      <c r="Q83" s="1215"/>
      <c r="R83" s="1215"/>
      <c r="S83" s="1215"/>
      <c r="T83" s="1215"/>
      <c r="U83" s="1215"/>
      <c r="V83" s="1214">
        <v>1361633.83</v>
      </c>
      <c r="W83" s="631">
        <f t="shared" si="15"/>
        <v>1.3616338300000002</v>
      </c>
      <c r="X83" s="788"/>
      <c r="Y83" s="788"/>
    </row>
    <row r="84" spans="1:25" s="183" customFormat="1" ht="22.5" customHeight="1" thickTop="1" thickBot="1" x14ac:dyDescent="0.3">
      <c r="A84" s="1441">
        <v>1</v>
      </c>
      <c r="B84" s="1442" t="s">
        <v>1381</v>
      </c>
      <c r="C84" s="1442" t="s">
        <v>1381</v>
      </c>
      <c r="D84" s="1442" t="s">
        <v>1394</v>
      </c>
      <c r="E84" s="1442" t="s">
        <v>1394</v>
      </c>
      <c r="F84" s="1442" t="s">
        <v>1381</v>
      </c>
      <c r="G84" s="1442" t="s">
        <v>1381</v>
      </c>
      <c r="H84" s="1442" t="s">
        <v>1422</v>
      </c>
      <c r="I84" s="1442"/>
      <c r="J84" s="1442"/>
      <c r="K84" s="771" t="s">
        <v>2622</v>
      </c>
      <c r="L84" s="1212">
        <v>4000000</v>
      </c>
      <c r="M84" s="1215"/>
      <c r="N84" s="1215"/>
      <c r="O84" s="1206">
        <f t="shared" si="16"/>
        <v>4000000</v>
      </c>
      <c r="P84" s="1215"/>
      <c r="Q84" s="1215"/>
      <c r="R84" s="1215"/>
      <c r="S84" s="1215"/>
      <c r="T84" s="1215"/>
      <c r="U84" s="1215"/>
      <c r="V84" s="1214">
        <v>14816716</v>
      </c>
      <c r="W84" s="631">
        <f t="shared" si="15"/>
        <v>3.7041789999999999</v>
      </c>
      <c r="X84" s="788"/>
      <c r="Y84" s="788"/>
    </row>
    <row r="85" spans="1:25" s="183" customFormat="1" ht="22.5" customHeight="1" thickTop="1" thickBot="1" x14ac:dyDescent="0.3">
      <c r="A85" s="1441">
        <v>1</v>
      </c>
      <c r="B85" s="1442" t="s">
        <v>1381</v>
      </c>
      <c r="C85" s="1442" t="s">
        <v>1381</v>
      </c>
      <c r="D85" s="1442" t="s">
        <v>1394</v>
      </c>
      <c r="E85" s="1442" t="s">
        <v>1394</v>
      </c>
      <c r="F85" s="1442" t="s">
        <v>1381</v>
      </c>
      <c r="G85" s="1442" t="s">
        <v>1381</v>
      </c>
      <c r="H85" s="1442" t="s">
        <v>1447</v>
      </c>
      <c r="I85" s="1442"/>
      <c r="J85" s="1442"/>
      <c r="K85" s="771" t="s">
        <v>2623</v>
      </c>
      <c r="L85" s="1216"/>
      <c r="M85" s="1215"/>
      <c r="N85" s="1215"/>
      <c r="O85" s="1206">
        <f t="shared" si="16"/>
        <v>0</v>
      </c>
      <c r="P85" s="1215"/>
      <c r="Q85" s="1215"/>
      <c r="R85" s="1215"/>
      <c r="S85" s="1215"/>
      <c r="T85" s="1215"/>
      <c r="U85" s="1215"/>
      <c r="V85" s="1215"/>
      <c r="W85" s="631" t="e">
        <f t="shared" si="15"/>
        <v>#DIV/0!</v>
      </c>
      <c r="X85" s="788"/>
      <c r="Y85" s="788"/>
    </row>
    <row r="86" spans="1:25" s="183" customFormat="1" ht="22.5" customHeight="1" thickTop="1" thickBot="1" x14ac:dyDescent="0.3">
      <c r="A86" s="1441">
        <v>1</v>
      </c>
      <c r="B86" s="1442" t="s">
        <v>1381</v>
      </c>
      <c r="C86" s="1442" t="s">
        <v>1381</v>
      </c>
      <c r="D86" s="1442" t="s">
        <v>1394</v>
      </c>
      <c r="E86" s="1442" t="s">
        <v>1394</v>
      </c>
      <c r="F86" s="1442" t="s">
        <v>1381</v>
      </c>
      <c r="G86" s="1442" t="s">
        <v>1381</v>
      </c>
      <c r="H86" s="1442" t="s">
        <v>1470</v>
      </c>
      <c r="I86" s="1442"/>
      <c r="J86" s="1442"/>
      <c r="K86" s="771" t="s">
        <v>2624</v>
      </c>
      <c r="L86" s="1216"/>
      <c r="M86" s="1215"/>
      <c r="N86" s="1215"/>
      <c r="O86" s="1206">
        <f t="shared" si="16"/>
        <v>0</v>
      </c>
      <c r="P86" s="1215"/>
      <c r="Q86" s="1215"/>
      <c r="R86" s="1215"/>
      <c r="S86" s="1215"/>
      <c r="T86" s="1215"/>
      <c r="U86" s="1215"/>
      <c r="V86" s="1215"/>
      <c r="W86" s="631" t="e">
        <f t="shared" si="15"/>
        <v>#DIV/0!</v>
      </c>
      <c r="X86" s="788"/>
      <c r="Y86" s="788"/>
    </row>
    <row r="87" spans="1:25" s="183" customFormat="1" ht="22.5" customHeight="1" thickTop="1" thickBot="1" x14ac:dyDescent="0.3">
      <c r="A87" s="1441">
        <v>1</v>
      </c>
      <c r="B87" s="1442" t="s">
        <v>1381</v>
      </c>
      <c r="C87" s="1442" t="s">
        <v>1381</v>
      </c>
      <c r="D87" s="1442" t="s">
        <v>1394</v>
      </c>
      <c r="E87" s="1442" t="s">
        <v>1394</v>
      </c>
      <c r="F87" s="1442" t="s">
        <v>1381</v>
      </c>
      <c r="G87" s="1442" t="s">
        <v>1381</v>
      </c>
      <c r="H87" s="1442" t="s">
        <v>1474</v>
      </c>
      <c r="I87" s="1442"/>
      <c r="J87" s="1442"/>
      <c r="K87" s="771" t="s">
        <v>2625</v>
      </c>
      <c r="L87" s="1216"/>
      <c r="M87" s="1215"/>
      <c r="N87" s="1215"/>
      <c r="O87" s="1206">
        <f t="shared" si="16"/>
        <v>0</v>
      </c>
      <c r="P87" s="1215"/>
      <c r="Q87" s="1215"/>
      <c r="R87" s="1215"/>
      <c r="S87" s="1215"/>
      <c r="T87" s="1215"/>
      <c r="U87" s="1215"/>
      <c r="V87" s="1215"/>
      <c r="W87" s="631" t="e">
        <f t="shared" si="15"/>
        <v>#DIV/0!</v>
      </c>
      <c r="X87" s="788"/>
      <c r="Y87" s="788"/>
    </row>
    <row r="88" spans="1:25" s="183" customFormat="1" ht="22.5" customHeight="1" thickTop="1" thickBot="1" x14ac:dyDescent="0.3">
      <c r="A88" s="1441">
        <v>1</v>
      </c>
      <c r="B88" s="1442" t="s">
        <v>1381</v>
      </c>
      <c r="C88" s="1442" t="s">
        <v>1381</v>
      </c>
      <c r="D88" s="1442" t="s">
        <v>1394</v>
      </c>
      <c r="E88" s="1442" t="s">
        <v>1394</v>
      </c>
      <c r="F88" s="1442" t="s">
        <v>1381</v>
      </c>
      <c r="G88" s="1442" t="s">
        <v>1381</v>
      </c>
      <c r="H88" s="1442" t="s">
        <v>1478</v>
      </c>
      <c r="I88" s="1442"/>
      <c r="J88" s="1442"/>
      <c r="K88" s="771" t="s">
        <v>2626</v>
      </c>
      <c r="L88" s="1213"/>
      <c r="M88" s="1212">
        <v>10217000</v>
      </c>
      <c r="N88" s="1215"/>
      <c r="O88" s="1206">
        <f t="shared" si="16"/>
        <v>10217000</v>
      </c>
      <c r="P88" s="1215"/>
      <c r="Q88" s="1215"/>
      <c r="R88" s="1215"/>
      <c r="S88" s="1215"/>
      <c r="T88" s="1215"/>
      <c r="U88" s="1215"/>
      <c r="V88" s="1214">
        <v>10217000</v>
      </c>
      <c r="W88" s="631">
        <f t="shared" si="15"/>
        <v>1</v>
      </c>
      <c r="X88" s="788"/>
      <c r="Y88" s="788"/>
    </row>
    <row r="89" spans="1:25" s="183" customFormat="1" ht="22.5" customHeight="1" thickTop="1" thickBot="1" x14ac:dyDescent="0.3">
      <c r="A89" s="1441">
        <v>1</v>
      </c>
      <c r="B89" s="1442" t="s">
        <v>1381</v>
      </c>
      <c r="C89" s="1442" t="s">
        <v>1381</v>
      </c>
      <c r="D89" s="1442" t="s">
        <v>1394</v>
      </c>
      <c r="E89" s="1442" t="s">
        <v>1394</v>
      </c>
      <c r="F89" s="1442" t="s">
        <v>1381</v>
      </c>
      <c r="G89" s="1442" t="s">
        <v>1381</v>
      </c>
      <c r="H89" s="1442" t="s">
        <v>1576</v>
      </c>
      <c r="I89" s="1442"/>
      <c r="J89" s="1442"/>
      <c r="K89" s="771" t="s">
        <v>2627</v>
      </c>
      <c r="L89" s="1215"/>
      <c r="M89" s="1215"/>
      <c r="N89" s="1215"/>
      <c r="O89" s="1206">
        <f t="shared" si="16"/>
        <v>0</v>
      </c>
      <c r="P89" s="1215"/>
      <c r="Q89" s="1215"/>
      <c r="R89" s="1215"/>
      <c r="S89" s="1215"/>
      <c r="T89" s="1215"/>
      <c r="U89" s="1215"/>
      <c r="V89" s="1215"/>
      <c r="W89" s="631" t="e">
        <f t="shared" si="15"/>
        <v>#DIV/0!</v>
      </c>
      <c r="X89" s="788"/>
      <c r="Y89" s="788"/>
    </row>
    <row r="90" spans="1:25" s="183" customFormat="1" ht="22.5" customHeight="1" thickTop="1" thickBot="1" x14ac:dyDescent="0.3">
      <c r="A90" s="1441">
        <v>1</v>
      </c>
      <c r="B90" s="1442" t="s">
        <v>1381</v>
      </c>
      <c r="C90" s="1442" t="s">
        <v>1381</v>
      </c>
      <c r="D90" s="1442" t="s">
        <v>1394</v>
      </c>
      <c r="E90" s="1442" t="s">
        <v>1394</v>
      </c>
      <c r="F90" s="1442" t="s">
        <v>1381</v>
      </c>
      <c r="G90" s="1442" t="s">
        <v>1381</v>
      </c>
      <c r="H90" s="1442" t="s">
        <v>1577</v>
      </c>
      <c r="I90" s="1442"/>
      <c r="J90" s="1442"/>
      <c r="K90" s="771" t="s">
        <v>2628</v>
      </c>
      <c r="L90" s="1215"/>
      <c r="M90" s="1215"/>
      <c r="N90" s="1215"/>
      <c r="O90" s="1206">
        <f t="shared" si="16"/>
        <v>0</v>
      </c>
      <c r="P90" s="1215"/>
      <c r="Q90" s="1215"/>
      <c r="R90" s="1215"/>
      <c r="S90" s="1215"/>
      <c r="T90" s="1215"/>
      <c r="U90" s="1215"/>
      <c r="V90" s="1215"/>
      <c r="W90" s="631" t="e">
        <f t="shared" si="15"/>
        <v>#DIV/0!</v>
      </c>
      <c r="X90" s="788"/>
      <c r="Y90" s="788"/>
    </row>
    <row r="91" spans="1:25" s="183" customFormat="1" ht="22.5" customHeight="1" thickTop="1" thickBot="1" x14ac:dyDescent="0.3">
      <c r="A91" s="1441">
        <v>1</v>
      </c>
      <c r="B91" s="1442" t="s">
        <v>1381</v>
      </c>
      <c r="C91" s="1442" t="s">
        <v>1381</v>
      </c>
      <c r="D91" s="1442" t="s">
        <v>1394</v>
      </c>
      <c r="E91" s="1442" t="s">
        <v>1394</v>
      </c>
      <c r="F91" s="1442" t="s">
        <v>1381</v>
      </c>
      <c r="G91" s="1442" t="s">
        <v>1381</v>
      </c>
      <c r="H91" s="1442" t="s">
        <v>1578</v>
      </c>
      <c r="I91" s="1442"/>
      <c r="J91" s="1442"/>
      <c r="K91" s="771" t="s">
        <v>2629</v>
      </c>
      <c r="L91" s="1215"/>
      <c r="M91" s="1215"/>
      <c r="N91" s="1215"/>
      <c r="O91" s="1206">
        <f t="shared" si="16"/>
        <v>0</v>
      </c>
      <c r="P91" s="1215"/>
      <c r="Q91" s="1215"/>
      <c r="R91" s="1215"/>
      <c r="S91" s="1215"/>
      <c r="T91" s="1215"/>
      <c r="U91" s="1215"/>
      <c r="V91" s="1215"/>
      <c r="W91" s="631" t="e">
        <f t="shared" si="15"/>
        <v>#DIV/0!</v>
      </c>
      <c r="X91" s="788"/>
      <c r="Y91" s="788"/>
    </row>
    <row r="92" spans="1:25" s="778" customFormat="1" ht="22.5" customHeight="1" thickTop="1" thickBot="1" x14ac:dyDescent="0.3">
      <c r="A92" s="1441">
        <v>1</v>
      </c>
      <c r="B92" s="1442" t="s">
        <v>1381</v>
      </c>
      <c r="C92" s="1442" t="s">
        <v>1381</v>
      </c>
      <c r="D92" s="1442" t="s">
        <v>1394</v>
      </c>
      <c r="E92" s="1442" t="s">
        <v>1394</v>
      </c>
      <c r="F92" s="1442" t="s">
        <v>1381</v>
      </c>
      <c r="G92" s="1442" t="s">
        <v>1394</v>
      </c>
      <c r="H92" s="1442"/>
      <c r="I92" s="1442"/>
      <c r="J92" s="1442"/>
      <c r="K92" s="771" t="s">
        <v>1429</v>
      </c>
      <c r="L92" s="1214">
        <f>SUM(L93:L103)</f>
        <v>1261068000</v>
      </c>
      <c r="M92" s="1214">
        <f t="shared" ref="M92:V92" si="20">SUM(M93:M103)</f>
        <v>352988000</v>
      </c>
      <c r="N92" s="1214">
        <f t="shared" si="20"/>
        <v>0</v>
      </c>
      <c r="O92" s="1206">
        <f t="shared" si="16"/>
        <v>1614056000</v>
      </c>
      <c r="P92" s="1215">
        <v>9000000</v>
      </c>
      <c r="Q92" s="1215">
        <v>1471949200</v>
      </c>
      <c r="R92" s="1215">
        <v>133106800</v>
      </c>
      <c r="S92" s="1214"/>
      <c r="T92" s="1214">
        <f>SUM(T93:T103)</f>
        <v>0</v>
      </c>
      <c r="U92" s="1214">
        <f t="shared" si="20"/>
        <v>5386327252.789999</v>
      </c>
      <c r="V92" s="1214">
        <f t="shared" si="20"/>
        <v>949380529.21000004</v>
      </c>
      <c r="W92" s="637">
        <f t="shared" si="15"/>
        <v>0.58819553299885508</v>
      </c>
      <c r="X92" s="788" t="s">
        <v>1986</v>
      </c>
      <c r="Y92" s="788" t="s">
        <v>1987</v>
      </c>
    </row>
    <row r="93" spans="1:25" s="778" customFormat="1" ht="22.5" customHeight="1" thickTop="1" thickBot="1" x14ac:dyDescent="0.3">
      <c r="A93" s="1441">
        <v>1</v>
      </c>
      <c r="B93" s="1442" t="s">
        <v>1381</v>
      </c>
      <c r="C93" s="1442" t="s">
        <v>1381</v>
      </c>
      <c r="D93" s="1442" t="s">
        <v>1394</v>
      </c>
      <c r="E93" s="1442" t="s">
        <v>1394</v>
      </c>
      <c r="F93" s="1442" t="s">
        <v>1381</v>
      </c>
      <c r="G93" s="1442" t="s">
        <v>1394</v>
      </c>
      <c r="H93" s="1442" t="s">
        <v>1381</v>
      </c>
      <c r="I93" s="1442"/>
      <c r="J93" s="1442"/>
      <c r="K93" s="771" t="s">
        <v>1432</v>
      </c>
      <c r="L93" s="1212">
        <v>517037880</v>
      </c>
      <c r="M93" s="1214"/>
      <c r="N93" s="1214"/>
      <c r="O93" s="1206">
        <f t="shared" si="16"/>
        <v>517037880</v>
      </c>
      <c r="P93" s="1214"/>
      <c r="Q93" s="1214"/>
      <c r="R93" s="1214"/>
      <c r="S93" s="1214"/>
      <c r="T93" s="1214"/>
      <c r="U93" s="1217">
        <v>689745419.30999994</v>
      </c>
      <c r="V93" s="1214">
        <v>191986832.69</v>
      </c>
      <c r="W93" s="637">
        <f t="shared" si="15"/>
        <v>0.37132063261979953</v>
      </c>
      <c r="X93" s="788"/>
      <c r="Y93" s="788"/>
    </row>
    <row r="94" spans="1:25" s="778" customFormat="1" ht="22.5" customHeight="1" thickTop="1" thickBot="1" x14ac:dyDescent="0.3">
      <c r="A94" s="1441">
        <v>1</v>
      </c>
      <c r="B94" s="1442" t="s">
        <v>1381</v>
      </c>
      <c r="C94" s="1442" t="s">
        <v>1381</v>
      </c>
      <c r="D94" s="1442" t="s">
        <v>1394</v>
      </c>
      <c r="E94" s="1442" t="s">
        <v>1394</v>
      </c>
      <c r="F94" s="1442" t="s">
        <v>1381</v>
      </c>
      <c r="G94" s="1442" t="s">
        <v>1394</v>
      </c>
      <c r="H94" s="1442" t="s">
        <v>1394</v>
      </c>
      <c r="I94" s="1442"/>
      <c r="J94" s="1442"/>
      <c r="K94" s="771" t="s">
        <v>1433</v>
      </c>
      <c r="L94" s="1212">
        <v>734030120</v>
      </c>
      <c r="M94" s="1214"/>
      <c r="N94" s="1214"/>
      <c r="O94" s="1206">
        <f t="shared" si="16"/>
        <v>734030120</v>
      </c>
      <c r="P94" s="1214"/>
      <c r="Q94" s="1214"/>
      <c r="R94" s="1214"/>
      <c r="S94" s="1214"/>
      <c r="T94" s="1214"/>
      <c r="U94" s="1217">
        <v>4696581833.4799995</v>
      </c>
      <c r="V94" s="1214">
        <v>376807927</v>
      </c>
      <c r="W94" s="637">
        <f t="shared" si="15"/>
        <v>0.51334123319081237</v>
      </c>
      <c r="X94" s="788"/>
      <c r="Y94" s="788"/>
    </row>
    <row r="95" spans="1:25" s="778" customFormat="1" ht="22.5" customHeight="1" thickTop="1" thickBot="1" x14ac:dyDescent="0.3">
      <c r="A95" s="1441">
        <v>1</v>
      </c>
      <c r="B95" s="1442" t="s">
        <v>1381</v>
      </c>
      <c r="C95" s="1442" t="s">
        <v>1381</v>
      </c>
      <c r="D95" s="1442" t="s">
        <v>1394</v>
      </c>
      <c r="E95" s="1442" t="s">
        <v>1394</v>
      </c>
      <c r="F95" s="1442" t="s">
        <v>1381</v>
      </c>
      <c r="G95" s="1442" t="s">
        <v>1394</v>
      </c>
      <c r="H95" s="1442" t="s">
        <v>1418</v>
      </c>
      <c r="I95" s="1442"/>
      <c r="J95" s="1442"/>
      <c r="K95" s="771" t="s">
        <v>1885</v>
      </c>
      <c r="L95" s="1212">
        <v>1000000</v>
      </c>
      <c r="M95" s="1214"/>
      <c r="N95" s="1214"/>
      <c r="O95" s="1206">
        <f t="shared" si="16"/>
        <v>1000000</v>
      </c>
      <c r="P95" s="1214"/>
      <c r="Q95" s="1214"/>
      <c r="R95" s="1214"/>
      <c r="S95" s="1214"/>
      <c r="T95" s="1214"/>
      <c r="U95" s="1214"/>
      <c r="V95" s="1214">
        <v>612682.52</v>
      </c>
      <c r="W95" s="637">
        <f t="shared" si="15"/>
        <v>0.61268252000000001</v>
      </c>
      <c r="X95" s="788"/>
      <c r="Y95" s="788"/>
    </row>
    <row r="96" spans="1:25" s="778" customFormat="1" ht="22.5" customHeight="1" thickTop="1" thickBot="1" x14ac:dyDescent="0.3">
      <c r="A96" s="1441">
        <v>1</v>
      </c>
      <c r="B96" s="1442" t="s">
        <v>1381</v>
      </c>
      <c r="C96" s="1442" t="s">
        <v>1381</v>
      </c>
      <c r="D96" s="1442" t="s">
        <v>1394</v>
      </c>
      <c r="E96" s="1442" t="s">
        <v>1394</v>
      </c>
      <c r="F96" s="1442" t="s">
        <v>1381</v>
      </c>
      <c r="G96" s="1442" t="s">
        <v>1394</v>
      </c>
      <c r="H96" s="1442" t="s">
        <v>1422</v>
      </c>
      <c r="I96" s="1442"/>
      <c r="J96" s="1442"/>
      <c r="K96" s="771" t="s">
        <v>2137</v>
      </c>
      <c r="L96" s="1212">
        <v>9000000</v>
      </c>
      <c r="M96" s="1214"/>
      <c r="N96" s="1214"/>
      <c r="O96" s="1206">
        <f t="shared" si="16"/>
        <v>9000000</v>
      </c>
      <c r="P96" s="1214"/>
      <c r="Q96" s="1214"/>
      <c r="R96" s="1214"/>
      <c r="S96" s="1214"/>
      <c r="T96" s="1214"/>
      <c r="U96" s="1214"/>
      <c r="V96" s="1214">
        <v>26985087</v>
      </c>
      <c r="W96" s="637">
        <f t="shared" si="15"/>
        <v>2.9983430000000002</v>
      </c>
      <c r="X96" s="788"/>
      <c r="Y96" s="788"/>
    </row>
    <row r="97" spans="1:25" s="778" customFormat="1" ht="22.5" customHeight="1" thickTop="1" thickBot="1" x14ac:dyDescent="0.3">
      <c r="A97" s="1441">
        <v>1</v>
      </c>
      <c r="B97" s="1442" t="s">
        <v>1381</v>
      </c>
      <c r="C97" s="1442" t="s">
        <v>1381</v>
      </c>
      <c r="D97" s="1442" t="s">
        <v>1394</v>
      </c>
      <c r="E97" s="1442" t="s">
        <v>1394</v>
      </c>
      <c r="F97" s="1442" t="s">
        <v>1381</v>
      </c>
      <c r="G97" s="1442" t="s">
        <v>1394</v>
      </c>
      <c r="H97" s="1442" t="s">
        <v>1447</v>
      </c>
      <c r="I97" s="1442"/>
      <c r="J97" s="1442"/>
      <c r="K97" s="771" t="s">
        <v>2138</v>
      </c>
      <c r="L97" s="1213"/>
      <c r="M97" s="1214"/>
      <c r="N97" s="1214"/>
      <c r="O97" s="1206">
        <f t="shared" si="16"/>
        <v>0</v>
      </c>
      <c r="P97" s="1214"/>
      <c r="Q97" s="1214"/>
      <c r="R97" s="1214"/>
      <c r="S97" s="1214"/>
      <c r="T97" s="1214"/>
      <c r="U97" s="1214"/>
      <c r="V97" s="1214"/>
      <c r="W97" s="637" t="e">
        <f t="shared" si="15"/>
        <v>#DIV/0!</v>
      </c>
      <c r="X97" s="788"/>
      <c r="Y97" s="788"/>
    </row>
    <row r="98" spans="1:25" s="778" customFormat="1" ht="22.5" customHeight="1" thickTop="1" thickBot="1" x14ac:dyDescent="0.3">
      <c r="A98" s="1441">
        <v>1</v>
      </c>
      <c r="B98" s="1442" t="s">
        <v>1381</v>
      </c>
      <c r="C98" s="1442" t="s">
        <v>1381</v>
      </c>
      <c r="D98" s="1442" t="s">
        <v>1394</v>
      </c>
      <c r="E98" s="1442" t="s">
        <v>1394</v>
      </c>
      <c r="F98" s="1442" t="s">
        <v>1381</v>
      </c>
      <c r="G98" s="1442" t="s">
        <v>1394</v>
      </c>
      <c r="H98" s="1442" t="s">
        <v>1470</v>
      </c>
      <c r="I98" s="1442"/>
      <c r="J98" s="1442"/>
      <c r="K98" s="771" t="s">
        <v>2139</v>
      </c>
      <c r="L98" s="1213"/>
      <c r="M98" s="1214"/>
      <c r="N98" s="1214"/>
      <c r="O98" s="1206">
        <f t="shared" si="16"/>
        <v>0</v>
      </c>
      <c r="P98" s="1214"/>
      <c r="Q98" s="1214"/>
      <c r="R98" s="1214"/>
      <c r="S98" s="1214"/>
      <c r="T98" s="1214"/>
      <c r="U98" s="1214"/>
      <c r="V98" s="1214"/>
      <c r="W98" s="637" t="e">
        <f t="shared" si="15"/>
        <v>#DIV/0!</v>
      </c>
      <c r="X98" s="788"/>
      <c r="Y98" s="788"/>
    </row>
    <row r="99" spans="1:25" s="778" customFormat="1" ht="22.5" customHeight="1" thickTop="1" thickBot="1" x14ac:dyDescent="0.3">
      <c r="A99" s="1441">
        <v>1</v>
      </c>
      <c r="B99" s="1442" t="s">
        <v>1381</v>
      </c>
      <c r="C99" s="1442" t="s">
        <v>1381</v>
      </c>
      <c r="D99" s="1442" t="s">
        <v>1394</v>
      </c>
      <c r="E99" s="1442" t="s">
        <v>1394</v>
      </c>
      <c r="F99" s="1442" t="s">
        <v>1381</v>
      </c>
      <c r="G99" s="1442" t="s">
        <v>1394</v>
      </c>
      <c r="H99" s="1442" t="s">
        <v>1474</v>
      </c>
      <c r="I99" s="1442"/>
      <c r="J99" s="1442"/>
      <c r="K99" s="771" t="s">
        <v>2140</v>
      </c>
      <c r="L99" s="1213"/>
      <c r="M99" s="1214"/>
      <c r="N99" s="1214"/>
      <c r="O99" s="1206">
        <f t="shared" si="16"/>
        <v>0</v>
      </c>
      <c r="P99" s="1214"/>
      <c r="Q99" s="1214"/>
      <c r="R99" s="1214"/>
      <c r="S99" s="1214"/>
      <c r="T99" s="1214"/>
      <c r="U99" s="1214"/>
      <c r="V99" s="1214"/>
      <c r="W99" s="637" t="e">
        <f t="shared" si="15"/>
        <v>#DIV/0!</v>
      </c>
      <c r="X99" s="788"/>
      <c r="Y99" s="788"/>
    </row>
    <row r="100" spans="1:25" s="778" customFormat="1" ht="22.5" customHeight="1" thickTop="1" thickBot="1" x14ac:dyDescent="0.3">
      <c r="A100" s="1441">
        <v>1</v>
      </c>
      <c r="B100" s="1442" t="s">
        <v>1381</v>
      </c>
      <c r="C100" s="1442" t="s">
        <v>1381</v>
      </c>
      <c r="D100" s="1442" t="s">
        <v>1394</v>
      </c>
      <c r="E100" s="1442" t="s">
        <v>1394</v>
      </c>
      <c r="F100" s="1442" t="s">
        <v>1381</v>
      </c>
      <c r="G100" s="1442" t="s">
        <v>1394</v>
      </c>
      <c r="H100" s="1442" t="s">
        <v>1478</v>
      </c>
      <c r="I100" s="1442"/>
      <c r="J100" s="1442"/>
      <c r="K100" s="771" t="s">
        <v>2141</v>
      </c>
      <c r="L100" s="1213"/>
      <c r="M100" s="1212">
        <v>352988000</v>
      </c>
      <c r="N100" s="1214"/>
      <c r="O100" s="1206">
        <f t="shared" si="16"/>
        <v>352988000</v>
      </c>
      <c r="P100" s="1214"/>
      <c r="Q100" s="1214"/>
      <c r="R100" s="1214"/>
      <c r="S100" s="1214"/>
      <c r="T100" s="1214"/>
      <c r="U100" s="1214"/>
      <c r="V100" s="1214">
        <v>352988000</v>
      </c>
      <c r="W100" s="637">
        <f t="shared" si="15"/>
        <v>1</v>
      </c>
      <c r="X100" s="788"/>
      <c r="Y100" s="788"/>
    </row>
    <row r="101" spans="1:25" s="778" customFormat="1" ht="22.5" customHeight="1" thickTop="1" thickBot="1" x14ac:dyDescent="0.3">
      <c r="A101" s="1441">
        <v>1</v>
      </c>
      <c r="B101" s="1442" t="s">
        <v>1381</v>
      </c>
      <c r="C101" s="1442" t="s">
        <v>1381</v>
      </c>
      <c r="D101" s="1442" t="s">
        <v>1394</v>
      </c>
      <c r="E101" s="1442" t="s">
        <v>1394</v>
      </c>
      <c r="F101" s="1442" t="s">
        <v>1381</v>
      </c>
      <c r="G101" s="1442" t="s">
        <v>1394</v>
      </c>
      <c r="H101" s="1442" t="s">
        <v>1576</v>
      </c>
      <c r="I101" s="1442"/>
      <c r="J101" s="1442"/>
      <c r="K101" s="771" t="s">
        <v>2142</v>
      </c>
      <c r="L101" s="1214"/>
      <c r="M101" s="1214"/>
      <c r="N101" s="1214"/>
      <c r="O101" s="1206">
        <f t="shared" si="16"/>
        <v>0</v>
      </c>
      <c r="P101" s="1214"/>
      <c r="Q101" s="1214"/>
      <c r="R101" s="1214"/>
      <c r="S101" s="1214"/>
      <c r="T101" s="1214"/>
      <c r="U101" s="1214"/>
      <c r="V101" s="1214"/>
      <c r="W101" s="637" t="e">
        <f t="shared" si="15"/>
        <v>#DIV/0!</v>
      </c>
      <c r="X101" s="788"/>
      <c r="Y101" s="788"/>
    </row>
    <row r="102" spans="1:25" s="778" customFormat="1" ht="22.5" customHeight="1" thickTop="1" thickBot="1" x14ac:dyDescent="0.3">
      <c r="A102" s="1441">
        <v>1</v>
      </c>
      <c r="B102" s="1442" t="s">
        <v>1381</v>
      </c>
      <c r="C102" s="1442" t="s">
        <v>1381</v>
      </c>
      <c r="D102" s="1442" t="s">
        <v>1394</v>
      </c>
      <c r="E102" s="1442" t="s">
        <v>1394</v>
      </c>
      <c r="F102" s="1442" t="s">
        <v>1381</v>
      </c>
      <c r="G102" s="1442" t="s">
        <v>1394</v>
      </c>
      <c r="H102" s="1442" t="s">
        <v>1577</v>
      </c>
      <c r="I102" s="1442"/>
      <c r="J102" s="1442"/>
      <c r="K102" s="771" t="s">
        <v>2143</v>
      </c>
      <c r="L102" s="1214"/>
      <c r="M102" s="1214"/>
      <c r="N102" s="1214"/>
      <c r="O102" s="1206">
        <f t="shared" si="16"/>
        <v>0</v>
      </c>
      <c r="P102" s="1214"/>
      <c r="Q102" s="1214"/>
      <c r="R102" s="1214"/>
      <c r="S102" s="1214"/>
      <c r="T102" s="1214"/>
      <c r="U102" s="1214"/>
      <c r="V102" s="1214"/>
      <c r="W102" s="637" t="e">
        <f t="shared" si="15"/>
        <v>#DIV/0!</v>
      </c>
      <c r="X102" s="788"/>
      <c r="Y102" s="788"/>
    </row>
    <row r="103" spans="1:25" s="778" customFormat="1" ht="22.5" customHeight="1" thickTop="1" thickBot="1" x14ac:dyDescent="0.3">
      <c r="A103" s="1441">
        <v>1</v>
      </c>
      <c r="B103" s="1442" t="s">
        <v>1381</v>
      </c>
      <c r="C103" s="1442" t="s">
        <v>1381</v>
      </c>
      <c r="D103" s="1442" t="s">
        <v>1394</v>
      </c>
      <c r="E103" s="1442" t="s">
        <v>1394</v>
      </c>
      <c r="F103" s="1442" t="s">
        <v>1381</v>
      </c>
      <c r="G103" s="1442" t="s">
        <v>1394</v>
      </c>
      <c r="H103" s="1442" t="s">
        <v>1578</v>
      </c>
      <c r="I103" s="1442"/>
      <c r="J103" s="1442"/>
      <c r="K103" s="771" t="s">
        <v>2144</v>
      </c>
      <c r="L103" s="1214"/>
      <c r="M103" s="1214"/>
      <c r="N103" s="1214"/>
      <c r="O103" s="1206">
        <f t="shared" si="16"/>
        <v>0</v>
      </c>
      <c r="P103" s="1214"/>
      <c r="Q103" s="1214"/>
      <c r="R103" s="1214"/>
      <c r="S103" s="1214"/>
      <c r="T103" s="1214"/>
      <c r="U103" s="1214"/>
      <c r="V103" s="1214"/>
      <c r="W103" s="637" t="e">
        <f t="shared" si="15"/>
        <v>#DIV/0!</v>
      </c>
      <c r="X103" s="788"/>
      <c r="Y103" s="788"/>
    </row>
    <row r="104" spans="1:25" s="778" customFormat="1" ht="22.5" customHeight="1" thickTop="1" thickBot="1" x14ac:dyDescent="0.3">
      <c r="A104" s="1441">
        <v>1</v>
      </c>
      <c r="B104" s="1442" t="s">
        <v>1381</v>
      </c>
      <c r="C104" s="1442" t="s">
        <v>1381</v>
      </c>
      <c r="D104" s="1442" t="s">
        <v>1394</v>
      </c>
      <c r="E104" s="1442" t="s">
        <v>1394</v>
      </c>
      <c r="F104" s="1442" t="s">
        <v>1381</v>
      </c>
      <c r="G104" s="1442" t="s">
        <v>1418</v>
      </c>
      <c r="H104" s="1442"/>
      <c r="I104" s="1442"/>
      <c r="J104" s="1442"/>
      <c r="K104" s="771" t="s">
        <v>1992</v>
      </c>
      <c r="L104" s="1214">
        <f>SUM(L105:L115)</f>
        <v>3161539000</v>
      </c>
      <c r="M104" s="1214">
        <f t="shared" ref="M104:V104" si="21">SUM(M105:M115)</f>
        <v>504548000</v>
      </c>
      <c r="N104" s="1214">
        <f t="shared" si="21"/>
        <v>0</v>
      </c>
      <c r="O104" s="1206">
        <f t="shared" si="16"/>
        <v>3666087000</v>
      </c>
      <c r="P104" s="1210">
        <v>20000000</v>
      </c>
      <c r="Q104" s="1210">
        <v>3309933100</v>
      </c>
      <c r="R104" s="1210">
        <v>336153900</v>
      </c>
      <c r="S104" s="1214"/>
      <c r="T104" s="1214">
        <f t="shared" si="21"/>
        <v>0</v>
      </c>
      <c r="U104" s="1214">
        <f t="shared" si="21"/>
        <v>0</v>
      </c>
      <c r="V104" s="1214">
        <f t="shared" si="21"/>
        <v>576673095.58000004</v>
      </c>
      <c r="W104" s="637">
        <f t="shared" si="15"/>
        <v>0.15729934820968516</v>
      </c>
      <c r="X104" s="788" t="s">
        <v>1988</v>
      </c>
      <c r="Y104" s="788" t="s">
        <v>1989</v>
      </c>
    </row>
    <row r="105" spans="1:25" s="778" customFormat="1" ht="22.5" customHeight="1" thickTop="1" thickBot="1" x14ac:dyDescent="0.3">
      <c r="A105" s="1441">
        <v>1</v>
      </c>
      <c r="B105" s="1442" t="s">
        <v>1381</v>
      </c>
      <c r="C105" s="1442" t="s">
        <v>1381</v>
      </c>
      <c r="D105" s="1442" t="s">
        <v>1394</v>
      </c>
      <c r="E105" s="1442" t="s">
        <v>1394</v>
      </c>
      <c r="F105" s="1442" t="s">
        <v>1381</v>
      </c>
      <c r="G105" s="1442" t="s">
        <v>1418</v>
      </c>
      <c r="H105" s="1442" t="s">
        <v>1381</v>
      </c>
      <c r="I105" s="1442"/>
      <c r="J105" s="1442"/>
      <c r="K105" s="771" t="s">
        <v>2145</v>
      </c>
      <c r="L105" s="1212">
        <v>3151539000</v>
      </c>
      <c r="M105" s="1214"/>
      <c r="N105" s="1214"/>
      <c r="O105" s="1206">
        <f t="shared" si="16"/>
        <v>3151539000</v>
      </c>
      <c r="P105" s="1214"/>
      <c r="Q105" s="1214"/>
      <c r="R105" s="1214"/>
      <c r="S105" s="1214"/>
      <c r="T105" s="1214"/>
      <c r="U105" s="1214"/>
      <c r="V105" s="1214">
        <v>69121971</v>
      </c>
      <c r="W105" s="637">
        <f t="shared" si="15"/>
        <v>2.1932767133771784E-2</v>
      </c>
      <c r="X105" s="788"/>
      <c r="Y105" s="788"/>
    </row>
    <row r="106" spans="1:25" s="778" customFormat="1" ht="22.5" customHeight="1" thickTop="1" thickBot="1" x14ac:dyDescent="0.3">
      <c r="A106" s="1441">
        <v>1</v>
      </c>
      <c r="B106" s="1442" t="s">
        <v>1381</v>
      </c>
      <c r="C106" s="1442" t="s">
        <v>1381</v>
      </c>
      <c r="D106" s="1442" t="s">
        <v>1394</v>
      </c>
      <c r="E106" s="1442" t="s">
        <v>1394</v>
      </c>
      <c r="F106" s="1442" t="s">
        <v>1381</v>
      </c>
      <c r="G106" s="1442" t="s">
        <v>1418</v>
      </c>
      <c r="H106" s="1442" t="s">
        <v>1394</v>
      </c>
      <c r="I106" s="1442"/>
      <c r="J106" s="1442"/>
      <c r="K106" s="771" t="s">
        <v>2146</v>
      </c>
      <c r="L106" s="1214"/>
      <c r="M106" s="1214"/>
      <c r="N106" s="1214"/>
      <c r="O106" s="1206">
        <f t="shared" si="16"/>
        <v>0</v>
      </c>
      <c r="P106" s="1214"/>
      <c r="Q106" s="1214"/>
      <c r="R106" s="1214"/>
      <c r="S106" s="1214"/>
      <c r="T106" s="1214"/>
      <c r="U106" s="1214"/>
      <c r="V106" s="1214"/>
      <c r="W106" s="637" t="e">
        <f t="shared" si="15"/>
        <v>#DIV/0!</v>
      </c>
      <c r="X106" s="788"/>
      <c r="Y106" s="788"/>
    </row>
    <row r="107" spans="1:25" s="778" customFormat="1" ht="22.5" customHeight="1" thickTop="1" thickBot="1" x14ac:dyDescent="0.3">
      <c r="A107" s="1441">
        <v>1</v>
      </c>
      <c r="B107" s="1442" t="s">
        <v>1381</v>
      </c>
      <c r="C107" s="1442" t="s">
        <v>1381</v>
      </c>
      <c r="D107" s="1442" t="s">
        <v>1394</v>
      </c>
      <c r="E107" s="1442" t="s">
        <v>1394</v>
      </c>
      <c r="F107" s="1442" t="s">
        <v>1381</v>
      </c>
      <c r="G107" s="1442" t="s">
        <v>1418</v>
      </c>
      <c r="H107" s="1442" t="s">
        <v>1418</v>
      </c>
      <c r="I107" s="1442"/>
      <c r="J107" s="1442"/>
      <c r="K107" s="771" t="s">
        <v>1895</v>
      </c>
      <c r="L107" s="1212">
        <v>10000000</v>
      </c>
      <c r="M107" s="1214"/>
      <c r="N107" s="1214"/>
      <c r="O107" s="1206">
        <f t="shared" si="16"/>
        <v>10000000</v>
      </c>
      <c r="P107" s="1214"/>
      <c r="Q107" s="1214"/>
      <c r="R107" s="1214"/>
      <c r="S107" s="1214"/>
      <c r="T107" s="1214"/>
      <c r="U107" s="1214"/>
      <c r="V107" s="1214">
        <v>3003124.58</v>
      </c>
      <c r="W107" s="637">
        <f t="shared" si="15"/>
        <v>0.300312458</v>
      </c>
      <c r="X107" s="788"/>
      <c r="Y107" s="788"/>
    </row>
    <row r="108" spans="1:25" s="778" customFormat="1" ht="22.5" customHeight="1" thickTop="1" thickBot="1" x14ac:dyDescent="0.3">
      <c r="A108" s="1441">
        <v>1</v>
      </c>
      <c r="B108" s="1442" t="s">
        <v>1381</v>
      </c>
      <c r="C108" s="1442" t="s">
        <v>1381</v>
      </c>
      <c r="D108" s="1442" t="s">
        <v>1394</v>
      </c>
      <c r="E108" s="1442" t="s">
        <v>1394</v>
      </c>
      <c r="F108" s="1442" t="s">
        <v>1381</v>
      </c>
      <c r="G108" s="1442" t="s">
        <v>1418</v>
      </c>
      <c r="H108" s="1442" t="s">
        <v>1422</v>
      </c>
      <c r="I108" s="1442"/>
      <c r="J108" s="1442"/>
      <c r="K108" s="771" t="s">
        <v>2147</v>
      </c>
      <c r="L108" s="1214"/>
      <c r="M108" s="1214"/>
      <c r="N108" s="1214"/>
      <c r="O108" s="1206">
        <f t="shared" si="16"/>
        <v>0</v>
      </c>
      <c r="P108" s="1214"/>
      <c r="Q108" s="1214"/>
      <c r="R108" s="1214"/>
      <c r="S108" s="1214"/>
      <c r="T108" s="1214"/>
      <c r="U108" s="1214"/>
      <c r="V108" s="1214"/>
      <c r="W108" s="637" t="e">
        <f t="shared" si="15"/>
        <v>#DIV/0!</v>
      </c>
      <c r="X108" s="788"/>
      <c r="Y108" s="788"/>
    </row>
    <row r="109" spans="1:25" s="778" customFormat="1" ht="22.5" customHeight="1" thickTop="1" thickBot="1" x14ac:dyDescent="0.3">
      <c r="A109" s="1441">
        <v>1</v>
      </c>
      <c r="B109" s="1442" t="s">
        <v>1381</v>
      </c>
      <c r="C109" s="1442" t="s">
        <v>1381</v>
      </c>
      <c r="D109" s="1442" t="s">
        <v>1394</v>
      </c>
      <c r="E109" s="1442" t="s">
        <v>1394</v>
      </c>
      <c r="F109" s="1442" t="s">
        <v>1381</v>
      </c>
      <c r="G109" s="1442" t="s">
        <v>1418</v>
      </c>
      <c r="H109" s="1442" t="s">
        <v>1447</v>
      </c>
      <c r="I109" s="1442"/>
      <c r="J109" s="1442"/>
      <c r="K109" s="771" t="s">
        <v>2148</v>
      </c>
      <c r="L109" s="1214"/>
      <c r="M109" s="1214"/>
      <c r="N109" s="1214"/>
      <c r="O109" s="1206">
        <f t="shared" si="16"/>
        <v>0</v>
      </c>
      <c r="P109" s="1214"/>
      <c r="Q109" s="1214"/>
      <c r="R109" s="1214"/>
      <c r="S109" s="1214"/>
      <c r="T109" s="1214"/>
      <c r="U109" s="1214"/>
      <c r="V109" s="1214"/>
      <c r="W109" s="637" t="e">
        <f t="shared" si="15"/>
        <v>#DIV/0!</v>
      </c>
      <c r="X109" s="788"/>
      <c r="Y109" s="788"/>
    </row>
    <row r="110" spans="1:25" s="778" customFormat="1" ht="22.5" customHeight="1" thickTop="1" thickBot="1" x14ac:dyDescent="0.3">
      <c r="A110" s="1441">
        <v>1</v>
      </c>
      <c r="B110" s="1442" t="s">
        <v>1381</v>
      </c>
      <c r="C110" s="1442" t="s">
        <v>1381</v>
      </c>
      <c r="D110" s="1442" t="s">
        <v>1394</v>
      </c>
      <c r="E110" s="1442" t="s">
        <v>1394</v>
      </c>
      <c r="F110" s="1442" t="s">
        <v>1381</v>
      </c>
      <c r="G110" s="1442" t="s">
        <v>1418</v>
      </c>
      <c r="H110" s="1442" t="s">
        <v>1470</v>
      </c>
      <c r="I110" s="1442"/>
      <c r="J110" s="1442"/>
      <c r="K110" s="771" t="s">
        <v>2149</v>
      </c>
      <c r="L110" s="1214"/>
      <c r="M110" s="1214"/>
      <c r="N110" s="1214"/>
      <c r="O110" s="1206">
        <f t="shared" si="16"/>
        <v>0</v>
      </c>
      <c r="P110" s="1214"/>
      <c r="Q110" s="1214"/>
      <c r="R110" s="1214"/>
      <c r="S110" s="1214"/>
      <c r="T110" s="1214"/>
      <c r="U110" s="1214"/>
      <c r="V110" s="1214"/>
      <c r="W110" s="637" t="e">
        <f t="shared" si="15"/>
        <v>#DIV/0!</v>
      </c>
      <c r="X110" s="788"/>
      <c r="Y110" s="788"/>
    </row>
    <row r="111" spans="1:25" s="778" customFormat="1" ht="22.5" customHeight="1" thickTop="1" thickBot="1" x14ac:dyDescent="0.3">
      <c r="A111" s="1441">
        <v>1</v>
      </c>
      <c r="B111" s="1442" t="s">
        <v>1381</v>
      </c>
      <c r="C111" s="1442" t="s">
        <v>1381</v>
      </c>
      <c r="D111" s="1442" t="s">
        <v>1394</v>
      </c>
      <c r="E111" s="1442" t="s">
        <v>1394</v>
      </c>
      <c r="F111" s="1442" t="s">
        <v>1381</v>
      </c>
      <c r="G111" s="1442" t="s">
        <v>1418</v>
      </c>
      <c r="H111" s="1442" t="s">
        <v>1474</v>
      </c>
      <c r="I111" s="1442"/>
      <c r="J111" s="1442"/>
      <c r="K111" s="771" t="s">
        <v>2150</v>
      </c>
      <c r="L111" s="1214"/>
      <c r="M111" s="1214"/>
      <c r="N111" s="1214"/>
      <c r="O111" s="1206">
        <f t="shared" si="16"/>
        <v>0</v>
      </c>
      <c r="P111" s="1214"/>
      <c r="Q111" s="1214"/>
      <c r="R111" s="1214"/>
      <c r="S111" s="1214"/>
      <c r="T111" s="1214"/>
      <c r="U111" s="1214"/>
      <c r="V111" s="1214"/>
      <c r="W111" s="637" t="e">
        <f t="shared" si="15"/>
        <v>#DIV/0!</v>
      </c>
      <c r="X111" s="788"/>
      <c r="Y111" s="788"/>
    </row>
    <row r="112" spans="1:25" s="778" customFormat="1" ht="22.5" customHeight="1" thickTop="1" thickBot="1" x14ac:dyDescent="0.3">
      <c r="A112" s="1441">
        <v>1</v>
      </c>
      <c r="B112" s="1442" t="s">
        <v>1381</v>
      </c>
      <c r="C112" s="1442" t="s">
        <v>1381</v>
      </c>
      <c r="D112" s="1442" t="s">
        <v>1394</v>
      </c>
      <c r="E112" s="1442" t="s">
        <v>1394</v>
      </c>
      <c r="F112" s="1442" t="s">
        <v>1381</v>
      </c>
      <c r="G112" s="1442" t="s">
        <v>1418</v>
      </c>
      <c r="H112" s="1442" t="s">
        <v>1478</v>
      </c>
      <c r="I112" s="1442"/>
      <c r="J112" s="1442"/>
      <c r="K112" s="771" t="s">
        <v>2151</v>
      </c>
      <c r="L112" s="1213"/>
      <c r="M112" s="1212">
        <v>504548000</v>
      </c>
      <c r="N112" s="1214"/>
      <c r="O112" s="1206">
        <f t="shared" si="16"/>
        <v>504548000</v>
      </c>
      <c r="P112" s="1214"/>
      <c r="Q112" s="1214"/>
      <c r="R112" s="1214"/>
      <c r="S112" s="1214"/>
      <c r="T112" s="1214"/>
      <c r="U112" s="1214"/>
      <c r="V112" s="1214">
        <v>504548000</v>
      </c>
      <c r="W112" s="637">
        <f t="shared" si="15"/>
        <v>1</v>
      </c>
      <c r="X112" s="788"/>
      <c r="Y112" s="788"/>
    </row>
    <row r="113" spans="1:25" s="778" customFormat="1" ht="22.5" customHeight="1" thickTop="1" thickBot="1" x14ac:dyDescent="0.3">
      <c r="A113" s="1441">
        <v>1</v>
      </c>
      <c r="B113" s="1442" t="s">
        <v>1381</v>
      </c>
      <c r="C113" s="1442" t="s">
        <v>1381</v>
      </c>
      <c r="D113" s="1442" t="s">
        <v>1394</v>
      </c>
      <c r="E113" s="1442" t="s">
        <v>1394</v>
      </c>
      <c r="F113" s="1442" t="s">
        <v>1381</v>
      </c>
      <c r="G113" s="1442" t="s">
        <v>1418</v>
      </c>
      <c r="H113" s="1442" t="s">
        <v>1576</v>
      </c>
      <c r="I113" s="1442"/>
      <c r="J113" s="1442"/>
      <c r="K113" s="771" t="s">
        <v>2152</v>
      </c>
      <c r="L113" s="1214"/>
      <c r="M113" s="1214"/>
      <c r="N113" s="1214"/>
      <c r="O113" s="1206">
        <f t="shared" si="16"/>
        <v>0</v>
      </c>
      <c r="P113" s="1214"/>
      <c r="Q113" s="1214"/>
      <c r="R113" s="1214"/>
      <c r="S113" s="1214"/>
      <c r="T113" s="1214"/>
      <c r="U113" s="1214"/>
      <c r="V113" s="1214"/>
      <c r="W113" s="637" t="e">
        <f t="shared" si="15"/>
        <v>#DIV/0!</v>
      </c>
      <c r="X113" s="788"/>
      <c r="Y113" s="788"/>
    </row>
    <row r="114" spans="1:25" s="778" customFormat="1" ht="22.5" customHeight="1" thickTop="1" thickBot="1" x14ac:dyDescent="0.3">
      <c r="A114" s="1441">
        <v>1</v>
      </c>
      <c r="B114" s="1442" t="s">
        <v>1381</v>
      </c>
      <c r="C114" s="1442" t="s">
        <v>1381</v>
      </c>
      <c r="D114" s="1442" t="s">
        <v>1394</v>
      </c>
      <c r="E114" s="1442" t="s">
        <v>1394</v>
      </c>
      <c r="F114" s="1442" t="s">
        <v>1381</v>
      </c>
      <c r="G114" s="1442" t="s">
        <v>1418</v>
      </c>
      <c r="H114" s="1442" t="s">
        <v>1577</v>
      </c>
      <c r="I114" s="1442"/>
      <c r="J114" s="1442"/>
      <c r="K114" s="771" t="s">
        <v>2153</v>
      </c>
      <c r="L114" s="1214"/>
      <c r="M114" s="1214"/>
      <c r="N114" s="1214"/>
      <c r="O114" s="1206">
        <f t="shared" si="16"/>
        <v>0</v>
      </c>
      <c r="P114" s="1214"/>
      <c r="Q114" s="1214"/>
      <c r="R114" s="1214"/>
      <c r="S114" s="1214"/>
      <c r="T114" s="1214"/>
      <c r="U114" s="1214"/>
      <c r="V114" s="1214"/>
      <c r="W114" s="637" t="e">
        <f t="shared" si="15"/>
        <v>#DIV/0!</v>
      </c>
      <c r="X114" s="788"/>
      <c r="Y114" s="788"/>
    </row>
    <row r="115" spans="1:25" s="778" customFormat="1" ht="22.5" customHeight="1" thickTop="1" thickBot="1" x14ac:dyDescent="0.3">
      <c r="A115" s="1441">
        <v>1</v>
      </c>
      <c r="B115" s="1442" t="s">
        <v>1381</v>
      </c>
      <c r="C115" s="1442" t="s">
        <v>1381</v>
      </c>
      <c r="D115" s="1442" t="s">
        <v>1394</v>
      </c>
      <c r="E115" s="1442" t="s">
        <v>1394</v>
      </c>
      <c r="F115" s="1442" t="s">
        <v>1381</v>
      </c>
      <c r="G115" s="1442" t="s">
        <v>1418</v>
      </c>
      <c r="H115" s="1442" t="s">
        <v>1578</v>
      </c>
      <c r="I115" s="1442"/>
      <c r="J115" s="1442"/>
      <c r="K115" s="771" t="s">
        <v>2154</v>
      </c>
      <c r="L115" s="1214"/>
      <c r="M115" s="1214"/>
      <c r="N115" s="1214"/>
      <c r="O115" s="1206">
        <f t="shared" si="16"/>
        <v>0</v>
      </c>
      <c r="P115" s="1214"/>
      <c r="Q115" s="1214"/>
      <c r="R115" s="1214"/>
      <c r="S115" s="1214"/>
      <c r="T115" s="1214"/>
      <c r="U115" s="1214"/>
      <c r="V115" s="1214"/>
      <c r="W115" s="637" t="e">
        <f t="shared" si="15"/>
        <v>#DIV/0!</v>
      </c>
      <c r="X115" s="788"/>
      <c r="Y115" s="788"/>
    </row>
    <row r="116" spans="1:25" s="778" customFormat="1" ht="22.5" customHeight="1" thickTop="1" thickBot="1" x14ac:dyDescent="0.3">
      <c r="A116" s="1441">
        <v>1</v>
      </c>
      <c r="B116" s="1442" t="s">
        <v>1381</v>
      </c>
      <c r="C116" s="1442" t="s">
        <v>1381</v>
      </c>
      <c r="D116" s="1442" t="s">
        <v>1394</v>
      </c>
      <c r="E116" s="1442" t="s">
        <v>1394</v>
      </c>
      <c r="F116" s="1442" t="s">
        <v>1381</v>
      </c>
      <c r="G116" s="1442" t="s">
        <v>1422</v>
      </c>
      <c r="H116" s="1442"/>
      <c r="I116" s="1442"/>
      <c r="J116" s="1442"/>
      <c r="K116" s="771" t="s">
        <v>1993</v>
      </c>
      <c r="L116" s="1214">
        <f>SUM(L117:L127)</f>
        <v>0</v>
      </c>
      <c r="M116" s="1214">
        <f t="shared" ref="M116:V116" si="22">SUM(M117:M127)</f>
        <v>0</v>
      </c>
      <c r="N116" s="1214">
        <f t="shared" si="22"/>
        <v>0</v>
      </c>
      <c r="O116" s="1206">
        <f t="shared" si="16"/>
        <v>0</v>
      </c>
      <c r="P116" s="1214">
        <f t="shared" si="22"/>
        <v>0</v>
      </c>
      <c r="Q116" s="1214">
        <f t="shared" si="22"/>
        <v>0</v>
      </c>
      <c r="R116" s="1214">
        <f t="shared" si="22"/>
        <v>0</v>
      </c>
      <c r="S116" s="1214"/>
      <c r="T116" s="1214">
        <f t="shared" si="22"/>
        <v>0</v>
      </c>
      <c r="U116" s="1214">
        <f t="shared" si="22"/>
        <v>0</v>
      </c>
      <c r="V116" s="1214">
        <f t="shared" si="22"/>
        <v>0</v>
      </c>
      <c r="W116" s="637" t="e">
        <f t="shared" si="15"/>
        <v>#DIV/0!</v>
      </c>
      <c r="X116" s="788" t="s">
        <v>1990</v>
      </c>
      <c r="Y116" s="788" t="s">
        <v>1991</v>
      </c>
    </row>
    <row r="117" spans="1:25" s="778" customFormat="1" ht="22.5" customHeight="1" thickTop="1" thickBot="1" x14ac:dyDescent="0.3">
      <c r="A117" s="1441">
        <v>1</v>
      </c>
      <c r="B117" s="1442" t="s">
        <v>1381</v>
      </c>
      <c r="C117" s="1442" t="s">
        <v>1381</v>
      </c>
      <c r="D117" s="1442" t="s">
        <v>1394</v>
      </c>
      <c r="E117" s="1442" t="s">
        <v>1394</v>
      </c>
      <c r="F117" s="1442" t="s">
        <v>1381</v>
      </c>
      <c r="G117" s="1442" t="s">
        <v>1422</v>
      </c>
      <c r="H117" s="1442" t="s">
        <v>1381</v>
      </c>
      <c r="I117" s="1442"/>
      <c r="J117" s="1442"/>
      <c r="K117" s="771" t="s">
        <v>2155</v>
      </c>
      <c r="L117" s="1214"/>
      <c r="M117" s="1214"/>
      <c r="N117" s="1214"/>
      <c r="O117" s="1206">
        <f t="shared" si="16"/>
        <v>0</v>
      </c>
      <c r="P117" s="1214"/>
      <c r="Q117" s="1214"/>
      <c r="R117" s="1214"/>
      <c r="S117" s="1214"/>
      <c r="T117" s="1214"/>
      <c r="U117" s="1214"/>
      <c r="V117" s="1214"/>
      <c r="W117" s="637" t="e">
        <f t="shared" si="15"/>
        <v>#DIV/0!</v>
      </c>
      <c r="X117" s="788"/>
      <c r="Y117" s="788"/>
    </row>
    <row r="118" spans="1:25" s="778" customFormat="1" ht="22.5" customHeight="1" thickTop="1" thickBot="1" x14ac:dyDescent="0.3">
      <c r="A118" s="1441">
        <v>1</v>
      </c>
      <c r="B118" s="1442" t="s">
        <v>1381</v>
      </c>
      <c r="C118" s="1442" t="s">
        <v>1381</v>
      </c>
      <c r="D118" s="1442" t="s">
        <v>1394</v>
      </c>
      <c r="E118" s="1442" t="s">
        <v>1394</v>
      </c>
      <c r="F118" s="1442" t="s">
        <v>1381</v>
      </c>
      <c r="G118" s="1442" t="s">
        <v>1422</v>
      </c>
      <c r="H118" s="1442" t="s">
        <v>1394</v>
      </c>
      <c r="I118" s="1442"/>
      <c r="J118" s="1442"/>
      <c r="K118" s="771" t="s">
        <v>2156</v>
      </c>
      <c r="L118" s="1214"/>
      <c r="M118" s="1214"/>
      <c r="N118" s="1214"/>
      <c r="O118" s="1206">
        <f t="shared" si="16"/>
        <v>0</v>
      </c>
      <c r="P118" s="1214"/>
      <c r="Q118" s="1214"/>
      <c r="R118" s="1214"/>
      <c r="S118" s="1214"/>
      <c r="T118" s="1214"/>
      <c r="U118" s="1214"/>
      <c r="V118" s="1214"/>
      <c r="W118" s="637" t="e">
        <f t="shared" si="15"/>
        <v>#DIV/0!</v>
      </c>
      <c r="X118" s="788"/>
      <c r="Y118" s="788"/>
    </row>
    <row r="119" spans="1:25" s="778" customFormat="1" ht="22.5" customHeight="1" thickTop="1" thickBot="1" x14ac:dyDescent="0.3">
      <c r="A119" s="1441">
        <v>1</v>
      </c>
      <c r="B119" s="1442" t="s">
        <v>1381</v>
      </c>
      <c r="C119" s="1442" t="s">
        <v>1381</v>
      </c>
      <c r="D119" s="1442" t="s">
        <v>1394</v>
      </c>
      <c r="E119" s="1442" t="s">
        <v>1394</v>
      </c>
      <c r="F119" s="1442" t="s">
        <v>1381</v>
      </c>
      <c r="G119" s="1442" t="s">
        <v>1422</v>
      </c>
      <c r="H119" s="1442" t="s">
        <v>1418</v>
      </c>
      <c r="I119" s="1442"/>
      <c r="J119" s="1442"/>
      <c r="K119" s="771" t="s">
        <v>2157</v>
      </c>
      <c r="L119" s="1214"/>
      <c r="M119" s="1214"/>
      <c r="N119" s="1214"/>
      <c r="O119" s="1206">
        <f t="shared" si="16"/>
        <v>0</v>
      </c>
      <c r="P119" s="1214"/>
      <c r="Q119" s="1214"/>
      <c r="R119" s="1214"/>
      <c r="S119" s="1214"/>
      <c r="T119" s="1214"/>
      <c r="U119" s="1214"/>
      <c r="V119" s="1214"/>
      <c r="W119" s="637" t="e">
        <f t="shared" si="15"/>
        <v>#DIV/0!</v>
      </c>
      <c r="X119" s="788"/>
      <c r="Y119" s="788"/>
    </row>
    <row r="120" spans="1:25" s="778" customFormat="1" ht="22.5" customHeight="1" thickTop="1" thickBot="1" x14ac:dyDescent="0.3">
      <c r="A120" s="1441">
        <v>1</v>
      </c>
      <c r="B120" s="1442" t="s">
        <v>1381</v>
      </c>
      <c r="C120" s="1442" t="s">
        <v>1381</v>
      </c>
      <c r="D120" s="1442" t="s">
        <v>1394</v>
      </c>
      <c r="E120" s="1442" t="s">
        <v>1394</v>
      </c>
      <c r="F120" s="1442" t="s">
        <v>1381</v>
      </c>
      <c r="G120" s="1442" t="s">
        <v>1422</v>
      </c>
      <c r="H120" s="1442" t="s">
        <v>1422</v>
      </c>
      <c r="I120" s="1442"/>
      <c r="J120" s="1442"/>
      <c r="K120" s="771" t="s">
        <v>2158</v>
      </c>
      <c r="L120" s="1214"/>
      <c r="M120" s="1214"/>
      <c r="N120" s="1214"/>
      <c r="O120" s="1206">
        <f t="shared" si="16"/>
        <v>0</v>
      </c>
      <c r="P120" s="1214"/>
      <c r="Q120" s="1214"/>
      <c r="R120" s="1214"/>
      <c r="S120" s="1214"/>
      <c r="T120" s="1214"/>
      <c r="U120" s="1214"/>
      <c r="V120" s="1214"/>
      <c r="W120" s="637" t="e">
        <f t="shared" si="15"/>
        <v>#DIV/0!</v>
      </c>
      <c r="X120" s="788"/>
      <c r="Y120" s="788"/>
    </row>
    <row r="121" spans="1:25" s="778" customFormat="1" ht="22.5" customHeight="1" thickTop="1" thickBot="1" x14ac:dyDescent="0.3">
      <c r="A121" s="1441">
        <v>1</v>
      </c>
      <c r="B121" s="1442" t="s">
        <v>1381</v>
      </c>
      <c r="C121" s="1442" t="s">
        <v>1381</v>
      </c>
      <c r="D121" s="1442" t="s">
        <v>1394</v>
      </c>
      <c r="E121" s="1442" t="s">
        <v>1394</v>
      </c>
      <c r="F121" s="1442" t="s">
        <v>1381</v>
      </c>
      <c r="G121" s="1442" t="s">
        <v>1422</v>
      </c>
      <c r="H121" s="1442" t="s">
        <v>1447</v>
      </c>
      <c r="I121" s="1442"/>
      <c r="J121" s="1442"/>
      <c r="K121" s="771" t="s">
        <v>2159</v>
      </c>
      <c r="L121" s="1214"/>
      <c r="M121" s="1214"/>
      <c r="N121" s="1214"/>
      <c r="O121" s="1206">
        <f t="shared" si="16"/>
        <v>0</v>
      </c>
      <c r="P121" s="1214"/>
      <c r="Q121" s="1214"/>
      <c r="R121" s="1214"/>
      <c r="S121" s="1214"/>
      <c r="T121" s="1214"/>
      <c r="U121" s="1214"/>
      <c r="V121" s="1214"/>
      <c r="W121" s="637" t="e">
        <f t="shared" si="15"/>
        <v>#DIV/0!</v>
      </c>
      <c r="X121" s="788"/>
      <c r="Y121" s="788"/>
    </row>
    <row r="122" spans="1:25" s="778" customFormat="1" ht="22.5" customHeight="1" thickTop="1" thickBot="1" x14ac:dyDescent="0.3">
      <c r="A122" s="1441">
        <v>1</v>
      </c>
      <c r="B122" s="1442" t="s">
        <v>1381</v>
      </c>
      <c r="C122" s="1442" t="s">
        <v>1381</v>
      </c>
      <c r="D122" s="1442" t="s">
        <v>1394</v>
      </c>
      <c r="E122" s="1442" t="s">
        <v>1394</v>
      </c>
      <c r="F122" s="1442" t="s">
        <v>1381</v>
      </c>
      <c r="G122" s="1442" t="s">
        <v>1422</v>
      </c>
      <c r="H122" s="1442" t="s">
        <v>1470</v>
      </c>
      <c r="I122" s="1442"/>
      <c r="J122" s="1442"/>
      <c r="K122" s="771" t="s">
        <v>2160</v>
      </c>
      <c r="L122" s="1214"/>
      <c r="M122" s="1214"/>
      <c r="N122" s="1214"/>
      <c r="O122" s="1206">
        <f t="shared" si="16"/>
        <v>0</v>
      </c>
      <c r="P122" s="1214"/>
      <c r="Q122" s="1214"/>
      <c r="R122" s="1214"/>
      <c r="S122" s="1214"/>
      <c r="T122" s="1214"/>
      <c r="U122" s="1214"/>
      <c r="V122" s="1214"/>
      <c r="W122" s="637" t="e">
        <f t="shared" si="15"/>
        <v>#DIV/0!</v>
      </c>
      <c r="X122" s="788"/>
      <c r="Y122" s="788"/>
    </row>
    <row r="123" spans="1:25" s="778" customFormat="1" ht="22.5" customHeight="1" thickTop="1" thickBot="1" x14ac:dyDescent="0.3">
      <c r="A123" s="1441">
        <v>1</v>
      </c>
      <c r="B123" s="1442" t="s">
        <v>1381</v>
      </c>
      <c r="C123" s="1442" t="s">
        <v>1381</v>
      </c>
      <c r="D123" s="1442" t="s">
        <v>1394</v>
      </c>
      <c r="E123" s="1442" t="s">
        <v>1394</v>
      </c>
      <c r="F123" s="1442" t="s">
        <v>1381</v>
      </c>
      <c r="G123" s="1442" t="s">
        <v>1422</v>
      </c>
      <c r="H123" s="1442" t="s">
        <v>1474</v>
      </c>
      <c r="I123" s="1442"/>
      <c r="J123" s="1442"/>
      <c r="K123" s="771" t="s">
        <v>2161</v>
      </c>
      <c r="L123" s="1214"/>
      <c r="M123" s="1214"/>
      <c r="N123" s="1214"/>
      <c r="O123" s="1206">
        <f t="shared" si="16"/>
        <v>0</v>
      </c>
      <c r="P123" s="1214"/>
      <c r="Q123" s="1214"/>
      <c r="R123" s="1214"/>
      <c r="S123" s="1214"/>
      <c r="T123" s="1214"/>
      <c r="U123" s="1214"/>
      <c r="V123" s="1214"/>
      <c r="W123" s="637" t="e">
        <f t="shared" si="15"/>
        <v>#DIV/0!</v>
      </c>
      <c r="X123" s="788"/>
      <c r="Y123" s="788"/>
    </row>
    <row r="124" spans="1:25" s="778" customFormat="1" ht="22.5" customHeight="1" thickTop="1" thickBot="1" x14ac:dyDescent="0.3">
      <c r="A124" s="1441">
        <v>1</v>
      </c>
      <c r="B124" s="1442" t="s">
        <v>1381</v>
      </c>
      <c r="C124" s="1442" t="s">
        <v>1381</v>
      </c>
      <c r="D124" s="1442" t="s">
        <v>1394</v>
      </c>
      <c r="E124" s="1442" t="s">
        <v>1394</v>
      </c>
      <c r="F124" s="1442" t="s">
        <v>1381</v>
      </c>
      <c r="G124" s="1442" t="s">
        <v>1422</v>
      </c>
      <c r="H124" s="1442" t="s">
        <v>1478</v>
      </c>
      <c r="I124" s="1442"/>
      <c r="J124" s="1442"/>
      <c r="K124" s="771" t="s">
        <v>2162</v>
      </c>
      <c r="L124" s="1214"/>
      <c r="M124" s="1214"/>
      <c r="N124" s="1214"/>
      <c r="O124" s="1206">
        <f t="shared" si="16"/>
        <v>0</v>
      </c>
      <c r="P124" s="1214"/>
      <c r="Q124" s="1214"/>
      <c r="R124" s="1214"/>
      <c r="S124" s="1214"/>
      <c r="T124" s="1214"/>
      <c r="U124" s="1214"/>
      <c r="V124" s="1214"/>
      <c r="W124" s="637" t="e">
        <f t="shared" si="15"/>
        <v>#DIV/0!</v>
      </c>
      <c r="X124" s="788"/>
      <c r="Y124" s="788"/>
    </row>
    <row r="125" spans="1:25" s="778" customFormat="1" ht="22.5" customHeight="1" thickTop="1" thickBot="1" x14ac:dyDescent="0.3">
      <c r="A125" s="1441">
        <v>1</v>
      </c>
      <c r="B125" s="1442" t="s">
        <v>1381</v>
      </c>
      <c r="C125" s="1442" t="s">
        <v>1381</v>
      </c>
      <c r="D125" s="1442" t="s">
        <v>1394</v>
      </c>
      <c r="E125" s="1442" t="s">
        <v>1394</v>
      </c>
      <c r="F125" s="1442" t="s">
        <v>1381</v>
      </c>
      <c r="G125" s="1442" t="s">
        <v>1422</v>
      </c>
      <c r="H125" s="1442" t="s">
        <v>1576</v>
      </c>
      <c r="I125" s="1442"/>
      <c r="J125" s="1442"/>
      <c r="K125" s="771" t="s">
        <v>2163</v>
      </c>
      <c r="L125" s="1214"/>
      <c r="M125" s="1214"/>
      <c r="N125" s="1214"/>
      <c r="O125" s="1206">
        <f t="shared" si="16"/>
        <v>0</v>
      </c>
      <c r="P125" s="1214"/>
      <c r="Q125" s="1214"/>
      <c r="R125" s="1214"/>
      <c r="S125" s="1214"/>
      <c r="T125" s="1214"/>
      <c r="U125" s="1214"/>
      <c r="V125" s="1214"/>
      <c r="W125" s="637" t="e">
        <f t="shared" si="15"/>
        <v>#DIV/0!</v>
      </c>
      <c r="X125" s="788"/>
      <c r="Y125" s="788"/>
    </row>
    <row r="126" spans="1:25" s="778" customFormat="1" ht="22.5" customHeight="1" thickTop="1" thickBot="1" x14ac:dyDescent="0.3">
      <c r="A126" s="1441">
        <v>1</v>
      </c>
      <c r="B126" s="1442" t="s">
        <v>1381</v>
      </c>
      <c r="C126" s="1442" t="s">
        <v>1381</v>
      </c>
      <c r="D126" s="1442" t="s">
        <v>1394</v>
      </c>
      <c r="E126" s="1442" t="s">
        <v>1394</v>
      </c>
      <c r="F126" s="1442" t="s">
        <v>1381</v>
      </c>
      <c r="G126" s="1442" t="s">
        <v>1422</v>
      </c>
      <c r="H126" s="1442" t="s">
        <v>1577</v>
      </c>
      <c r="I126" s="1442"/>
      <c r="J126" s="1442"/>
      <c r="K126" s="771" t="s">
        <v>2164</v>
      </c>
      <c r="L126" s="1214"/>
      <c r="M126" s="1214"/>
      <c r="N126" s="1214"/>
      <c r="O126" s="1206">
        <f t="shared" si="16"/>
        <v>0</v>
      </c>
      <c r="P126" s="1214"/>
      <c r="Q126" s="1214"/>
      <c r="R126" s="1214"/>
      <c r="S126" s="1214"/>
      <c r="T126" s="1214"/>
      <c r="U126" s="1214"/>
      <c r="V126" s="1214"/>
      <c r="W126" s="637" t="e">
        <f t="shared" si="15"/>
        <v>#DIV/0!</v>
      </c>
      <c r="X126" s="788"/>
      <c r="Y126" s="788"/>
    </row>
    <row r="127" spans="1:25" s="778" customFormat="1" ht="22.5" customHeight="1" thickTop="1" thickBot="1" x14ac:dyDescent="0.3">
      <c r="A127" s="1441">
        <v>1</v>
      </c>
      <c r="B127" s="1442" t="s">
        <v>1381</v>
      </c>
      <c r="C127" s="1442" t="s">
        <v>1381</v>
      </c>
      <c r="D127" s="1442" t="s">
        <v>1394</v>
      </c>
      <c r="E127" s="1442" t="s">
        <v>1394</v>
      </c>
      <c r="F127" s="1442" t="s">
        <v>1381</v>
      </c>
      <c r="G127" s="1442" t="s">
        <v>1422</v>
      </c>
      <c r="H127" s="1442" t="s">
        <v>1578</v>
      </c>
      <c r="I127" s="1442"/>
      <c r="J127" s="1442"/>
      <c r="K127" s="771" t="s">
        <v>2165</v>
      </c>
      <c r="L127" s="1214"/>
      <c r="M127" s="1214"/>
      <c r="N127" s="1214"/>
      <c r="O127" s="1206">
        <f t="shared" si="16"/>
        <v>0</v>
      </c>
      <c r="P127" s="1214"/>
      <c r="Q127" s="1214"/>
      <c r="R127" s="1214"/>
      <c r="S127" s="1214"/>
      <c r="T127" s="1214"/>
      <c r="U127" s="1214"/>
      <c r="V127" s="1214"/>
      <c r="W127" s="637" t="e">
        <f t="shared" si="15"/>
        <v>#DIV/0!</v>
      </c>
      <c r="X127" s="788"/>
      <c r="Y127" s="788"/>
    </row>
    <row r="128" spans="1:25" s="778" customFormat="1" ht="22.5" customHeight="1" thickTop="1" thickBot="1" x14ac:dyDescent="0.3">
      <c r="A128" s="1441">
        <v>1</v>
      </c>
      <c r="B128" s="1442" t="s">
        <v>1381</v>
      </c>
      <c r="C128" s="1442" t="s">
        <v>1381</v>
      </c>
      <c r="D128" s="1442" t="s">
        <v>1394</v>
      </c>
      <c r="E128" s="1442" t="s">
        <v>1394</v>
      </c>
      <c r="F128" s="1442" t="s">
        <v>1381</v>
      </c>
      <c r="G128" s="1442" t="s">
        <v>1447</v>
      </c>
      <c r="H128" s="1442"/>
      <c r="I128" s="1442"/>
      <c r="J128" s="1442"/>
      <c r="K128" s="771" t="s">
        <v>1390</v>
      </c>
      <c r="L128" s="1214">
        <f>SUM(L129:L139)</f>
        <v>0</v>
      </c>
      <c r="M128" s="1214">
        <f t="shared" ref="M128:V128" si="23">SUM(M129:M139)</f>
        <v>0</v>
      </c>
      <c r="N128" s="1214">
        <f t="shared" si="23"/>
        <v>0</v>
      </c>
      <c r="O128" s="1206">
        <f t="shared" si="16"/>
        <v>0</v>
      </c>
      <c r="P128" s="1214">
        <f t="shared" si="23"/>
        <v>0</v>
      </c>
      <c r="Q128" s="1214">
        <f t="shared" si="23"/>
        <v>0</v>
      </c>
      <c r="R128" s="1214">
        <f t="shared" si="23"/>
        <v>0</v>
      </c>
      <c r="S128" s="1214"/>
      <c r="T128" s="1214">
        <f t="shared" si="23"/>
        <v>0</v>
      </c>
      <c r="U128" s="1214">
        <f t="shared" si="23"/>
        <v>0</v>
      </c>
      <c r="V128" s="1214">
        <f t="shared" si="23"/>
        <v>0</v>
      </c>
      <c r="W128" s="637" t="e">
        <f t="shared" si="15"/>
        <v>#DIV/0!</v>
      </c>
      <c r="X128" s="788" t="s">
        <v>1391</v>
      </c>
      <c r="Y128" s="788" t="s">
        <v>1994</v>
      </c>
    </row>
    <row r="129" spans="1:25" s="778" customFormat="1" ht="22.5" customHeight="1" thickTop="1" thickBot="1" x14ac:dyDescent="0.3">
      <c r="A129" s="1441">
        <v>1</v>
      </c>
      <c r="B129" s="1442" t="s">
        <v>1381</v>
      </c>
      <c r="C129" s="1442" t="s">
        <v>1381</v>
      </c>
      <c r="D129" s="1442" t="s">
        <v>1394</v>
      </c>
      <c r="E129" s="1442" t="s">
        <v>1394</v>
      </c>
      <c r="F129" s="1442" t="s">
        <v>1381</v>
      </c>
      <c r="G129" s="1442" t="s">
        <v>1447</v>
      </c>
      <c r="H129" s="1442" t="s">
        <v>1381</v>
      </c>
      <c r="I129" s="1442"/>
      <c r="J129" s="1442"/>
      <c r="K129" s="771" t="s">
        <v>1393</v>
      </c>
      <c r="L129" s="1214"/>
      <c r="M129" s="1214"/>
      <c r="N129" s="1214"/>
      <c r="O129" s="1206">
        <f t="shared" si="16"/>
        <v>0</v>
      </c>
      <c r="P129" s="1214"/>
      <c r="Q129" s="1214"/>
      <c r="R129" s="1214"/>
      <c r="S129" s="1214"/>
      <c r="T129" s="1214"/>
      <c r="U129" s="1214"/>
      <c r="V129" s="1214"/>
      <c r="W129" s="637" t="e">
        <f t="shared" si="15"/>
        <v>#DIV/0!</v>
      </c>
      <c r="X129" s="788"/>
      <c r="Y129" s="788"/>
    </row>
    <row r="130" spans="1:25" s="778" customFormat="1" ht="22.5" customHeight="1" thickTop="1" thickBot="1" x14ac:dyDescent="0.3">
      <c r="A130" s="1441">
        <v>1</v>
      </c>
      <c r="B130" s="1442" t="s">
        <v>1381</v>
      </c>
      <c r="C130" s="1442" t="s">
        <v>1381</v>
      </c>
      <c r="D130" s="1442" t="s">
        <v>1394</v>
      </c>
      <c r="E130" s="1442" t="s">
        <v>1394</v>
      </c>
      <c r="F130" s="1442" t="s">
        <v>1381</v>
      </c>
      <c r="G130" s="1442" t="s">
        <v>1447</v>
      </c>
      <c r="H130" s="1442" t="s">
        <v>1394</v>
      </c>
      <c r="I130" s="1442"/>
      <c r="J130" s="1442"/>
      <c r="K130" s="771" t="s">
        <v>1395</v>
      </c>
      <c r="L130" s="1214"/>
      <c r="M130" s="1214"/>
      <c r="N130" s="1214"/>
      <c r="O130" s="1206">
        <f t="shared" si="16"/>
        <v>0</v>
      </c>
      <c r="P130" s="1214"/>
      <c r="Q130" s="1214"/>
      <c r="R130" s="1214"/>
      <c r="S130" s="1214"/>
      <c r="T130" s="1214"/>
      <c r="U130" s="1214"/>
      <c r="V130" s="1214"/>
      <c r="W130" s="637" t="e">
        <f t="shared" si="15"/>
        <v>#DIV/0!</v>
      </c>
      <c r="X130" s="788"/>
      <c r="Y130" s="788"/>
    </row>
    <row r="131" spans="1:25" s="778" customFormat="1" ht="22.5" customHeight="1" thickTop="1" thickBot="1" x14ac:dyDescent="0.3">
      <c r="A131" s="1441">
        <v>1</v>
      </c>
      <c r="B131" s="1442" t="s">
        <v>1381</v>
      </c>
      <c r="C131" s="1442" t="s">
        <v>1381</v>
      </c>
      <c r="D131" s="1442" t="s">
        <v>1394</v>
      </c>
      <c r="E131" s="1442" t="s">
        <v>1394</v>
      </c>
      <c r="F131" s="1442" t="s">
        <v>1381</v>
      </c>
      <c r="G131" s="1442" t="s">
        <v>1447</v>
      </c>
      <c r="H131" s="1442" t="s">
        <v>1418</v>
      </c>
      <c r="I131" s="1442"/>
      <c r="J131" s="1442"/>
      <c r="K131" s="771" t="s">
        <v>1950</v>
      </c>
      <c r="L131" s="1214"/>
      <c r="M131" s="1214"/>
      <c r="N131" s="1214"/>
      <c r="O131" s="1206">
        <f t="shared" si="16"/>
        <v>0</v>
      </c>
      <c r="P131" s="1214"/>
      <c r="Q131" s="1214"/>
      <c r="R131" s="1214"/>
      <c r="S131" s="1214"/>
      <c r="T131" s="1214"/>
      <c r="U131" s="1214"/>
      <c r="V131" s="1214"/>
      <c r="W131" s="637" t="e">
        <f t="shared" si="15"/>
        <v>#DIV/0!</v>
      </c>
      <c r="X131" s="788"/>
      <c r="Y131" s="788"/>
    </row>
    <row r="132" spans="1:25" s="778" customFormat="1" ht="22.5" customHeight="1" thickTop="1" thickBot="1" x14ac:dyDescent="0.3">
      <c r="A132" s="1441">
        <v>1</v>
      </c>
      <c r="B132" s="1442" t="s">
        <v>1381</v>
      </c>
      <c r="C132" s="1442" t="s">
        <v>1381</v>
      </c>
      <c r="D132" s="1442" t="s">
        <v>1394</v>
      </c>
      <c r="E132" s="1442" t="s">
        <v>1394</v>
      </c>
      <c r="F132" s="1442" t="s">
        <v>1381</v>
      </c>
      <c r="G132" s="1442" t="s">
        <v>1447</v>
      </c>
      <c r="H132" s="1442" t="s">
        <v>1422</v>
      </c>
      <c r="I132" s="1442"/>
      <c r="J132" s="1442"/>
      <c r="K132" s="771" t="s">
        <v>2166</v>
      </c>
      <c r="L132" s="1214"/>
      <c r="M132" s="1214"/>
      <c r="N132" s="1214"/>
      <c r="O132" s="1206">
        <f t="shared" si="16"/>
        <v>0</v>
      </c>
      <c r="P132" s="1214"/>
      <c r="Q132" s="1214"/>
      <c r="R132" s="1214"/>
      <c r="S132" s="1214"/>
      <c r="T132" s="1214"/>
      <c r="U132" s="1214"/>
      <c r="V132" s="1214"/>
      <c r="W132" s="637" t="e">
        <f t="shared" si="15"/>
        <v>#DIV/0!</v>
      </c>
      <c r="X132" s="788"/>
      <c r="Y132" s="788"/>
    </row>
    <row r="133" spans="1:25" s="778" customFormat="1" ht="22.5" customHeight="1" thickTop="1" thickBot="1" x14ac:dyDescent="0.3">
      <c r="A133" s="1441">
        <v>1</v>
      </c>
      <c r="B133" s="1442" t="s">
        <v>1381</v>
      </c>
      <c r="C133" s="1442" t="s">
        <v>1381</v>
      </c>
      <c r="D133" s="1442" t="s">
        <v>1394</v>
      </c>
      <c r="E133" s="1442" t="s">
        <v>1394</v>
      </c>
      <c r="F133" s="1442" t="s">
        <v>1381</v>
      </c>
      <c r="G133" s="1442" t="s">
        <v>1447</v>
      </c>
      <c r="H133" s="1442" t="s">
        <v>1447</v>
      </c>
      <c r="I133" s="1442"/>
      <c r="J133" s="1442"/>
      <c r="K133" s="771" t="s">
        <v>2167</v>
      </c>
      <c r="L133" s="1214"/>
      <c r="M133" s="1214"/>
      <c r="N133" s="1214"/>
      <c r="O133" s="1206">
        <f t="shared" si="16"/>
        <v>0</v>
      </c>
      <c r="P133" s="1214"/>
      <c r="Q133" s="1214"/>
      <c r="R133" s="1214"/>
      <c r="S133" s="1214"/>
      <c r="T133" s="1214"/>
      <c r="U133" s="1214"/>
      <c r="V133" s="1214"/>
      <c r="W133" s="637" t="e">
        <f t="shared" si="15"/>
        <v>#DIV/0!</v>
      </c>
      <c r="X133" s="788"/>
      <c r="Y133" s="788"/>
    </row>
    <row r="134" spans="1:25" s="778" customFormat="1" ht="22.5" customHeight="1" thickTop="1" thickBot="1" x14ac:dyDescent="0.3">
      <c r="A134" s="1441">
        <v>1</v>
      </c>
      <c r="B134" s="1442" t="s">
        <v>1381</v>
      </c>
      <c r="C134" s="1442" t="s">
        <v>1381</v>
      </c>
      <c r="D134" s="1442" t="s">
        <v>1394</v>
      </c>
      <c r="E134" s="1442" t="s">
        <v>1394</v>
      </c>
      <c r="F134" s="1442" t="s">
        <v>1381</v>
      </c>
      <c r="G134" s="1442" t="s">
        <v>1447</v>
      </c>
      <c r="H134" s="1442" t="s">
        <v>1470</v>
      </c>
      <c r="I134" s="1442"/>
      <c r="J134" s="1442"/>
      <c r="K134" s="771" t="s">
        <v>2168</v>
      </c>
      <c r="L134" s="1214"/>
      <c r="M134" s="1214"/>
      <c r="N134" s="1214"/>
      <c r="O134" s="1206">
        <f t="shared" si="16"/>
        <v>0</v>
      </c>
      <c r="P134" s="1214"/>
      <c r="Q134" s="1214"/>
      <c r="R134" s="1214"/>
      <c r="S134" s="1214"/>
      <c r="T134" s="1214"/>
      <c r="U134" s="1214"/>
      <c r="V134" s="1214"/>
      <c r="W134" s="637" t="e">
        <f t="shared" si="15"/>
        <v>#DIV/0!</v>
      </c>
      <c r="X134" s="788"/>
      <c r="Y134" s="788"/>
    </row>
    <row r="135" spans="1:25" s="778" customFormat="1" ht="22.5" customHeight="1" thickTop="1" thickBot="1" x14ac:dyDescent="0.3">
      <c r="A135" s="1441">
        <v>1</v>
      </c>
      <c r="B135" s="1442" t="s">
        <v>1381</v>
      </c>
      <c r="C135" s="1442" t="s">
        <v>1381</v>
      </c>
      <c r="D135" s="1442" t="s">
        <v>1394</v>
      </c>
      <c r="E135" s="1442" t="s">
        <v>1394</v>
      </c>
      <c r="F135" s="1442" t="s">
        <v>1381</v>
      </c>
      <c r="G135" s="1442" t="s">
        <v>1447</v>
      </c>
      <c r="H135" s="1442" t="s">
        <v>1474</v>
      </c>
      <c r="I135" s="1442"/>
      <c r="J135" s="1442"/>
      <c r="K135" s="771" t="s">
        <v>2169</v>
      </c>
      <c r="L135" s="1214"/>
      <c r="M135" s="1214"/>
      <c r="N135" s="1214"/>
      <c r="O135" s="1206">
        <f t="shared" si="16"/>
        <v>0</v>
      </c>
      <c r="P135" s="1214"/>
      <c r="Q135" s="1214"/>
      <c r="R135" s="1214"/>
      <c r="S135" s="1214"/>
      <c r="T135" s="1214"/>
      <c r="U135" s="1214"/>
      <c r="V135" s="1214"/>
      <c r="W135" s="637" t="e">
        <f t="shared" ref="W135:W198" si="24">V135/O135</f>
        <v>#DIV/0!</v>
      </c>
      <c r="X135" s="788"/>
      <c r="Y135" s="788"/>
    </row>
    <row r="136" spans="1:25" s="778" customFormat="1" ht="22.5" customHeight="1" thickTop="1" thickBot="1" x14ac:dyDescent="0.3">
      <c r="A136" s="1441">
        <v>1</v>
      </c>
      <c r="B136" s="1442" t="s">
        <v>1381</v>
      </c>
      <c r="C136" s="1442" t="s">
        <v>1381</v>
      </c>
      <c r="D136" s="1442" t="s">
        <v>1394</v>
      </c>
      <c r="E136" s="1442" t="s">
        <v>1394</v>
      </c>
      <c r="F136" s="1442" t="s">
        <v>1381</v>
      </c>
      <c r="G136" s="1442" t="s">
        <v>1447</v>
      </c>
      <c r="H136" s="1442" t="s">
        <v>1478</v>
      </c>
      <c r="I136" s="1442"/>
      <c r="J136" s="1442"/>
      <c r="K136" s="771" t="s">
        <v>2170</v>
      </c>
      <c r="L136" s="1214"/>
      <c r="M136" s="1214"/>
      <c r="N136" s="1214"/>
      <c r="O136" s="1206">
        <f t="shared" ref="O136:O199" si="25">L136+M136-N136</f>
        <v>0</v>
      </c>
      <c r="P136" s="1214"/>
      <c r="Q136" s="1214"/>
      <c r="R136" s="1214"/>
      <c r="S136" s="1214"/>
      <c r="T136" s="1214"/>
      <c r="U136" s="1214"/>
      <c r="V136" s="1214"/>
      <c r="W136" s="637" t="e">
        <f t="shared" si="24"/>
        <v>#DIV/0!</v>
      </c>
      <c r="X136" s="788"/>
      <c r="Y136" s="788"/>
    </row>
    <row r="137" spans="1:25" s="778" customFormat="1" ht="22.5" customHeight="1" thickTop="1" thickBot="1" x14ac:dyDescent="0.3">
      <c r="A137" s="1441">
        <v>1</v>
      </c>
      <c r="B137" s="1442" t="s">
        <v>1381</v>
      </c>
      <c r="C137" s="1442" t="s">
        <v>1381</v>
      </c>
      <c r="D137" s="1442" t="s">
        <v>1394</v>
      </c>
      <c r="E137" s="1442" t="s">
        <v>1394</v>
      </c>
      <c r="F137" s="1442" t="s">
        <v>1381</v>
      </c>
      <c r="G137" s="1442" t="s">
        <v>1447</v>
      </c>
      <c r="H137" s="1442" t="s">
        <v>1576</v>
      </c>
      <c r="I137" s="1442"/>
      <c r="J137" s="1442"/>
      <c r="K137" s="771" t="s">
        <v>2171</v>
      </c>
      <c r="L137" s="1214"/>
      <c r="M137" s="1214"/>
      <c r="N137" s="1214"/>
      <c r="O137" s="1206">
        <f t="shared" si="25"/>
        <v>0</v>
      </c>
      <c r="P137" s="1214"/>
      <c r="Q137" s="1214"/>
      <c r="R137" s="1214"/>
      <c r="S137" s="1214"/>
      <c r="T137" s="1214"/>
      <c r="U137" s="1214"/>
      <c r="V137" s="1214"/>
      <c r="W137" s="637" t="e">
        <f t="shared" si="24"/>
        <v>#DIV/0!</v>
      </c>
      <c r="X137" s="788"/>
      <c r="Y137" s="788"/>
    </row>
    <row r="138" spans="1:25" s="778" customFormat="1" ht="22.5" customHeight="1" thickTop="1" thickBot="1" x14ac:dyDescent="0.3">
      <c r="A138" s="1441">
        <v>1</v>
      </c>
      <c r="B138" s="1442" t="s">
        <v>1381</v>
      </c>
      <c r="C138" s="1442" t="s">
        <v>1381</v>
      </c>
      <c r="D138" s="1442" t="s">
        <v>1394</v>
      </c>
      <c r="E138" s="1442" t="s">
        <v>1394</v>
      </c>
      <c r="F138" s="1442" t="s">
        <v>1381</v>
      </c>
      <c r="G138" s="1442" t="s">
        <v>1447</v>
      </c>
      <c r="H138" s="1442" t="s">
        <v>1577</v>
      </c>
      <c r="I138" s="1442"/>
      <c r="J138" s="1442"/>
      <c r="K138" s="771" t="s">
        <v>2172</v>
      </c>
      <c r="L138" s="1214"/>
      <c r="M138" s="1214"/>
      <c r="N138" s="1214"/>
      <c r="O138" s="1206">
        <f t="shared" si="25"/>
        <v>0</v>
      </c>
      <c r="P138" s="1214"/>
      <c r="Q138" s="1214"/>
      <c r="R138" s="1214"/>
      <c r="S138" s="1214"/>
      <c r="T138" s="1214"/>
      <c r="U138" s="1214"/>
      <c r="V138" s="1214"/>
      <c r="W138" s="637" t="e">
        <f t="shared" si="24"/>
        <v>#DIV/0!</v>
      </c>
      <c r="X138" s="788"/>
      <c r="Y138" s="788"/>
    </row>
    <row r="139" spans="1:25" s="778" customFormat="1" ht="22.5" customHeight="1" thickTop="1" thickBot="1" x14ac:dyDescent="0.3">
      <c r="A139" s="1441">
        <v>1</v>
      </c>
      <c r="B139" s="1442" t="s">
        <v>1381</v>
      </c>
      <c r="C139" s="1442" t="s">
        <v>1381</v>
      </c>
      <c r="D139" s="1442" t="s">
        <v>1394</v>
      </c>
      <c r="E139" s="1442" t="s">
        <v>1394</v>
      </c>
      <c r="F139" s="1442" t="s">
        <v>1381</v>
      </c>
      <c r="G139" s="1442" t="s">
        <v>1447</v>
      </c>
      <c r="H139" s="1442" t="s">
        <v>1578</v>
      </c>
      <c r="I139" s="1442"/>
      <c r="J139" s="1442"/>
      <c r="K139" s="771" t="s">
        <v>2173</v>
      </c>
      <c r="L139" s="1214"/>
      <c r="M139" s="1214"/>
      <c r="N139" s="1214"/>
      <c r="O139" s="1206">
        <f t="shared" si="25"/>
        <v>0</v>
      </c>
      <c r="P139" s="1214"/>
      <c r="Q139" s="1214"/>
      <c r="R139" s="1214"/>
      <c r="S139" s="1214"/>
      <c r="T139" s="1214"/>
      <c r="U139" s="1214"/>
      <c r="V139" s="1214"/>
      <c r="W139" s="637" t="e">
        <f t="shared" si="24"/>
        <v>#DIV/0!</v>
      </c>
      <c r="X139" s="788"/>
      <c r="Y139" s="788"/>
    </row>
    <row r="140" spans="1:25" s="778" customFormat="1" ht="22.5" customHeight="1" thickTop="1" thickBot="1" x14ac:dyDescent="0.3">
      <c r="A140" s="1441">
        <v>1</v>
      </c>
      <c r="B140" s="1442" t="s">
        <v>1381</v>
      </c>
      <c r="C140" s="1442" t="s">
        <v>1381</v>
      </c>
      <c r="D140" s="1442" t="s">
        <v>1394</v>
      </c>
      <c r="E140" s="1442" t="s">
        <v>1394</v>
      </c>
      <c r="F140" s="1442" t="s">
        <v>1381</v>
      </c>
      <c r="G140" s="1442" t="s">
        <v>1470</v>
      </c>
      <c r="H140" s="1442"/>
      <c r="I140" s="1442"/>
      <c r="J140" s="1442"/>
      <c r="K140" s="771" t="s">
        <v>1995</v>
      </c>
      <c r="L140" s="1214">
        <f>SUM(L141:L151)</f>
        <v>0</v>
      </c>
      <c r="M140" s="1214">
        <f t="shared" ref="M140:V140" si="26">SUM(M141:M151)</f>
        <v>0</v>
      </c>
      <c r="N140" s="1214">
        <f t="shared" si="26"/>
        <v>0</v>
      </c>
      <c r="O140" s="1206">
        <f t="shared" si="25"/>
        <v>0</v>
      </c>
      <c r="P140" s="1214">
        <f t="shared" si="26"/>
        <v>0</v>
      </c>
      <c r="Q140" s="1214">
        <f t="shared" si="26"/>
        <v>0</v>
      </c>
      <c r="R140" s="1214">
        <f t="shared" si="26"/>
        <v>0</v>
      </c>
      <c r="S140" s="1214"/>
      <c r="T140" s="1214">
        <f t="shared" si="26"/>
        <v>0</v>
      </c>
      <c r="U140" s="1214">
        <f t="shared" si="26"/>
        <v>0</v>
      </c>
      <c r="V140" s="1214">
        <f t="shared" si="26"/>
        <v>0</v>
      </c>
      <c r="W140" s="637" t="e">
        <f t="shared" si="24"/>
        <v>#DIV/0!</v>
      </c>
      <c r="X140" s="788" t="s">
        <v>1996</v>
      </c>
      <c r="Y140" s="788" t="s">
        <v>1997</v>
      </c>
    </row>
    <row r="141" spans="1:25" s="778" customFormat="1" ht="22.5" customHeight="1" thickTop="1" thickBot="1" x14ac:dyDescent="0.3">
      <c r="A141" s="1441">
        <v>1</v>
      </c>
      <c r="B141" s="1442" t="s">
        <v>1381</v>
      </c>
      <c r="C141" s="1442" t="s">
        <v>1381</v>
      </c>
      <c r="D141" s="1442" t="s">
        <v>1394</v>
      </c>
      <c r="E141" s="1442" t="s">
        <v>1394</v>
      </c>
      <c r="F141" s="1442" t="s">
        <v>1381</v>
      </c>
      <c r="G141" s="1442" t="s">
        <v>1470</v>
      </c>
      <c r="H141" s="1442" t="s">
        <v>1381</v>
      </c>
      <c r="I141" s="1442"/>
      <c r="J141" s="1442"/>
      <c r="K141" s="771" t="s">
        <v>2174</v>
      </c>
      <c r="L141" s="1214"/>
      <c r="M141" s="1214"/>
      <c r="N141" s="1214"/>
      <c r="O141" s="1206">
        <f t="shared" si="25"/>
        <v>0</v>
      </c>
      <c r="P141" s="1214"/>
      <c r="Q141" s="1214"/>
      <c r="R141" s="1214"/>
      <c r="S141" s="1214"/>
      <c r="T141" s="1214"/>
      <c r="U141" s="1214"/>
      <c r="V141" s="1214"/>
      <c r="W141" s="637" t="e">
        <f t="shared" si="24"/>
        <v>#DIV/0!</v>
      </c>
      <c r="X141" s="788"/>
      <c r="Y141" s="788"/>
    </row>
    <row r="142" spans="1:25" s="778" customFormat="1" ht="22.5" customHeight="1" thickTop="1" thickBot="1" x14ac:dyDescent="0.3">
      <c r="A142" s="1441">
        <v>1</v>
      </c>
      <c r="B142" s="1442" t="s">
        <v>1381</v>
      </c>
      <c r="C142" s="1442" t="s">
        <v>1381</v>
      </c>
      <c r="D142" s="1442" t="s">
        <v>1394</v>
      </c>
      <c r="E142" s="1442" t="s">
        <v>1394</v>
      </c>
      <c r="F142" s="1442" t="s">
        <v>1381</v>
      </c>
      <c r="G142" s="1442" t="s">
        <v>1470</v>
      </c>
      <c r="H142" s="1442" t="s">
        <v>1394</v>
      </c>
      <c r="I142" s="1442"/>
      <c r="J142" s="1442"/>
      <c r="K142" s="771" t="s">
        <v>2175</v>
      </c>
      <c r="L142" s="1214"/>
      <c r="M142" s="1214"/>
      <c r="N142" s="1214"/>
      <c r="O142" s="1206">
        <f t="shared" si="25"/>
        <v>0</v>
      </c>
      <c r="P142" s="1214"/>
      <c r="Q142" s="1214"/>
      <c r="R142" s="1214"/>
      <c r="S142" s="1214"/>
      <c r="T142" s="1214"/>
      <c r="U142" s="1214"/>
      <c r="V142" s="1214"/>
      <c r="W142" s="637" t="e">
        <f t="shared" si="24"/>
        <v>#DIV/0!</v>
      </c>
      <c r="X142" s="788"/>
      <c r="Y142" s="788"/>
    </row>
    <row r="143" spans="1:25" s="778" customFormat="1" ht="22.5" customHeight="1" thickTop="1" thickBot="1" x14ac:dyDescent="0.3">
      <c r="A143" s="1441">
        <v>1</v>
      </c>
      <c r="B143" s="1442" t="s">
        <v>1381</v>
      </c>
      <c r="C143" s="1442" t="s">
        <v>1381</v>
      </c>
      <c r="D143" s="1442" t="s">
        <v>1394</v>
      </c>
      <c r="E143" s="1442" t="s">
        <v>1394</v>
      </c>
      <c r="F143" s="1442" t="s">
        <v>1381</v>
      </c>
      <c r="G143" s="1442" t="s">
        <v>1470</v>
      </c>
      <c r="H143" s="1442" t="s">
        <v>1418</v>
      </c>
      <c r="I143" s="1442"/>
      <c r="J143" s="1442"/>
      <c r="K143" s="771" t="s">
        <v>2176</v>
      </c>
      <c r="L143" s="1214"/>
      <c r="M143" s="1214"/>
      <c r="N143" s="1214"/>
      <c r="O143" s="1206">
        <f t="shared" si="25"/>
        <v>0</v>
      </c>
      <c r="P143" s="1214"/>
      <c r="Q143" s="1214"/>
      <c r="R143" s="1214"/>
      <c r="S143" s="1214"/>
      <c r="T143" s="1214"/>
      <c r="U143" s="1214"/>
      <c r="V143" s="1214"/>
      <c r="W143" s="637" t="e">
        <f t="shared" si="24"/>
        <v>#DIV/0!</v>
      </c>
      <c r="X143" s="788"/>
      <c r="Y143" s="788"/>
    </row>
    <row r="144" spans="1:25" s="778" customFormat="1" ht="22.5" customHeight="1" thickTop="1" thickBot="1" x14ac:dyDescent="0.3">
      <c r="A144" s="1441">
        <v>1</v>
      </c>
      <c r="B144" s="1442" t="s">
        <v>1381</v>
      </c>
      <c r="C144" s="1442" t="s">
        <v>1381</v>
      </c>
      <c r="D144" s="1442" t="s">
        <v>1394</v>
      </c>
      <c r="E144" s="1442" t="s">
        <v>1394</v>
      </c>
      <c r="F144" s="1442" t="s">
        <v>1381</v>
      </c>
      <c r="G144" s="1442" t="s">
        <v>1470</v>
      </c>
      <c r="H144" s="1442" t="s">
        <v>1422</v>
      </c>
      <c r="I144" s="1442"/>
      <c r="J144" s="1442"/>
      <c r="K144" s="771" t="s">
        <v>2177</v>
      </c>
      <c r="L144" s="1214"/>
      <c r="M144" s="1214"/>
      <c r="N144" s="1214"/>
      <c r="O144" s="1206">
        <f t="shared" si="25"/>
        <v>0</v>
      </c>
      <c r="P144" s="1214"/>
      <c r="Q144" s="1214"/>
      <c r="R144" s="1214"/>
      <c r="S144" s="1214"/>
      <c r="T144" s="1214"/>
      <c r="U144" s="1214"/>
      <c r="V144" s="1214"/>
      <c r="W144" s="637" t="e">
        <f t="shared" si="24"/>
        <v>#DIV/0!</v>
      </c>
      <c r="X144" s="788"/>
      <c r="Y144" s="788"/>
    </row>
    <row r="145" spans="1:25" s="778" customFormat="1" ht="22.5" customHeight="1" thickTop="1" thickBot="1" x14ac:dyDescent="0.3">
      <c r="A145" s="1441">
        <v>1</v>
      </c>
      <c r="B145" s="1442" t="s">
        <v>1381</v>
      </c>
      <c r="C145" s="1442" t="s">
        <v>1381</v>
      </c>
      <c r="D145" s="1442" t="s">
        <v>1394</v>
      </c>
      <c r="E145" s="1442" t="s">
        <v>1394</v>
      </c>
      <c r="F145" s="1442" t="s">
        <v>1381</v>
      </c>
      <c r="G145" s="1442" t="s">
        <v>1470</v>
      </c>
      <c r="H145" s="1442" t="s">
        <v>1447</v>
      </c>
      <c r="I145" s="1442"/>
      <c r="J145" s="1442"/>
      <c r="K145" s="771" t="s">
        <v>2178</v>
      </c>
      <c r="L145" s="1214"/>
      <c r="M145" s="1214"/>
      <c r="N145" s="1214"/>
      <c r="O145" s="1206">
        <f t="shared" si="25"/>
        <v>0</v>
      </c>
      <c r="P145" s="1214"/>
      <c r="Q145" s="1214"/>
      <c r="R145" s="1214"/>
      <c r="S145" s="1214"/>
      <c r="T145" s="1214"/>
      <c r="U145" s="1214"/>
      <c r="V145" s="1214"/>
      <c r="W145" s="637" t="e">
        <f t="shared" si="24"/>
        <v>#DIV/0!</v>
      </c>
      <c r="X145" s="788"/>
      <c r="Y145" s="788"/>
    </row>
    <row r="146" spans="1:25" s="778" customFormat="1" ht="22.5" customHeight="1" thickTop="1" thickBot="1" x14ac:dyDescent="0.3">
      <c r="A146" s="1441">
        <v>1</v>
      </c>
      <c r="B146" s="1442" t="s">
        <v>1381</v>
      </c>
      <c r="C146" s="1442" t="s">
        <v>1381</v>
      </c>
      <c r="D146" s="1442" t="s">
        <v>1394</v>
      </c>
      <c r="E146" s="1442" t="s">
        <v>1394</v>
      </c>
      <c r="F146" s="1442" t="s">
        <v>1381</v>
      </c>
      <c r="G146" s="1442" t="s">
        <v>1470</v>
      </c>
      <c r="H146" s="1442" t="s">
        <v>1470</v>
      </c>
      <c r="I146" s="1442"/>
      <c r="J146" s="1442"/>
      <c r="K146" s="771" t="s">
        <v>2179</v>
      </c>
      <c r="L146" s="1214"/>
      <c r="M146" s="1214"/>
      <c r="N146" s="1214"/>
      <c r="O146" s="1206">
        <f t="shared" si="25"/>
        <v>0</v>
      </c>
      <c r="P146" s="1214"/>
      <c r="Q146" s="1214"/>
      <c r="R146" s="1214"/>
      <c r="S146" s="1214"/>
      <c r="T146" s="1214"/>
      <c r="U146" s="1214"/>
      <c r="V146" s="1214"/>
      <c r="W146" s="637" t="e">
        <f t="shared" si="24"/>
        <v>#DIV/0!</v>
      </c>
      <c r="X146" s="788"/>
      <c r="Y146" s="788"/>
    </row>
    <row r="147" spans="1:25" s="778" customFormat="1" ht="22.5" customHeight="1" thickTop="1" thickBot="1" x14ac:dyDescent="0.3">
      <c r="A147" s="1441">
        <v>1</v>
      </c>
      <c r="B147" s="1442" t="s">
        <v>1381</v>
      </c>
      <c r="C147" s="1442" t="s">
        <v>1381</v>
      </c>
      <c r="D147" s="1442" t="s">
        <v>1394</v>
      </c>
      <c r="E147" s="1442" t="s">
        <v>1394</v>
      </c>
      <c r="F147" s="1442" t="s">
        <v>1381</v>
      </c>
      <c r="G147" s="1442" t="s">
        <v>1470</v>
      </c>
      <c r="H147" s="1442" t="s">
        <v>1474</v>
      </c>
      <c r="I147" s="1442"/>
      <c r="J147" s="1442"/>
      <c r="K147" s="771" t="s">
        <v>2180</v>
      </c>
      <c r="L147" s="1214"/>
      <c r="M147" s="1214"/>
      <c r="N147" s="1214"/>
      <c r="O147" s="1206">
        <f t="shared" si="25"/>
        <v>0</v>
      </c>
      <c r="P147" s="1214"/>
      <c r="Q147" s="1214"/>
      <c r="R147" s="1214"/>
      <c r="S147" s="1214"/>
      <c r="T147" s="1214"/>
      <c r="U147" s="1214"/>
      <c r="V147" s="1214"/>
      <c r="W147" s="637" t="e">
        <f t="shared" si="24"/>
        <v>#DIV/0!</v>
      </c>
      <c r="X147" s="788"/>
      <c r="Y147" s="788"/>
    </row>
    <row r="148" spans="1:25" s="778" customFormat="1" ht="22.5" customHeight="1" thickTop="1" thickBot="1" x14ac:dyDescent="0.3">
      <c r="A148" s="1441">
        <v>1</v>
      </c>
      <c r="B148" s="1442" t="s">
        <v>1381</v>
      </c>
      <c r="C148" s="1442" t="s">
        <v>1381</v>
      </c>
      <c r="D148" s="1442" t="s">
        <v>1394</v>
      </c>
      <c r="E148" s="1442" t="s">
        <v>1394</v>
      </c>
      <c r="F148" s="1442" t="s">
        <v>1381</v>
      </c>
      <c r="G148" s="1442" t="s">
        <v>1470</v>
      </c>
      <c r="H148" s="1442" t="s">
        <v>1478</v>
      </c>
      <c r="I148" s="1442"/>
      <c r="J148" s="1442"/>
      <c r="K148" s="771" t="s">
        <v>2181</v>
      </c>
      <c r="L148" s="1214"/>
      <c r="M148" s="1214"/>
      <c r="N148" s="1214"/>
      <c r="O148" s="1206">
        <f t="shared" si="25"/>
        <v>0</v>
      </c>
      <c r="P148" s="1214"/>
      <c r="Q148" s="1214"/>
      <c r="R148" s="1214"/>
      <c r="S148" s="1214"/>
      <c r="T148" s="1214"/>
      <c r="U148" s="1214"/>
      <c r="V148" s="1214"/>
      <c r="W148" s="637" t="e">
        <f t="shared" si="24"/>
        <v>#DIV/0!</v>
      </c>
      <c r="X148" s="788"/>
      <c r="Y148" s="788"/>
    </row>
    <row r="149" spans="1:25" s="778" customFormat="1" ht="22.5" customHeight="1" thickTop="1" thickBot="1" x14ac:dyDescent="0.3">
      <c r="A149" s="1441">
        <v>1</v>
      </c>
      <c r="B149" s="1442" t="s">
        <v>1381</v>
      </c>
      <c r="C149" s="1442" t="s">
        <v>1381</v>
      </c>
      <c r="D149" s="1442" t="s">
        <v>1394</v>
      </c>
      <c r="E149" s="1442" t="s">
        <v>1394</v>
      </c>
      <c r="F149" s="1442" t="s">
        <v>1381</v>
      </c>
      <c r="G149" s="1442" t="s">
        <v>1470</v>
      </c>
      <c r="H149" s="1442" t="s">
        <v>1576</v>
      </c>
      <c r="I149" s="1442"/>
      <c r="J149" s="1442"/>
      <c r="K149" s="771" t="s">
        <v>2182</v>
      </c>
      <c r="L149" s="1214"/>
      <c r="M149" s="1214"/>
      <c r="N149" s="1214"/>
      <c r="O149" s="1206">
        <f t="shared" si="25"/>
        <v>0</v>
      </c>
      <c r="P149" s="1214"/>
      <c r="Q149" s="1214"/>
      <c r="R149" s="1214"/>
      <c r="S149" s="1214"/>
      <c r="T149" s="1214"/>
      <c r="U149" s="1214"/>
      <c r="V149" s="1214"/>
      <c r="W149" s="637" t="e">
        <f t="shared" si="24"/>
        <v>#DIV/0!</v>
      </c>
      <c r="X149" s="788"/>
      <c r="Y149" s="788"/>
    </row>
    <row r="150" spans="1:25" s="778" customFormat="1" ht="22.5" customHeight="1" thickTop="1" thickBot="1" x14ac:dyDescent="0.3">
      <c r="A150" s="1441">
        <v>1</v>
      </c>
      <c r="B150" s="1442" t="s">
        <v>1381</v>
      </c>
      <c r="C150" s="1442" t="s">
        <v>1381</v>
      </c>
      <c r="D150" s="1442" t="s">
        <v>1394</v>
      </c>
      <c r="E150" s="1442" t="s">
        <v>1394</v>
      </c>
      <c r="F150" s="1442" t="s">
        <v>1381</v>
      </c>
      <c r="G150" s="1442" t="s">
        <v>1470</v>
      </c>
      <c r="H150" s="1442" t="s">
        <v>1577</v>
      </c>
      <c r="I150" s="1442"/>
      <c r="J150" s="1442"/>
      <c r="K150" s="771" t="s">
        <v>2183</v>
      </c>
      <c r="L150" s="1214"/>
      <c r="M150" s="1214"/>
      <c r="N150" s="1214"/>
      <c r="O150" s="1206">
        <f t="shared" si="25"/>
        <v>0</v>
      </c>
      <c r="P150" s="1214"/>
      <c r="Q150" s="1214"/>
      <c r="R150" s="1214"/>
      <c r="S150" s="1214"/>
      <c r="T150" s="1214"/>
      <c r="U150" s="1214"/>
      <c r="V150" s="1214"/>
      <c r="W150" s="637" t="e">
        <f t="shared" si="24"/>
        <v>#DIV/0!</v>
      </c>
      <c r="X150" s="788"/>
      <c r="Y150" s="788"/>
    </row>
    <row r="151" spans="1:25" s="778" customFormat="1" ht="22.5" customHeight="1" thickTop="1" thickBot="1" x14ac:dyDescent="0.3">
      <c r="A151" s="1441">
        <v>1</v>
      </c>
      <c r="B151" s="1442" t="s">
        <v>1381</v>
      </c>
      <c r="C151" s="1442" t="s">
        <v>1381</v>
      </c>
      <c r="D151" s="1442" t="s">
        <v>1394</v>
      </c>
      <c r="E151" s="1442" t="s">
        <v>1394</v>
      </c>
      <c r="F151" s="1442" t="s">
        <v>1381</v>
      </c>
      <c r="G151" s="1442" t="s">
        <v>1470</v>
      </c>
      <c r="H151" s="1442" t="s">
        <v>1578</v>
      </c>
      <c r="I151" s="1442"/>
      <c r="J151" s="1442"/>
      <c r="K151" s="771" t="s">
        <v>2184</v>
      </c>
      <c r="L151" s="1214"/>
      <c r="M151" s="1214"/>
      <c r="N151" s="1214"/>
      <c r="O151" s="1206">
        <f t="shared" si="25"/>
        <v>0</v>
      </c>
      <c r="P151" s="1214"/>
      <c r="Q151" s="1214"/>
      <c r="R151" s="1214"/>
      <c r="S151" s="1214"/>
      <c r="T151" s="1214"/>
      <c r="U151" s="1214"/>
      <c r="V151" s="1214"/>
      <c r="W151" s="637" t="e">
        <f t="shared" si="24"/>
        <v>#DIV/0!</v>
      </c>
      <c r="X151" s="788"/>
      <c r="Y151" s="788"/>
    </row>
    <row r="152" spans="1:25" s="778" customFormat="1" ht="22.5" customHeight="1" thickTop="1" thickBot="1" x14ac:dyDescent="0.3">
      <c r="A152" s="1441">
        <v>1</v>
      </c>
      <c r="B152" s="1442" t="s">
        <v>1381</v>
      </c>
      <c r="C152" s="1442" t="s">
        <v>1381</v>
      </c>
      <c r="D152" s="1442" t="s">
        <v>1394</v>
      </c>
      <c r="E152" s="1442" t="s">
        <v>1394</v>
      </c>
      <c r="F152" s="1442" t="s">
        <v>1381</v>
      </c>
      <c r="G152" s="1442" t="s">
        <v>1474</v>
      </c>
      <c r="H152" s="1442"/>
      <c r="I152" s="1442"/>
      <c r="J152" s="1442"/>
      <c r="K152" s="771" t="s">
        <v>1448</v>
      </c>
      <c r="L152" s="1214">
        <f>SUM(L153:L163)</f>
        <v>0</v>
      </c>
      <c r="M152" s="1214">
        <f t="shared" ref="M152:V152" si="27">SUM(M153:M163)</f>
        <v>0</v>
      </c>
      <c r="N152" s="1214">
        <f t="shared" si="27"/>
        <v>0</v>
      </c>
      <c r="O152" s="1206">
        <f t="shared" si="25"/>
        <v>0</v>
      </c>
      <c r="P152" s="1214">
        <f t="shared" si="27"/>
        <v>0</v>
      </c>
      <c r="Q152" s="1214">
        <f t="shared" si="27"/>
        <v>0</v>
      </c>
      <c r="R152" s="1214">
        <f t="shared" si="27"/>
        <v>0</v>
      </c>
      <c r="S152" s="1214"/>
      <c r="T152" s="1214">
        <f t="shared" si="27"/>
        <v>0</v>
      </c>
      <c r="U152" s="1214">
        <f t="shared" si="27"/>
        <v>0</v>
      </c>
      <c r="V152" s="1214">
        <f t="shared" si="27"/>
        <v>0</v>
      </c>
      <c r="W152" s="637" t="e">
        <f t="shared" si="24"/>
        <v>#DIV/0!</v>
      </c>
      <c r="X152" s="788"/>
      <c r="Y152" s="788"/>
    </row>
    <row r="153" spans="1:25" s="778" customFormat="1" ht="22.5" customHeight="1" thickTop="1" thickBot="1" x14ac:dyDescent="0.3">
      <c r="A153" s="1441">
        <v>1</v>
      </c>
      <c r="B153" s="1442" t="s">
        <v>1381</v>
      </c>
      <c r="C153" s="1442" t="s">
        <v>1381</v>
      </c>
      <c r="D153" s="1442" t="s">
        <v>1394</v>
      </c>
      <c r="E153" s="1442" t="s">
        <v>1394</v>
      </c>
      <c r="F153" s="1442" t="s">
        <v>1381</v>
      </c>
      <c r="G153" s="1442" t="s">
        <v>1474</v>
      </c>
      <c r="H153" s="1442" t="s">
        <v>1381</v>
      </c>
      <c r="I153" s="1442"/>
      <c r="J153" s="1442"/>
      <c r="K153" s="771" t="s">
        <v>1449</v>
      </c>
      <c r="L153" s="1214"/>
      <c r="M153" s="1214"/>
      <c r="N153" s="1214"/>
      <c r="O153" s="1206">
        <f t="shared" si="25"/>
        <v>0</v>
      </c>
      <c r="P153" s="1214"/>
      <c r="Q153" s="1214"/>
      <c r="R153" s="1214"/>
      <c r="S153" s="1214"/>
      <c r="T153" s="1214"/>
      <c r="U153" s="1214"/>
      <c r="V153" s="1214"/>
      <c r="W153" s="637" t="e">
        <f t="shared" si="24"/>
        <v>#DIV/0!</v>
      </c>
      <c r="X153" s="788"/>
      <c r="Y153" s="788"/>
    </row>
    <row r="154" spans="1:25" s="778" customFormat="1" ht="22.5" customHeight="1" thickTop="1" thickBot="1" x14ac:dyDescent="0.3">
      <c r="A154" s="1441">
        <v>1</v>
      </c>
      <c r="B154" s="1442" t="s">
        <v>1381</v>
      </c>
      <c r="C154" s="1442" t="s">
        <v>1381</v>
      </c>
      <c r="D154" s="1442" t="s">
        <v>1394</v>
      </c>
      <c r="E154" s="1442" t="s">
        <v>1394</v>
      </c>
      <c r="F154" s="1442" t="s">
        <v>1381</v>
      </c>
      <c r="G154" s="1442" t="s">
        <v>1474</v>
      </c>
      <c r="H154" s="1442" t="s">
        <v>1394</v>
      </c>
      <c r="I154" s="1442"/>
      <c r="J154" s="1442"/>
      <c r="K154" s="771" t="s">
        <v>1450</v>
      </c>
      <c r="L154" s="1214"/>
      <c r="M154" s="1214"/>
      <c r="N154" s="1214"/>
      <c r="O154" s="1206">
        <f t="shared" si="25"/>
        <v>0</v>
      </c>
      <c r="P154" s="1214"/>
      <c r="Q154" s="1214"/>
      <c r="R154" s="1214"/>
      <c r="S154" s="1214"/>
      <c r="T154" s="1214"/>
      <c r="U154" s="1214"/>
      <c r="V154" s="1214"/>
      <c r="W154" s="637" t="e">
        <f t="shared" si="24"/>
        <v>#DIV/0!</v>
      </c>
      <c r="X154" s="788"/>
      <c r="Y154" s="788"/>
    </row>
    <row r="155" spans="1:25" s="778" customFormat="1" ht="22.5" customHeight="1" thickTop="1" thickBot="1" x14ac:dyDescent="0.3">
      <c r="A155" s="1441">
        <v>1</v>
      </c>
      <c r="B155" s="1442" t="s">
        <v>1381</v>
      </c>
      <c r="C155" s="1442" t="s">
        <v>1381</v>
      </c>
      <c r="D155" s="1442" t="s">
        <v>1394</v>
      </c>
      <c r="E155" s="1442" t="s">
        <v>1394</v>
      </c>
      <c r="F155" s="1442" t="s">
        <v>1381</v>
      </c>
      <c r="G155" s="1442" t="s">
        <v>1474</v>
      </c>
      <c r="H155" s="1442" t="s">
        <v>1418</v>
      </c>
      <c r="I155" s="1442"/>
      <c r="J155" s="1442"/>
      <c r="K155" s="771" t="s">
        <v>2185</v>
      </c>
      <c r="L155" s="1214"/>
      <c r="M155" s="1214"/>
      <c r="N155" s="1214"/>
      <c r="O155" s="1206">
        <f t="shared" si="25"/>
        <v>0</v>
      </c>
      <c r="P155" s="1214"/>
      <c r="Q155" s="1214"/>
      <c r="R155" s="1214"/>
      <c r="S155" s="1214"/>
      <c r="T155" s="1214"/>
      <c r="U155" s="1214"/>
      <c r="V155" s="1214"/>
      <c r="W155" s="637" t="e">
        <f t="shared" si="24"/>
        <v>#DIV/0!</v>
      </c>
      <c r="X155" s="788"/>
      <c r="Y155" s="788"/>
    </row>
    <row r="156" spans="1:25" s="778" customFormat="1" ht="22.5" customHeight="1" thickTop="1" thickBot="1" x14ac:dyDescent="0.3">
      <c r="A156" s="1441">
        <v>1</v>
      </c>
      <c r="B156" s="1442" t="s">
        <v>1381</v>
      </c>
      <c r="C156" s="1442" t="s">
        <v>1381</v>
      </c>
      <c r="D156" s="1442" t="s">
        <v>1394</v>
      </c>
      <c r="E156" s="1442" t="s">
        <v>1394</v>
      </c>
      <c r="F156" s="1442" t="s">
        <v>1381</v>
      </c>
      <c r="G156" s="1442" t="s">
        <v>1474</v>
      </c>
      <c r="H156" s="1442" t="s">
        <v>1422</v>
      </c>
      <c r="I156" s="1442"/>
      <c r="J156" s="1442"/>
      <c r="K156" s="771" t="s">
        <v>2186</v>
      </c>
      <c r="L156" s="1214"/>
      <c r="M156" s="1214"/>
      <c r="N156" s="1214"/>
      <c r="O156" s="1206">
        <f t="shared" si="25"/>
        <v>0</v>
      </c>
      <c r="P156" s="1214"/>
      <c r="Q156" s="1214"/>
      <c r="R156" s="1214"/>
      <c r="S156" s="1214"/>
      <c r="T156" s="1214"/>
      <c r="U156" s="1214"/>
      <c r="V156" s="1214"/>
      <c r="W156" s="637" t="e">
        <f t="shared" si="24"/>
        <v>#DIV/0!</v>
      </c>
      <c r="X156" s="788"/>
      <c r="Y156" s="788"/>
    </row>
    <row r="157" spans="1:25" s="778" customFormat="1" ht="22.5" customHeight="1" thickTop="1" thickBot="1" x14ac:dyDescent="0.3">
      <c r="A157" s="1441">
        <v>1</v>
      </c>
      <c r="B157" s="1442" t="s">
        <v>1381</v>
      </c>
      <c r="C157" s="1442" t="s">
        <v>1381</v>
      </c>
      <c r="D157" s="1442" t="s">
        <v>1394</v>
      </c>
      <c r="E157" s="1442" t="s">
        <v>1394</v>
      </c>
      <c r="F157" s="1442" t="s">
        <v>1381</v>
      </c>
      <c r="G157" s="1442" t="s">
        <v>1474</v>
      </c>
      <c r="H157" s="1442" t="s">
        <v>1447</v>
      </c>
      <c r="I157" s="1442"/>
      <c r="J157" s="1442"/>
      <c r="K157" s="771" t="s">
        <v>2187</v>
      </c>
      <c r="L157" s="1214"/>
      <c r="M157" s="1214"/>
      <c r="N157" s="1214"/>
      <c r="O157" s="1206">
        <f t="shared" si="25"/>
        <v>0</v>
      </c>
      <c r="P157" s="1214"/>
      <c r="Q157" s="1214"/>
      <c r="R157" s="1214"/>
      <c r="S157" s="1214"/>
      <c r="T157" s="1214"/>
      <c r="U157" s="1214"/>
      <c r="V157" s="1214"/>
      <c r="W157" s="637" t="e">
        <f t="shared" si="24"/>
        <v>#DIV/0!</v>
      </c>
      <c r="X157" s="788"/>
      <c r="Y157" s="788"/>
    </row>
    <row r="158" spans="1:25" s="778" customFormat="1" ht="22.5" customHeight="1" thickTop="1" thickBot="1" x14ac:dyDescent="0.3">
      <c r="A158" s="1441">
        <v>1</v>
      </c>
      <c r="B158" s="1442" t="s">
        <v>1381</v>
      </c>
      <c r="C158" s="1442" t="s">
        <v>1381</v>
      </c>
      <c r="D158" s="1442" t="s">
        <v>1394</v>
      </c>
      <c r="E158" s="1442" t="s">
        <v>1394</v>
      </c>
      <c r="F158" s="1442" t="s">
        <v>1381</v>
      </c>
      <c r="G158" s="1442" t="s">
        <v>1474</v>
      </c>
      <c r="H158" s="1442" t="s">
        <v>1470</v>
      </c>
      <c r="I158" s="1442"/>
      <c r="J158" s="1442"/>
      <c r="K158" s="771" t="s">
        <v>2188</v>
      </c>
      <c r="L158" s="1214"/>
      <c r="M158" s="1214"/>
      <c r="N158" s="1214"/>
      <c r="O158" s="1206">
        <f t="shared" si="25"/>
        <v>0</v>
      </c>
      <c r="P158" s="1214"/>
      <c r="Q158" s="1214"/>
      <c r="R158" s="1214"/>
      <c r="S158" s="1214"/>
      <c r="T158" s="1214"/>
      <c r="U158" s="1214"/>
      <c r="V158" s="1214"/>
      <c r="W158" s="637" t="e">
        <f t="shared" si="24"/>
        <v>#DIV/0!</v>
      </c>
      <c r="X158" s="788"/>
      <c r="Y158" s="788"/>
    </row>
    <row r="159" spans="1:25" s="778" customFormat="1" ht="22.5" customHeight="1" thickTop="1" thickBot="1" x14ac:dyDescent="0.3">
      <c r="A159" s="1441">
        <v>1</v>
      </c>
      <c r="B159" s="1442" t="s">
        <v>1381</v>
      </c>
      <c r="C159" s="1442" t="s">
        <v>1381</v>
      </c>
      <c r="D159" s="1442" t="s">
        <v>1394</v>
      </c>
      <c r="E159" s="1442" t="s">
        <v>1394</v>
      </c>
      <c r="F159" s="1442" t="s">
        <v>1381</v>
      </c>
      <c r="G159" s="1442" t="s">
        <v>1474</v>
      </c>
      <c r="H159" s="1442" t="s">
        <v>1474</v>
      </c>
      <c r="I159" s="1442"/>
      <c r="J159" s="1442"/>
      <c r="K159" s="771" t="s">
        <v>2189</v>
      </c>
      <c r="L159" s="1214"/>
      <c r="M159" s="1214"/>
      <c r="N159" s="1214"/>
      <c r="O159" s="1206">
        <f t="shared" si="25"/>
        <v>0</v>
      </c>
      <c r="P159" s="1214"/>
      <c r="Q159" s="1214"/>
      <c r="R159" s="1214"/>
      <c r="S159" s="1214"/>
      <c r="T159" s="1214"/>
      <c r="U159" s="1214"/>
      <c r="V159" s="1214"/>
      <c r="W159" s="637" t="e">
        <f t="shared" si="24"/>
        <v>#DIV/0!</v>
      </c>
      <c r="X159" s="788"/>
      <c r="Y159" s="788"/>
    </row>
    <row r="160" spans="1:25" s="778" customFormat="1" ht="22.5" customHeight="1" thickTop="1" thickBot="1" x14ac:dyDescent="0.3">
      <c r="A160" s="1441">
        <v>1</v>
      </c>
      <c r="B160" s="1442" t="s">
        <v>1381</v>
      </c>
      <c r="C160" s="1442" t="s">
        <v>1381</v>
      </c>
      <c r="D160" s="1442" t="s">
        <v>1394</v>
      </c>
      <c r="E160" s="1442" t="s">
        <v>1394</v>
      </c>
      <c r="F160" s="1442" t="s">
        <v>1381</v>
      </c>
      <c r="G160" s="1442" t="s">
        <v>1474</v>
      </c>
      <c r="H160" s="1442" t="s">
        <v>1478</v>
      </c>
      <c r="I160" s="1442"/>
      <c r="J160" s="1442"/>
      <c r="K160" s="771" t="s">
        <v>2190</v>
      </c>
      <c r="L160" s="1214"/>
      <c r="M160" s="1214"/>
      <c r="N160" s="1214"/>
      <c r="O160" s="1206">
        <f t="shared" si="25"/>
        <v>0</v>
      </c>
      <c r="P160" s="1214"/>
      <c r="Q160" s="1214"/>
      <c r="R160" s="1214"/>
      <c r="S160" s="1214"/>
      <c r="T160" s="1214"/>
      <c r="U160" s="1214"/>
      <c r="V160" s="1214"/>
      <c r="W160" s="637" t="e">
        <f t="shared" si="24"/>
        <v>#DIV/0!</v>
      </c>
      <c r="X160" s="788"/>
      <c r="Y160" s="788"/>
    </row>
    <row r="161" spans="1:25" s="778" customFormat="1" ht="22.5" customHeight="1" thickTop="1" thickBot="1" x14ac:dyDescent="0.3">
      <c r="A161" s="1441">
        <v>1</v>
      </c>
      <c r="B161" s="1442" t="s">
        <v>1381</v>
      </c>
      <c r="C161" s="1442" t="s">
        <v>1381</v>
      </c>
      <c r="D161" s="1442" t="s">
        <v>1394</v>
      </c>
      <c r="E161" s="1442" t="s">
        <v>1394</v>
      </c>
      <c r="F161" s="1442" t="s">
        <v>1381</v>
      </c>
      <c r="G161" s="1442" t="s">
        <v>1474</v>
      </c>
      <c r="H161" s="1442" t="s">
        <v>1576</v>
      </c>
      <c r="I161" s="1442"/>
      <c r="J161" s="1442"/>
      <c r="K161" s="771" t="s">
        <v>2191</v>
      </c>
      <c r="L161" s="1214"/>
      <c r="M161" s="1214"/>
      <c r="N161" s="1214"/>
      <c r="O161" s="1206">
        <f t="shared" si="25"/>
        <v>0</v>
      </c>
      <c r="P161" s="1214"/>
      <c r="Q161" s="1214"/>
      <c r="R161" s="1214"/>
      <c r="S161" s="1214"/>
      <c r="T161" s="1214"/>
      <c r="U161" s="1214"/>
      <c r="V161" s="1214"/>
      <c r="W161" s="637" t="e">
        <f t="shared" si="24"/>
        <v>#DIV/0!</v>
      </c>
      <c r="X161" s="788"/>
      <c r="Y161" s="788"/>
    </row>
    <row r="162" spans="1:25" s="778" customFormat="1" ht="22.5" customHeight="1" thickTop="1" thickBot="1" x14ac:dyDescent="0.3">
      <c r="A162" s="1441">
        <v>1</v>
      </c>
      <c r="B162" s="1442" t="s">
        <v>1381</v>
      </c>
      <c r="C162" s="1442" t="s">
        <v>1381</v>
      </c>
      <c r="D162" s="1442" t="s">
        <v>1394</v>
      </c>
      <c r="E162" s="1442" t="s">
        <v>1394</v>
      </c>
      <c r="F162" s="1442" t="s">
        <v>1381</v>
      </c>
      <c r="G162" s="1442" t="s">
        <v>1474</v>
      </c>
      <c r="H162" s="1442" t="s">
        <v>1577</v>
      </c>
      <c r="I162" s="1442"/>
      <c r="J162" s="1442"/>
      <c r="K162" s="771" t="s">
        <v>2192</v>
      </c>
      <c r="L162" s="1214"/>
      <c r="M162" s="1214"/>
      <c r="N162" s="1214"/>
      <c r="O162" s="1206">
        <f t="shared" si="25"/>
        <v>0</v>
      </c>
      <c r="P162" s="1214"/>
      <c r="Q162" s="1214"/>
      <c r="R162" s="1214"/>
      <c r="S162" s="1214"/>
      <c r="T162" s="1214"/>
      <c r="U162" s="1214"/>
      <c r="V162" s="1214"/>
      <c r="W162" s="637" t="e">
        <f t="shared" si="24"/>
        <v>#DIV/0!</v>
      </c>
      <c r="X162" s="788"/>
      <c r="Y162" s="788"/>
    </row>
    <row r="163" spans="1:25" s="778" customFormat="1" ht="22.5" customHeight="1" thickTop="1" thickBot="1" x14ac:dyDescent="0.3">
      <c r="A163" s="1441">
        <v>1</v>
      </c>
      <c r="B163" s="1442" t="s">
        <v>1381</v>
      </c>
      <c r="C163" s="1442" t="s">
        <v>1381</v>
      </c>
      <c r="D163" s="1442" t="s">
        <v>1394</v>
      </c>
      <c r="E163" s="1442" t="s">
        <v>1394</v>
      </c>
      <c r="F163" s="1442" t="s">
        <v>1381</v>
      </c>
      <c r="G163" s="1442" t="s">
        <v>1474</v>
      </c>
      <c r="H163" s="1442" t="s">
        <v>1578</v>
      </c>
      <c r="I163" s="1442"/>
      <c r="J163" s="1442"/>
      <c r="K163" s="771" t="s">
        <v>2193</v>
      </c>
      <c r="L163" s="1214"/>
      <c r="M163" s="1214"/>
      <c r="N163" s="1214"/>
      <c r="O163" s="1206">
        <f t="shared" si="25"/>
        <v>0</v>
      </c>
      <c r="P163" s="1214"/>
      <c r="Q163" s="1214"/>
      <c r="R163" s="1214"/>
      <c r="S163" s="1214"/>
      <c r="T163" s="1214"/>
      <c r="U163" s="1214"/>
      <c r="V163" s="1214"/>
      <c r="W163" s="637" t="e">
        <f t="shared" si="24"/>
        <v>#DIV/0!</v>
      </c>
      <c r="X163" s="788"/>
      <c r="Y163" s="788"/>
    </row>
    <row r="164" spans="1:25" s="778" customFormat="1" ht="22.5" customHeight="1" thickTop="1" thickBot="1" x14ac:dyDescent="0.3">
      <c r="A164" s="1436">
        <v>1</v>
      </c>
      <c r="B164" s="1437" t="s">
        <v>1381</v>
      </c>
      <c r="C164" s="1437" t="s">
        <v>1381</v>
      </c>
      <c r="D164" s="1437" t="s">
        <v>1394</v>
      </c>
      <c r="E164" s="1437" t="s">
        <v>1394</v>
      </c>
      <c r="F164" s="1437" t="s">
        <v>1394</v>
      </c>
      <c r="G164" s="1444"/>
      <c r="H164" s="1444"/>
      <c r="I164" s="1444"/>
      <c r="J164" s="1444"/>
      <c r="K164" s="1432" t="s">
        <v>1998</v>
      </c>
      <c r="L164" s="1218">
        <f>+L165+L177+L189+L201</f>
        <v>1291396000</v>
      </c>
      <c r="M164" s="1218">
        <f>+M165+M177+M189+M201</f>
        <v>122826000</v>
      </c>
      <c r="N164" s="1218">
        <f>+N165+N177+N189+N201</f>
        <v>0</v>
      </c>
      <c r="O164" s="1206">
        <f t="shared" si="25"/>
        <v>1414222000</v>
      </c>
      <c r="P164" s="1218">
        <f t="shared" ref="P164:V164" si="28">+P165+P177+P189+P201</f>
        <v>1287377500</v>
      </c>
      <c r="Q164" s="1218">
        <f t="shared" si="28"/>
        <v>0</v>
      </c>
      <c r="R164" s="1218">
        <f t="shared" si="28"/>
        <v>126844500</v>
      </c>
      <c r="S164" s="1218"/>
      <c r="T164" s="1218">
        <f t="shared" si="28"/>
        <v>0</v>
      </c>
      <c r="U164" s="1218">
        <f t="shared" si="28"/>
        <v>693052882.46000004</v>
      </c>
      <c r="V164" s="1218">
        <f t="shared" si="28"/>
        <v>245907706.54000002</v>
      </c>
      <c r="W164" s="787">
        <f t="shared" si="24"/>
        <v>0.17388196940791475</v>
      </c>
      <c r="X164" s="788"/>
      <c r="Y164" s="788"/>
    </row>
    <row r="165" spans="1:25" s="778" customFormat="1" ht="22.5" customHeight="1" thickTop="1" thickBot="1" x14ac:dyDescent="0.3">
      <c r="A165" s="1441">
        <v>1</v>
      </c>
      <c r="B165" s="1442" t="s">
        <v>1381</v>
      </c>
      <c r="C165" s="1442" t="s">
        <v>1381</v>
      </c>
      <c r="D165" s="1442" t="s">
        <v>1394</v>
      </c>
      <c r="E165" s="1442" t="s">
        <v>1394</v>
      </c>
      <c r="F165" s="1442" t="s">
        <v>1394</v>
      </c>
      <c r="G165" s="1442" t="s">
        <v>1381</v>
      </c>
      <c r="H165" s="1442"/>
      <c r="I165" s="1442"/>
      <c r="J165" s="1442"/>
      <c r="K165" s="771" t="s">
        <v>2065</v>
      </c>
      <c r="L165" s="1214">
        <f>SUM(L166:L176)</f>
        <v>834000000</v>
      </c>
      <c r="M165" s="1214">
        <f t="shared" ref="M165:V165" si="29">SUM(M166:M176)</f>
        <v>0</v>
      </c>
      <c r="N165" s="1214">
        <f t="shared" si="29"/>
        <v>0</v>
      </c>
      <c r="O165" s="1206">
        <f t="shared" si="25"/>
        <v>834000000</v>
      </c>
      <c r="P165" s="1214">
        <v>750600000</v>
      </c>
      <c r="Q165" s="1214">
        <f t="shared" si="29"/>
        <v>0</v>
      </c>
      <c r="R165" s="1214">
        <v>83400000</v>
      </c>
      <c r="S165" s="1206"/>
      <c r="T165" s="1214">
        <f t="shared" si="29"/>
        <v>0</v>
      </c>
      <c r="U165" s="1214">
        <f t="shared" si="29"/>
        <v>0</v>
      </c>
      <c r="V165" s="1214">
        <f t="shared" si="29"/>
        <v>0</v>
      </c>
      <c r="W165" s="637">
        <f t="shared" si="24"/>
        <v>0</v>
      </c>
      <c r="X165" s="788" t="s">
        <v>2067</v>
      </c>
      <c r="Y165" s="788" t="s">
        <v>2068</v>
      </c>
    </row>
    <row r="166" spans="1:25" s="778" customFormat="1" ht="22.5" customHeight="1" thickTop="1" thickBot="1" x14ac:dyDescent="0.3">
      <c r="A166" s="1441">
        <v>1</v>
      </c>
      <c r="B166" s="1441" t="s">
        <v>1381</v>
      </c>
      <c r="C166" s="1442" t="s">
        <v>1381</v>
      </c>
      <c r="D166" s="1442" t="s">
        <v>1394</v>
      </c>
      <c r="E166" s="1442" t="s">
        <v>1394</v>
      </c>
      <c r="F166" s="1442" t="s">
        <v>1394</v>
      </c>
      <c r="G166" s="1442" t="s">
        <v>1381</v>
      </c>
      <c r="H166" s="1442" t="s">
        <v>1381</v>
      </c>
      <c r="I166" s="1442"/>
      <c r="J166" s="1442"/>
      <c r="K166" s="771" t="s">
        <v>2194</v>
      </c>
      <c r="L166" s="1214"/>
      <c r="M166" s="1214"/>
      <c r="N166" s="1214"/>
      <c r="O166" s="1206">
        <f t="shared" si="25"/>
        <v>0</v>
      </c>
      <c r="P166" s="1214"/>
      <c r="Q166" s="1214"/>
      <c r="R166" s="1214"/>
      <c r="S166" s="1214"/>
      <c r="T166" s="1214"/>
      <c r="U166" s="1214"/>
      <c r="V166" s="1214"/>
      <c r="W166" s="637" t="e">
        <f t="shared" si="24"/>
        <v>#DIV/0!</v>
      </c>
      <c r="X166" s="788"/>
      <c r="Y166" s="788"/>
    </row>
    <row r="167" spans="1:25" s="778" customFormat="1" ht="22.5" customHeight="1" thickTop="1" thickBot="1" x14ac:dyDescent="0.3">
      <c r="A167" s="1441">
        <v>1</v>
      </c>
      <c r="B167" s="1442" t="s">
        <v>1381</v>
      </c>
      <c r="C167" s="1442" t="s">
        <v>1381</v>
      </c>
      <c r="D167" s="1442" t="s">
        <v>1394</v>
      </c>
      <c r="E167" s="1442" t="s">
        <v>1394</v>
      </c>
      <c r="F167" s="1442" t="s">
        <v>1394</v>
      </c>
      <c r="G167" s="1442" t="s">
        <v>1381</v>
      </c>
      <c r="H167" s="1442" t="s">
        <v>1394</v>
      </c>
      <c r="I167" s="1442"/>
      <c r="J167" s="1442"/>
      <c r="K167" s="771" t="s">
        <v>2195</v>
      </c>
      <c r="L167" s="1219">
        <v>834000000</v>
      </c>
      <c r="M167" s="1214"/>
      <c r="N167" s="1214"/>
      <c r="O167" s="1206">
        <f t="shared" si="25"/>
        <v>834000000</v>
      </c>
      <c r="P167" s="1214"/>
      <c r="Q167" s="1214"/>
      <c r="R167" s="1214"/>
      <c r="S167" s="1214"/>
      <c r="T167" s="1214"/>
      <c r="U167" s="1214"/>
      <c r="V167" s="1214"/>
      <c r="W167" s="637">
        <f t="shared" si="24"/>
        <v>0</v>
      </c>
      <c r="X167" s="788"/>
      <c r="Y167" s="788"/>
    </row>
    <row r="168" spans="1:25" s="778" customFormat="1" ht="22.5" customHeight="1" thickTop="1" thickBot="1" x14ac:dyDescent="0.3">
      <c r="A168" s="1441">
        <v>1</v>
      </c>
      <c r="B168" s="1441" t="s">
        <v>1381</v>
      </c>
      <c r="C168" s="1442" t="s">
        <v>1381</v>
      </c>
      <c r="D168" s="1442" t="s">
        <v>1394</v>
      </c>
      <c r="E168" s="1442" t="s">
        <v>1394</v>
      </c>
      <c r="F168" s="1442" t="s">
        <v>1394</v>
      </c>
      <c r="G168" s="1442" t="s">
        <v>1381</v>
      </c>
      <c r="H168" s="1442" t="s">
        <v>1418</v>
      </c>
      <c r="I168" s="1442"/>
      <c r="J168" s="1442"/>
      <c r="K168" s="771" t="s">
        <v>2196</v>
      </c>
      <c r="L168" s="1214"/>
      <c r="M168" s="1214"/>
      <c r="N168" s="1214"/>
      <c r="O168" s="1206">
        <f t="shared" si="25"/>
        <v>0</v>
      </c>
      <c r="P168" s="1214"/>
      <c r="Q168" s="1214"/>
      <c r="R168" s="1214"/>
      <c r="S168" s="1214"/>
      <c r="T168" s="1214"/>
      <c r="U168" s="1214"/>
      <c r="V168" s="1214"/>
      <c r="W168" s="637" t="e">
        <f t="shared" si="24"/>
        <v>#DIV/0!</v>
      </c>
      <c r="X168" s="788"/>
      <c r="Y168" s="788"/>
    </row>
    <row r="169" spans="1:25" s="778" customFormat="1" ht="22.5" customHeight="1" thickTop="1" thickBot="1" x14ac:dyDescent="0.3">
      <c r="A169" s="1441">
        <v>1</v>
      </c>
      <c r="B169" s="1442" t="s">
        <v>1381</v>
      </c>
      <c r="C169" s="1442" t="s">
        <v>1381</v>
      </c>
      <c r="D169" s="1442" t="s">
        <v>1394</v>
      </c>
      <c r="E169" s="1442" t="s">
        <v>1394</v>
      </c>
      <c r="F169" s="1442" t="s">
        <v>1394</v>
      </c>
      <c r="G169" s="1442" t="s">
        <v>1381</v>
      </c>
      <c r="H169" s="1442" t="s">
        <v>1422</v>
      </c>
      <c r="I169" s="1442"/>
      <c r="J169" s="1442"/>
      <c r="K169" s="771" t="s">
        <v>2197</v>
      </c>
      <c r="L169" s="1214"/>
      <c r="M169" s="1214"/>
      <c r="N169" s="1214"/>
      <c r="O169" s="1206">
        <f t="shared" si="25"/>
        <v>0</v>
      </c>
      <c r="P169" s="1214"/>
      <c r="Q169" s="1214"/>
      <c r="R169" s="1214"/>
      <c r="S169" s="1214"/>
      <c r="T169" s="1214"/>
      <c r="U169" s="1214"/>
      <c r="V169" s="1214"/>
      <c r="W169" s="637" t="e">
        <f t="shared" si="24"/>
        <v>#DIV/0!</v>
      </c>
      <c r="X169" s="788"/>
      <c r="Y169" s="788"/>
    </row>
    <row r="170" spans="1:25" s="778" customFormat="1" ht="22.5" customHeight="1" thickTop="1" thickBot="1" x14ac:dyDescent="0.3">
      <c r="A170" s="1441">
        <v>1</v>
      </c>
      <c r="B170" s="1441" t="s">
        <v>1381</v>
      </c>
      <c r="C170" s="1442" t="s">
        <v>1381</v>
      </c>
      <c r="D170" s="1442" t="s">
        <v>1394</v>
      </c>
      <c r="E170" s="1442" t="s">
        <v>1394</v>
      </c>
      <c r="F170" s="1442" t="s">
        <v>1394</v>
      </c>
      <c r="G170" s="1442" t="s">
        <v>1381</v>
      </c>
      <c r="H170" s="1442" t="s">
        <v>1447</v>
      </c>
      <c r="I170" s="1442"/>
      <c r="J170" s="1442"/>
      <c r="K170" s="771" t="s">
        <v>2198</v>
      </c>
      <c r="L170" s="1214"/>
      <c r="M170" s="1214"/>
      <c r="N170" s="1214"/>
      <c r="O170" s="1206">
        <f t="shared" si="25"/>
        <v>0</v>
      </c>
      <c r="P170" s="1214"/>
      <c r="Q170" s="1214"/>
      <c r="R170" s="1214"/>
      <c r="S170" s="1214"/>
      <c r="T170" s="1214"/>
      <c r="U170" s="1214"/>
      <c r="V170" s="1214"/>
      <c r="W170" s="637" t="e">
        <f t="shared" si="24"/>
        <v>#DIV/0!</v>
      </c>
      <c r="X170" s="788"/>
      <c r="Y170" s="788"/>
    </row>
    <row r="171" spans="1:25" s="778" customFormat="1" ht="22.5" customHeight="1" thickTop="1" thickBot="1" x14ac:dyDescent="0.3">
      <c r="A171" s="1441">
        <v>1</v>
      </c>
      <c r="B171" s="1442" t="s">
        <v>1381</v>
      </c>
      <c r="C171" s="1442" t="s">
        <v>1381</v>
      </c>
      <c r="D171" s="1442" t="s">
        <v>1394</v>
      </c>
      <c r="E171" s="1442" t="s">
        <v>1394</v>
      </c>
      <c r="F171" s="1442" t="s">
        <v>1394</v>
      </c>
      <c r="G171" s="1442" t="s">
        <v>1381</v>
      </c>
      <c r="H171" s="1442" t="s">
        <v>1470</v>
      </c>
      <c r="I171" s="1442"/>
      <c r="J171" s="1442"/>
      <c r="K171" s="771" t="s">
        <v>2199</v>
      </c>
      <c r="L171" s="1214"/>
      <c r="M171" s="1214"/>
      <c r="N171" s="1214"/>
      <c r="O171" s="1206">
        <f t="shared" si="25"/>
        <v>0</v>
      </c>
      <c r="P171" s="1214"/>
      <c r="Q171" s="1214"/>
      <c r="R171" s="1214"/>
      <c r="S171" s="1214"/>
      <c r="T171" s="1214"/>
      <c r="U171" s="1214"/>
      <c r="V171" s="1214"/>
      <c r="W171" s="637" t="e">
        <f t="shared" si="24"/>
        <v>#DIV/0!</v>
      </c>
      <c r="X171" s="788"/>
      <c r="Y171" s="788"/>
    </row>
    <row r="172" spans="1:25" s="778" customFormat="1" ht="22.5" customHeight="1" thickTop="1" thickBot="1" x14ac:dyDescent="0.3">
      <c r="A172" s="1441">
        <v>1</v>
      </c>
      <c r="B172" s="1441" t="s">
        <v>1381</v>
      </c>
      <c r="C172" s="1442" t="s">
        <v>1381</v>
      </c>
      <c r="D172" s="1442" t="s">
        <v>1394</v>
      </c>
      <c r="E172" s="1442" t="s">
        <v>1394</v>
      </c>
      <c r="F172" s="1442" t="s">
        <v>1394</v>
      </c>
      <c r="G172" s="1442" t="s">
        <v>1381</v>
      </c>
      <c r="H172" s="1442" t="s">
        <v>1474</v>
      </c>
      <c r="I172" s="1442"/>
      <c r="J172" s="1442"/>
      <c r="K172" s="771" t="s">
        <v>2200</v>
      </c>
      <c r="L172" s="1214"/>
      <c r="M172" s="1214"/>
      <c r="N172" s="1214"/>
      <c r="O172" s="1206">
        <f t="shared" si="25"/>
        <v>0</v>
      </c>
      <c r="P172" s="1214"/>
      <c r="Q172" s="1214"/>
      <c r="R172" s="1214"/>
      <c r="S172" s="1214"/>
      <c r="T172" s="1214"/>
      <c r="U172" s="1214"/>
      <c r="V172" s="1214"/>
      <c r="W172" s="637" t="e">
        <f t="shared" si="24"/>
        <v>#DIV/0!</v>
      </c>
      <c r="X172" s="788"/>
      <c r="Y172" s="788"/>
    </row>
    <row r="173" spans="1:25" s="778" customFormat="1" ht="22.5" customHeight="1" thickTop="1" thickBot="1" x14ac:dyDescent="0.3">
      <c r="A173" s="1441">
        <v>1</v>
      </c>
      <c r="B173" s="1442" t="s">
        <v>1381</v>
      </c>
      <c r="C173" s="1442" t="s">
        <v>1381</v>
      </c>
      <c r="D173" s="1442" t="s">
        <v>1394</v>
      </c>
      <c r="E173" s="1442" t="s">
        <v>1394</v>
      </c>
      <c r="F173" s="1442" t="s">
        <v>1394</v>
      </c>
      <c r="G173" s="1442" t="s">
        <v>1381</v>
      </c>
      <c r="H173" s="1442" t="s">
        <v>1478</v>
      </c>
      <c r="I173" s="1442"/>
      <c r="J173" s="1442"/>
      <c r="K173" s="771" t="s">
        <v>2201</v>
      </c>
      <c r="L173" s="1214"/>
      <c r="M173" s="1214"/>
      <c r="N173" s="1214"/>
      <c r="O173" s="1206">
        <f t="shared" si="25"/>
        <v>0</v>
      </c>
      <c r="P173" s="1214"/>
      <c r="Q173" s="1214"/>
      <c r="R173" s="1214"/>
      <c r="S173" s="1214"/>
      <c r="T173" s="1214"/>
      <c r="U173" s="1214"/>
      <c r="V173" s="1214"/>
      <c r="W173" s="637" t="e">
        <f t="shared" si="24"/>
        <v>#DIV/0!</v>
      </c>
      <c r="X173" s="788"/>
      <c r="Y173" s="788"/>
    </row>
    <row r="174" spans="1:25" s="778" customFormat="1" ht="22.5" customHeight="1" thickTop="1" thickBot="1" x14ac:dyDescent="0.3">
      <c r="A174" s="1441">
        <v>1</v>
      </c>
      <c r="B174" s="1441" t="s">
        <v>1381</v>
      </c>
      <c r="C174" s="1442" t="s">
        <v>1381</v>
      </c>
      <c r="D174" s="1442" t="s">
        <v>1394</v>
      </c>
      <c r="E174" s="1442" t="s">
        <v>1394</v>
      </c>
      <c r="F174" s="1442" t="s">
        <v>1394</v>
      </c>
      <c r="G174" s="1442" t="s">
        <v>1381</v>
      </c>
      <c r="H174" s="1442" t="s">
        <v>1576</v>
      </c>
      <c r="I174" s="1442"/>
      <c r="J174" s="1442"/>
      <c r="K174" s="771" t="s">
        <v>2202</v>
      </c>
      <c r="L174" s="1214"/>
      <c r="M174" s="1214"/>
      <c r="N174" s="1214"/>
      <c r="O174" s="1206">
        <f t="shared" si="25"/>
        <v>0</v>
      </c>
      <c r="P174" s="1214"/>
      <c r="Q174" s="1214"/>
      <c r="R174" s="1214"/>
      <c r="S174" s="1214"/>
      <c r="T174" s="1214"/>
      <c r="U174" s="1214"/>
      <c r="V174" s="1214"/>
      <c r="W174" s="637" t="e">
        <f t="shared" si="24"/>
        <v>#DIV/0!</v>
      </c>
      <c r="X174" s="788"/>
      <c r="Y174" s="788"/>
    </row>
    <row r="175" spans="1:25" s="778" customFormat="1" ht="22.5" customHeight="1" thickTop="1" thickBot="1" x14ac:dyDescent="0.3">
      <c r="A175" s="1441">
        <v>1</v>
      </c>
      <c r="B175" s="1442" t="s">
        <v>1381</v>
      </c>
      <c r="C175" s="1442" t="s">
        <v>1381</v>
      </c>
      <c r="D175" s="1442" t="s">
        <v>1394</v>
      </c>
      <c r="E175" s="1442" t="s">
        <v>1394</v>
      </c>
      <c r="F175" s="1442" t="s">
        <v>1394</v>
      </c>
      <c r="G175" s="1442" t="s">
        <v>1381</v>
      </c>
      <c r="H175" s="1442" t="s">
        <v>1577</v>
      </c>
      <c r="I175" s="1442"/>
      <c r="J175" s="1442"/>
      <c r="K175" s="771" t="s">
        <v>2203</v>
      </c>
      <c r="L175" s="1214"/>
      <c r="M175" s="1214"/>
      <c r="N175" s="1214"/>
      <c r="O175" s="1206">
        <f t="shared" si="25"/>
        <v>0</v>
      </c>
      <c r="P175" s="1214"/>
      <c r="Q175" s="1214"/>
      <c r="R175" s="1214"/>
      <c r="S175" s="1214"/>
      <c r="T175" s="1214"/>
      <c r="U175" s="1214"/>
      <c r="V175" s="1214"/>
      <c r="W175" s="637" t="e">
        <f t="shared" si="24"/>
        <v>#DIV/0!</v>
      </c>
      <c r="X175" s="788"/>
      <c r="Y175" s="788"/>
    </row>
    <row r="176" spans="1:25" s="778" customFormat="1" ht="22.5" customHeight="1" thickTop="1" thickBot="1" x14ac:dyDescent="0.3">
      <c r="A176" s="1441">
        <v>1</v>
      </c>
      <c r="B176" s="1441" t="s">
        <v>1381</v>
      </c>
      <c r="C176" s="1442" t="s">
        <v>1381</v>
      </c>
      <c r="D176" s="1442" t="s">
        <v>1394</v>
      </c>
      <c r="E176" s="1442" t="s">
        <v>1394</v>
      </c>
      <c r="F176" s="1442" t="s">
        <v>1394</v>
      </c>
      <c r="G176" s="1442" t="s">
        <v>1381</v>
      </c>
      <c r="H176" s="1442" t="s">
        <v>1578</v>
      </c>
      <c r="I176" s="1442"/>
      <c r="J176" s="1442"/>
      <c r="K176" s="771" t="s">
        <v>2204</v>
      </c>
      <c r="L176" s="1214"/>
      <c r="M176" s="1214"/>
      <c r="N176" s="1214"/>
      <c r="O176" s="1206">
        <f t="shared" si="25"/>
        <v>0</v>
      </c>
      <c r="P176" s="1214"/>
      <c r="Q176" s="1214"/>
      <c r="R176" s="1214"/>
      <c r="S176" s="1214"/>
      <c r="T176" s="1214"/>
      <c r="U176" s="1214"/>
      <c r="V176" s="1214"/>
      <c r="W176" s="637" t="e">
        <f t="shared" si="24"/>
        <v>#DIV/0!</v>
      </c>
      <c r="X176" s="788"/>
      <c r="Y176" s="788"/>
    </row>
    <row r="177" spans="1:25" s="778" customFormat="1" ht="22.5" customHeight="1" thickTop="1" thickBot="1" x14ac:dyDescent="0.3">
      <c r="A177" s="1441">
        <v>1</v>
      </c>
      <c r="B177" s="1442" t="s">
        <v>1381</v>
      </c>
      <c r="C177" s="1442" t="s">
        <v>1381</v>
      </c>
      <c r="D177" s="1442" t="s">
        <v>1394</v>
      </c>
      <c r="E177" s="1442" t="s">
        <v>1394</v>
      </c>
      <c r="F177" s="1442" t="s">
        <v>1394</v>
      </c>
      <c r="G177" s="1442" t="s">
        <v>1394</v>
      </c>
      <c r="H177" s="1442"/>
      <c r="I177" s="1442"/>
      <c r="J177" s="1442"/>
      <c r="K177" s="771" t="s">
        <v>2066</v>
      </c>
      <c r="L177" s="1214">
        <f>SUM(L178:L188)</f>
        <v>418445000</v>
      </c>
      <c r="M177" s="1214">
        <f t="shared" ref="M177:V177" si="30">SUM(M178:M188)</f>
        <v>16200000</v>
      </c>
      <c r="N177" s="1214">
        <f t="shared" si="30"/>
        <v>0</v>
      </c>
      <c r="O177" s="1206">
        <f t="shared" si="25"/>
        <v>434645000</v>
      </c>
      <c r="P177" s="1214">
        <v>392800500</v>
      </c>
      <c r="Q177" s="1214"/>
      <c r="R177" s="1214">
        <v>41844500</v>
      </c>
      <c r="S177" s="1214"/>
      <c r="T177" s="1214">
        <f t="shared" si="30"/>
        <v>0</v>
      </c>
      <c r="U177" s="1214">
        <f t="shared" si="30"/>
        <v>693052882.46000004</v>
      </c>
      <c r="V177" s="1214">
        <f t="shared" si="30"/>
        <v>139103178.54000002</v>
      </c>
      <c r="W177" s="637">
        <f t="shared" si="24"/>
        <v>0.32003860285980518</v>
      </c>
      <c r="X177" s="788" t="s">
        <v>2069</v>
      </c>
      <c r="Y177" s="788" t="s">
        <v>2070</v>
      </c>
    </row>
    <row r="178" spans="1:25" s="778" customFormat="1" ht="22.5" customHeight="1" thickTop="1" thickBot="1" x14ac:dyDescent="0.3">
      <c r="A178" s="1441">
        <v>1</v>
      </c>
      <c r="B178" s="1441" t="s">
        <v>1381</v>
      </c>
      <c r="C178" s="1442" t="s">
        <v>1381</v>
      </c>
      <c r="D178" s="1442" t="s">
        <v>1394</v>
      </c>
      <c r="E178" s="1442" t="s">
        <v>1394</v>
      </c>
      <c r="F178" s="1442" t="s">
        <v>1394</v>
      </c>
      <c r="G178" s="1442" t="s">
        <v>1394</v>
      </c>
      <c r="H178" s="1442" t="s">
        <v>1381</v>
      </c>
      <c r="I178" s="1442"/>
      <c r="J178" s="1442"/>
      <c r="K178" s="771" t="s">
        <v>2205</v>
      </c>
      <c r="L178" s="1212">
        <v>213445000</v>
      </c>
      <c r="M178" s="1214"/>
      <c r="N178" s="1214"/>
      <c r="O178" s="1206">
        <f t="shared" si="25"/>
        <v>213445000</v>
      </c>
      <c r="P178" s="1214"/>
      <c r="Q178" s="1214"/>
      <c r="R178" s="1214"/>
      <c r="S178" s="1214"/>
      <c r="T178" s="1214"/>
      <c r="U178" s="1214">
        <v>69000</v>
      </c>
      <c r="V178" s="1214">
        <v>114835685</v>
      </c>
      <c r="W178" s="637">
        <f t="shared" si="24"/>
        <v>0.53801065848345009</v>
      </c>
      <c r="X178" s="788"/>
      <c r="Y178" s="788"/>
    </row>
    <row r="179" spans="1:25" s="778" customFormat="1" ht="22.5" customHeight="1" thickTop="1" thickBot="1" x14ac:dyDescent="0.3">
      <c r="A179" s="1441">
        <v>1</v>
      </c>
      <c r="B179" s="1442" t="s">
        <v>1381</v>
      </c>
      <c r="C179" s="1442" t="s">
        <v>1381</v>
      </c>
      <c r="D179" s="1442" t="s">
        <v>1394</v>
      </c>
      <c r="E179" s="1442" t="s">
        <v>1394</v>
      </c>
      <c r="F179" s="1442" t="s">
        <v>1394</v>
      </c>
      <c r="G179" s="1442" t="s">
        <v>1394</v>
      </c>
      <c r="H179" s="1442" t="s">
        <v>1394</v>
      </c>
      <c r="I179" s="1442"/>
      <c r="J179" s="1442"/>
      <c r="K179" s="771" t="s">
        <v>2206</v>
      </c>
      <c r="L179" s="1212">
        <v>200000000</v>
      </c>
      <c r="M179" s="1214"/>
      <c r="N179" s="1214"/>
      <c r="O179" s="1206">
        <f t="shared" si="25"/>
        <v>200000000</v>
      </c>
      <c r="P179" s="1214"/>
      <c r="Q179" s="1214"/>
      <c r="R179" s="1214"/>
      <c r="S179" s="1214"/>
      <c r="T179" s="1214"/>
      <c r="U179" s="1214">
        <v>692983882.46000004</v>
      </c>
      <c r="V179" s="1214">
        <v>7724387.54</v>
      </c>
      <c r="W179" s="637">
        <f t="shared" si="24"/>
        <v>3.8621937699999997E-2</v>
      </c>
      <c r="X179" s="788"/>
      <c r="Y179" s="788"/>
    </row>
    <row r="180" spans="1:25" s="778" customFormat="1" ht="22.5" customHeight="1" thickTop="1" thickBot="1" x14ac:dyDescent="0.3">
      <c r="A180" s="1441">
        <v>1</v>
      </c>
      <c r="B180" s="1441" t="s">
        <v>1381</v>
      </c>
      <c r="C180" s="1442" t="s">
        <v>1381</v>
      </c>
      <c r="D180" s="1442" t="s">
        <v>1394</v>
      </c>
      <c r="E180" s="1442" t="s">
        <v>1394</v>
      </c>
      <c r="F180" s="1442" t="s">
        <v>1394</v>
      </c>
      <c r="G180" s="1442" t="s">
        <v>1394</v>
      </c>
      <c r="H180" s="1442" t="s">
        <v>1418</v>
      </c>
      <c r="I180" s="1442"/>
      <c r="J180" s="1442"/>
      <c r="K180" s="771" t="s">
        <v>2207</v>
      </c>
      <c r="L180" s="1213"/>
      <c r="M180" s="1214"/>
      <c r="N180" s="1214"/>
      <c r="O180" s="1206">
        <f t="shared" si="25"/>
        <v>0</v>
      </c>
      <c r="P180" s="1214"/>
      <c r="Q180" s="1214"/>
      <c r="R180" s="1214"/>
      <c r="S180" s="1214"/>
      <c r="T180" s="1214"/>
      <c r="U180" s="1214"/>
      <c r="V180" s="1214"/>
      <c r="W180" s="637" t="e">
        <f t="shared" si="24"/>
        <v>#DIV/0!</v>
      </c>
      <c r="X180" s="788"/>
      <c r="Y180" s="788"/>
    </row>
    <row r="181" spans="1:25" s="778" customFormat="1" ht="22.5" customHeight="1" thickTop="1" thickBot="1" x14ac:dyDescent="0.3">
      <c r="A181" s="1441">
        <v>1</v>
      </c>
      <c r="B181" s="1442" t="s">
        <v>1381</v>
      </c>
      <c r="C181" s="1442" t="s">
        <v>1381</v>
      </c>
      <c r="D181" s="1442" t="s">
        <v>1394</v>
      </c>
      <c r="E181" s="1442" t="s">
        <v>1394</v>
      </c>
      <c r="F181" s="1442" t="s">
        <v>1394</v>
      </c>
      <c r="G181" s="1442" t="s">
        <v>1394</v>
      </c>
      <c r="H181" s="1442" t="s">
        <v>1422</v>
      </c>
      <c r="I181" s="1442"/>
      <c r="J181" s="1442"/>
      <c r="K181" s="771" t="s">
        <v>2208</v>
      </c>
      <c r="L181" s="1212">
        <v>5000000</v>
      </c>
      <c r="M181" s="1214"/>
      <c r="N181" s="1214"/>
      <c r="O181" s="1206">
        <f t="shared" si="25"/>
        <v>5000000</v>
      </c>
      <c r="P181" s="1214"/>
      <c r="Q181" s="1214"/>
      <c r="R181" s="1214"/>
      <c r="S181" s="1214"/>
      <c r="T181" s="1214"/>
      <c r="U181" s="1214"/>
      <c r="V181" s="1214">
        <v>343106</v>
      </c>
      <c r="W181" s="637">
        <f t="shared" si="24"/>
        <v>6.8621199999999993E-2</v>
      </c>
      <c r="X181" s="788"/>
      <c r="Y181" s="788"/>
    </row>
    <row r="182" spans="1:25" s="778" customFormat="1" ht="22.5" customHeight="1" thickTop="1" thickBot="1" x14ac:dyDescent="0.3">
      <c r="A182" s="1441">
        <v>1</v>
      </c>
      <c r="B182" s="1441" t="s">
        <v>1381</v>
      </c>
      <c r="C182" s="1442" t="s">
        <v>1381</v>
      </c>
      <c r="D182" s="1442" t="s">
        <v>1394</v>
      </c>
      <c r="E182" s="1442" t="s">
        <v>1394</v>
      </c>
      <c r="F182" s="1442" t="s">
        <v>1394</v>
      </c>
      <c r="G182" s="1442" t="s">
        <v>1394</v>
      </c>
      <c r="H182" s="1442" t="s">
        <v>1447</v>
      </c>
      <c r="I182" s="1442"/>
      <c r="J182" s="1442"/>
      <c r="K182" s="771" t="s">
        <v>2209</v>
      </c>
      <c r="L182" s="1213"/>
      <c r="M182" s="1214"/>
      <c r="N182" s="1214"/>
      <c r="O182" s="1206">
        <f t="shared" si="25"/>
        <v>0</v>
      </c>
      <c r="P182" s="1214"/>
      <c r="Q182" s="1214"/>
      <c r="R182" s="1214"/>
      <c r="S182" s="1214"/>
      <c r="T182" s="1214"/>
      <c r="U182" s="1214"/>
      <c r="V182" s="1214"/>
      <c r="W182" s="637" t="e">
        <f t="shared" si="24"/>
        <v>#DIV/0!</v>
      </c>
      <c r="X182" s="788"/>
      <c r="Y182" s="788"/>
    </row>
    <row r="183" spans="1:25" s="778" customFormat="1" ht="22.5" customHeight="1" thickTop="1" thickBot="1" x14ac:dyDescent="0.3">
      <c r="A183" s="1441">
        <v>1</v>
      </c>
      <c r="B183" s="1442" t="s">
        <v>1381</v>
      </c>
      <c r="C183" s="1442" t="s">
        <v>1381</v>
      </c>
      <c r="D183" s="1442" t="s">
        <v>1394</v>
      </c>
      <c r="E183" s="1442" t="s">
        <v>1394</v>
      </c>
      <c r="F183" s="1442" t="s">
        <v>1394</v>
      </c>
      <c r="G183" s="1442" t="s">
        <v>1394</v>
      </c>
      <c r="H183" s="1442" t="s">
        <v>1470</v>
      </c>
      <c r="I183" s="1442"/>
      <c r="J183" s="1442"/>
      <c r="K183" s="771" t="s">
        <v>2210</v>
      </c>
      <c r="L183" s="1213"/>
      <c r="M183" s="1214"/>
      <c r="N183" s="1214"/>
      <c r="O183" s="1206">
        <f t="shared" si="25"/>
        <v>0</v>
      </c>
      <c r="P183" s="1214"/>
      <c r="Q183" s="1214"/>
      <c r="R183" s="1214"/>
      <c r="S183" s="1214"/>
      <c r="T183" s="1214"/>
      <c r="U183" s="1214"/>
      <c r="V183" s="1214"/>
      <c r="W183" s="637" t="e">
        <f t="shared" si="24"/>
        <v>#DIV/0!</v>
      </c>
      <c r="X183" s="788"/>
      <c r="Y183" s="788"/>
    </row>
    <row r="184" spans="1:25" s="778" customFormat="1" ht="22.5" customHeight="1" thickTop="1" thickBot="1" x14ac:dyDescent="0.3">
      <c r="A184" s="1441">
        <v>1</v>
      </c>
      <c r="B184" s="1441" t="s">
        <v>1381</v>
      </c>
      <c r="C184" s="1442" t="s">
        <v>1381</v>
      </c>
      <c r="D184" s="1442" t="s">
        <v>1394</v>
      </c>
      <c r="E184" s="1442" t="s">
        <v>1394</v>
      </c>
      <c r="F184" s="1442" t="s">
        <v>1394</v>
      </c>
      <c r="G184" s="1442" t="s">
        <v>1394</v>
      </c>
      <c r="H184" s="1442" t="s">
        <v>1474</v>
      </c>
      <c r="I184" s="1442"/>
      <c r="J184" s="1442"/>
      <c r="K184" s="771" t="s">
        <v>2211</v>
      </c>
      <c r="L184" s="1213"/>
      <c r="M184" s="1214"/>
      <c r="N184" s="1214"/>
      <c r="O184" s="1206">
        <f t="shared" si="25"/>
        <v>0</v>
      </c>
      <c r="P184" s="1214"/>
      <c r="Q184" s="1214"/>
      <c r="R184" s="1214"/>
      <c r="S184" s="1214"/>
      <c r="T184" s="1214"/>
      <c r="U184" s="1214"/>
      <c r="V184" s="1214"/>
      <c r="W184" s="637" t="e">
        <f t="shared" si="24"/>
        <v>#DIV/0!</v>
      </c>
      <c r="X184" s="788"/>
      <c r="Y184" s="788"/>
    </row>
    <row r="185" spans="1:25" s="778" customFormat="1" ht="22.5" customHeight="1" thickTop="1" thickBot="1" x14ac:dyDescent="0.3">
      <c r="A185" s="1441">
        <v>1</v>
      </c>
      <c r="B185" s="1442" t="s">
        <v>1381</v>
      </c>
      <c r="C185" s="1442" t="s">
        <v>1381</v>
      </c>
      <c r="D185" s="1442" t="s">
        <v>1394</v>
      </c>
      <c r="E185" s="1442" t="s">
        <v>1394</v>
      </c>
      <c r="F185" s="1442" t="s">
        <v>1394</v>
      </c>
      <c r="G185" s="1442" t="s">
        <v>1394</v>
      </c>
      <c r="H185" s="1442" t="s">
        <v>1478</v>
      </c>
      <c r="I185" s="1442"/>
      <c r="J185" s="1442"/>
      <c r="K185" s="771" t="s">
        <v>2212</v>
      </c>
      <c r="L185" s="1213"/>
      <c r="M185" s="1212">
        <v>16200000</v>
      </c>
      <c r="N185" s="1214"/>
      <c r="O185" s="1206">
        <f t="shared" si="25"/>
        <v>16200000</v>
      </c>
      <c r="P185" s="1214"/>
      <c r="Q185" s="1214"/>
      <c r="R185" s="1214"/>
      <c r="S185" s="1214"/>
      <c r="T185" s="1214"/>
      <c r="U185" s="1214"/>
      <c r="V185" s="1214">
        <v>16200000</v>
      </c>
      <c r="W185" s="637">
        <f t="shared" si="24"/>
        <v>1</v>
      </c>
      <c r="X185" s="788"/>
      <c r="Y185" s="788"/>
    </row>
    <row r="186" spans="1:25" s="778" customFormat="1" ht="22.5" customHeight="1" thickTop="1" thickBot="1" x14ac:dyDescent="0.3">
      <c r="A186" s="1441">
        <v>1</v>
      </c>
      <c r="B186" s="1441" t="s">
        <v>1381</v>
      </c>
      <c r="C186" s="1442" t="s">
        <v>1381</v>
      </c>
      <c r="D186" s="1442" t="s">
        <v>1394</v>
      </c>
      <c r="E186" s="1442" t="s">
        <v>1394</v>
      </c>
      <c r="F186" s="1442" t="s">
        <v>1394</v>
      </c>
      <c r="G186" s="1442" t="s">
        <v>1394</v>
      </c>
      <c r="H186" s="1442" t="s">
        <v>1576</v>
      </c>
      <c r="I186" s="1442"/>
      <c r="J186" s="1442"/>
      <c r="K186" s="771" t="s">
        <v>2213</v>
      </c>
      <c r="L186" s="1214"/>
      <c r="M186" s="1214"/>
      <c r="N186" s="1214"/>
      <c r="O186" s="1206">
        <f t="shared" si="25"/>
        <v>0</v>
      </c>
      <c r="P186" s="1214"/>
      <c r="Q186" s="1214"/>
      <c r="R186" s="1214"/>
      <c r="S186" s="1214"/>
      <c r="T186" s="1214"/>
      <c r="U186" s="1214"/>
      <c r="V186" s="1214"/>
      <c r="W186" s="637" t="e">
        <f t="shared" si="24"/>
        <v>#DIV/0!</v>
      </c>
      <c r="X186" s="788"/>
      <c r="Y186" s="788"/>
    </row>
    <row r="187" spans="1:25" s="778" customFormat="1" ht="22.5" customHeight="1" thickTop="1" thickBot="1" x14ac:dyDescent="0.3">
      <c r="A187" s="1441">
        <v>1</v>
      </c>
      <c r="B187" s="1442" t="s">
        <v>1381</v>
      </c>
      <c r="C187" s="1442" t="s">
        <v>1381</v>
      </c>
      <c r="D187" s="1442" t="s">
        <v>1394</v>
      </c>
      <c r="E187" s="1442" t="s">
        <v>1394</v>
      </c>
      <c r="F187" s="1442" t="s">
        <v>1394</v>
      </c>
      <c r="G187" s="1442" t="s">
        <v>1394</v>
      </c>
      <c r="H187" s="1442" t="s">
        <v>1577</v>
      </c>
      <c r="I187" s="1442"/>
      <c r="J187" s="1442"/>
      <c r="K187" s="771" t="s">
        <v>2214</v>
      </c>
      <c r="L187" s="1214"/>
      <c r="M187" s="1214"/>
      <c r="N187" s="1214"/>
      <c r="O187" s="1206">
        <f t="shared" si="25"/>
        <v>0</v>
      </c>
      <c r="P187" s="1214"/>
      <c r="Q187" s="1214"/>
      <c r="R187" s="1214"/>
      <c r="S187" s="1214"/>
      <c r="T187" s="1214"/>
      <c r="U187" s="1214"/>
      <c r="V187" s="1214"/>
      <c r="W187" s="637" t="e">
        <f t="shared" si="24"/>
        <v>#DIV/0!</v>
      </c>
      <c r="X187" s="788"/>
      <c r="Y187" s="788"/>
    </row>
    <row r="188" spans="1:25" s="778" customFormat="1" ht="22.5" customHeight="1" thickTop="1" thickBot="1" x14ac:dyDescent="0.3">
      <c r="A188" s="1441">
        <v>1</v>
      </c>
      <c r="B188" s="1441" t="s">
        <v>1381</v>
      </c>
      <c r="C188" s="1442" t="s">
        <v>1381</v>
      </c>
      <c r="D188" s="1442" t="s">
        <v>1394</v>
      </c>
      <c r="E188" s="1442" t="s">
        <v>1394</v>
      </c>
      <c r="F188" s="1442" t="s">
        <v>1394</v>
      </c>
      <c r="G188" s="1442" t="s">
        <v>1394</v>
      </c>
      <c r="H188" s="1442" t="s">
        <v>1578</v>
      </c>
      <c r="I188" s="1442"/>
      <c r="J188" s="1442"/>
      <c r="K188" s="771" t="s">
        <v>2215</v>
      </c>
      <c r="L188" s="1214"/>
      <c r="M188" s="1214"/>
      <c r="N188" s="1214"/>
      <c r="O188" s="1206">
        <f t="shared" si="25"/>
        <v>0</v>
      </c>
      <c r="P188" s="1214"/>
      <c r="Q188" s="1214"/>
      <c r="R188" s="1214"/>
      <c r="S188" s="1214"/>
      <c r="T188" s="1214"/>
      <c r="U188" s="1214"/>
      <c r="V188" s="1214"/>
      <c r="W188" s="637" t="e">
        <f t="shared" si="24"/>
        <v>#DIV/0!</v>
      </c>
      <c r="X188" s="788"/>
      <c r="Y188" s="788"/>
    </row>
    <row r="189" spans="1:25" s="778" customFormat="1" ht="22.5" customHeight="1" thickTop="1" thickBot="1" x14ac:dyDescent="0.3">
      <c r="A189" s="1441">
        <v>1</v>
      </c>
      <c r="B189" s="1442" t="s">
        <v>1381</v>
      </c>
      <c r="C189" s="1442" t="s">
        <v>1381</v>
      </c>
      <c r="D189" s="1442" t="s">
        <v>1394</v>
      </c>
      <c r="E189" s="1442" t="s">
        <v>1394</v>
      </c>
      <c r="F189" s="1442" t="s">
        <v>1394</v>
      </c>
      <c r="G189" s="1442" t="s">
        <v>1418</v>
      </c>
      <c r="H189" s="1442"/>
      <c r="I189" s="1442"/>
      <c r="J189" s="1442"/>
      <c r="K189" s="771" t="s">
        <v>2000</v>
      </c>
      <c r="L189" s="1214">
        <f>SUM(L190:L200)</f>
        <v>16000000</v>
      </c>
      <c r="M189" s="1214">
        <f t="shared" ref="M189:V189" si="31">SUM(M190:M200)</f>
        <v>0</v>
      </c>
      <c r="N189" s="1214">
        <f t="shared" si="31"/>
        <v>0</v>
      </c>
      <c r="O189" s="1206">
        <f t="shared" si="25"/>
        <v>16000000</v>
      </c>
      <c r="P189" s="1214">
        <f t="shared" si="31"/>
        <v>14400000</v>
      </c>
      <c r="Q189" s="1214">
        <f t="shared" si="31"/>
        <v>0</v>
      </c>
      <c r="R189" s="1214">
        <f t="shared" si="31"/>
        <v>1600000</v>
      </c>
      <c r="S189" s="1214"/>
      <c r="T189" s="1214">
        <f t="shared" si="31"/>
        <v>0</v>
      </c>
      <c r="U189" s="1214">
        <f t="shared" si="31"/>
        <v>0</v>
      </c>
      <c r="V189" s="1214">
        <f t="shared" si="31"/>
        <v>178528</v>
      </c>
      <c r="W189" s="637">
        <f t="shared" si="24"/>
        <v>1.1158E-2</v>
      </c>
      <c r="X189" s="788" t="s">
        <v>2001</v>
      </c>
      <c r="Y189" s="788" t="s">
        <v>2002</v>
      </c>
    </row>
    <row r="190" spans="1:25" s="778" customFormat="1" ht="22.5" customHeight="1" thickTop="1" thickBot="1" x14ac:dyDescent="0.3">
      <c r="A190" s="1441">
        <v>1</v>
      </c>
      <c r="B190" s="1441" t="s">
        <v>1381</v>
      </c>
      <c r="C190" s="1442" t="s">
        <v>1381</v>
      </c>
      <c r="D190" s="1442" t="s">
        <v>1394</v>
      </c>
      <c r="E190" s="1442" t="s">
        <v>1394</v>
      </c>
      <c r="F190" s="1442" t="s">
        <v>1394</v>
      </c>
      <c r="G190" s="1442" t="s">
        <v>1418</v>
      </c>
      <c r="H190" s="1442" t="s">
        <v>1381</v>
      </c>
      <c r="I190" s="1442"/>
      <c r="J190" s="1442"/>
      <c r="K190" s="771" t="s">
        <v>2216</v>
      </c>
      <c r="L190" s="1212">
        <v>16000000</v>
      </c>
      <c r="M190" s="1214"/>
      <c r="N190" s="1214"/>
      <c r="O190" s="1206">
        <f t="shared" si="25"/>
        <v>16000000</v>
      </c>
      <c r="P190" s="1214">
        <v>14400000</v>
      </c>
      <c r="Q190" s="1214"/>
      <c r="R190" s="1214">
        <f>+O190*0.1</f>
        <v>1600000</v>
      </c>
      <c r="S190" s="1214"/>
      <c r="T190" s="1214">
        <v>0</v>
      </c>
      <c r="U190" s="1214"/>
      <c r="V190" s="1214">
        <v>178528</v>
      </c>
      <c r="W190" s="637">
        <f t="shared" si="24"/>
        <v>1.1158E-2</v>
      </c>
      <c r="X190" s="788"/>
      <c r="Y190" s="788"/>
    </row>
    <row r="191" spans="1:25" s="778" customFormat="1" ht="22.5" customHeight="1" thickTop="1" thickBot="1" x14ac:dyDescent="0.3">
      <c r="A191" s="1441">
        <v>1</v>
      </c>
      <c r="B191" s="1442" t="s">
        <v>1381</v>
      </c>
      <c r="C191" s="1442" t="s">
        <v>1381</v>
      </c>
      <c r="D191" s="1442" t="s">
        <v>1394</v>
      </c>
      <c r="E191" s="1442" t="s">
        <v>1394</v>
      </c>
      <c r="F191" s="1442" t="s">
        <v>1394</v>
      </c>
      <c r="G191" s="1442" t="s">
        <v>1418</v>
      </c>
      <c r="H191" s="1442" t="s">
        <v>1394</v>
      </c>
      <c r="I191" s="1442"/>
      <c r="J191" s="1442"/>
      <c r="K191" s="771" t="s">
        <v>2217</v>
      </c>
      <c r="L191" s="1214"/>
      <c r="M191" s="1214"/>
      <c r="N191" s="1214"/>
      <c r="O191" s="1206">
        <f t="shared" si="25"/>
        <v>0</v>
      </c>
      <c r="P191" s="1214"/>
      <c r="Q191" s="1214"/>
      <c r="R191" s="1214"/>
      <c r="S191" s="1214"/>
      <c r="T191" s="1214"/>
      <c r="U191" s="1214"/>
      <c r="V191" s="1214"/>
      <c r="W191" s="637" t="e">
        <f t="shared" si="24"/>
        <v>#DIV/0!</v>
      </c>
      <c r="X191" s="788"/>
      <c r="Y191" s="788"/>
    </row>
    <row r="192" spans="1:25" s="778" customFormat="1" ht="22.5" customHeight="1" thickTop="1" thickBot="1" x14ac:dyDescent="0.3">
      <c r="A192" s="1441">
        <v>1</v>
      </c>
      <c r="B192" s="1441" t="s">
        <v>1381</v>
      </c>
      <c r="C192" s="1442" t="s">
        <v>1381</v>
      </c>
      <c r="D192" s="1442" t="s">
        <v>1394</v>
      </c>
      <c r="E192" s="1442" t="s">
        <v>1394</v>
      </c>
      <c r="F192" s="1442" t="s">
        <v>1394</v>
      </c>
      <c r="G192" s="1442" t="s">
        <v>1418</v>
      </c>
      <c r="H192" s="1442" t="s">
        <v>1418</v>
      </c>
      <c r="I192" s="1442"/>
      <c r="J192" s="1442"/>
      <c r="K192" s="771" t="s">
        <v>2218</v>
      </c>
      <c r="L192" s="1214"/>
      <c r="M192" s="1214"/>
      <c r="N192" s="1214"/>
      <c r="O192" s="1206">
        <f t="shared" si="25"/>
        <v>0</v>
      </c>
      <c r="P192" s="1214"/>
      <c r="Q192" s="1214"/>
      <c r="R192" s="1214"/>
      <c r="S192" s="1214"/>
      <c r="T192" s="1214"/>
      <c r="U192" s="1214"/>
      <c r="V192" s="1214"/>
      <c r="W192" s="637" t="e">
        <f t="shared" si="24"/>
        <v>#DIV/0!</v>
      </c>
      <c r="X192" s="788"/>
      <c r="Y192" s="788"/>
    </row>
    <row r="193" spans="1:25" s="778" customFormat="1" ht="22.5" customHeight="1" thickTop="1" thickBot="1" x14ac:dyDescent="0.3">
      <c r="A193" s="1441">
        <v>1</v>
      </c>
      <c r="B193" s="1442" t="s">
        <v>1381</v>
      </c>
      <c r="C193" s="1442" t="s">
        <v>1381</v>
      </c>
      <c r="D193" s="1442" t="s">
        <v>1394</v>
      </c>
      <c r="E193" s="1442" t="s">
        <v>1394</v>
      </c>
      <c r="F193" s="1442" t="s">
        <v>1394</v>
      </c>
      <c r="G193" s="1442" t="s">
        <v>1418</v>
      </c>
      <c r="H193" s="1442" t="s">
        <v>1422</v>
      </c>
      <c r="I193" s="1442"/>
      <c r="J193" s="1442"/>
      <c r="K193" s="771" t="s">
        <v>2219</v>
      </c>
      <c r="L193" s="1214"/>
      <c r="M193" s="1214"/>
      <c r="N193" s="1214"/>
      <c r="O193" s="1206">
        <f t="shared" si="25"/>
        <v>0</v>
      </c>
      <c r="P193" s="1214"/>
      <c r="Q193" s="1214"/>
      <c r="R193" s="1214"/>
      <c r="S193" s="1214"/>
      <c r="T193" s="1214"/>
      <c r="U193" s="1214"/>
      <c r="V193" s="1214"/>
      <c r="W193" s="637" t="e">
        <f t="shared" si="24"/>
        <v>#DIV/0!</v>
      </c>
      <c r="X193" s="788"/>
      <c r="Y193" s="788"/>
    </row>
    <row r="194" spans="1:25" s="778" customFormat="1" ht="22.5" customHeight="1" thickTop="1" thickBot="1" x14ac:dyDescent="0.3">
      <c r="A194" s="1441">
        <v>1</v>
      </c>
      <c r="B194" s="1441" t="s">
        <v>1381</v>
      </c>
      <c r="C194" s="1442" t="s">
        <v>1381</v>
      </c>
      <c r="D194" s="1442" t="s">
        <v>1394</v>
      </c>
      <c r="E194" s="1442" t="s">
        <v>1394</v>
      </c>
      <c r="F194" s="1442" t="s">
        <v>1394</v>
      </c>
      <c r="G194" s="1442" t="s">
        <v>1418</v>
      </c>
      <c r="H194" s="1442" t="s">
        <v>1447</v>
      </c>
      <c r="I194" s="1442"/>
      <c r="J194" s="1442"/>
      <c r="K194" s="771" t="s">
        <v>2220</v>
      </c>
      <c r="L194" s="1214"/>
      <c r="M194" s="1214"/>
      <c r="N194" s="1214"/>
      <c r="O194" s="1206">
        <f t="shared" si="25"/>
        <v>0</v>
      </c>
      <c r="P194" s="1214"/>
      <c r="Q194" s="1214"/>
      <c r="R194" s="1214"/>
      <c r="S194" s="1214"/>
      <c r="T194" s="1214"/>
      <c r="U194" s="1214"/>
      <c r="V194" s="1214"/>
      <c r="W194" s="637" t="e">
        <f t="shared" si="24"/>
        <v>#DIV/0!</v>
      </c>
      <c r="X194" s="788"/>
      <c r="Y194" s="788"/>
    </row>
    <row r="195" spans="1:25" s="778" customFormat="1" ht="22.5" customHeight="1" thickTop="1" thickBot="1" x14ac:dyDescent="0.3">
      <c r="A195" s="1441">
        <v>1</v>
      </c>
      <c r="B195" s="1442" t="s">
        <v>1381</v>
      </c>
      <c r="C195" s="1442" t="s">
        <v>1381</v>
      </c>
      <c r="D195" s="1442" t="s">
        <v>1394</v>
      </c>
      <c r="E195" s="1442" t="s">
        <v>1394</v>
      </c>
      <c r="F195" s="1442" t="s">
        <v>1394</v>
      </c>
      <c r="G195" s="1442" t="s">
        <v>1418</v>
      </c>
      <c r="H195" s="1442" t="s">
        <v>1470</v>
      </c>
      <c r="I195" s="1442"/>
      <c r="J195" s="1442"/>
      <c r="K195" s="771" t="s">
        <v>2221</v>
      </c>
      <c r="L195" s="1214"/>
      <c r="M195" s="1214"/>
      <c r="N195" s="1214"/>
      <c r="O195" s="1206">
        <f t="shared" si="25"/>
        <v>0</v>
      </c>
      <c r="P195" s="1214"/>
      <c r="Q195" s="1214"/>
      <c r="R195" s="1214"/>
      <c r="S195" s="1214"/>
      <c r="T195" s="1214"/>
      <c r="U195" s="1214"/>
      <c r="V195" s="1214"/>
      <c r="W195" s="637" t="e">
        <f t="shared" si="24"/>
        <v>#DIV/0!</v>
      </c>
      <c r="X195" s="788"/>
      <c r="Y195" s="788"/>
    </row>
    <row r="196" spans="1:25" s="778" customFormat="1" ht="22.5" customHeight="1" thickTop="1" thickBot="1" x14ac:dyDescent="0.3">
      <c r="A196" s="1441">
        <v>1</v>
      </c>
      <c r="B196" s="1441" t="s">
        <v>1381</v>
      </c>
      <c r="C196" s="1442" t="s">
        <v>1381</v>
      </c>
      <c r="D196" s="1442" t="s">
        <v>1394</v>
      </c>
      <c r="E196" s="1442" t="s">
        <v>1394</v>
      </c>
      <c r="F196" s="1442" t="s">
        <v>1394</v>
      </c>
      <c r="G196" s="1442" t="s">
        <v>1418</v>
      </c>
      <c r="H196" s="1442" t="s">
        <v>1474</v>
      </c>
      <c r="I196" s="1442"/>
      <c r="J196" s="1442"/>
      <c r="K196" s="771" t="s">
        <v>2222</v>
      </c>
      <c r="L196" s="1214"/>
      <c r="M196" s="1214"/>
      <c r="N196" s="1214"/>
      <c r="O196" s="1206">
        <f t="shared" si="25"/>
        <v>0</v>
      </c>
      <c r="P196" s="1214"/>
      <c r="Q196" s="1214"/>
      <c r="R196" s="1214"/>
      <c r="S196" s="1214"/>
      <c r="T196" s="1214"/>
      <c r="U196" s="1214"/>
      <c r="V196" s="1214"/>
      <c r="W196" s="637" t="e">
        <f t="shared" si="24"/>
        <v>#DIV/0!</v>
      </c>
      <c r="X196" s="788"/>
      <c r="Y196" s="788"/>
    </row>
    <row r="197" spans="1:25" s="778" customFormat="1" ht="22.5" customHeight="1" thickTop="1" thickBot="1" x14ac:dyDescent="0.3">
      <c r="A197" s="1441">
        <v>1</v>
      </c>
      <c r="B197" s="1442" t="s">
        <v>1381</v>
      </c>
      <c r="C197" s="1442" t="s">
        <v>1381</v>
      </c>
      <c r="D197" s="1442" t="s">
        <v>1394</v>
      </c>
      <c r="E197" s="1442" t="s">
        <v>1394</v>
      </c>
      <c r="F197" s="1442" t="s">
        <v>1394</v>
      </c>
      <c r="G197" s="1442" t="s">
        <v>1418</v>
      </c>
      <c r="H197" s="1442" t="s">
        <v>1478</v>
      </c>
      <c r="I197" s="1442"/>
      <c r="J197" s="1442"/>
      <c r="K197" s="771" t="s">
        <v>2223</v>
      </c>
      <c r="L197" s="1214"/>
      <c r="M197" s="1214"/>
      <c r="N197" s="1214"/>
      <c r="O197" s="1206">
        <f t="shared" si="25"/>
        <v>0</v>
      </c>
      <c r="P197" s="1214"/>
      <c r="Q197" s="1214"/>
      <c r="R197" s="1214"/>
      <c r="S197" s="1214"/>
      <c r="T197" s="1214"/>
      <c r="U197" s="1214"/>
      <c r="V197" s="1214"/>
      <c r="W197" s="637" t="e">
        <f t="shared" si="24"/>
        <v>#DIV/0!</v>
      </c>
      <c r="X197" s="788"/>
      <c r="Y197" s="788"/>
    </row>
    <row r="198" spans="1:25" s="778" customFormat="1" ht="22.5" customHeight="1" thickTop="1" thickBot="1" x14ac:dyDescent="0.3">
      <c r="A198" s="1441">
        <v>1</v>
      </c>
      <c r="B198" s="1441" t="s">
        <v>1381</v>
      </c>
      <c r="C198" s="1442" t="s">
        <v>1381</v>
      </c>
      <c r="D198" s="1442" t="s">
        <v>1394</v>
      </c>
      <c r="E198" s="1442" t="s">
        <v>1394</v>
      </c>
      <c r="F198" s="1442" t="s">
        <v>1394</v>
      </c>
      <c r="G198" s="1442" t="s">
        <v>1418</v>
      </c>
      <c r="H198" s="1442" t="s">
        <v>1576</v>
      </c>
      <c r="I198" s="1442"/>
      <c r="J198" s="1442"/>
      <c r="K198" s="771" t="s">
        <v>2224</v>
      </c>
      <c r="L198" s="1214"/>
      <c r="M198" s="1214"/>
      <c r="N198" s="1214"/>
      <c r="O198" s="1206">
        <f t="shared" si="25"/>
        <v>0</v>
      </c>
      <c r="P198" s="1214"/>
      <c r="Q198" s="1214"/>
      <c r="R198" s="1214"/>
      <c r="S198" s="1214"/>
      <c r="T198" s="1214"/>
      <c r="U198" s="1214"/>
      <c r="V198" s="1214"/>
      <c r="W198" s="637" t="e">
        <f t="shared" si="24"/>
        <v>#DIV/0!</v>
      </c>
      <c r="X198" s="788"/>
      <c r="Y198" s="788"/>
    </row>
    <row r="199" spans="1:25" s="778" customFormat="1" ht="22.5" customHeight="1" thickTop="1" thickBot="1" x14ac:dyDescent="0.3">
      <c r="A199" s="1441">
        <v>1</v>
      </c>
      <c r="B199" s="1442" t="s">
        <v>1381</v>
      </c>
      <c r="C199" s="1442" t="s">
        <v>1381</v>
      </c>
      <c r="D199" s="1442" t="s">
        <v>1394</v>
      </c>
      <c r="E199" s="1442" t="s">
        <v>1394</v>
      </c>
      <c r="F199" s="1442" t="s">
        <v>1394</v>
      </c>
      <c r="G199" s="1442" t="s">
        <v>1418</v>
      </c>
      <c r="H199" s="1442" t="s">
        <v>1577</v>
      </c>
      <c r="I199" s="1442"/>
      <c r="J199" s="1442"/>
      <c r="K199" s="771" t="s">
        <v>2225</v>
      </c>
      <c r="L199" s="1214"/>
      <c r="M199" s="1214"/>
      <c r="N199" s="1214"/>
      <c r="O199" s="1206">
        <f t="shared" si="25"/>
        <v>0</v>
      </c>
      <c r="P199" s="1214"/>
      <c r="Q199" s="1214"/>
      <c r="R199" s="1214"/>
      <c r="S199" s="1214"/>
      <c r="T199" s="1214"/>
      <c r="U199" s="1214"/>
      <c r="V199" s="1214"/>
      <c r="W199" s="637" t="e">
        <f t="shared" ref="W199:W262" si="32">V199/O199</f>
        <v>#DIV/0!</v>
      </c>
      <c r="X199" s="788"/>
      <c r="Y199" s="788"/>
    </row>
    <row r="200" spans="1:25" s="778" customFormat="1" ht="22.5" customHeight="1" thickTop="1" thickBot="1" x14ac:dyDescent="0.3">
      <c r="A200" s="1441">
        <v>1</v>
      </c>
      <c r="B200" s="1441" t="s">
        <v>1381</v>
      </c>
      <c r="C200" s="1442" t="s">
        <v>1381</v>
      </c>
      <c r="D200" s="1442" t="s">
        <v>1394</v>
      </c>
      <c r="E200" s="1442" t="s">
        <v>1394</v>
      </c>
      <c r="F200" s="1442" t="s">
        <v>1394</v>
      </c>
      <c r="G200" s="1442" t="s">
        <v>1418</v>
      </c>
      <c r="H200" s="1442" t="s">
        <v>1578</v>
      </c>
      <c r="I200" s="1442"/>
      <c r="J200" s="1442"/>
      <c r="K200" s="771" t="s">
        <v>2226</v>
      </c>
      <c r="L200" s="1214"/>
      <c r="M200" s="1214"/>
      <c r="N200" s="1214"/>
      <c r="O200" s="1206">
        <f t="shared" ref="O200:O263" si="33">L200+M200-N200</f>
        <v>0</v>
      </c>
      <c r="P200" s="1214"/>
      <c r="Q200" s="1214"/>
      <c r="R200" s="1214"/>
      <c r="S200" s="1214"/>
      <c r="T200" s="1214"/>
      <c r="U200" s="1214"/>
      <c r="V200" s="1214"/>
      <c r="W200" s="637" t="e">
        <f t="shared" si="32"/>
        <v>#DIV/0!</v>
      </c>
      <c r="X200" s="788"/>
      <c r="Y200" s="788"/>
    </row>
    <row r="201" spans="1:25" s="778" customFormat="1" ht="22.5" customHeight="1" thickTop="1" thickBot="1" x14ac:dyDescent="0.3">
      <c r="A201" s="1441">
        <v>1</v>
      </c>
      <c r="B201" s="1441" t="s">
        <v>1381</v>
      </c>
      <c r="C201" s="1442" t="s">
        <v>1381</v>
      </c>
      <c r="D201" s="1442" t="s">
        <v>1394</v>
      </c>
      <c r="E201" s="1442" t="s">
        <v>1394</v>
      </c>
      <c r="F201" s="1442" t="s">
        <v>1394</v>
      </c>
      <c r="G201" s="1442" t="s">
        <v>1422</v>
      </c>
      <c r="H201" s="1442"/>
      <c r="I201" s="1442"/>
      <c r="J201" s="1442"/>
      <c r="K201" s="771" t="s">
        <v>2071</v>
      </c>
      <c r="L201" s="1214">
        <f>SUM(L202:L212)</f>
        <v>22951000</v>
      </c>
      <c r="M201" s="1214">
        <f t="shared" ref="M201:V201" si="34">SUM(M202:M212)</f>
        <v>106626000</v>
      </c>
      <c r="N201" s="1214">
        <f t="shared" si="34"/>
        <v>0</v>
      </c>
      <c r="O201" s="1206">
        <f t="shared" si="33"/>
        <v>129577000</v>
      </c>
      <c r="P201" s="1214">
        <f t="shared" si="34"/>
        <v>129577000</v>
      </c>
      <c r="Q201" s="1214">
        <f t="shared" si="34"/>
        <v>0</v>
      </c>
      <c r="R201" s="1214">
        <f t="shared" si="34"/>
        <v>0</v>
      </c>
      <c r="S201" s="1214"/>
      <c r="T201" s="1214">
        <f t="shared" si="34"/>
        <v>0</v>
      </c>
      <c r="U201" s="1214">
        <f t="shared" si="34"/>
        <v>0</v>
      </c>
      <c r="V201" s="1214">
        <f t="shared" si="34"/>
        <v>106626000</v>
      </c>
      <c r="W201" s="637">
        <f t="shared" si="32"/>
        <v>0.82287751684326693</v>
      </c>
      <c r="X201" s="788"/>
      <c r="Y201" s="788"/>
    </row>
    <row r="202" spans="1:25" s="778" customFormat="1" ht="22.5" customHeight="1" thickTop="1" thickBot="1" x14ac:dyDescent="0.3">
      <c r="A202" s="1441">
        <v>1</v>
      </c>
      <c r="B202" s="1442" t="s">
        <v>1381</v>
      </c>
      <c r="C202" s="1442" t="s">
        <v>1381</v>
      </c>
      <c r="D202" s="1442" t="s">
        <v>1394</v>
      </c>
      <c r="E202" s="1442" t="s">
        <v>1394</v>
      </c>
      <c r="F202" s="1442" t="s">
        <v>1394</v>
      </c>
      <c r="G202" s="1442" t="s">
        <v>1422</v>
      </c>
      <c r="H202" s="1442" t="s">
        <v>1381</v>
      </c>
      <c r="I202" s="1442"/>
      <c r="J202" s="1442"/>
      <c r="K202" s="771" t="s">
        <v>2227</v>
      </c>
      <c r="L202" s="1214"/>
      <c r="M202" s="1214"/>
      <c r="N202" s="1214"/>
      <c r="O202" s="1206">
        <f t="shared" si="33"/>
        <v>0</v>
      </c>
      <c r="P202" s="1214"/>
      <c r="Q202" s="1214"/>
      <c r="R202" s="1214"/>
      <c r="S202" s="1214"/>
      <c r="T202" s="1214"/>
      <c r="U202" s="1214"/>
      <c r="V202" s="1214"/>
      <c r="W202" s="637" t="e">
        <f t="shared" si="32"/>
        <v>#DIV/0!</v>
      </c>
      <c r="X202" s="788"/>
      <c r="Y202" s="788"/>
    </row>
    <row r="203" spans="1:25" s="778" customFormat="1" ht="22.5" customHeight="1" thickTop="1" thickBot="1" x14ac:dyDescent="0.3">
      <c r="A203" s="1441">
        <v>1</v>
      </c>
      <c r="B203" s="1441" t="s">
        <v>1381</v>
      </c>
      <c r="C203" s="1442" t="s">
        <v>1381</v>
      </c>
      <c r="D203" s="1442" t="s">
        <v>1394</v>
      </c>
      <c r="E203" s="1442" t="s">
        <v>1394</v>
      </c>
      <c r="F203" s="1442" t="s">
        <v>1394</v>
      </c>
      <c r="G203" s="1442" t="s">
        <v>1422</v>
      </c>
      <c r="H203" s="1442" t="s">
        <v>1394</v>
      </c>
      <c r="I203" s="1442"/>
      <c r="J203" s="1442"/>
      <c r="K203" s="771" t="s">
        <v>2228</v>
      </c>
      <c r="L203" s="1214"/>
      <c r="M203" s="1214"/>
      <c r="N203" s="1214"/>
      <c r="O203" s="1206">
        <f t="shared" si="33"/>
        <v>0</v>
      </c>
      <c r="P203" s="1214"/>
      <c r="Q203" s="1214"/>
      <c r="R203" s="1214"/>
      <c r="S203" s="1214"/>
      <c r="T203" s="1214"/>
      <c r="U203" s="1214"/>
      <c r="V203" s="1214"/>
      <c r="W203" s="637" t="e">
        <f t="shared" si="32"/>
        <v>#DIV/0!</v>
      </c>
      <c r="X203" s="788"/>
      <c r="Y203" s="788"/>
    </row>
    <row r="204" spans="1:25" s="778" customFormat="1" ht="22.5" customHeight="1" thickTop="1" thickBot="1" x14ac:dyDescent="0.3">
      <c r="A204" s="1441">
        <v>1</v>
      </c>
      <c r="B204" s="1442" t="s">
        <v>1381</v>
      </c>
      <c r="C204" s="1442" t="s">
        <v>1381</v>
      </c>
      <c r="D204" s="1442" t="s">
        <v>1394</v>
      </c>
      <c r="E204" s="1442" t="s">
        <v>1394</v>
      </c>
      <c r="F204" s="1442" t="s">
        <v>1394</v>
      </c>
      <c r="G204" s="1442" t="s">
        <v>1422</v>
      </c>
      <c r="H204" s="1442" t="s">
        <v>1418</v>
      </c>
      <c r="I204" s="1442"/>
      <c r="J204" s="1442"/>
      <c r="K204" s="771" t="s">
        <v>2229</v>
      </c>
      <c r="L204" s="1214"/>
      <c r="M204" s="1214"/>
      <c r="N204" s="1214"/>
      <c r="O204" s="1206">
        <f t="shared" si="33"/>
        <v>0</v>
      </c>
      <c r="P204" s="1214"/>
      <c r="Q204" s="1214"/>
      <c r="R204" s="1214"/>
      <c r="S204" s="1214"/>
      <c r="T204" s="1214"/>
      <c r="U204" s="1214"/>
      <c r="V204" s="1214"/>
      <c r="W204" s="637" t="e">
        <f t="shared" si="32"/>
        <v>#DIV/0!</v>
      </c>
      <c r="X204" s="788"/>
      <c r="Y204" s="788"/>
    </row>
    <row r="205" spans="1:25" s="778" customFormat="1" ht="22.5" customHeight="1" thickTop="1" thickBot="1" x14ac:dyDescent="0.3">
      <c r="A205" s="1441">
        <v>1</v>
      </c>
      <c r="B205" s="1441" t="s">
        <v>1381</v>
      </c>
      <c r="C205" s="1442" t="s">
        <v>1381</v>
      </c>
      <c r="D205" s="1442" t="s">
        <v>1394</v>
      </c>
      <c r="E205" s="1442" t="s">
        <v>1394</v>
      </c>
      <c r="F205" s="1442" t="s">
        <v>1394</v>
      </c>
      <c r="G205" s="1442" t="s">
        <v>1422</v>
      </c>
      <c r="H205" s="1442" t="s">
        <v>1422</v>
      </c>
      <c r="I205" s="1442"/>
      <c r="J205" s="1442"/>
      <c r="K205" s="771" t="s">
        <v>2230</v>
      </c>
      <c r="L205" s="1214"/>
      <c r="M205" s="1214"/>
      <c r="N205" s="1214"/>
      <c r="O205" s="1206">
        <f t="shared" si="33"/>
        <v>0</v>
      </c>
      <c r="P205" s="1214"/>
      <c r="Q205" s="1214"/>
      <c r="R205" s="1214"/>
      <c r="S205" s="1214"/>
      <c r="T205" s="1214"/>
      <c r="U205" s="1214"/>
      <c r="V205" s="1214"/>
      <c r="W205" s="637" t="e">
        <f t="shared" si="32"/>
        <v>#DIV/0!</v>
      </c>
      <c r="X205" s="788"/>
      <c r="Y205" s="788"/>
    </row>
    <row r="206" spans="1:25" s="778" customFormat="1" ht="22.5" customHeight="1" thickTop="1" thickBot="1" x14ac:dyDescent="0.3">
      <c r="A206" s="1441">
        <v>1</v>
      </c>
      <c r="B206" s="1442" t="s">
        <v>1381</v>
      </c>
      <c r="C206" s="1442" t="s">
        <v>1381</v>
      </c>
      <c r="D206" s="1442" t="s">
        <v>1394</v>
      </c>
      <c r="E206" s="1442" t="s">
        <v>1394</v>
      </c>
      <c r="F206" s="1442" t="s">
        <v>1394</v>
      </c>
      <c r="G206" s="1442" t="s">
        <v>1422</v>
      </c>
      <c r="H206" s="1442" t="s">
        <v>1447</v>
      </c>
      <c r="I206" s="1442"/>
      <c r="J206" s="1442"/>
      <c r="K206" s="771" t="s">
        <v>2231</v>
      </c>
      <c r="L206" s="1214"/>
      <c r="M206" s="1214"/>
      <c r="N206" s="1214"/>
      <c r="O206" s="1206">
        <f t="shared" si="33"/>
        <v>0</v>
      </c>
      <c r="P206" s="1214"/>
      <c r="Q206" s="1214"/>
      <c r="R206" s="1214"/>
      <c r="S206" s="1214"/>
      <c r="T206" s="1214"/>
      <c r="U206" s="1214"/>
      <c r="V206" s="1214"/>
      <c r="W206" s="637" t="e">
        <f t="shared" si="32"/>
        <v>#DIV/0!</v>
      </c>
      <c r="X206" s="788"/>
      <c r="Y206" s="788"/>
    </row>
    <row r="207" spans="1:25" s="778" customFormat="1" ht="22.5" customHeight="1" thickTop="1" thickBot="1" x14ac:dyDescent="0.3">
      <c r="A207" s="1441">
        <v>1</v>
      </c>
      <c r="B207" s="1441" t="s">
        <v>1381</v>
      </c>
      <c r="C207" s="1442" t="s">
        <v>1381</v>
      </c>
      <c r="D207" s="1442" t="s">
        <v>1394</v>
      </c>
      <c r="E207" s="1442" t="s">
        <v>1394</v>
      </c>
      <c r="F207" s="1442" t="s">
        <v>1394</v>
      </c>
      <c r="G207" s="1442" t="s">
        <v>1422</v>
      </c>
      <c r="H207" s="1442" t="s">
        <v>1470</v>
      </c>
      <c r="I207" s="1442"/>
      <c r="J207" s="1442"/>
      <c r="K207" s="771" t="s">
        <v>2232</v>
      </c>
      <c r="L207" s="1214"/>
      <c r="M207" s="1214"/>
      <c r="N207" s="1214"/>
      <c r="O207" s="1206">
        <f t="shared" si="33"/>
        <v>0</v>
      </c>
      <c r="P207" s="1214"/>
      <c r="Q207" s="1214"/>
      <c r="R207" s="1214"/>
      <c r="S207" s="1214"/>
      <c r="T207" s="1214"/>
      <c r="U207" s="1214"/>
      <c r="V207" s="1214"/>
      <c r="W207" s="637" t="e">
        <f t="shared" si="32"/>
        <v>#DIV/0!</v>
      </c>
      <c r="X207" s="788"/>
      <c r="Y207" s="788"/>
    </row>
    <row r="208" spans="1:25" s="778" customFormat="1" ht="22.5" customHeight="1" thickTop="1" thickBot="1" x14ac:dyDescent="0.3">
      <c r="A208" s="1441">
        <v>1</v>
      </c>
      <c r="B208" s="1442" t="s">
        <v>1381</v>
      </c>
      <c r="C208" s="1442" t="s">
        <v>1381</v>
      </c>
      <c r="D208" s="1442" t="s">
        <v>1394</v>
      </c>
      <c r="E208" s="1442" t="s">
        <v>1394</v>
      </c>
      <c r="F208" s="1442" t="s">
        <v>1394</v>
      </c>
      <c r="G208" s="1442" t="s">
        <v>1422</v>
      </c>
      <c r="H208" s="1442" t="s">
        <v>1474</v>
      </c>
      <c r="I208" s="1442"/>
      <c r="J208" s="1442"/>
      <c r="K208" s="771" t="s">
        <v>2233</v>
      </c>
      <c r="L208" s="1214"/>
      <c r="M208" s="1214"/>
      <c r="N208" s="1214"/>
      <c r="O208" s="1206">
        <f t="shared" si="33"/>
        <v>0</v>
      </c>
      <c r="P208" s="1214"/>
      <c r="Q208" s="1214"/>
      <c r="R208" s="1214"/>
      <c r="S208" s="1214"/>
      <c r="T208" s="1214"/>
      <c r="U208" s="1214"/>
      <c r="V208" s="1214"/>
      <c r="W208" s="637" t="e">
        <f t="shared" si="32"/>
        <v>#DIV/0!</v>
      </c>
      <c r="X208" s="788"/>
      <c r="Y208" s="788"/>
    </row>
    <row r="209" spans="1:25" s="778" customFormat="1" ht="22.5" customHeight="1" thickTop="1" thickBot="1" x14ac:dyDescent="0.3">
      <c r="A209" s="1441">
        <v>1</v>
      </c>
      <c r="B209" s="1441" t="s">
        <v>1381</v>
      </c>
      <c r="C209" s="1442" t="s">
        <v>1381</v>
      </c>
      <c r="D209" s="1442" t="s">
        <v>1394</v>
      </c>
      <c r="E209" s="1442" t="s">
        <v>1394</v>
      </c>
      <c r="F209" s="1442" t="s">
        <v>1394</v>
      </c>
      <c r="G209" s="1442" t="s">
        <v>1422</v>
      </c>
      <c r="H209" s="1442" t="s">
        <v>1478</v>
      </c>
      <c r="I209" s="1442"/>
      <c r="J209" s="1442"/>
      <c r="K209" s="771" t="s">
        <v>2234</v>
      </c>
      <c r="L209" s="1213">
        <v>22951000</v>
      </c>
      <c r="M209" s="1220">
        <v>106626000</v>
      </c>
      <c r="N209" s="1214"/>
      <c r="O209" s="1206">
        <f t="shared" si="33"/>
        <v>129577000</v>
      </c>
      <c r="P209" s="1214">
        <v>129577000</v>
      </c>
      <c r="Q209" s="1214"/>
      <c r="R209" s="1214"/>
      <c r="S209" s="1214"/>
      <c r="T209" s="1214"/>
      <c r="U209" s="1214"/>
      <c r="V209" s="1211">
        <v>106626000</v>
      </c>
      <c r="W209" s="637">
        <f t="shared" si="32"/>
        <v>0.82287751684326693</v>
      </c>
      <c r="X209" s="788"/>
      <c r="Y209" s="788"/>
    </row>
    <row r="210" spans="1:25" s="778" customFormat="1" ht="22.5" customHeight="1" thickTop="1" thickBot="1" x14ac:dyDescent="0.3">
      <c r="A210" s="1441">
        <v>1</v>
      </c>
      <c r="B210" s="1442" t="s">
        <v>1381</v>
      </c>
      <c r="C210" s="1442" t="s">
        <v>1381</v>
      </c>
      <c r="D210" s="1442" t="s">
        <v>1394</v>
      </c>
      <c r="E210" s="1442" t="s">
        <v>1394</v>
      </c>
      <c r="F210" s="1442" t="s">
        <v>1394</v>
      </c>
      <c r="G210" s="1442" t="s">
        <v>1422</v>
      </c>
      <c r="H210" s="1442" t="s">
        <v>1576</v>
      </c>
      <c r="I210" s="1442"/>
      <c r="J210" s="1442"/>
      <c r="K210" s="771" t="s">
        <v>2235</v>
      </c>
      <c r="L210" s="1214"/>
      <c r="M210" s="1214"/>
      <c r="N210" s="1214"/>
      <c r="O210" s="1206">
        <f t="shared" si="33"/>
        <v>0</v>
      </c>
      <c r="P210" s="1214"/>
      <c r="Q210" s="1214"/>
      <c r="R210" s="1214"/>
      <c r="S210" s="1214"/>
      <c r="T210" s="1214"/>
      <c r="U210" s="1214"/>
      <c r="V210" s="1214"/>
      <c r="W210" s="637" t="e">
        <f t="shared" si="32"/>
        <v>#DIV/0!</v>
      </c>
      <c r="X210" s="788"/>
      <c r="Y210" s="788"/>
    </row>
    <row r="211" spans="1:25" s="778" customFormat="1" ht="22.5" customHeight="1" thickTop="1" thickBot="1" x14ac:dyDescent="0.3">
      <c r="A211" s="1441">
        <v>1</v>
      </c>
      <c r="B211" s="1441" t="s">
        <v>1381</v>
      </c>
      <c r="C211" s="1442" t="s">
        <v>1381</v>
      </c>
      <c r="D211" s="1442" t="s">
        <v>1394</v>
      </c>
      <c r="E211" s="1442" t="s">
        <v>1394</v>
      </c>
      <c r="F211" s="1442" t="s">
        <v>1394</v>
      </c>
      <c r="G211" s="1442" t="s">
        <v>1422</v>
      </c>
      <c r="H211" s="1442" t="s">
        <v>1577</v>
      </c>
      <c r="I211" s="1442"/>
      <c r="J211" s="1442"/>
      <c r="K211" s="771" t="s">
        <v>2236</v>
      </c>
      <c r="L211" s="1214"/>
      <c r="M211" s="1214"/>
      <c r="N211" s="1214"/>
      <c r="O211" s="1206">
        <f t="shared" si="33"/>
        <v>0</v>
      </c>
      <c r="P211" s="1214"/>
      <c r="Q211" s="1214"/>
      <c r="R211" s="1214"/>
      <c r="S211" s="1214"/>
      <c r="T211" s="1214"/>
      <c r="U211" s="1214"/>
      <c r="V211" s="1214"/>
      <c r="W211" s="637" t="e">
        <f t="shared" si="32"/>
        <v>#DIV/0!</v>
      </c>
      <c r="X211" s="788"/>
      <c r="Y211" s="788"/>
    </row>
    <row r="212" spans="1:25" s="778" customFormat="1" ht="22.5" customHeight="1" thickTop="1" thickBot="1" x14ac:dyDescent="0.3">
      <c r="A212" s="1441">
        <v>1</v>
      </c>
      <c r="B212" s="1442" t="s">
        <v>1381</v>
      </c>
      <c r="C212" s="1442" t="s">
        <v>1381</v>
      </c>
      <c r="D212" s="1442" t="s">
        <v>1394</v>
      </c>
      <c r="E212" s="1442" t="s">
        <v>1394</v>
      </c>
      <c r="F212" s="1442" t="s">
        <v>1394</v>
      </c>
      <c r="G212" s="1442" t="s">
        <v>1422</v>
      </c>
      <c r="H212" s="1442" t="s">
        <v>1578</v>
      </c>
      <c r="I212" s="1442"/>
      <c r="J212" s="1442"/>
      <c r="K212" s="771" t="s">
        <v>2237</v>
      </c>
      <c r="L212" s="1214"/>
      <c r="M212" s="1214"/>
      <c r="N212" s="1214"/>
      <c r="O212" s="1206">
        <f t="shared" si="33"/>
        <v>0</v>
      </c>
      <c r="P212" s="1214"/>
      <c r="Q212" s="1214"/>
      <c r="R212" s="1214"/>
      <c r="S212" s="1214"/>
      <c r="T212" s="1214"/>
      <c r="U212" s="1214"/>
      <c r="V212" s="1214"/>
      <c r="W212" s="637" t="e">
        <f t="shared" si="32"/>
        <v>#DIV/0!</v>
      </c>
      <c r="X212" s="788"/>
      <c r="Y212" s="788"/>
    </row>
    <row r="213" spans="1:25" s="183" customFormat="1" ht="22.5" customHeight="1" thickTop="1" thickBot="1" x14ac:dyDescent="0.3">
      <c r="A213" s="1436">
        <v>1</v>
      </c>
      <c r="B213" s="1437" t="s">
        <v>1381</v>
      </c>
      <c r="C213" s="1437" t="s">
        <v>1381</v>
      </c>
      <c r="D213" s="1437" t="s">
        <v>1394</v>
      </c>
      <c r="E213" s="1437" t="s">
        <v>1418</v>
      </c>
      <c r="F213" s="1437"/>
      <c r="G213" s="1437"/>
      <c r="H213" s="1437"/>
      <c r="I213" s="1437"/>
      <c r="J213" s="1437"/>
      <c r="K213" s="1438" t="s">
        <v>2003</v>
      </c>
      <c r="L213" s="1207">
        <f>+L214+L227</f>
        <v>1148241000</v>
      </c>
      <c r="M213" s="1207">
        <f t="shared" ref="M213:V213" si="35">+M214+M227</f>
        <v>0</v>
      </c>
      <c r="N213" s="1207">
        <f t="shared" si="35"/>
        <v>0</v>
      </c>
      <c r="O213" s="1206">
        <f t="shared" si="33"/>
        <v>1148241000</v>
      </c>
      <c r="P213" s="1207">
        <f t="shared" si="35"/>
        <v>1033416900</v>
      </c>
      <c r="Q213" s="1207">
        <f t="shared" si="35"/>
        <v>0</v>
      </c>
      <c r="R213" s="1207">
        <f t="shared" si="35"/>
        <v>114824100</v>
      </c>
      <c r="S213" s="1207"/>
      <c r="T213" s="1207">
        <f t="shared" si="35"/>
        <v>0</v>
      </c>
      <c r="U213" s="1207">
        <f t="shared" si="35"/>
        <v>0</v>
      </c>
      <c r="V213" s="1207">
        <f t="shared" si="35"/>
        <v>4000512.24</v>
      </c>
      <c r="W213" s="610">
        <f t="shared" si="32"/>
        <v>3.4840353549472629E-3</v>
      </c>
      <c r="X213" s="788" t="s">
        <v>1483</v>
      </c>
      <c r="Y213" s="788"/>
    </row>
    <row r="214" spans="1:25" s="183" customFormat="1" ht="22.5" customHeight="1" thickTop="1" thickBot="1" x14ac:dyDescent="0.3">
      <c r="A214" s="1439">
        <v>1</v>
      </c>
      <c r="B214" s="1440" t="s">
        <v>1381</v>
      </c>
      <c r="C214" s="1440" t="s">
        <v>1381</v>
      </c>
      <c r="D214" s="1440" t="s">
        <v>1394</v>
      </c>
      <c r="E214" s="1440" t="s">
        <v>1418</v>
      </c>
      <c r="F214" s="1440" t="s">
        <v>1381</v>
      </c>
      <c r="G214" s="1440"/>
      <c r="H214" s="1440"/>
      <c r="I214" s="1440"/>
      <c r="J214" s="1440"/>
      <c r="K214" s="770" t="s">
        <v>1299</v>
      </c>
      <c r="L214" s="1215">
        <f>+L215+L227</f>
        <v>1148241000</v>
      </c>
      <c r="M214" s="1215">
        <f t="shared" ref="M214:V214" si="36">+M215+M227</f>
        <v>0</v>
      </c>
      <c r="N214" s="1215">
        <f t="shared" si="36"/>
        <v>0</v>
      </c>
      <c r="O214" s="1206">
        <f t="shared" si="33"/>
        <v>1148241000</v>
      </c>
      <c r="P214" s="1215">
        <f t="shared" si="36"/>
        <v>1033416900</v>
      </c>
      <c r="Q214" s="1215">
        <f t="shared" si="36"/>
        <v>0</v>
      </c>
      <c r="R214" s="1215">
        <f t="shared" si="36"/>
        <v>114824100</v>
      </c>
      <c r="S214" s="1215"/>
      <c r="T214" s="1215">
        <f t="shared" si="36"/>
        <v>0</v>
      </c>
      <c r="U214" s="1215">
        <f t="shared" si="36"/>
        <v>0</v>
      </c>
      <c r="V214" s="1215">
        <f t="shared" si="36"/>
        <v>4000512.24</v>
      </c>
      <c r="W214" s="631">
        <f t="shared" si="32"/>
        <v>3.4840353549472629E-3</v>
      </c>
      <c r="X214" s="788" t="s">
        <v>1485</v>
      </c>
      <c r="Y214" s="788" t="s">
        <v>1486</v>
      </c>
    </row>
    <row r="215" spans="1:25" s="778" customFormat="1" ht="22.5" customHeight="1" thickTop="1" thickBot="1" x14ac:dyDescent="0.3">
      <c r="A215" s="1441">
        <v>1</v>
      </c>
      <c r="B215" s="1442" t="s">
        <v>1381</v>
      </c>
      <c r="C215" s="1442" t="s">
        <v>1381</v>
      </c>
      <c r="D215" s="1442" t="s">
        <v>1394</v>
      </c>
      <c r="E215" s="1442" t="s">
        <v>1418</v>
      </c>
      <c r="F215" s="1442" t="s">
        <v>1381</v>
      </c>
      <c r="G215" s="1442" t="s">
        <v>1381</v>
      </c>
      <c r="H215" s="1442"/>
      <c r="I215" s="1442"/>
      <c r="J215" s="1442"/>
      <c r="K215" s="771" t="s">
        <v>1487</v>
      </c>
      <c r="L215" s="1214">
        <f>SUM(L216:L226)</f>
        <v>1148241000</v>
      </c>
      <c r="M215" s="1214">
        <f t="shared" ref="M215:V215" si="37">SUM(M216:M226)</f>
        <v>0</v>
      </c>
      <c r="N215" s="1214">
        <f t="shared" si="37"/>
        <v>0</v>
      </c>
      <c r="O215" s="1206">
        <f t="shared" si="33"/>
        <v>1148241000</v>
      </c>
      <c r="P215" s="1214">
        <v>1033416900</v>
      </c>
      <c r="Q215" s="1214">
        <f t="shared" si="37"/>
        <v>0</v>
      </c>
      <c r="R215" s="1214">
        <f>+O215*0.1</f>
        <v>114824100</v>
      </c>
      <c r="S215" s="1214"/>
      <c r="T215" s="1214">
        <f t="shared" si="37"/>
        <v>0</v>
      </c>
      <c r="U215" s="1214">
        <f t="shared" si="37"/>
        <v>0</v>
      </c>
      <c r="V215" s="1214">
        <f t="shared" si="37"/>
        <v>4000512.24</v>
      </c>
      <c r="W215" s="637">
        <f t="shared" si="32"/>
        <v>3.4840353549472629E-3</v>
      </c>
      <c r="X215" s="788" t="s">
        <v>1488</v>
      </c>
      <c r="Y215" s="788" t="s">
        <v>1489</v>
      </c>
    </row>
    <row r="216" spans="1:25" s="778" customFormat="1" ht="22.5" customHeight="1" thickTop="1" thickBot="1" x14ac:dyDescent="0.3">
      <c r="A216" s="1441">
        <v>1</v>
      </c>
      <c r="B216" s="1442" t="s">
        <v>1381</v>
      </c>
      <c r="C216" s="1442" t="s">
        <v>1381</v>
      </c>
      <c r="D216" s="1442" t="s">
        <v>1394</v>
      </c>
      <c r="E216" s="1442" t="s">
        <v>1418</v>
      </c>
      <c r="F216" s="1442" t="s">
        <v>1381</v>
      </c>
      <c r="G216" s="1442" t="s">
        <v>1381</v>
      </c>
      <c r="H216" s="1442" t="s">
        <v>1381</v>
      </c>
      <c r="I216" s="1442"/>
      <c r="J216" s="1442"/>
      <c r="K216" s="771" t="s">
        <v>1490</v>
      </c>
      <c r="L216" s="1212">
        <v>208000000</v>
      </c>
      <c r="M216" s="1214"/>
      <c r="N216" s="1214"/>
      <c r="O216" s="1206">
        <f t="shared" si="33"/>
        <v>208000000</v>
      </c>
      <c r="P216" s="1214"/>
      <c r="Q216" s="1214"/>
      <c r="R216" s="1214"/>
      <c r="S216" s="1214"/>
      <c r="T216" s="1214"/>
      <c r="U216" s="1214"/>
      <c r="V216" s="1214">
        <v>2374107</v>
      </c>
      <c r="W216" s="637">
        <f t="shared" si="32"/>
        <v>1.1413975961538462E-2</v>
      </c>
      <c r="X216" s="788"/>
      <c r="Y216" s="788"/>
    </row>
    <row r="217" spans="1:25" s="778" customFormat="1" ht="22.5" customHeight="1" thickTop="1" thickBot="1" x14ac:dyDescent="0.3">
      <c r="A217" s="1441">
        <v>1</v>
      </c>
      <c r="B217" s="1442" t="s">
        <v>1381</v>
      </c>
      <c r="C217" s="1442" t="s">
        <v>1381</v>
      </c>
      <c r="D217" s="1442" t="s">
        <v>1394</v>
      </c>
      <c r="E217" s="1442" t="s">
        <v>1418</v>
      </c>
      <c r="F217" s="1442" t="s">
        <v>1381</v>
      </c>
      <c r="G217" s="1442" t="s">
        <v>1381</v>
      </c>
      <c r="H217" s="1442" t="s">
        <v>1394</v>
      </c>
      <c r="I217" s="1442"/>
      <c r="J217" s="1442"/>
      <c r="K217" s="771" t="s">
        <v>1491</v>
      </c>
      <c r="L217" s="1212">
        <v>938000000</v>
      </c>
      <c r="M217" s="1214"/>
      <c r="N217" s="1214"/>
      <c r="O217" s="1206">
        <f t="shared" si="33"/>
        <v>938000000</v>
      </c>
      <c r="P217" s="1214"/>
      <c r="Q217" s="1214"/>
      <c r="R217" s="1214"/>
      <c r="S217" s="1214"/>
      <c r="T217" s="1214"/>
      <c r="U217" s="1214"/>
      <c r="V217" s="1214"/>
      <c r="W217" s="637">
        <f t="shared" si="32"/>
        <v>0</v>
      </c>
      <c r="X217" s="788"/>
      <c r="Y217" s="788"/>
    </row>
    <row r="218" spans="1:25" s="778" customFormat="1" ht="22.5" customHeight="1" thickTop="1" thickBot="1" x14ac:dyDescent="0.3">
      <c r="A218" s="1441">
        <v>1</v>
      </c>
      <c r="B218" s="1442" t="s">
        <v>1381</v>
      </c>
      <c r="C218" s="1442" t="s">
        <v>1381</v>
      </c>
      <c r="D218" s="1442" t="s">
        <v>1394</v>
      </c>
      <c r="E218" s="1442" t="s">
        <v>1418</v>
      </c>
      <c r="F218" s="1442" t="s">
        <v>1381</v>
      </c>
      <c r="G218" s="1442" t="s">
        <v>1381</v>
      </c>
      <c r="H218" s="1442" t="s">
        <v>1418</v>
      </c>
      <c r="I218" s="1442"/>
      <c r="J218" s="1442"/>
      <c r="K218" s="771" t="s">
        <v>2238</v>
      </c>
      <c r="L218" s="1212">
        <v>2241000</v>
      </c>
      <c r="M218" s="1214"/>
      <c r="N218" s="1214"/>
      <c r="O218" s="1206">
        <f t="shared" si="33"/>
        <v>2241000</v>
      </c>
      <c r="P218" s="1214"/>
      <c r="Q218" s="1214"/>
      <c r="R218" s="1214"/>
      <c r="S218" s="1214"/>
      <c r="T218" s="1214"/>
      <c r="U218" s="1214"/>
      <c r="V218" s="1214">
        <v>1626405.24</v>
      </c>
      <c r="W218" s="637">
        <f t="shared" si="32"/>
        <v>0.72574977242302541</v>
      </c>
      <c r="X218" s="788"/>
      <c r="Y218" s="788"/>
    </row>
    <row r="219" spans="1:25" s="778" customFormat="1" ht="22.5" customHeight="1" thickTop="1" thickBot="1" x14ac:dyDescent="0.3">
      <c r="A219" s="1441">
        <v>1</v>
      </c>
      <c r="B219" s="1442" t="s">
        <v>1381</v>
      </c>
      <c r="C219" s="1442" t="s">
        <v>1381</v>
      </c>
      <c r="D219" s="1442" t="s">
        <v>1394</v>
      </c>
      <c r="E219" s="1442" t="s">
        <v>1418</v>
      </c>
      <c r="F219" s="1442" t="s">
        <v>1381</v>
      </c>
      <c r="G219" s="1442" t="s">
        <v>1381</v>
      </c>
      <c r="H219" s="1442" t="s">
        <v>1422</v>
      </c>
      <c r="I219" s="1442"/>
      <c r="J219" s="1442"/>
      <c r="K219" s="771" t="s">
        <v>2239</v>
      </c>
      <c r="L219" s="1214"/>
      <c r="M219" s="1214"/>
      <c r="N219" s="1214"/>
      <c r="O219" s="1206">
        <f t="shared" si="33"/>
        <v>0</v>
      </c>
      <c r="P219" s="1214"/>
      <c r="Q219" s="1214"/>
      <c r="R219" s="1214"/>
      <c r="S219" s="1214"/>
      <c r="T219" s="1214"/>
      <c r="U219" s="1214"/>
      <c r="V219" s="1214"/>
      <c r="W219" s="637" t="e">
        <f t="shared" si="32"/>
        <v>#DIV/0!</v>
      </c>
      <c r="X219" s="788"/>
      <c r="Y219" s="788"/>
    </row>
    <row r="220" spans="1:25" s="778" customFormat="1" ht="22.5" customHeight="1" thickTop="1" thickBot="1" x14ac:dyDescent="0.3">
      <c r="A220" s="1441">
        <v>1</v>
      </c>
      <c r="B220" s="1442" t="s">
        <v>1381</v>
      </c>
      <c r="C220" s="1442" t="s">
        <v>1381</v>
      </c>
      <c r="D220" s="1442" t="s">
        <v>1394</v>
      </c>
      <c r="E220" s="1442" t="s">
        <v>1418</v>
      </c>
      <c r="F220" s="1442" t="s">
        <v>1381</v>
      </c>
      <c r="G220" s="1442" t="s">
        <v>1381</v>
      </c>
      <c r="H220" s="1442" t="s">
        <v>1447</v>
      </c>
      <c r="I220" s="1442"/>
      <c r="J220" s="1442"/>
      <c r="K220" s="771" t="s">
        <v>2240</v>
      </c>
      <c r="L220" s="1214"/>
      <c r="M220" s="1214"/>
      <c r="N220" s="1214"/>
      <c r="O220" s="1206">
        <f t="shared" si="33"/>
        <v>0</v>
      </c>
      <c r="P220" s="1214"/>
      <c r="Q220" s="1214"/>
      <c r="R220" s="1214"/>
      <c r="S220" s="1214"/>
      <c r="T220" s="1214"/>
      <c r="U220" s="1214"/>
      <c r="V220" s="1214"/>
      <c r="W220" s="637" t="e">
        <f t="shared" si="32"/>
        <v>#DIV/0!</v>
      </c>
      <c r="X220" s="788"/>
      <c r="Y220" s="788"/>
    </row>
    <row r="221" spans="1:25" s="778" customFormat="1" ht="22.5" customHeight="1" thickTop="1" thickBot="1" x14ac:dyDescent="0.3">
      <c r="A221" s="1441">
        <v>1</v>
      </c>
      <c r="B221" s="1442" t="s">
        <v>1381</v>
      </c>
      <c r="C221" s="1442" t="s">
        <v>1381</v>
      </c>
      <c r="D221" s="1442" t="s">
        <v>1394</v>
      </c>
      <c r="E221" s="1442" t="s">
        <v>1418</v>
      </c>
      <c r="F221" s="1442" t="s">
        <v>1381</v>
      </c>
      <c r="G221" s="1442" t="s">
        <v>1381</v>
      </c>
      <c r="H221" s="1442" t="s">
        <v>1470</v>
      </c>
      <c r="I221" s="1442"/>
      <c r="J221" s="1442"/>
      <c r="K221" s="771" t="s">
        <v>2241</v>
      </c>
      <c r="L221" s="1214"/>
      <c r="M221" s="1214"/>
      <c r="N221" s="1214"/>
      <c r="O221" s="1206">
        <f t="shared" si="33"/>
        <v>0</v>
      </c>
      <c r="P221" s="1214"/>
      <c r="Q221" s="1214"/>
      <c r="R221" s="1214"/>
      <c r="S221" s="1214"/>
      <c r="T221" s="1214"/>
      <c r="U221" s="1214"/>
      <c r="V221" s="1214"/>
      <c r="W221" s="637" t="e">
        <f t="shared" si="32"/>
        <v>#DIV/0!</v>
      </c>
      <c r="X221" s="788"/>
      <c r="Y221" s="788"/>
    </row>
    <row r="222" spans="1:25" s="778" customFormat="1" ht="22.5" customHeight="1" thickTop="1" thickBot="1" x14ac:dyDescent="0.3">
      <c r="A222" s="1441">
        <v>1</v>
      </c>
      <c r="B222" s="1442" t="s">
        <v>1381</v>
      </c>
      <c r="C222" s="1442" t="s">
        <v>1381</v>
      </c>
      <c r="D222" s="1442" t="s">
        <v>1394</v>
      </c>
      <c r="E222" s="1442" t="s">
        <v>1418</v>
      </c>
      <c r="F222" s="1442" t="s">
        <v>1381</v>
      </c>
      <c r="G222" s="1442" t="s">
        <v>1381</v>
      </c>
      <c r="H222" s="1442" t="s">
        <v>1474</v>
      </c>
      <c r="I222" s="1442"/>
      <c r="J222" s="1442"/>
      <c r="K222" s="771" t="s">
        <v>2242</v>
      </c>
      <c r="L222" s="1214"/>
      <c r="M222" s="1214"/>
      <c r="N222" s="1214"/>
      <c r="O222" s="1206">
        <f t="shared" si="33"/>
        <v>0</v>
      </c>
      <c r="P222" s="1214"/>
      <c r="Q222" s="1214"/>
      <c r="R222" s="1214"/>
      <c r="S222" s="1214"/>
      <c r="T222" s="1214"/>
      <c r="U222" s="1214"/>
      <c r="V222" s="1214"/>
      <c r="W222" s="637" t="e">
        <f t="shared" si="32"/>
        <v>#DIV/0!</v>
      </c>
      <c r="X222" s="788"/>
      <c r="Y222" s="788"/>
    </row>
    <row r="223" spans="1:25" s="778" customFormat="1" ht="22.5" customHeight="1" thickTop="1" thickBot="1" x14ac:dyDescent="0.3">
      <c r="A223" s="1441">
        <v>1</v>
      </c>
      <c r="B223" s="1442" t="s">
        <v>1381</v>
      </c>
      <c r="C223" s="1442" t="s">
        <v>1381</v>
      </c>
      <c r="D223" s="1442" t="s">
        <v>1394</v>
      </c>
      <c r="E223" s="1442" t="s">
        <v>1418</v>
      </c>
      <c r="F223" s="1442" t="s">
        <v>1381</v>
      </c>
      <c r="G223" s="1442" t="s">
        <v>1381</v>
      </c>
      <c r="H223" s="1442" t="s">
        <v>1478</v>
      </c>
      <c r="I223" s="1442"/>
      <c r="J223" s="1442"/>
      <c r="K223" s="771" t="s">
        <v>2243</v>
      </c>
      <c r="L223" s="1214"/>
      <c r="M223" s="1214"/>
      <c r="N223" s="1214"/>
      <c r="O223" s="1206">
        <f t="shared" si="33"/>
        <v>0</v>
      </c>
      <c r="P223" s="1214"/>
      <c r="Q223" s="1214"/>
      <c r="R223" s="1214"/>
      <c r="S223" s="1214"/>
      <c r="T223" s="1214"/>
      <c r="U223" s="1214"/>
      <c r="V223" s="1214"/>
      <c r="W223" s="637" t="e">
        <f t="shared" si="32"/>
        <v>#DIV/0!</v>
      </c>
      <c r="X223" s="788"/>
      <c r="Y223" s="788"/>
    </row>
    <row r="224" spans="1:25" s="778" customFormat="1" ht="22.5" customHeight="1" thickTop="1" thickBot="1" x14ac:dyDescent="0.3">
      <c r="A224" s="1441">
        <v>1</v>
      </c>
      <c r="B224" s="1442" t="s">
        <v>1381</v>
      </c>
      <c r="C224" s="1442" t="s">
        <v>1381</v>
      </c>
      <c r="D224" s="1442" t="s">
        <v>1394</v>
      </c>
      <c r="E224" s="1442" t="s">
        <v>1418</v>
      </c>
      <c r="F224" s="1442" t="s">
        <v>1381</v>
      </c>
      <c r="G224" s="1442" t="s">
        <v>1381</v>
      </c>
      <c r="H224" s="1442" t="s">
        <v>1576</v>
      </c>
      <c r="I224" s="1442"/>
      <c r="J224" s="1442"/>
      <c r="K224" s="771" t="s">
        <v>2244</v>
      </c>
      <c r="L224" s="1214"/>
      <c r="M224" s="1214"/>
      <c r="N224" s="1214"/>
      <c r="O224" s="1206">
        <f t="shared" si="33"/>
        <v>0</v>
      </c>
      <c r="P224" s="1214"/>
      <c r="Q224" s="1214"/>
      <c r="R224" s="1214"/>
      <c r="S224" s="1214"/>
      <c r="T224" s="1214"/>
      <c r="U224" s="1214"/>
      <c r="V224" s="1214"/>
      <c r="W224" s="637" t="e">
        <f t="shared" si="32"/>
        <v>#DIV/0!</v>
      </c>
      <c r="X224" s="788"/>
      <c r="Y224" s="788"/>
    </row>
    <row r="225" spans="1:25" s="778" customFormat="1" ht="22.5" customHeight="1" thickTop="1" thickBot="1" x14ac:dyDescent="0.3">
      <c r="A225" s="1441">
        <v>1</v>
      </c>
      <c r="B225" s="1442" t="s">
        <v>1381</v>
      </c>
      <c r="C225" s="1442" t="s">
        <v>1381</v>
      </c>
      <c r="D225" s="1442" t="s">
        <v>1394</v>
      </c>
      <c r="E225" s="1442" t="s">
        <v>1418</v>
      </c>
      <c r="F225" s="1442" t="s">
        <v>1381</v>
      </c>
      <c r="G225" s="1442" t="s">
        <v>1381</v>
      </c>
      <c r="H225" s="1442" t="s">
        <v>1577</v>
      </c>
      <c r="I225" s="1442"/>
      <c r="J225" s="1442"/>
      <c r="K225" s="771" t="s">
        <v>2245</v>
      </c>
      <c r="L225" s="1214"/>
      <c r="M225" s="1214"/>
      <c r="N225" s="1214"/>
      <c r="O225" s="1206">
        <f t="shared" si="33"/>
        <v>0</v>
      </c>
      <c r="P225" s="1214"/>
      <c r="Q225" s="1214"/>
      <c r="R225" s="1214"/>
      <c r="S225" s="1214"/>
      <c r="T225" s="1214"/>
      <c r="U225" s="1214"/>
      <c r="V225" s="1214"/>
      <c r="W225" s="637" t="e">
        <f t="shared" si="32"/>
        <v>#DIV/0!</v>
      </c>
      <c r="X225" s="788"/>
      <c r="Y225" s="788"/>
    </row>
    <row r="226" spans="1:25" s="778" customFormat="1" ht="22.5" customHeight="1" thickTop="1" thickBot="1" x14ac:dyDescent="0.3">
      <c r="A226" s="1441">
        <v>1</v>
      </c>
      <c r="B226" s="1442" t="s">
        <v>1381</v>
      </c>
      <c r="C226" s="1442" t="s">
        <v>1381</v>
      </c>
      <c r="D226" s="1442" t="s">
        <v>1394</v>
      </c>
      <c r="E226" s="1442" t="s">
        <v>1418</v>
      </c>
      <c r="F226" s="1442" t="s">
        <v>1381</v>
      </c>
      <c r="G226" s="1442" t="s">
        <v>1381</v>
      </c>
      <c r="H226" s="1442" t="s">
        <v>1578</v>
      </c>
      <c r="I226" s="1442"/>
      <c r="J226" s="1442"/>
      <c r="K226" s="771" t="s">
        <v>2246</v>
      </c>
      <c r="L226" s="1214"/>
      <c r="M226" s="1214"/>
      <c r="N226" s="1214"/>
      <c r="O226" s="1206">
        <f t="shared" si="33"/>
        <v>0</v>
      </c>
      <c r="P226" s="1214"/>
      <c r="Q226" s="1214"/>
      <c r="R226" s="1214"/>
      <c r="S226" s="1214"/>
      <c r="T226" s="1214"/>
      <c r="U226" s="1214"/>
      <c r="V226" s="1214"/>
      <c r="W226" s="637" t="e">
        <f t="shared" si="32"/>
        <v>#DIV/0!</v>
      </c>
      <c r="X226" s="788"/>
      <c r="Y226" s="788"/>
    </row>
    <row r="227" spans="1:25" s="778" customFormat="1" ht="22.5" customHeight="1" thickTop="1" thickBot="1" x14ac:dyDescent="0.3">
      <c r="A227" s="1441">
        <v>1</v>
      </c>
      <c r="B227" s="1442" t="s">
        <v>1381</v>
      </c>
      <c r="C227" s="1442" t="s">
        <v>1381</v>
      </c>
      <c r="D227" s="1442" t="s">
        <v>1394</v>
      </c>
      <c r="E227" s="1442" t="s">
        <v>1418</v>
      </c>
      <c r="F227" s="1442" t="s">
        <v>1381</v>
      </c>
      <c r="G227" s="1442" t="s">
        <v>1394</v>
      </c>
      <c r="H227" s="1442"/>
      <c r="I227" s="1442"/>
      <c r="J227" s="1442"/>
      <c r="K227" s="771" t="s">
        <v>2004</v>
      </c>
      <c r="L227" s="1214">
        <f>SUM(L228:L238)</f>
        <v>0</v>
      </c>
      <c r="M227" s="1214">
        <f t="shared" ref="M227:V227" si="38">SUM(M228:M238)</f>
        <v>0</v>
      </c>
      <c r="N227" s="1214">
        <f t="shared" si="38"/>
        <v>0</v>
      </c>
      <c r="O227" s="1206">
        <f t="shared" si="33"/>
        <v>0</v>
      </c>
      <c r="P227" s="1214">
        <f t="shared" si="38"/>
        <v>0</v>
      </c>
      <c r="Q227" s="1214">
        <f t="shared" si="38"/>
        <v>0</v>
      </c>
      <c r="R227" s="1214">
        <f t="shared" si="38"/>
        <v>0</v>
      </c>
      <c r="S227" s="1214"/>
      <c r="T227" s="1214">
        <f t="shared" si="38"/>
        <v>0</v>
      </c>
      <c r="U227" s="1214">
        <f t="shared" si="38"/>
        <v>0</v>
      </c>
      <c r="V227" s="1214">
        <f t="shared" si="38"/>
        <v>0</v>
      </c>
      <c r="W227" s="637" t="e">
        <f t="shared" si="32"/>
        <v>#DIV/0!</v>
      </c>
      <c r="X227" s="788" t="s">
        <v>2005</v>
      </c>
      <c r="Y227" s="788"/>
    </row>
    <row r="228" spans="1:25" s="778" customFormat="1" ht="22.5" customHeight="1" thickTop="1" thickBot="1" x14ac:dyDescent="0.3">
      <c r="A228" s="1441">
        <v>1</v>
      </c>
      <c r="B228" s="1442" t="s">
        <v>1381</v>
      </c>
      <c r="C228" s="1442" t="s">
        <v>1381</v>
      </c>
      <c r="D228" s="1442" t="s">
        <v>1394</v>
      </c>
      <c r="E228" s="1442" t="s">
        <v>1418</v>
      </c>
      <c r="F228" s="1442" t="s">
        <v>1381</v>
      </c>
      <c r="G228" s="1442" t="s">
        <v>1394</v>
      </c>
      <c r="H228" s="1442" t="s">
        <v>1381</v>
      </c>
      <c r="I228" s="1442"/>
      <c r="J228" s="1442"/>
      <c r="K228" s="771" t="s">
        <v>2247</v>
      </c>
      <c r="L228" s="1214"/>
      <c r="M228" s="1214"/>
      <c r="N228" s="1214"/>
      <c r="O228" s="1206">
        <f t="shared" si="33"/>
        <v>0</v>
      </c>
      <c r="P228" s="1214"/>
      <c r="Q228" s="1214"/>
      <c r="R228" s="1214"/>
      <c r="S228" s="1214"/>
      <c r="T228" s="1214"/>
      <c r="U228" s="1214"/>
      <c r="V228" s="1214"/>
      <c r="W228" s="637" t="e">
        <f t="shared" si="32"/>
        <v>#DIV/0!</v>
      </c>
      <c r="X228" s="788"/>
      <c r="Y228" s="788"/>
    </row>
    <row r="229" spans="1:25" s="778" customFormat="1" ht="22.5" customHeight="1" thickTop="1" thickBot="1" x14ac:dyDescent="0.3">
      <c r="A229" s="1441">
        <v>1</v>
      </c>
      <c r="B229" s="1442" t="s">
        <v>1381</v>
      </c>
      <c r="C229" s="1442" t="s">
        <v>1381</v>
      </c>
      <c r="D229" s="1442" t="s">
        <v>1394</v>
      </c>
      <c r="E229" s="1442" t="s">
        <v>1418</v>
      </c>
      <c r="F229" s="1442" t="s">
        <v>1381</v>
      </c>
      <c r="G229" s="1442" t="s">
        <v>1394</v>
      </c>
      <c r="H229" s="1442" t="s">
        <v>1394</v>
      </c>
      <c r="I229" s="1442"/>
      <c r="J229" s="1442"/>
      <c r="K229" s="771" t="s">
        <v>2248</v>
      </c>
      <c r="L229" s="1214"/>
      <c r="M229" s="1214"/>
      <c r="N229" s="1214"/>
      <c r="O229" s="1206">
        <f t="shared" si="33"/>
        <v>0</v>
      </c>
      <c r="P229" s="1214"/>
      <c r="Q229" s="1214"/>
      <c r="R229" s="1214"/>
      <c r="S229" s="1214"/>
      <c r="T229" s="1214"/>
      <c r="U229" s="1214"/>
      <c r="V229" s="1214"/>
      <c r="W229" s="637" t="e">
        <f t="shared" si="32"/>
        <v>#DIV/0!</v>
      </c>
      <c r="X229" s="788"/>
      <c r="Y229" s="788"/>
    </row>
    <row r="230" spans="1:25" s="778" customFormat="1" ht="22.5" customHeight="1" thickTop="1" thickBot="1" x14ac:dyDescent="0.3">
      <c r="A230" s="1441">
        <v>1</v>
      </c>
      <c r="B230" s="1442" t="s">
        <v>1381</v>
      </c>
      <c r="C230" s="1442" t="s">
        <v>1381</v>
      </c>
      <c r="D230" s="1442" t="s">
        <v>1394</v>
      </c>
      <c r="E230" s="1442" t="s">
        <v>1418</v>
      </c>
      <c r="F230" s="1442" t="s">
        <v>1381</v>
      </c>
      <c r="G230" s="1442" t="s">
        <v>1394</v>
      </c>
      <c r="H230" s="1442" t="s">
        <v>1418</v>
      </c>
      <c r="I230" s="1442"/>
      <c r="J230" s="1442"/>
      <c r="K230" s="771" t="s">
        <v>2249</v>
      </c>
      <c r="L230" s="1214"/>
      <c r="M230" s="1214"/>
      <c r="N230" s="1214"/>
      <c r="O230" s="1206">
        <f t="shared" si="33"/>
        <v>0</v>
      </c>
      <c r="P230" s="1214"/>
      <c r="Q230" s="1214"/>
      <c r="R230" s="1214"/>
      <c r="S230" s="1214"/>
      <c r="T230" s="1214"/>
      <c r="U230" s="1214"/>
      <c r="V230" s="1214"/>
      <c r="W230" s="637" t="e">
        <f t="shared" si="32"/>
        <v>#DIV/0!</v>
      </c>
      <c r="X230" s="788"/>
      <c r="Y230" s="788"/>
    </row>
    <row r="231" spans="1:25" s="778" customFormat="1" ht="22.5" customHeight="1" thickTop="1" thickBot="1" x14ac:dyDescent="0.3">
      <c r="A231" s="1441">
        <v>1</v>
      </c>
      <c r="B231" s="1442" t="s">
        <v>1381</v>
      </c>
      <c r="C231" s="1442" t="s">
        <v>1381</v>
      </c>
      <c r="D231" s="1442" t="s">
        <v>1394</v>
      </c>
      <c r="E231" s="1442" t="s">
        <v>1418</v>
      </c>
      <c r="F231" s="1442" t="s">
        <v>1381</v>
      </c>
      <c r="G231" s="1442" t="s">
        <v>1394</v>
      </c>
      <c r="H231" s="1442" t="s">
        <v>1422</v>
      </c>
      <c r="I231" s="1442"/>
      <c r="J231" s="1442"/>
      <c r="K231" s="771" t="s">
        <v>2250</v>
      </c>
      <c r="L231" s="1214"/>
      <c r="M231" s="1214"/>
      <c r="N231" s="1214"/>
      <c r="O231" s="1206">
        <f t="shared" si="33"/>
        <v>0</v>
      </c>
      <c r="P231" s="1214"/>
      <c r="Q231" s="1214"/>
      <c r="R231" s="1214"/>
      <c r="S231" s="1214"/>
      <c r="T231" s="1214"/>
      <c r="U231" s="1214"/>
      <c r="V231" s="1214"/>
      <c r="W231" s="637" t="e">
        <f t="shared" si="32"/>
        <v>#DIV/0!</v>
      </c>
      <c r="X231" s="788"/>
      <c r="Y231" s="788"/>
    </row>
    <row r="232" spans="1:25" s="778" customFormat="1" ht="22.5" customHeight="1" thickTop="1" thickBot="1" x14ac:dyDescent="0.3">
      <c r="A232" s="1441">
        <v>1</v>
      </c>
      <c r="B232" s="1442" t="s">
        <v>1381</v>
      </c>
      <c r="C232" s="1442" t="s">
        <v>1381</v>
      </c>
      <c r="D232" s="1442" t="s">
        <v>1394</v>
      </c>
      <c r="E232" s="1442" t="s">
        <v>1418</v>
      </c>
      <c r="F232" s="1442" t="s">
        <v>1381</v>
      </c>
      <c r="G232" s="1442" t="s">
        <v>1394</v>
      </c>
      <c r="H232" s="1442" t="s">
        <v>1447</v>
      </c>
      <c r="I232" s="1442"/>
      <c r="J232" s="1442"/>
      <c r="K232" s="771" t="s">
        <v>2251</v>
      </c>
      <c r="L232" s="1214"/>
      <c r="M232" s="1214"/>
      <c r="N232" s="1214"/>
      <c r="O232" s="1206">
        <f t="shared" si="33"/>
        <v>0</v>
      </c>
      <c r="P232" s="1214"/>
      <c r="Q232" s="1214"/>
      <c r="R232" s="1214"/>
      <c r="S232" s="1214"/>
      <c r="T232" s="1214"/>
      <c r="U232" s="1214"/>
      <c r="V232" s="1214"/>
      <c r="W232" s="637" t="e">
        <f t="shared" si="32"/>
        <v>#DIV/0!</v>
      </c>
      <c r="X232" s="788"/>
      <c r="Y232" s="788"/>
    </row>
    <row r="233" spans="1:25" s="778" customFormat="1" ht="22.5" customHeight="1" thickTop="1" thickBot="1" x14ac:dyDescent="0.3">
      <c r="A233" s="1441">
        <v>1</v>
      </c>
      <c r="B233" s="1442" t="s">
        <v>1381</v>
      </c>
      <c r="C233" s="1442" t="s">
        <v>1381</v>
      </c>
      <c r="D233" s="1442" t="s">
        <v>1394</v>
      </c>
      <c r="E233" s="1442" t="s">
        <v>1418</v>
      </c>
      <c r="F233" s="1442" t="s">
        <v>1381</v>
      </c>
      <c r="G233" s="1442" t="s">
        <v>1394</v>
      </c>
      <c r="H233" s="1442" t="s">
        <v>1470</v>
      </c>
      <c r="I233" s="1442"/>
      <c r="J233" s="1442"/>
      <c r="K233" s="771" t="s">
        <v>2252</v>
      </c>
      <c r="L233" s="1214"/>
      <c r="M233" s="1214"/>
      <c r="N233" s="1214"/>
      <c r="O233" s="1206">
        <f t="shared" si="33"/>
        <v>0</v>
      </c>
      <c r="P233" s="1214"/>
      <c r="Q233" s="1214"/>
      <c r="R233" s="1214"/>
      <c r="S233" s="1214"/>
      <c r="T233" s="1214"/>
      <c r="U233" s="1214"/>
      <c r="V233" s="1214"/>
      <c r="W233" s="637" t="e">
        <f t="shared" si="32"/>
        <v>#DIV/0!</v>
      </c>
      <c r="X233" s="788"/>
      <c r="Y233" s="788"/>
    </row>
    <row r="234" spans="1:25" s="778" customFormat="1" ht="22.5" customHeight="1" thickTop="1" thickBot="1" x14ac:dyDescent="0.3">
      <c r="A234" s="1441">
        <v>1</v>
      </c>
      <c r="B234" s="1442" t="s">
        <v>1381</v>
      </c>
      <c r="C234" s="1442" t="s">
        <v>1381</v>
      </c>
      <c r="D234" s="1442" t="s">
        <v>1394</v>
      </c>
      <c r="E234" s="1442" t="s">
        <v>1418</v>
      </c>
      <c r="F234" s="1442" t="s">
        <v>1381</v>
      </c>
      <c r="G234" s="1442" t="s">
        <v>1394</v>
      </c>
      <c r="H234" s="1442" t="s">
        <v>1474</v>
      </c>
      <c r="I234" s="1442"/>
      <c r="J234" s="1442"/>
      <c r="K234" s="771" t="s">
        <v>2253</v>
      </c>
      <c r="L234" s="1214"/>
      <c r="M234" s="1214"/>
      <c r="N234" s="1214"/>
      <c r="O234" s="1206">
        <f t="shared" si="33"/>
        <v>0</v>
      </c>
      <c r="P234" s="1214"/>
      <c r="Q234" s="1214"/>
      <c r="R234" s="1214"/>
      <c r="S234" s="1214"/>
      <c r="T234" s="1214"/>
      <c r="U234" s="1214"/>
      <c r="V234" s="1214"/>
      <c r="W234" s="637" t="e">
        <f t="shared" si="32"/>
        <v>#DIV/0!</v>
      </c>
      <c r="X234" s="788"/>
      <c r="Y234" s="788"/>
    </row>
    <row r="235" spans="1:25" s="778" customFormat="1" ht="22.5" customHeight="1" thickTop="1" thickBot="1" x14ac:dyDescent="0.3">
      <c r="A235" s="1441">
        <v>1</v>
      </c>
      <c r="B235" s="1442" t="s">
        <v>1381</v>
      </c>
      <c r="C235" s="1442" t="s">
        <v>1381</v>
      </c>
      <c r="D235" s="1442" t="s">
        <v>1394</v>
      </c>
      <c r="E235" s="1442" t="s">
        <v>1418</v>
      </c>
      <c r="F235" s="1442" t="s">
        <v>1381</v>
      </c>
      <c r="G235" s="1442" t="s">
        <v>1394</v>
      </c>
      <c r="H235" s="1442" t="s">
        <v>1478</v>
      </c>
      <c r="I235" s="1442"/>
      <c r="J235" s="1442"/>
      <c r="K235" s="771" t="s">
        <v>2254</v>
      </c>
      <c r="L235" s="1214"/>
      <c r="M235" s="1214"/>
      <c r="N235" s="1214"/>
      <c r="O235" s="1206">
        <f t="shared" si="33"/>
        <v>0</v>
      </c>
      <c r="P235" s="1214"/>
      <c r="Q235" s="1214"/>
      <c r="R235" s="1214"/>
      <c r="S235" s="1214"/>
      <c r="T235" s="1214"/>
      <c r="U235" s="1214"/>
      <c r="V235" s="1214"/>
      <c r="W235" s="637" t="e">
        <f t="shared" si="32"/>
        <v>#DIV/0!</v>
      </c>
      <c r="X235" s="788"/>
      <c r="Y235" s="788"/>
    </row>
    <row r="236" spans="1:25" s="778" customFormat="1" ht="22.5" customHeight="1" thickTop="1" thickBot="1" x14ac:dyDescent="0.3">
      <c r="A236" s="1441">
        <v>1</v>
      </c>
      <c r="B236" s="1442" t="s">
        <v>1381</v>
      </c>
      <c r="C236" s="1442" t="s">
        <v>1381</v>
      </c>
      <c r="D236" s="1442" t="s">
        <v>1394</v>
      </c>
      <c r="E236" s="1442" t="s">
        <v>1418</v>
      </c>
      <c r="F236" s="1442" t="s">
        <v>1381</v>
      </c>
      <c r="G236" s="1442" t="s">
        <v>1394</v>
      </c>
      <c r="H236" s="1442" t="s">
        <v>1576</v>
      </c>
      <c r="I236" s="1442"/>
      <c r="J236" s="1442"/>
      <c r="K236" s="771" t="s">
        <v>2255</v>
      </c>
      <c r="L236" s="1214"/>
      <c r="M236" s="1214"/>
      <c r="N236" s="1214"/>
      <c r="O236" s="1206">
        <f t="shared" si="33"/>
        <v>0</v>
      </c>
      <c r="P236" s="1214"/>
      <c r="Q236" s="1214"/>
      <c r="R236" s="1214"/>
      <c r="S236" s="1214"/>
      <c r="T236" s="1214"/>
      <c r="U236" s="1214"/>
      <c r="V236" s="1214"/>
      <c r="W236" s="637" t="e">
        <f t="shared" si="32"/>
        <v>#DIV/0!</v>
      </c>
      <c r="X236" s="788"/>
      <c r="Y236" s="788"/>
    </row>
    <row r="237" spans="1:25" s="778" customFormat="1" ht="22.5" customHeight="1" thickTop="1" thickBot="1" x14ac:dyDescent="0.3">
      <c r="A237" s="1441">
        <v>1</v>
      </c>
      <c r="B237" s="1442" t="s">
        <v>1381</v>
      </c>
      <c r="C237" s="1442" t="s">
        <v>1381</v>
      </c>
      <c r="D237" s="1442" t="s">
        <v>1394</v>
      </c>
      <c r="E237" s="1442" t="s">
        <v>1418</v>
      </c>
      <c r="F237" s="1442" t="s">
        <v>1381</v>
      </c>
      <c r="G237" s="1442" t="s">
        <v>1394</v>
      </c>
      <c r="H237" s="1442" t="s">
        <v>1577</v>
      </c>
      <c r="I237" s="1442"/>
      <c r="J237" s="1442"/>
      <c r="K237" s="771" t="s">
        <v>2256</v>
      </c>
      <c r="L237" s="1214"/>
      <c r="M237" s="1214"/>
      <c r="N237" s="1214"/>
      <c r="O237" s="1206">
        <f t="shared" si="33"/>
        <v>0</v>
      </c>
      <c r="P237" s="1214"/>
      <c r="Q237" s="1214"/>
      <c r="R237" s="1214"/>
      <c r="S237" s="1214"/>
      <c r="T237" s="1214"/>
      <c r="U237" s="1214"/>
      <c r="V237" s="1214"/>
      <c r="W237" s="637" t="e">
        <f t="shared" si="32"/>
        <v>#DIV/0!</v>
      </c>
      <c r="X237" s="788"/>
      <c r="Y237" s="788"/>
    </row>
    <row r="238" spans="1:25" s="778" customFormat="1" ht="22.5" customHeight="1" thickTop="1" thickBot="1" x14ac:dyDescent="0.3">
      <c r="A238" s="1441">
        <v>1</v>
      </c>
      <c r="B238" s="1442" t="s">
        <v>1381</v>
      </c>
      <c r="C238" s="1442" t="s">
        <v>1381</v>
      </c>
      <c r="D238" s="1442" t="s">
        <v>1394</v>
      </c>
      <c r="E238" s="1442" t="s">
        <v>1418</v>
      </c>
      <c r="F238" s="1442" t="s">
        <v>1381</v>
      </c>
      <c r="G238" s="1442" t="s">
        <v>1394</v>
      </c>
      <c r="H238" s="1442" t="s">
        <v>1578</v>
      </c>
      <c r="I238" s="1442"/>
      <c r="J238" s="1442"/>
      <c r="K238" s="771" t="s">
        <v>2257</v>
      </c>
      <c r="L238" s="1214"/>
      <c r="M238" s="1214"/>
      <c r="N238" s="1214"/>
      <c r="O238" s="1206">
        <f t="shared" si="33"/>
        <v>0</v>
      </c>
      <c r="P238" s="1214"/>
      <c r="Q238" s="1214"/>
      <c r="R238" s="1214"/>
      <c r="S238" s="1214"/>
      <c r="T238" s="1214"/>
      <c r="U238" s="1214"/>
      <c r="V238" s="1214"/>
      <c r="W238" s="637" t="e">
        <f t="shared" si="32"/>
        <v>#DIV/0!</v>
      </c>
      <c r="X238" s="788"/>
      <c r="Y238" s="788"/>
    </row>
    <row r="239" spans="1:25" s="183" customFormat="1" ht="22.5" customHeight="1" thickTop="1" thickBot="1" x14ac:dyDescent="0.3">
      <c r="A239" s="1436">
        <v>1</v>
      </c>
      <c r="B239" s="1437" t="s">
        <v>1381</v>
      </c>
      <c r="C239" s="1437" t="s">
        <v>1381</v>
      </c>
      <c r="D239" s="1437" t="s">
        <v>1394</v>
      </c>
      <c r="E239" s="1437" t="s">
        <v>1422</v>
      </c>
      <c r="F239" s="1437"/>
      <c r="G239" s="1437"/>
      <c r="H239" s="1437"/>
      <c r="I239" s="1437"/>
      <c r="J239" s="1437"/>
      <c r="K239" s="1438" t="s">
        <v>2006</v>
      </c>
      <c r="L239" s="1207">
        <f>+L240+L253</f>
        <v>0</v>
      </c>
      <c r="M239" s="1207">
        <f t="shared" ref="M239:V239" si="39">+M240+M253</f>
        <v>0</v>
      </c>
      <c r="N239" s="1207">
        <f t="shared" si="39"/>
        <v>0</v>
      </c>
      <c r="O239" s="1206">
        <f t="shared" si="33"/>
        <v>0</v>
      </c>
      <c r="P239" s="1207">
        <f t="shared" si="39"/>
        <v>0</v>
      </c>
      <c r="Q239" s="1207">
        <f t="shared" si="39"/>
        <v>0</v>
      </c>
      <c r="R239" s="1207">
        <f t="shared" si="39"/>
        <v>0</v>
      </c>
      <c r="S239" s="1207"/>
      <c r="T239" s="1207">
        <f t="shared" si="39"/>
        <v>0</v>
      </c>
      <c r="U239" s="1207">
        <f t="shared" si="39"/>
        <v>0</v>
      </c>
      <c r="V239" s="1207">
        <f t="shared" si="39"/>
        <v>0</v>
      </c>
      <c r="W239" s="610" t="e">
        <f t="shared" si="32"/>
        <v>#DIV/0!</v>
      </c>
      <c r="X239" s="788" t="s">
        <v>1452</v>
      </c>
      <c r="Y239" s="788" t="s">
        <v>1453</v>
      </c>
    </row>
    <row r="240" spans="1:25" s="183" customFormat="1" ht="22.5" customHeight="1" thickTop="1" thickBot="1" x14ac:dyDescent="0.3">
      <c r="A240" s="1439">
        <v>1</v>
      </c>
      <c r="B240" s="1440" t="s">
        <v>1381</v>
      </c>
      <c r="C240" s="1440" t="s">
        <v>1381</v>
      </c>
      <c r="D240" s="1440" t="s">
        <v>1394</v>
      </c>
      <c r="E240" s="1440" t="s">
        <v>1422</v>
      </c>
      <c r="F240" s="1440" t="s">
        <v>1381</v>
      </c>
      <c r="G240" s="1440"/>
      <c r="H240" s="1440"/>
      <c r="I240" s="1440"/>
      <c r="J240" s="1440"/>
      <c r="K240" s="770" t="s">
        <v>2007</v>
      </c>
      <c r="L240" s="1215">
        <f>+L241</f>
        <v>0</v>
      </c>
      <c r="M240" s="1215">
        <f t="shared" ref="M240:V240" si="40">+M241</f>
        <v>0</v>
      </c>
      <c r="N240" s="1215">
        <f t="shared" si="40"/>
        <v>0</v>
      </c>
      <c r="O240" s="1206">
        <f t="shared" si="33"/>
        <v>0</v>
      </c>
      <c r="P240" s="1215">
        <f t="shared" si="40"/>
        <v>0</v>
      </c>
      <c r="Q240" s="1215">
        <f t="shared" si="40"/>
        <v>0</v>
      </c>
      <c r="R240" s="1215">
        <f t="shared" si="40"/>
        <v>0</v>
      </c>
      <c r="S240" s="1215"/>
      <c r="T240" s="1215">
        <f t="shared" si="40"/>
        <v>0</v>
      </c>
      <c r="U240" s="1215">
        <f t="shared" si="40"/>
        <v>0</v>
      </c>
      <c r="V240" s="1215">
        <f t="shared" si="40"/>
        <v>0</v>
      </c>
      <c r="W240" s="631" t="e">
        <f t="shared" si="32"/>
        <v>#DIV/0!</v>
      </c>
      <c r="X240" s="788" t="s">
        <v>1497</v>
      </c>
      <c r="Y240" s="788"/>
    </row>
    <row r="241" spans="1:25" s="778" customFormat="1" ht="22.5" customHeight="1" thickTop="1" thickBot="1" x14ac:dyDescent="0.3">
      <c r="A241" s="1441">
        <v>1</v>
      </c>
      <c r="B241" s="1442" t="s">
        <v>1381</v>
      </c>
      <c r="C241" s="1442" t="s">
        <v>1381</v>
      </c>
      <c r="D241" s="1442" t="s">
        <v>1394</v>
      </c>
      <c r="E241" s="1442" t="s">
        <v>1422</v>
      </c>
      <c r="F241" s="1442" t="s">
        <v>1381</v>
      </c>
      <c r="G241" s="1442" t="s">
        <v>1381</v>
      </c>
      <c r="H241" s="1442"/>
      <c r="I241" s="1442"/>
      <c r="J241" s="1442"/>
      <c r="K241" s="771" t="s">
        <v>1498</v>
      </c>
      <c r="L241" s="1214">
        <f>SUM(L242:L252)</f>
        <v>0</v>
      </c>
      <c r="M241" s="1214">
        <f t="shared" ref="M241:V241" si="41">SUM(M242:M252)</f>
        <v>0</v>
      </c>
      <c r="N241" s="1214">
        <f t="shared" si="41"/>
        <v>0</v>
      </c>
      <c r="O241" s="1206">
        <f t="shared" si="33"/>
        <v>0</v>
      </c>
      <c r="P241" s="1214">
        <f t="shared" si="41"/>
        <v>0</v>
      </c>
      <c r="Q241" s="1214">
        <f t="shared" si="41"/>
        <v>0</v>
      </c>
      <c r="R241" s="1214">
        <f t="shared" si="41"/>
        <v>0</v>
      </c>
      <c r="S241" s="1214"/>
      <c r="T241" s="1214">
        <f t="shared" si="41"/>
        <v>0</v>
      </c>
      <c r="U241" s="1214">
        <f t="shared" si="41"/>
        <v>0</v>
      </c>
      <c r="V241" s="1214">
        <f t="shared" si="41"/>
        <v>0</v>
      </c>
      <c r="W241" s="637" t="e">
        <f t="shared" si="32"/>
        <v>#DIV/0!</v>
      </c>
      <c r="X241" s="788" t="s">
        <v>2008</v>
      </c>
      <c r="Y241" s="788" t="s">
        <v>1513</v>
      </c>
    </row>
    <row r="242" spans="1:25" s="778" customFormat="1" ht="22.5" customHeight="1" thickTop="1" thickBot="1" x14ac:dyDescent="0.3">
      <c r="A242" s="1441">
        <v>1</v>
      </c>
      <c r="B242" s="1442" t="s">
        <v>1381</v>
      </c>
      <c r="C242" s="1442" t="s">
        <v>1381</v>
      </c>
      <c r="D242" s="1442" t="s">
        <v>1394</v>
      </c>
      <c r="E242" s="1442" t="s">
        <v>1422</v>
      </c>
      <c r="F242" s="1442" t="s">
        <v>1381</v>
      </c>
      <c r="G242" s="1442" t="s">
        <v>1381</v>
      </c>
      <c r="H242" s="1442" t="s">
        <v>1381</v>
      </c>
      <c r="I242" s="1442"/>
      <c r="J242" s="1442"/>
      <c r="K242" s="771" t="s">
        <v>2258</v>
      </c>
      <c r="L242" s="1214"/>
      <c r="M242" s="1214"/>
      <c r="N242" s="1214"/>
      <c r="O242" s="1206">
        <f t="shared" si="33"/>
        <v>0</v>
      </c>
      <c r="P242" s="1214"/>
      <c r="Q242" s="1214"/>
      <c r="R242" s="1214"/>
      <c r="S242" s="1214"/>
      <c r="T242" s="1214"/>
      <c r="U242" s="1214"/>
      <c r="V242" s="1214"/>
      <c r="W242" s="637" t="e">
        <f t="shared" si="32"/>
        <v>#DIV/0!</v>
      </c>
      <c r="X242" s="788"/>
      <c r="Y242" s="788"/>
    </row>
    <row r="243" spans="1:25" s="778" customFormat="1" ht="22.5" customHeight="1" thickTop="1" thickBot="1" x14ac:dyDescent="0.3">
      <c r="A243" s="1441">
        <v>1</v>
      </c>
      <c r="B243" s="1442" t="s">
        <v>1381</v>
      </c>
      <c r="C243" s="1442" t="s">
        <v>1381</v>
      </c>
      <c r="D243" s="1442" t="s">
        <v>1394</v>
      </c>
      <c r="E243" s="1442" t="s">
        <v>1422</v>
      </c>
      <c r="F243" s="1442" t="s">
        <v>1381</v>
      </c>
      <c r="G243" s="1442" t="s">
        <v>1381</v>
      </c>
      <c r="H243" s="1442" t="s">
        <v>1394</v>
      </c>
      <c r="I243" s="1442"/>
      <c r="J243" s="1442"/>
      <c r="K243" s="771" t="s">
        <v>2259</v>
      </c>
      <c r="L243" s="1214"/>
      <c r="M243" s="1214"/>
      <c r="N243" s="1214"/>
      <c r="O243" s="1206">
        <f t="shared" si="33"/>
        <v>0</v>
      </c>
      <c r="P243" s="1214"/>
      <c r="Q243" s="1214"/>
      <c r="R243" s="1214"/>
      <c r="S243" s="1214"/>
      <c r="T243" s="1214"/>
      <c r="U243" s="1214"/>
      <c r="V243" s="1214"/>
      <c r="W243" s="637" t="e">
        <f t="shared" si="32"/>
        <v>#DIV/0!</v>
      </c>
      <c r="X243" s="788"/>
      <c r="Y243" s="788"/>
    </row>
    <row r="244" spans="1:25" s="778" customFormat="1" ht="22.5" customHeight="1" thickTop="1" thickBot="1" x14ac:dyDescent="0.3">
      <c r="A244" s="1441">
        <v>1</v>
      </c>
      <c r="B244" s="1442" t="s">
        <v>1381</v>
      </c>
      <c r="C244" s="1442" t="s">
        <v>1381</v>
      </c>
      <c r="D244" s="1442" t="s">
        <v>1394</v>
      </c>
      <c r="E244" s="1442" t="s">
        <v>1422</v>
      </c>
      <c r="F244" s="1442" t="s">
        <v>1381</v>
      </c>
      <c r="G244" s="1442" t="s">
        <v>1381</v>
      </c>
      <c r="H244" s="1442" t="s">
        <v>1418</v>
      </c>
      <c r="I244" s="1442"/>
      <c r="J244" s="1442"/>
      <c r="K244" s="771" t="s">
        <v>2260</v>
      </c>
      <c r="L244" s="1214"/>
      <c r="M244" s="1214"/>
      <c r="N244" s="1214"/>
      <c r="O244" s="1206">
        <f t="shared" si="33"/>
        <v>0</v>
      </c>
      <c r="P244" s="1214"/>
      <c r="Q244" s="1214"/>
      <c r="R244" s="1214"/>
      <c r="S244" s="1214"/>
      <c r="T244" s="1214"/>
      <c r="U244" s="1214"/>
      <c r="V244" s="1214"/>
      <c r="W244" s="637" t="e">
        <f t="shared" si="32"/>
        <v>#DIV/0!</v>
      </c>
      <c r="X244" s="788"/>
      <c r="Y244" s="788"/>
    </row>
    <row r="245" spans="1:25" s="778" customFormat="1" ht="22.5" customHeight="1" thickTop="1" thickBot="1" x14ac:dyDescent="0.3">
      <c r="A245" s="1441">
        <v>1</v>
      </c>
      <c r="B245" s="1442" t="s">
        <v>1381</v>
      </c>
      <c r="C245" s="1442" t="s">
        <v>1381</v>
      </c>
      <c r="D245" s="1442" t="s">
        <v>1394</v>
      </c>
      <c r="E245" s="1442" t="s">
        <v>1422</v>
      </c>
      <c r="F245" s="1442" t="s">
        <v>1381</v>
      </c>
      <c r="G245" s="1442" t="s">
        <v>1381</v>
      </c>
      <c r="H245" s="1442" t="s">
        <v>1422</v>
      </c>
      <c r="I245" s="1442"/>
      <c r="J245" s="1442"/>
      <c r="K245" s="771" t="s">
        <v>2261</v>
      </c>
      <c r="L245" s="1214"/>
      <c r="M245" s="1214"/>
      <c r="N245" s="1214"/>
      <c r="O245" s="1206">
        <f t="shared" si="33"/>
        <v>0</v>
      </c>
      <c r="P245" s="1214"/>
      <c r="Q245" s="1214"/>
      <c r="R245" s="1214"/>
      <c r="S245" s="1214"/>
      <c r="T245" s="1214"/>
      <c r="U245" s="1214"/>
      <c r="V245" s="1214"/>
      <c r="W245" s="637" t="e">
        <f t="shared" si="32"/>
        <v>#DIV/0!</v>
      </c>
      <c r="X245" s="788"/>
      <c r="Y245" s="788"/>
    </row>
    <row r="246" spans="1:25" s="778" customFormat="1" ht="22.5" customHeight="1" thickTop="1" thickBot="1" x14ac:dyDescent="0.3">
      <c r="A246" s="1441">
        <v>1</v>
      </c>
      <c r="B246" s="1442" t="s">
        <v>1381</v>
      </c>
      <c r="C246" s="1442" t="s">
        <v>1381</v>
      </c>
      <c r="D246" s="1442" t="s">
        <v>1394</v>
      </c>
      <c r="E246" s="1442" t="s">
        <v>1422</v>
      </c>
      <c r="F246" s="1442" t="s">
        <v>1381</v>
      </c>
      <c r="G246" s="1442" t="s">
        <v>1381</v>
      </c>
      <c r="H246" s="1442" t="s">
        <v>1447</v>
      </c>
      <c r="I246" s="1442"/>
      <c r="J246" s="1442"/>
      <c r="K246" s="771" t="s">
        <v>2262</v>
      </c>
      <c r="L246" s="1214"/>
      <c r="M246" s="1214"/>
      <c r="N246" s="1214"/>
      <c r="O246" s="1206">
        <f t="shared" si="33"/>
        <v>0</v>
      </c>
      <c r="P246" s="1214"/>
      <c r="Q246" s="1214"/>
      <c r="R246" s="1214"/>
      <c r="S246" s="1214"/>
      <c r="T246" s="1214"/>
      <c r="U246" s="1214"/>
      <c r="V246" s="1214"/>
      <c r="W246" s="637" t="e">
        <f t="shared" si="32"/>
        <v>#DIV/0!</v>
      </c>
      <c r="X246" s="788"/>
      <c r="Y246" s="788"/>
    </row>
    <row r="247" spans="1:25" s="778" customFormat="1" ht="22.5" customHeight="1" thickTop="1" thickBot="1" x14ac:dyDescent="0.3">
      <c r="A247" s="1441">
        <v>1</v>
      </c>
      <c r="B247" s="1442" t="s">
        <v>1381</v>
      </c>
      <c r="C247" s="1442" t="s">
        <v>1381</v>
      </c>
      <c r="D247" s="1442" t="s">
        <v>1394</v>
      </c>
      <c r="E247" s="1442" t="s">
        <v>1422</v>
      </c>
      <c r="F247" s="1442" t="s">
        <v>1381</v>
      </c>
      <c r="G247" s="1442" t="s">
        <v>1381</v>
      </c>
      <c r="H247" s="1442" t="s">
        <v>1470</v>
      </c>
      <c r="I247" s="1442"/>
      <c r="J247" s="1442"/>
      <c r="K247" s="771" t="s">
        <v>2263</v>
      </c>
      <c r="L247" s="1214"/>
      <c r="M247" s="1214"/>
      <c r="N247" s="1214"/>
      <c r="O247" s="1206">
        <f t="shared" si="33"/>
        <v>0</v>
      </c>
      <c r="P247" s="1214"/>
      <c r="Q247" s="1214"/>
      <c r="R247" s="1214"/>
      <c r="S247" s="1214"/>
      <c r="T247" s="1214"/>
      <c r="U247" s="1214"/>
      <c r="V247" s="1214"/>
      <c r="W247" s="637" t="e">
        <f t="shared" si="32"/>
        <v>#DIV/0!</v>
      </c>
      <c r="X247" s="788"/>
      <c r="Y247" s="788"/>
    </row>
    <row r="248" spans="1:25" s="778" customFormat="1" ht="22.5" customHeight="1" thickTop="1" thickBot="1" x14ac:dyDescent="0.3">
      <c r="A248" s="1441">
        <v>1</v>
      </c>
      <c r="B248" s="1442" t="s">
        <v>1381</v>
      </c>
      <c r="C248" s="1442" t="s">
        <v>1381</v>
      </c>
      <c r="D248" s="1442" t="s">
        <v>1394</v>
      </c>
      <c r="E248" s="1442" t="s">
        <v>1422</v>
      </c>
      <c r="F248" s="1442" t="s">
        <v>1381</v>
      </c>
      <c r="G248" s="1442" t="s">
        <v>1381</v>
      </c>
      <c r="H248" s="1442" t="s">
        <v>1474</v>
      </c>
      <c r="I248" s="1442"/>
      <c r="J248" s="1442"/>
      <c r="K248" s="771" t="s">
        <v>2264</v>
      </c>
      <c r="L248" s="1214"/>
      <c r="M248" s="1214"/>
      <c r="N248" s="1214"/>
      <c r="O248" s="1206">
        <f t="shared" si="33"/>
        <v>0</v>
      </c>
      <c r="P248" s="1214"/>
      <c r="Q248" s="1214"/>
      <c r="R248" s="1214"/>
      <c r="S248" s="1214"/>
      <c r="T248" s="1214"/>
      <c r="U248" s="1214"/>
      <c r="V248" s="1214"/>
      <c r="W248" s="637" t="e">
        <f t="shared" si="32"/>
        <v>#DIV/0!</v>
      </c>
      <c r="X248" s="788"/>
      <c r="Y248" s="788"/>
    </row>
    <row r="249" spans="1:25" s="778" customFormat="1" ht="22.5" customHeight="1" thickTop="1" thickBot="1" x14ac:dyDescent="0.3">
      <c r="A249" s="1441">
        <v>1</v>
      </c>
      <c r="B249" s="1442" t="s">
        <v>1381</v>
      </c>
      <c r="C249" s="1442" t="s">
        <v>1381</v>
      </c>
      <c r="D249" s="1442" t="s">
        <v>1394</v>
      </c>
      <c r="E249" s="1442" t="s">
        <v>1422</v>
      </c>
      <c r="F249" s="1442" t="s">
        <v>1381</v>
      </c>
      <c r="G249" s="1442" t="s">
        <v>1381</v>
      </c>
      <c r="H249" s="1442" t="s">
        <v>1478</v>
      </c>
      <c r="I249" s="1442"/>
      <c r="J249" s="1442"/>
      <c r="K249" s="771" t="s">
        <v>2265</v>
      </c>
      <c r="L249" s="1214"/>
      <c r="M249" s="1214"/>
      <c r="N249" s="1214"/>
      <c r="O249" s="1206">
        <f t="shared" si="33"/>
        <v>0</v>
      </c>
      <c r="P249" s="1214"/>
      <c r="Q249" s="1214"/>
      <c r="R249" s="1214"/>
      <c r="S249" s="1214"/>
      <c r="T249" s="1214"/>
      <c r="U249" s="1214"/>
      <c r="V249" s="1214"/>
      <c r="W249" s="637" t="e">
        <f t="shared" si="32"/>
        <v>#DIV/0!</v>
      </c>
      <c r="X249" s="788"/>
      <c r="Y249" s="788"/>
    </row>
    <row r="250" spans="1:25" s="778" customFormat="1" ht="22.5" customHeight="1" thickTop="1" thickBot="1" x14ac:dyDescent="0.3">
      <c r="A250" s="1441">
        <v>1</v>
      </c>
      <c r="B250" s="1442" t="s">
        <v>1381</v>
      </c>
      <c r="C250" s="1442" t="s">
        <v>1381</v>
      </c>
      <c r="D250" s="1442" t="s">
        <v>1394</v>
      </c>
      <c r="E250" s="1442" t="s">
        <v>1422</v>
      </c>
      <c r="F250" s="1442" t="s">
        <v>1381</v>
      </c>
      <c r="G250" s="1442" t="s">
        <v>1381</v>
      </c>
      <c r="H250" s="1442" t="s">
        <v>1576</v>
      </c>
      <c r="I250" s="1442"/>
      <c r="J250" s="1442"/>
      <c r="K250" s="771" t="s">
        <v>2266</v>
      </c>
      <c r="L250" s="1214"/>
      <c r="M250" s="1214"/>
      <c r="N250" s="1214"/>
      <c r="O250" s="1206">
        <f t="shared" si="33"/>
        <v>0</v>
      </c>
      <c r="P250" s="1214"/>
      <c r="Q250" s="1214"/>
      <c r="R250" s="1214"/>
      <c r="S250" s="1214"/>
      <c r="T250" s="1214"/>
      <c r="U250" s="1214"/>
      <c r="V250" s="1214"/>
      <c r="W250" s="637" t="e">
        <f t="shared" si="32"/>
        <v>#DIV/0!</v>
      </c>
      <c r="X250" s="788"/>
      <c r="Y250" s="788"/>
    </row>
    <row r="251" spans="1:25" s="778" customFormat="1" ht="22.5" customHeight="1" thickTop="1" thickBot="1" x14ac:dyDescent="0.3">
      <c r="A251" s="1441">
        <v>1</v>
      </c>
      <c r="B251" s="1442" t="s">
        <v>1381</v>
      </c>
      <c r="C251" s="1442" t="s">
        <v>1381</v>
      </c>
      <c r="D251" s="1442" t="s">
        <v>1394</v>
      </c>
      <c r="E251" s="1442" t="s">
        <v>1422</v>
      </c>
      <c r="F251" s="1442" t="s">
        <v>1381</v>
      </c>
      <c r="G251" s="1442" t="s">
        <v>1381</v>
      </c>
      <c r="H251" s="1442" t="s">
        <v>1577</v>
      </c>
      <c r="I251" s="1442"/>
      <c r="J251" s="1442"/>
      <c r="K251" s="771" t="s">
        <v>2267</v>
      </c>
      <c r="L251" s="1214"/>
      <c r="M251" s="1214"/>
      <c r="N251" s="1214"/>
      <c r="O251" s="1206">
        <f t="shared" si="33"/>
        <v>0</v>
      </c>
      <c r="P251" s="1214"/>
      <c r="Q251" s="1214"/>
      <c r="R251" s="1214"/>
      <c r="S251" s="1214"/>
      <c r="T251" s="1214"/>
      <c r="U251" s="1214"/>
      <c r="V251" s="1214"/>
      <c r="W251" s="637" t="e">
        <f t="shared" si="32"/>
        <v>#DIV/0!</v>
      </c>
      <c r="X251" s="788"/>
      <c r="Y251" s="788"/>
    </row>
    <row r="252" spans="1:25" s="778" customFormat="1" ht="22.5" customHeight="1" thickTop="1" thickBot="1" x14ac:dyDescent="0.3">
      <c r="A252" s="1441">
        <v>1</v>
      </c>
      <c r="B252" s="1442" t="s">
        <v>1381</v>
      </c>
      <c r="C252" s="1442" t="s">
        <v>1381</v>
      </c>
      <c r="D252" s="1442" t="s">
        <v>1394</v>
      </c>
      <c r="E252" s="1442" t="s">
        <v>1422</v>
      </c>
      <c r="F252" s="1442" t="s">
        <v>1381</v>
      </c>
      <c r="G252" s="1442" t="s">
        <v>1381</v>
      </c>
      <c r="H252" s="1442" t="s">
        <v>1578</v>
      </c>
      <c r="I252" s="1442"/>
      <c r="J252" s="1442"/>
      <c r="K252" s="771" t="s">
        <v>2268</v>
      </c>
      <c r="L252" s="1214"/>
      <c r="M252" s="1214"/>
      <c r="N252" s="1214"/>
      <c r="O252" s="1206">
        <f t="shared" si="33"/>
        <v>0</v>
      </c>
      <c r="P252" s="1214"/>
      <c r="Q252" s="1214"/>
      <c r="R252" s="1214"/>
      <c r="S252" s="1214"/>
      <c r="T252" s="1214"/>
      <c r="U252" s="1214"/>
      <c r="V252" s="1214"/>
      <c r="W252" s="637" t="e">
        <f t="shared" si="32"/>
        <v>#DIV/0!</v>
      </c>
      <c r="X252" s="788"/>
      <c r="Y252" s="788"/>
    </row>
    <row r="253" spans="1:25" s="183" customFormat="1" ht="22.5" customHeight="1" thickTop="1" thickBot="1" x14ac:dyDescent="0.3">
      <c r="A253" s="1439">
        <v>1</v>
      </c>
      <c r="B253" s="1440" t="s">
        <v>1381</v>
      </c>
      <c r="C253" s="1440" t="s">
        <v>1381</v>
      </c>
      <c r="D253" s="1440" t="s">
        <v>1394</v>
      </c>
      <c r="E253" s="1440" t="s">
        <v>1422</v>
      </c>
      <c r="F253" s="1440" t="s">
        <v>1394</v>
      </c>
      <c r="G253" s="1440"/>
      <c r="H253" s="1440"/>
      <c r="I253" s="1440"/>
      <c r="J253" s="1440"/>
      <c r="K253" s="770" t="s">
        <v>2009</v>
      </c>
      <c r="L253" s="1215">
        <f>+L254</f>
        <v>0</v>
      </c>
      <c r="M253" s="1215">
        <f t="shared" ref="M253:V253" si="42">+M254</f>
        <v>0</v>
      </c>
      <c r="N253" s="1215">
        <f t="shared" si="42"/>
        <v>0</v>
      </c>
      <c r="O253" s="1206">
        <f t="shared" si="33"/>
        <v>0</v>
      </c>
      <c r="P253" s="1215">
        <f t="shared" si="42"/>
        <v>0</v>
      </c>
      <c r="Q253" s="1215">
        <f t="shared" si="42"/>
        <v>0</v>
      </c>
      <c r="R253" s="1215">
        <f t="shared" si="42"/>
        <v>0</v>
      </c>
      <c r="S253" s="1215"/>
      <c r="T253" s="1215">
        <f t="shared" si="42"/>
        <v>0</v>
      </c>
      <c r="U253" s="1215">
        <f t="shared" si="42"/>
        <v>0</v>
      </c>
      <c r="V253" s="1215">
        <f t="shared" si="42"/>
        <v>0</v>
      </c>
      <c r="W253" s="631" t="e">
        <f t="shared" si="32"/>
        <v>#DIV/0!</v>
      </c>
      <c r="X253" s="788" t="s">
        <v>1510</v>
      </c>
      <c r="Y253" s="788"/>
    </row>
    <row r="254" spans="1:25" s="183" customFormat="1" ht="22.5" customHeight="1" thickTop="1" thickBot="1" x14ac:dyDescent="0.3">
      <c r="A254" s="1441">
        <v>1</v>
      </c>
      <c r="B254" s="1442" t="s">
        <v>1381</v>
      </c>
      <c r="C254" s="1442" t="s">
        <v>1381</v>
      </c>
      <c r="D254" s="1442" t="s">
        <v>1394</v>
      </c>
      <c r="E254" s="1442" t="s">
        <v>1422</v>
      </c>
      <c r="F254" s="1442" t="s">
        <v>1394</v>
      </c>
      <c r="G254" s="1442" t="s">
        <v>1381</v>
      </c>
      <c r="H254" s="1442"/>
      <c r="I254" s="1442"/>
      <c r="J254" s="1442"/>
      <c r="K254" s="773" t="s">
        <v>1498</v>
      </c>
      <c r="L254" s="1215">
        <f>+L255+L267+L279</f>
        <v>0</v>
      </c>
      <c r="M254" s="1215">
        <f t="shared" ref="M254:V254" si="43">+M255+M267+M279</f>
        <v>0</v>
      </c>
      <c r="N254" s="1215">
        <f t="shared" si="43"/>
        <v>0</v>
      </c>
      <c r="O254" s="1206">
        <f t="shared" si="33"/>
        <v>0</v>
      </c>
      <c r="P254" s="1215">
        <f t="shared" si="43"/>
        <v>0</v>
      </c>
      <c r="Q254" s="1215">
        <f t="shared" si="43"/>
        <v>0</v>
      </c>
      <c r="R254" s="1215">
        <f t="shared" si="43"/>
        <v>0</v>
      </c>
      <c r="S254" s="1215"/>
      <c r="T254" s="1215">
        <f t="shared" si="43"/>
        <v>0</v>
      </c>
      <c r="U254" s="1215">
        <f t="shared" si="43"/>
        <v>0</v>
      </c>
      <c r="V254" s="1215">
        <f t="shared" si="43"/>
        <v>0</v>
      </c>
      <c r="W254" s="631" t="e">
        <f t="shared" si="32"/>
        <v>#DIV/0!</v>
      </c>
      <c r="X254" s="788" t="s">
        <v>2010</v>
      </c>
      <c r="Y254" s="788" t="s">
        <v>1513</v>
      </c>
    </row>
    <row r="255" spans="1:25" ht="22.5" customHeight="1" thickTop="1" thickBot="1" x14ac:dyDescent="0.3">
      <c r="A255" s="1441">
        <v>1</v>
      </c>
      <c r="B255" s="1442" t="s">
        <v>1381</v>
      </c>
      <c r="C255" s="1442" t="s">
        <v>1381</v>
      </c>
      <c r="D255" s="1442" t="s">
        <v>1394</v>
      </c>
      <c r="E255" s="1442" t="s">
        <v>1422</v>
      </c>
      <c r="F255" s="1442" t="s">
        <v>1394</v>
      </c>
      <c r="G255" s="1442" t="s">
        <v>1381</v>
      </c>
      <c r="H255" s="1442" t="s">
        <v>1381</v>
      </c>
      <c r="I255" s="1442"/>
      <c r="J255" s="1442"/>
      <c r="K255" s="771" t="s">
        <v>1511</v>
      </c>
      <c r="L255" s="1206">
        <f>SUM(L256:L266)</f>
        <v>0</v>
      </c>
      <c r="M255" s="1206">
        <f t="shared" ref="M255:V255" si="44">SUM(M256:M266)</f>
        <v>0</v>
      </c>
      <c r="N255" s="1206">
        <f t="shared" si="44"/>
        <v>0</v>
      </c>
      <c r="O255" s="1206">
        <f t="shared" si="33"/>
        <v>0</v>
      </c>
      <c r="P255" s="1206">
        <f t="shared" si="44"/>
        <v>0</v>
      </c>
      <c r="Q255" s="1206">
        <f t="shared" si="44"/>
        <v>0</v>
      </c>
      <c r="R255" s="1206">
        <f t="shared" si="44"/>
        <v>0</v>
      </c>
      <c r="S255" s="1206"/>
      <c r="T255" s="1206">
        <f t="shared" si="44"/>
        <v>0</v>
      </c>
      <c r="U255" s="1206">
        <f t="shared" si="44"/>
        <v>0</v>
      </c>
      <c r="V255" s="1206">
        <f t="shared" si="44"/>
        <v>0</v>
      </c>
      <c r="W255" s="779" t="e">
        <f t="shared" si="32"/>
        <v>#DIV/0!</v>
      </c>
      <c r="X255" s="788" t="s">
        <v>1512</v>
      </c>
      <c r="Y255" s="788" t="s">
        <v>1513</v>
      </c>
    </row>
    <row r="256" spans="1:25" ht="22.5" customHeight="1" thickTop="1" thickBot="1" x14ac:dyDescent="0.3">
      <c r="A256" s="1441">
        <v>1</v>
      </c>
      <c r="B256" s="1442" t="s">
        <v>1381</v>
      </c>
      <c r="C256" s="1442" t="s">
        <v>1381</v>
      </c>
      <c r="D256" s="1442" t="s">
        <v>1394</v>
      </c>
      <c r="E256" s="1442" t="s">
        <v>1422</v>
      </c>
      <c r="F256" s="1442" t="s">
        <v>1394</v>
      </c>
      <c r="G256" s="1442" t="s">
        <v>1381</v>
      </c>
      <c r="H256" s="1442" t="s">
        <v>1381</v>
      </c>
      <c r="I256" s="1442" t="s">
        <v>1381</v>
      </c>
      <c r="J256" s="1442"/>
      <c r="K256" s="771" t="s">
        <v>1514</v>
      </c>
      <c r="L256" s="1206"/>
      <c r="M256" s="1206"/>
      <c r="N256" s="1206"/>
      <c r="O256" s="1206">
        <f t="shared" si="33"/>
        <v>0</v>
      </c>
      <c r="P256" s="1206"/>
      <c r="Q256" s="1206"/>
      <c r="R256" s="1206"/>
      <c r="S256" s="1206"/>
      <c r="T256" s="1206"/>
      <c r="U256" s="1206"/>
      <c r="V256" s="1206"/>
      <c r="W256" s="779" t="e">
        <f t="shared" si="32"/>
        <v>#DIV/0!</v>
      </c>
      <c r="X256" s="788"/>
      <c r="Y256" s="788"/>
    </row>
    <row r="257" spans="1:25" ht="22.5" customHeight="1" thickTop="1" thickBot="1" x14ac:dyDescent="0.3">
      <c r="A257" s="1441">
        <v>1</v>
      </c>
      <c r="B257" s="1442" t="s">
        <v>1381</v>
      </c>
      <c r="C257" s="1442" t="s">
        <v>1381</v>
      </c>
      <c r="D257" s="1442" t="s">
        <v>1394</v>
      </c>
      <c r="E257" s="1442" t="s">
        <v>1422</v>
      </c>
      <c r="F257" s="1442" t="s">
        <v>1394</v>
      </c>
      <c r="G257" s="1442" t="s">
        <v>1381</v>
      </c>
      <c r="H257" s="1442" t="s">
        <v>1381</v>
      </c>
      <c r="I257" s="1442" t="s">
        <v>1394</v>
      </c>
      <c r="J257" s="1442"/>
      <c r="K257" s="771" t="s">
        <v>1515</v>
      </c>
      <c r="L257" s="1206"/>
      <c r="M257" s="1206"/>
      <c r="N257" s="1206"/>
      <c r="O257" s="1206">
        <f t="shared" si="33"/>
        <v>0</v>
      </c>
      <c r="P257" s="1206"/>
      <c r="Q257" s="1206"/>
      <c r="R257" s="1206"/>
      <c r="S257" s="1206"/>
      <c r="T257" s="1206"/>
      <c r="U257" s="1206"/>
      <c r="V257" s="1206"/>
      <c r="W257" s="779" t="e">
        <f t="shared" si="32"/>
        <v>#DIV/0!</v>
      </c>
      <c r="X257" s="788"/>
      <c r="Y257" s="788"/>
    </row>
    <row r="258" spans="1:25" ht="22.5" customHeight="1" thickTop="1" thickBot="1" x14ac:dyDescent="0.3">
      <c r="A258" s="1441">
        <v>1</v>
      </c>
      <c r="B258" s="1442" t="s">
        <v>1381</v>
      </c>
      <c r="C258" s="1442" t="s">
        <v>1381</v>
      </c>
      <c r="D258" s="1442" t="s">
        <v>1394</v>
      </c>
      <c r="E258" s="1442" t="s">
        <v>1422</v>
      </c>
      <c r="F258" s="1442" t="s">
        <v>1394</v>
      </c>
      <c r="G258" s="1442" t="s">
        <v>1381</v>
      </c>
      <c r="H258" s="1442" t="s">
        <v>1381</v>
      </c>
      <c r="I258" s="1442" t="s">
        <v>1418</v>
      </c>
      <c r="J258" s="1442"/>
      <c r="K258" s="771" t="s">
        <v>2269</v>
      </c>
      <c r="L258" s="1206"/>
      <c r="M258" s="1206"/>
      <c r="N258" s="1206"/>
      <c r="O258" s="1206">
        <f t="shared" si="33"/>
        <v>0</v>
      </c>
      <c r="P258" s="1206"/>
      <c r="Q258" s="1206"/>
      <c r="R258" s="1206"/>
      <c r="S258" s="1206"/>
      <c r="T258" s="1206"/>
      <c r="U258" s="1206"/>
      <c r="V258" s="1206"/>
      <c r="W258" s="779" t="e">
        <f t="shared" si="32"/>
        <v>#DIV/0!</v>
      </c>
      <c r="X258" s="788"/>
      <c r="Y258" s="788"/>
    </row>
    <row r="259" spans="1:25" ht="22.5" customHeight="1" thickTop="1" thickBot="1" x14ac:dyDescent="0.3">
      <c r="A259" s="1441">
        <v>1</v>
      </c>
      <c r="B259" s="1442" t="s">
        <v>1381</v>
      </c>
      <c r="C259" s="1442" t="s">
        <v>1381</v>
      </c>
      <c r="D259" s="1442" t="s">
        <v>1394</v>
      </c>
      <c r="E259" s="1442" t="s">
        <v>1422</v>
      </c>
      <c r="F259" s="1442" t="s">
        <v>1394</v>
      </c>
      <c r="G259" s="1442" t="s">
        <v>1381</v>
      </c>
      <c r="H259" s="1442" t="s">
        <v>1381</v>
      </c>
      <c r="I259" s="1442" t="s">
        <v>1422</v>
      </c>
      <c r="J259" s="1442"/>
      <c r="K259" s="771" t="s">
        <v>2270</v>
      </c>
      <c r="L259" s="1206"/>
      <c r="M259" s="1206"/>
      <c r="N259" s="1206"/>
      <c r="O259" s="1206">
        <f t="shared" si="33"/>
        <v>0</v>
      </c>
      <c r="P259" s="1206"/>
      <c r="Q259" s="1206"/>
      <c r="R259" s="1206"/>
      <c r="S259" s="1206"/>
      <c r="T259" s="1206"/>
      <c r="U259" s="1206"/>
      <c r="V259" s="1206"/>
      <c r="W259" s="779" t="e">
        <f t="shared" si="32"/>
        <v>#DIV/0!</v>
      </c>
      <c r="X259" s="788"/>
      <c r="Y259" s="788"/>
    </row>
    <row r="260" spans="1:25" ht="22.5" customHeight="1" thickTop="1" thickBot="1" x14ac:dyDescent="0.3">
      <c r="A260" s="1441">
        <v>1</v>
      </c>
      <c r="B260" s="1442" t="s">
        <v>1381</v>
      </c>
      <c r="C260" s="1442" t="s">
        <v>1381</v>
      </c>
      <c r="D260" s="1442" t="s">
        <v>1394</v>
      </c>
      <c r="E260" s="1442" t="s">
        <v>1422</v>
      </c>
      <c r="F260" s="1442" t="s">
        <v>1394</v>
      </c>
      <c r="G260" s="1442" t="s">
        <v>1381</v>
      </c>
      <c r="H260" s="1442" t="s">
        <v>1381</v>
      </c>
      <c r="I260" s="1442" t="s">
        <v>1447</v>
      </c>
      <c r="J260" s="1442"/>
      <c r="K260" s="771" t="s">
        <v>2271</v>
      </c>
      <c r="L260" s="1206"/>
      <c r="M260" s="1206"/>
      <c r="N260" s="1206"/>
      <c r="O260" s="1206">
        <f t="shared" si="33"/>
        <v>0</v>
      </c>
      <c r="P260" s="1206"/>
      <c r="Q260" s="1206"/>
      <c r="R260" s="1206"/>
      <c r="S260" s="1206"/>
      <c r="T260" s="1206"/>
      <c r="U260" s="1206"/>
      <c r="V260" s="1206"/>
      <c r="W260" s="779" t="e">
        <f t="shared" si="32"/>
        <v>#DIV/0!</v>
      </c>
      <c r="X260" s="788"/>
      <c r="Y260" s="788"/>
    </row>
    <row r="261" spans="1:25" ht="22.5" customHeight="1" thickTop="1" thickBot="1" x14ac:dyDescent="0.3">
      <c r="A261" s="1441">
        <v>1</v>
      </c>
      <c r="B261" s="1442" t="s">
        <v>1381</v>
      </c>
      <c r="C261" s="1442" t="s">
        <v>1381</v>
      </c>
      <c r="D261" s="1442" t="s">
        <v>1394</v>
      </c>
      <c r="E261" s="1442" t="s">
        <v>1422</v>
      </c>
      <c r="F261" s="1442" t="s">
        <v>1394</v>
      </c>
      <c r="G261" s="1442" t="s">
        <v>1381</v>
      </c>
      <c r="H261" s="1442" t="s">
        <v>1381</v>
      </c>
      <c r="I261" s="1442" t="s">
        <v>1470</v>
      </c>
      <c r="J261" s="1442"/>
      <c r="K261" s="771" t="s">
        <v>2272</v>
      </c>
      <c r="L261" s="1206"/>
      <c r="M261" s="1206"/>
      <c r="N261" s="1206"/>
      <c r="O261" s="1206">
        <f t="shared" si="33"/>
        <v>0</v>
      </c>
      <c r="P261" s="1206"/>
      <c r="Q261" s="1206"/>
      <c r="R261" s="1206"/>
      <c r="S261" s="1206"/>
      <c r="T261" s="1206"/>
      <c r="U261" s="1206"/>
      <c r="V261" s="1206"/>
      <c r="W261" s="779" t="e">
        <f t="shared" si="32"/>
        <v>#DIV/0!</v>
      </c>
      <c r="X261" s="788"/>
      <c r="Y261" s="788"/>
    </row>
    <row r="262" spans="1:25" ht="22.5" customHeight="1" thickTop="1" thickBot="1" x14ac:dyDescent="0.3">
      <c r="A262" s="1441">
        <v>1</v>
      </c>
      <c r="B262" s="1442" t="s">
        <v>1381</v>
      </c>
      <c r="C262" s="1442" t="s">
        <v>1381</v>
      </c>
      <c r="D262" s="1442" t="s">
        <v>1394</v>
      </c>
      <c r="E262" s="1442" t="s">
        <v>1422</v>
      </c>
      <c r="F262" s="1442" t="s">
        <v>1394</v>
      </c>
      <c r="G262" s="1442" t="s">
        <v>1381</v>
      </c>
      <c r="H262" s="1442" t="s">
        <v>1381</v>
      </c>
      <c r="I262" s="1442" t="s">
        <v>1474</v>
      </c>
      <c r="J262" s="1442"/>
      <c r="K262" s="771" t="s">
        <v>2273</v>
      </c>
      <c r="L262" s="1206"/>
      <c r="M262" s="1206"/>
      <c r="N262" s="1206"/>
      <c r="O262" s="1206">
        <f t="shared" si="33"/>
        <v>0</v>
      </c>
      <c r="P262" s="1206"/>
      <c r="Q262" s="1206"/>
      <c r="R262" s="1206"/>
      <c r="S262" s="1206"/>
      <c r="T262" s="1206"/>
      <c r="U262" s="1206"/>
      <c r="V262" s="1206"/>
      <c r="W262" s="779" t="e">
        <f t="shared" si="32"/>
        <v>#DIV/0!</v>
      </c>
      <c r="X262" s="788"/>
      <c r="Y262" s="788"/>
    </row>
    <row r="263" spans="1:25" ht="22.5" customHeight="1" thickTop="1" thickBot="1" x14ac:dyDescent="0.3">
      <c r="A263" s="1441">
        <v>1</v>
      </c>
      <c r="B263" s="1442" t="s">
        <v>1381</v>
      </c>
      <c r="C263" s="1442" t="s">
        <v>1381</v>
      </c>
      <c r="D263" s="1442" t="s">
        <v>1394</v>
      </c>
      <c r="E263" s="1442" t="s">
        <v>1422</v>
      </c>
      <c r="F263" s="1442" t="s">
        <v>1394</v>
      </c>
      <c r="G263" s="1442" t="s">
        <v>1381</v>
      </c>
      <c r="H263" s="1442" t="s">
        <v>1381</v>
      </c>
      <c r="I263" s="1442" t="s">
        <v>1478</v>
      </c>
      <c r="J263" s="1442"/>
      <c r="K263" s="771" t="s">
        <v>2274</v>
      </c>
      <c r="L263" s="1206"/>
      <c r="M263" s="1206"/>
      <c r="N263" s="1206"/>
      <c r="O263" s="1206">
        <f t="shared" si="33"/>
        <v>0</v>
      </c>
      <c r="P263" s="1206"/>
      <c r="Q263" s="1206"/>
      <c r="R263" s="1206"/>
      <c r="S263" s="1206"/>
      <c r="T263" s="1206"/>
      <c r="U263" s="1206"/>
      <c r="V263" s="1206"/>
      <c r="W263" s="779" t="e">
        <f t="shared" ref="W263:W326" si="45">V263/O263</f>
        <v>#DIV/0!</v>
      </c>
      <c r="X263" s="788"/>
      <c r="Y263" s="788"/>
    </row>
    <row r="264" spans="1:25" ht="22.5" customHeight="1" thickTop="1" thickBot="1" x14ac:dyDescent="0.3">
      <c r="A264" s="1441">
        <v>1</v>
      </c>
      <c r="B264" s="1442" t="s">
        <v>1381</v>
      </c>
      <c r="C264" s="1442" t="s">
        <v>1381</v>
      </c>
      <c r="D264" s="1442" t="s">
        <v>1394</v>
      </c>
      <c r="E264" s="1442" t="s">
        <v>1422</v>
      </c>
      <c r="F264" s="1442" t="s">
        <v>1394</v>
      </c>
      <c r="G264" s="1442" t="s">
        <v>1381</v>
      </c>
      <c r="H264" s="1442" t="s">
        <v>1381</v>
      </c>
      <c r="I264" s="1442" t="s">
        <v>1576</v>
      </c>
      <c r="J264" s="1442"/>
      <c r="K264" s="771" t="s">
        <v>2275</v>
      </c>
      <c r="L264" s="1206"/>
      <c r="M264" s="1206"/>
      <c r="N264" s="1206"/>
      <c r="O264" s="1206">
        <f t="shared" ref="O264:O327" si="46">L264+M264-N264</f>
        <v>0</v>
      </c>
      <c r="P264" s="1206"/>
      <c r="Q264" s="1206"/>
      <c r="R264" s="1206"/>
      <c r="S264" s="1206"/>
      <c r="T264" s="1206"/>
      <c r="U264" s="1206"/>
      <c r="V264" s="1206"/>
      <c r="W264" s="779" t="e">
        <f t="shared" si="45"/>
        <v>#DIV/0!</v>
      </c>
      <c r="X264" s="788"/>
      <c r="Y264" s="788"/>
    </row>
    <row r="265" spans="1:25" ht="22.5" customHeight="1" thickTop="1" thickBot="1" x14ac:dyDescent="0.3">
      <c r="A265" s="1441">
        <v>1</v>
      </c>
      <c r="B265" s="1442" t="s">
        <v>1381</v>
      </c>
      <c r="C265" s="1442" t="s">
        <v>1381</v>
      </c>
      <c r="D265" s="1442" t="s">
        <v>1394</v>
      </c>
      <c r="E265" s="1442" t="s">
        <v>1422</v>
      </c>
      <c r="F265" s="1442" t="s">
        <v>1394</v>
      </c>
      <c r="G265" s="1442" t="s">
        <v>1381</v>
      </c>
      <c r="H265" s="1442" t="s">
        <v>1381</v>
      </c>
      <c r="I265" s="1442" t="s">
        <v>1577</v>
      </c>
      <c r="J265" s="1442"/>
      <c r="K265" s="771" t="s">
        <v>2276</v>
      </c>
      <c r="L265" s="1206"/>
      <c r="M265" s="1206"/>
      <c r="N265" s="1206"/>
      <c r="O265" s="1206">
        <f t="shared" si="46"/>
        <v>0</v>
      </c>
      <c r="P265" s="1206"/>
      <c r="Q265" s="1206"/>
      <c r="R265" s="1206"/>
      <c r="S265" s="1206"/>
      <c r="T265" s="1206"/>
      <c r="U265" s="1206"/>
      <c r="V265" s="1206"/>
      <c r="W265" s="779" t="e">
        <f t="shared" si="45"/>
        <v>#DIV/0!</v>
      </c>
      <c r="X265" s="788"/>
      <c r="Y265" s="788"/>
    </row>
    <row r="266" spans="1:25" ht="22.5" customHeight="1" thickTop="1" thickBot="1" x14ac:dyDescent="0.3">
      <c r="A266" s="1441">
        <v>1</v>
      </c>
      <c r="B266" s="1442" t="s">
        <v>1381</v>
      </c>
      <c r="C266" s="1442" t="s">
        <v>1381</v>
      </c>
      <c r="D266" s="1442" t="s">
        <v>1394</v>
      </c>
      <c r="E266" s="1442" t="s">
        <v>1422</v>
      </c>
      <c r="F266" s="1442" t="s">
        <v>1394</v>
      </c>
      <c r="G266" s="1442" t="s">
        <v>1381</v>
      </c>
      <c r="H266" s="1442" t="s">
        <v>1381</v>
      </c>
      <c r="I266" s="1442" t="s">
        <v>1578</v>
      </c>
      <c r="J266" s="1442"/>
      <c r="K266" s="771" t="s">
        <v>2277</v>
      </c>
      <c r="L266" s="1206"/>
      <c r="M266" s="1206"/>
      <c r="N266" s="1206"/>
      <c r="O266" s="1206">
        <f t="shared" si="46"/>
        <v>0</v>
      </c>
      <c r="P266" s="1206"/>
      <c r="Q266" s="1206"/>
      <c r="R266" s="1206"/>
      <c r="S266" s="1206"/>
      <c r="T266" s="1206"/>
      <c r="U266" s="1206"/>
      <c r="V266" s="1206"/>
      <c r="W266" s="779" t="e">
        <f t="shared" si="45"/>
        <v>#DIV/0!</v>
      </c>
      <c r="X266" s="788"/>
      <c r="Y266" s="788"/>
    </row>
    <row r="267" spans="1:25" ht="22.5" customHeight="1" thickTop="1" thickBot="1" x14ac:dyDescent="0.3">
      <c r="A267" s="1441">
        <v>1</v>
      </c>
      <c r="B267" s="1442" t="s">
        <v>1381</v>
      </c>
      <c r="C267" s="1442" t="s">
        <v>1381</v>
      </c>
      <c r="D267" s="1442" t="s">
        <v>1394</v>
      </c>
      <c r="E267" s="1442" t="s">
        <v>1422</v>
      </c>
      <c r="F267" s="1442" t="s">
        <v>1394</v>
      </c>
      <c r="G267" s="1442" t="s">
        <v>1381</v>
      </c>
      <c r="H267" s="1442" t="s">
        <v>1394</v>
      </c>
      <c r="I267" s="1442"/>
      <c r="J267" s="1442"/>
      <c r="K267" s="773" t="s">
        <v>2011</v>
      </c>
      <c r="L267" s="1211">
        <f>SUM(L268:L278)</f>
        <v>0</v>
      </c>
      <c r="M267" s="1211">
        <f t="shared" ref="M267:V267" si="47">SUM(M268:M278)</f>
        <v>0</v>
      </c>
      <c r="N267" s="1211">
        <f t="shared" si="47"/>
        <v>0</v>
      </c>
      <c r="O267" s="1206">
        <f t="shared" si="46"/>
        <v>0</v>
      </c>
      <c r="P267" s="1211">
        <f t="shared" si="47"/>
        <v>0</v>
      </c>
      <c r="Q267" s="1211">
        <f t="shared" si="47"/>
        <v>0</v>
      </c>
      <c r="R267" s="1211">
        <f t="shared" si="47"/>
        <v>0</v>
      </c>
      <c r="S267" s="1211"/>
      <c r="T267" s="1211">
        <f t="shared" si="47"/>
        <v>0</v>
      </c>
      <c r="U267" s="1211">
        <f t="shared" si="47"/>
        <v>0</v>
      </c>
      <c r="V267" s="1211">
        <f t="shared" si="47"/>
        <v>0</v>
      </c>
      <c r="W267" s="780" t="e">
        <f t="shared" si="45"/>
        <v>#DIV/0!</v>
      </c>
      <c r="X267" s="788" t="s">
        <v>2012</v>
      </c>
      <c r="Y267" s="788" t="s">
        <v>1513</v>
      </c>
    </row>
    <row r="268" spans="1:25" ht="22.5" customHeight="1" thickTop="1" thickBot="1" x14ac:dyDescent="0.3">
      <c r="A268" s="1441">
        <v>1</v>
      </c>
      <c r="B268" s="1442" t="s">
        <v>1381</v>
      </c>
      <c r="C268" s="1442" t="s">
        <v>1381</v>
      </c>
      <c r="D268" s="1442" t="s">
        <v>1394</v>
      </c>
      <c r="E268" s="1442" t="s">
        <v>1422</v>
      </c>
      <c r="F268" s="1442" t="s">
        <v>1394</v>
      </c>
      <c r="G268" s="1442" t="s">
        <v>1381</v>
      </c>
      <c r="H268" s="1442" t="s">
        <v>1394</v>
      </c>
      <c r="I268" s="1442" t="s">
        <v>1381</v>
      </c>
      <c r="J268" s="1442"/>
      <c r="K268" s="771" t="s">
        <v>2278</v>
      </c>
      <c r="L268" s="1211"/>
      <c r="M268" s="1211"/>
      <c r="N268" s="1211"/>
      <c r="O268" s="1206">
        <f t="shared" si="46"/>
        <v>0</v>
      </c>
      <c r="P268" s="1211"/>
      <c r="Q268" s="1211"/>
      <c r="R268" s="1211"/>
      <c r="S268" s="1211"/>
      <c r="T268" s="1211"/>
      <c r="U268" s="1211"/>
      <c r="V268" s="1211"/>
      <c r="W268" s="780" t="e">
        <f t="shared" si="45"/>
        <v>#DIV/0!</v>
      </c>
      <c r="X268" s="788"/>
      <c r="Y268" s="788"/>
    </row>
    <row r="269" spans="1:25" ht="22.5" customHeight="1" thickTop="1" thickBot="1" x14ac:dyDescent="0.3">
      <c r="A269" s="1441">
        <v>1</v>
      </c>
      <c r="B269" s="1442" t="s">
        <v>1381</v>
      </c>
      <c r="C269" s="1442" t="s">
        <v>1381</v>
      </c>
      <c r="D269" s="1442" t="s">
        <v>1394</v>
      </c>
      <c r="E269" s="1442" t="s">
        <v>1422</v>
      </c>
      <c r="F269" s="1442" t="s">
        <v>1394</v>
      </c>
      <c r="G269" s="1442" t="s">
        <v>1381</v>
      </c>
      <c r="H269" s="1442" t="s">
        <v>1394</v>
      </c>
      <c r="I269" s="1442" t="s">
        <v>1394</v>
      </c>
      <c r="J269" s="1442"/>
      <c r="K269" s="771" t="s">
        <v>2279</v>
      </c>
      <c r="L269" s="1211"/>
      <c r="M269" s="1211"/>
      <c r="N269" s="1211"/>
      <c r="O269" s="1206">
        <f t="shared" si="46"/>
        <v>0</v>
      </c>
      <c r="P269" s="1211"/>
      <c r="Q269" s="1211"/>
      <c r="R269" s="1211"/>
      <c r="S269" s="1211"/>
      <c r="T269" s="1211"/>
      <c r="U269" s="1211"/>
      <c r="V269" s="1211"/>
      <c r="W269" s="780" t="e">
        <f t="shared" si="45"/>
        <v>#DIV/0!</v>
      </c>
      <c r="X269" s="788"/>
      <c r="Y269" s="788"/>
    </row>
    <row r="270" spans="1:25" ht="22.5" customHeight="1" thickTop="1" thickBot="1" x14ac:dyDescent="0.3">
      <c r="A270" s="1441">
        <v>1</v>
      </c>
      <c r="B270" s="1442" t="s">
        <v>1381</v>
      </c>
      <c r="C270" s="1442" t="s">
        <v>1381</v>
      </c>
      <c r="D270" s="1442" t="s">
        <v>1394</v>
      </c>
      <c r="E270" s="1442" t="s">
        <v>1422</v>
      </c>
      <c r="F270" s="1442" t="s">
        <v>1394</v>
      </c>
      <c r="G270" s="1442" t="s">
        <v>1381</v>
      </c>
      <c r="H270" s="1442" t="s">
        <v>1394</v>
      </c>
      <c r="I270" s="1442" t="s">
        <v>1418</v>
      </c>
      <c r="J270" s="1442"/>
      <c r="K270" s="771" t="s">
        <v>2280</v>
      </c>
      <c r="L270" s="1211"/>
      <c r="M270" s="1211"/>
      <c r="N270" s="1211"/>
      <c r="O270" s="1206">
        <f t="shared" si="46"/>
        <v>0</v>
      </c>
      <c r="P270" s="1211"/>
      <c r="Q270" s="1211"/>
      <c r="R270" s="1211"/>
      <c r="S270" s="1211"/>
      <c r="T270" s="1211"/>
      <c r="U270" s="1211"/>
      <c r="V270" s="1211"/>
      <c r="W270" s="780" t="e">
        <f t="shared" si="45"/>
        <v>#DIV/0!</v>
      </c>
      <c r="X270" s="788"/>
      <c r="Y270" s="788"/>
    </row>
    <row r="271" spans="1:25" ht="22.5" customHeight="1" thickTop="1" thickBot="1" x14ac:dyDescent="0.3">
      <c r="A271" s="1441">
        <v>1</v>
      </c>
      <c r="B271" s="1442" t="s">
        <v>1381</v>
      </c>
      <c r="C271" s="1442" t="s">
        <v>1381</v>
      </c>
      <c r="D271" s="1442" t="s">
        <v>1394</v>
      </c>
      <c r="E271" s="1442" t="s">
        <v>1422</v>
      </c>
      <c r="F271" s="1442" t="s">
        <v>1394</v>
      </c>
      <c r="G271" s="1442" t="s">
        <v>1381</v>
      </c>
      <c r="H271" s="1442" t="s">
        <v>1394</v>
      </c>
      <c r="I271" s="1442" t="s">
        <v>1422</v>
      </c>
      <c r="J271" s="1442"/>
      <c r="K271" s="771" t="s">
        <v>2281</v>
      </c>
      <c r="L271" s="1211"/>
      <c r="M271" s="1211"/>
      <c r="N271" s="1211"/>
      <c r="O271" s="1206">
        <f t="shared" si="46"/>
        <v>0</v>
      </c>
      <c r="P271" s="1211"/>
      <c r="Q271" s="1211"/>
      <c r="R271" s="1211"/>
      <c r="S271" s="1211"/>
      <c r="T271" s="1211"/>
      <c r="U271" s="1211"/>
      <c r="V271" s="1211"/>
      <c r="W271" s="780" t="e">
        <f t="shared" si="45"/>
        <v>#DIV/0!</v>
      </c>
      <c r="X271" s="788"/>
      <c r="Y271" s="788"/>
    </row>
    <row r="272" spans="1:25" ht="22.5" customHeight="1" thickTop="1" thickBot="1" x14ac:dyDescent="0.3">
      <c r="A272" s="1441">
        <v>1</v>
      </c>
      <c r="B272" s="1442" t="s">
        <v>1381</v>
      </c>
      <c r="C272" s="1442" t="s">
        <v>1381</v>
      </c>
      <c r="D272" s="1442" t="s">
        <v>1394</v>
      </c>
      <c r="E272" s="1442" t="s">
        <v>1422</v>
      </c>
      <c r="F272" s="1442" t="s">
        <v>1394</v>
      </c>
      <c r="G272" s="1442" t="s">
        <v>1381</v>
      </c>
      <c r="H272" s="1442" t="s">
        <v>1394</v>
      </c>
      <c r="I272" s="1442" t="s">
        <v>1447</v>
      </c>
      <c r="J272" s="1442"/>
      <c r="K272" s="771" t="s">
        <v>2282</v>
      </c>
      <c r="L272" s="1211"/>
      <c r="M272" s="1211"/>
      <c r="N272" s="1211"/>
      <c r="O272" s="1206">
        <f t="shared" si="46"/>
        <v>0</v>
      </c>
      <c r="P272" s="1211"/>
      <c r="Q272" s="1211"/>
      <c r="R272" s="1211"/>
      <c r="S272" s="1211"/>
      <c r="T272" s="1211"/>
      <c r="U272" s="1211"/>
      <c r="V272" s="1211"/>
      <c r="W272" s="780" t="e">
        <f t="shared" si="45"/>
        <v>#DIV/0!</v>
      </c>
      <c r="X272" s="788"/>
      <c r="Y272" s="788"/>
    </row>
    <row r="273" spans="1:25" ht="22.5" customHeight="1" thickTop="1" thickBot="1" x14ac:dyDescent="0.3">
      <c r="A273" s="1441">
        <v>1</v>
      </c>
      <c r="B273" s="1442" t="s">
        <v>1381</v>
      </c>
      <c r="C273" s="1442" t="s">
        <v>1381</v>
      </c>
      <c r="D273" s="1442" t="s">
        <v>1394</v>
      </c>
      <c r="E273" s="1442" t="s">
        <v>1422</v>
      </c>
      <c r="F273" s="1442" t="s">
        <v>1394</v>
      </c>
      <c r="G273" s="1442" t="s">
        <v>1381</v>
      </c>
      <c r="H273" s="1442" t="s">
        <v>1394</v>
      </c>
      <c r="I273" s="1442" t="s">
        <v>1470</v>
      </c>
      <c r="J273" s="1442"/>
      <c r="K273" s="771" t="s">
        <v>2283</v>
      </c>
      <c r="L273" s="1211"/>
      <c r="M273" s="1211"/>
      <c r="N273" s="1211"/>
      <c r="O273" s="1206">
        <f t="shared" si="46"/>
        <v>0</v>
      </c>
      <c r="P273" s="1211"/>
      <c r="Q273" s="1211"/>
      <c r="R273" s="1211"/>
      <c r="S273" s="1211"/>
      <c r="T273" s="1211"/>
      <c r="U273" s="1211"/>
      <c r="V273" s="1211"/>
      <c r="W273" s="780" t="e">
        <f t="shared" si="45"/>
        <v>#DIV/0!</v>
      </c>
      <c r="X273" s="788"/>
      <c r="Y273" s="788"/>
    </row>
    <row r="274" spans="1:25" ht="22.5" customHeight="1" thickTop="1" thickBot="1" x14ac:dyDescent="0.3">
      <c r="A274" s="1441">
        <v>1</v>
      </c>
      <c r="B274" s="1442" t="s">
        <v>1381</v>
      </c>
      <c r="C274" s="1442" t="s">
        <v>1381</v>
      </c>
      <c r="D274" s="1442" t="s">
        <v>1394</v>
      </c>
      <c r="E274" s="1442" t="s">
        <v>1422</v>
      </c>
      <c r="F274" s="1442" t="s">
        <v>1394</v>
      </c>
      <c r="G274" s="1442" t="s">
        <v>1381</v>
      </c>
      <c r="H274" s="1442" t="s">
        <v>1394</v>
      </c>
      <c r="I274" s="1442" t="s">
        <v>1474</v>
      </c>
      <c r="J274" s="1442"/>
      <c r="K274" s="771" t="s">
        <v>2284</v>
      </c>
      <c r="L274" s="1211"/>
      <c r="M274" s="1211"/>
      <c r="N274" s="1211"/>
      <c r="O274" s="1206">
        <f t="shared" si="46"/>
        <v>0</v>
      </c>
      <c r="P274" s="1211"/>
      <c r="Q274" s="1211"/>
      <c r="R274" s="1211"/>
      <c r="S274" s="1211"/>
      <c r="T274" s="1211"/>
      <c r="U274" s="1211"/>
      <c r="V274" s="1211"/>
      <c r="W274" s="780" t="e">
        <f t="shared" si="45"/>
        <v>#DIV/0!</v>
      </c>
      <c r="X274" s="788"/>
      <c r="Y274" s="788"/>
    </row>
    <row r="275" spans="1:25" ht="22.5" customHeight="1" thickTop="1" thickBot="1" x14ac:dyDescent="0.3">
      <c r="A275" s="1441">
        <v>1</v>
      </c>
      <c r="B275" s="1442" t="s">
        <v>1381</v>
      </c>
      <c r="C275" s="1442" t="s">
        <v>1381</v>
      </c>
      <c r="D275" s="1442" t="s">
        <v>1394</v>
      </c>
      <c r="E275" s="1442" t="s">
        <v>1422</v>
      </c>
      <c r="F275" s="1442" t="s">
        <v>1394</v>
      </c>
      <c r="G275" s="1442" t="s">
        <v>1381</v>
      </c>
      <c r="H275" s="1442" t="s">
        <v>1394</v>
      </c>
      <c r="I275" s="1442" t="s">
        <v>1478</v>
      </c>
      <c r="J275" s="1442"/>
      <c r="K275" s="771" t="s">
        <v>2285</v>
      </c>
      <c r="L275" s="1211"/>
      <c r="M275" s="1211"/>
      <c r="N275" s="1211"/>
      <c r="O275" s="1206">
        <f t="shared" si="46"/>
        <v>0</v>
      </c>
      <c r="P275" s="1211"/>
      <c r="Q275" s="1211"/>
      <c r="R275" s="1211"/>
      <c r="S275" s="1211"/>
      <c r="T275" s="1211"/>
      <c r="U275" s="1211"/>
      <c r="V275" s="1211"/>
      <c r="W275" s="780" t="e">
        <f t="shared" si="45"/>
        <v>#DIV/0!</v>
      </c>
      <c r="X275" s="788"/>
      <c r="Y275" s="788"/>
    </row>
    <row r="276" spans="1:25" ht="22.5" customHeight="1" thickTop="1" thickBot="1" x14ac:dyDescent="0.3">
      <c r="A276" s="1441">
        <v>1</v>
      </c>
      <c r="B276" s="1442" t="s">
        <v>1381</v>
      </c>
      <c r="C276" s="1442" t="s">
        <v>1381</v>
      </c>
      <c r="D276" s="1442" t="s">
        <v>1394</v>
      </c>
      <c r="E276" s="1442" t="s">
        <v>1422</v>
      </c>
      <c r="F276" s="1442" t="s">
        <v>1394</v>
      </c>
      <c r="G276" s="1442" t="s">
        <v>1381</v>
      </c>
      <c r="H276" s="1442" t="s">
        <v>1394</v>
      </c>
      <c r="I276" s="1442" t="s">
        <v>1576</v>
      </c>
      <c r="J276" s="1442"/>
      <c r="K276" s="771" t="s">
        <v>2286</v>
      </c>
      <c r="L276" s="1211"/>
      <c r="M276" s="1211"/>
      <c r="N276" s="1211"/>
      <c r="O276" s="1206">
        <f t="shared" si="46"/>
        <v>0</v>
      </c>
      <c r="P276" s="1211"/>
      <c r="Q276" s="1211"/>
      <c r="R276" s="1211"/>
      <c r="S276" s="1211"/>
      <c r="T276" s="1211"/>
      <c r="U276" s="1211"/>
      <c r="V276" s="1211"/>
      <c r="W276" s="780" t="e">
        <f t="shared" si="45"/>
        <v>#DIV/0!</v>
      </c>
      <c r="X276" s="788"/>
      <c r="Y276" s="788"/>
    </row>
    <row r="277" spans="1:25" ht="22.5" customHeight="1" thickTop="1" thickBot="1" x14ac:dyDescent="0.3">
      <c r="A277" s="1441">
        <v>1</v>
      </c>
      <c r="B277" s="1442" t="s">
        <v>1381</v>
      </c>
      <c r="C277" s="1442" t="s">
        <v>1381</v>
      </c>
      <c r="D277" s="1442" t="s">
        <v>1394</v>
      </c>
      <c r="E277" s="1442" t="s">
        <v>1422</v>
      </c>
      <c r="F277" s="1442" t="s">
        <v>1394</v>
      </c>
      <c r="G277" s="1442" t="s">
        <v>1381</v>
      </c>
      <c r="H277" s="1442" t="s">
        <v>1394</v>
      </c>
      <c r="I277" s="1442" t="s">
        <v>1577</v>
      </c>
      <c r="J277" s="1442"/>
      <c r="K277" s="771" t="s">
        <v>2287</v>
      </c>
      <c r="L277" s="1211"/>
      <c r="M277" s="1211"/>
      <c r="N277" s="1211"/>
      <c r="O277" s="1206">
        <f t="shared" si="46"/>
        <v>0</v>
      </c>
      <c r="P277" s="1211"/>
      <c r="Q277" s="1211"/>
      <c r="R277" s="1211"/>
      <c r="S277" s="1211"/>
      <c r="T277" s="1211"/>
      <c r="U277" s="1211"/>
      <c r="V277" s="1211"/>
      <c r="W277" s="780" t="e">
        <f t="shared" si="45"/>
        <v>#DIV/0!</v>
      </c>
      <c r="X277" s="788"/>
      <c r="Y277" s="788"/>
    </row>
    <row r="278" spans="1:25" ht="22.5" customHeight="1" thickTop="1" thickBot="1" x14ac:dyDescent="0.3">
      <c r="A278" s="1441">
        <v>1</v>
      </c>
      <c r="B278" s="1442" t="s">
        <v>1381</v>
      </c>
      <c r="C278" s="1442" t="s">
        <v>1381</v>
      </c>
      <c r="D278" s="1442" t="s">
        <v>1394</v>
      </c>
      <c r="E278" s="1442" t="s">
        <v>1422</v>
      </c>
      <c r="F278" s="1442" t="s">
        <v>1394</v>
      </c>
      <c r="G278" s="1442" t="s">
        <v>1381</v>
      </c>
      <c r="H278" s="1442" t="s">
        <v>1394</v>
      </c>
      <c r="I278" s="1442" t="s">
        <v>1578</v>
      </c>
      <c r="J278" s="1442"/>
      <c r="K278" s="771" t="s">
        <v>2288</v>
      </c>
      <c r="L278" s="1211"/>
      <c r="M278" s="1211"/>
      <c r="N278" s="1211"/>
      <c r="O278" s="1206">
        <f t="shared" si="46"/>
        <v>0</v>
      </c>
      <c r="P278" s="1211"/>
      <c r="Q278" s="1211"/>
      <c r="R278" s="1211"/>
      <c r="S278" s="1211"/>
      <c r="T278" s="1211"/>
      <c r="U278" s="1211"/>
      <c r="V278" s="1211"/>
      <c r="W278" s="780" t="e">
        <f t="shared" si="45"/>
        <v>#DIV/0!</v>
      </c>
      <c r="X278" s="788"/>
      <c r="Y278" s="788"/>
    </row>
    <row r="279" spans="1:25" ht="22.5" customHeight="1" thickTop="1" thickBot="1" x14ac:dyDescent="0.3">
      <c r="A279" s="1441">
        <v>2</v>
      </c>
      <c r="B279" s="1442" t="s">
        <v>1381</v>
      </c>
      <c r="C279" s="1442" t="s">
        <v>1381</v>
      </c>
      <c r="D279" s="1442" t="s">
        <v>1394</v>
      </c>
      <c r="E279" s="1442" t="s">
        <v>1422</v>
      </c>
      <c r="F279" s="1442" t="s">
        <v>1394</v>
      </c>
      <c r="G279" s="1442" t="s">
        <v>1381</v>
      </c>
      <c r="H279" s="1442" t="s">
        <v>1418</v>
      </c>
      <c r="I279" s="1442"/>
      <c r="J279" s="1442"/>
      <c r="K279" s="773" t="s">
        <v>2090</v>
      </c>
      <c r="L279" s="1211">
        <f>SUM(L280:L290)</f>
        <v>0</v>
      </c>
      <c r="M279" s="1211">
        <f t="shared" ref="M279:V279" si="48">SUM(M280:M290)</f>
        <v>0</v>
      </c>
      <c r="N279" s="1211">
        <f t="shared" si="48"/>
        <v>0</v>
      </c>
      <c r="O279" s="1206">
        <f t="shared" si="46"/>
        <v>0</v>
      </c>
      <c r="P279" s="1211">
        <f t="shared" si="48"/>
        <v>0</v>
      </c>
      <c r="Q279" s="1211">
        <f t="shared" si="48"/>
        <v>0</v>
      </c>
      <c r="R279" s="1211">
        <f t="shared" si="48"/>
        <v>0</v>
      </c>
      <c r="S279" s="1211"/>
      <c r="T279" s="1211">
        <f t="shared" si="48"/>
        <v>0</v>
      </c>
      <c r="U279" s="1211">
        <f t="shared" si="48"/>
        <v>0</v>
      </c>
      <c r="V279" s="1211">
        <f t="shared" si="48"/>
        <v>0</v>
      </c>
      <c r="W279" s="780" t="e">
        <f t="shared" si="45"/>
        <v>#DIV/0!</v>
      </c>
      <c r="X279" s="788" t="s">
        <v>2091</v>
      </c>
      <c r="Y279" s="788" t="s">
        <v>1513</v>
      </c>
    </row>
    <row r="280" spans="1:25" ht="22.5" customHeight="1" thickTop="1" thickBot="1" x14ac:dyDescent="0.3">
      <c r="A280" s="1441">
        <v>2</v>
      </c>
      <c r="B280" s="1442" t="s">
        <v>1381</v>
      </c>
      <c r="C280" s="1442" t="s">
        <v>1381</v>
      </c>
      <c r="D280" s="1442" t="s">
        <v>1394</v>
      </c>
      <c r="E280" s="1442" t="s">
        <v>1422</v>
      </c>
      <c r="F280" s="1442" t="s">
        <v>1394</v>
      </c>
      <c r="G280" s="1442" t="s">
        <v>1381</v>
      </c>
      <c r="H280" s="1442" t="s">
        <v>1418</v>
      </c>
      <c r="I280" s="1442" t="s">
        <v>1381</v>
      </c>
      <c r="J280" s="1442"/>
      <c r="K280" s="771" t="s">
        <v>2289</v>
      </c>
      <c r="L280" s="1211"/>
      <c r="M280" s="1211"/>
      <c r="N280" s="1211"/>
      <c r="O280" s="1206">
        <f t="shared" si="46"/>
        <v>0</v>
      </c>
      <c r="P280" s="1211"/>
      <c r="Q280" s="1211"/>
      <c r="R280" s="1211"/>
      <c r="S280" s="1211"/>
      <c r="T280" s="1211"/>
      <c r="U280" s="1211"/>
      <c r="V280" s="1211"/>
      <c r="W280" s="780" t="e">
        <f t="shared" si="45"/>
        <v>#DIV/0!</v>
      </c>
      <c r="X280" s="788"/>
      <c r="Y280" s="788"/>
    </row>
    <row r="281" spans="1:25" ht="22.5" customHeight="1" thickTop="1" thickBot="1" x14ac:dyDescent="0.3">
      <c r="A281" s="1441">
        <v>2</v>
      </c>
      <c r="B281" s="1442" t="s">
        <v>1381</v>
      </c>
      <c r="C281" s="1442" t="s">
        <v>1381</v>
      </c>
      <c r="D281" s="1442" t="s">
        <v>1394</v>
      </c>
      <c r="E281" s="1442" t="s">
        <v>1422</v>
      </c>
      <c r="F281" s="1442" t="s">
        <v>1394</v>
      </c>
      <c r="G281" s="1442" t="s">
        <v>1381</v>
      </c>
      <c r="H281" s="1442" t="s">
        <v>1418</v>
      </c>
      <c r="I281" s="1442" t="s">
        <v>1394</v>
      </c>
      <c r="J281" s="1442"/>
      <c r="K281" s="771" t="s">
        <v>2290</v>
      </c>
      <c r="L281" s="1211"/>
      <c r="M281" s="1211"/>
      <c r="N281" s="1211"/>
      <c r="O281" s="1206">
        <f t="shared" si="46"/>
        <v>0</v>
      </c>
      <c r="P281" s="1211"/>
      <c r="Q281" s="1211"/>
      <c r="R281" s="1211"/>
      <c r="S281" s="1211"/>
      <c r="T281" s="1211"/>
      <c r="U281" s="1211"/>
      <c r="V281" s="1211"/>
      <c r="W281" s="780" t="e">
        <f t="shared" si="45"/>
        <v>#DIV/0!</v>
      </c>
      <c r="X281" s="788"/>
      <c r="Y281" s="788"/>
    </row>
    <row r="282" spans="1:25" ht="22.5" customHeight="1" thickTop="1" thickBot="1" x14ac:dyDescent="0.3">
      <c r="A282" s="1441">
        <v>2</v>
      </c>
      <c r="B282" s="1442" t="s">
        <v>1381</v>
      </c>
      <c r="C282" s="1442" t="s">
        <v>1381</v>
      </c>
      <c r="D282" s="1442" t="s">
        <v>1394</v>
      </c>
      <c r="E282" s="1442" t="s">
        <v>1422</v>
      </c>
      <c r="F282" s="1442" t="s">
        <v>1394</v>
      </c>
      <c r="G282" s="1442" t="s">
        <v>1381</v>
      </c>
      <c r="H282" s="1442" t="s">
        <v>1418</v>
      </c>
      <c r="I282" s="1442" t="s">
        <v>1418</v>
      </c>
      <c r="J282" s="1442"/>
      <c r="K282" s="771" t="s">
        <v>2291</v>
      </c>
      <c r="L282" s="1211"/>
      <c r="M282" s="1211"/>
      <c r="N282" s="1211"/>
      <c r="O282" s="1206">
        <f t="shared" si="46"/>
        <v>0</v>
      </c>
      <c r="P282" s="1211"/>
      <c r="Q282" s="1211"/>
      <c r="R282" s="1211"/>
      <c r="S282" s="1211"/>
      <c r="T282" s="1211"/>
      <c r="U282" s="1211"/>
      <c r="V282" s="1211"/>
      <c r="W282" s="780" t="e">
        <f t="shared" si="45"/>
        <v>#DIV/0!</v>
      </c>
      <c r="X282" s="788"/>
      <c r="Y282" s="788"/>
    </row>
    <row r="283" spans="1:25" ht="22.5" customHeight="1" thickTop="1" thickBot="1" x14ac:dyDescent="0.3">
      <c r="A283" s="1441">
        <v>2</v>
      </c>
      <c r="B283" s="1442" t="s">
        <v>1381</v>
      </c>
      <c r="C283" s="1442" t="s">
        <v>1381</v>
      </c>
      <c r="D283" s="1442" t="s">
        <v>1394</v>
      </c>
      <c r="E283" s="1442" t="s">
        <v>1422</v>
      </c>
      <c r="F283" s="1442" t="s">
        <v>1394</v>
      </c>
      <c r="G283" s="1442" t="s">
        <v>1381</v>
      </c>
      <c r="H283" s="1442" t="s">
        <v>1418</v>
      </c>
      <c r="I283" s="1442" t="s">
        <v>1422</v>
      </c>
      <c r="J283" s="1442"/>
      <c r="K283" s="771" t="s">
        <v>2292</v>
      </c>
      <c r="L283" s="1211"/>
      <c r="M283" s="1211"/>
      <c r="N283" s="1211"/>
      <c r="O283" s="1206">
        <f t="shared" si="46"/>
        <v>0</v>
      </c>
      <c r="P283" s="1211"/>
      <c r="Q283" s="1211"/>
      <c r="R283" s="1211"/>
      <c r="S283" s="1211"/>
      <c r="T283" s="1211"/>
      <c r="U283" s="1211"/>
      <c r="V283" s="1211"/>
      <c r="W283" s="780" t="e">
        <f t="shared" si="45"/>
        <v>#DIV/0!</v>
      </c>
      <c r="X283" s="788"/>
      <c r="Y283" s="788"/>
    </row>
    <row r="284" spans="1:25" ht="22.5" customHeight="1" thickTop="1" thickBot="1" x14ac:dyDescent="0.3">
      <c r="A284" s="1441">
        <v>2</v>
      </c>
      <c r="B284" s="1442" t="s">
        <v>1381</v>
      </c>
      <c r="C284" s="1442" t="s">
        <v>1381</v>
      </c>
      <c r="D284" s="1442" t="s">
        <v>1394</v>
      </c>
      <c r="E284" s="1442" t="s">
        <v>1422</v>
      </c>
      <c r="F284" s="1442" t="s">
        <v>1394</v>
      </c>
      <c r="G284" s="1442" t="s">
        <v>1381</v>
      </c>
      <c r="H284" s="1442" t="s">
        <v>1418</v>
      </c>
      <c r="I284" s="1442" t="s">
        <v>1447</v>
      </c>
      <c r="J284" s="1442"/>
      <c r="K284" s="771" t="s">
        <v>2293</v>
      </c>
      <c r="L284" s="1211"/>
      <c r="M284" s="1211"/>
      <c r="N284" s="1211"/>
      <c r="O284" s="1206">
        <f t="shared" si="46"/>
        <v>0</v>
      </c>
      <c r="P284" s="1211"/>
      <c r="Q284" s="1211"/>
      <c r="R284" s="1211"/>
      <c r="S284" s="1211"/>
      <c r="T284" s="1211"/>
      <c r="U284" s="1211"/>
      <c r="V284" s="1211"/>
      <c r="W284" s="780" t="e">
        <f t="shared" si="45"/>
        <v>#DIV/0!</v>
      </c>
      <c r="X284" s="788"/>
      <c r="Y284" s="788"/>
    </row>
    <row r="285" spans="1:25" ht="22.5" customHeight="1" thickTop="1" thickBot="1" x14ac:dyDescent="0.3">
      <c r="A285" s="1441">
        <v>2</v>
      </c>
      <c r="B285" s="1442" t="s">
        <v>1381</v>
      </c>
      <c r="C285" s="1442" t="s">
        <v>1381</v>
      </c>
      <c r="D285" s="1442" t="s">
        <v>1394</v>
      </c>
      <c r="E285" s="1442" t="s">
        <v>1422</v>
      </c>
      <c r="F285" s="1442" t="s">
        <v>1394</v>
      </c>
      <c r="G285" s="1442" t="s">
        <v>1381</v>
      </c>
      <c r="H285" s="1442" t="s">
        <v>1418</v>
      </c>
      <c r="I285" s="1442" t="s">
        <v>1470</v>
      </c>
      <c r="J285" s="1442"/>
      <c r="K285" s="771" t="s">
        <v>2294</v>
      </c>
      <c r="L285" s="1211"/>
      <c r="M285" s="1211"/>
      <c r="N285" s="1211"/>
      <c r="O285" s="1206">
        <f t="shared" si="46"/>
        <v>0</v>
      </c>
      <c r="P285" s="1211"/>
      <c r="Q285" s="1211"/>
      <c r="R285" s="1211"/>
      <c r="S285" s="1211"/>
      <c r="T285" s="1211"/>
      <c r="U285" s="1211"/>
      <c r="V285" s="1211"/>
      <c r="W285" s="780" t="e">
        <f t="shared" si="45"/>
        <v>#DIV/0!</v>
      </c>
      <c r="X285" s="788"/>
      <c r="Y285" s="788"/>
    </row>
    <row r="286" spans="1:25" ht="22.5" customHeight="1" thickTop="1" thickBot="1" x14ac:dyDescent="0.3">
      <c r="A286" s="1441">
        <v>2</v>
      </c>
      <c r="B286" s="1442" t="s">
        <v>1381</v>
      </c>
      <c r="C286" s="1442" t="s">
        <v>1381</v>
      </c>
      <c r="D286" s="1442" t="s">
        <v>1394</v>
      </c>
      <c r="E286" s="1442" t="s">
        <v>1422</v>
      </c>
      <c r="F286" s="1442" t="s">
        <v>1394</v>
      </c>
      <c r="G286" s="1442" t="s">
        <v>1381</v>
      </c>
      <c r="H286" s="1442" t="s">
        <v>1418</v>
      </c>
      <c r="I286" s="1442" t="s">
        <v>1474</v>
      </c>
      <c r="J286" s="1442"/>
      <c r="K286" s="771" t="s">
        <v>2295</v>
      </c>
      <c r="L286" s="1211"/>
      <c r="M286" s="1211"/>
      <c r="N286" s="1211"/>
      <c r="O286" s="1206">
        <f t="shared" si="46"/>
        <v>0</v>
      </c>
      <c r="P286" s="1211"/>
      <c r="Q286" s="1211"/>
      <c r="R286" s="1211"/>
      <c r="S286" s="1211"/>
      <c r="T286" s="1211"/>
      <c r="U286" s="1211"/>
      <c r="V286" s="1211"/>
      <c r="W286" s="780" t="e">
        <f t="shared" si="45"/>
        <v>#DIV/0!</v>
      </c>
      <c r="X286" s="788"/>
      <c r="Y286" s="788"/>
    </row>
    <row r="287" spans="1:25" ht="22.5" customHeight="1" thickTop="1" thickBot="1" x14ac:dyDescent="0.3">
      <c r="A287" s="1441">
        <v>2</v>
      </c>
      <c r="B287" s="1442" t="s">
        <v>1381</v>
      </c>
      <c r="C287" s="1442" t="s">
        <v>1381</v>
      </c>
      <c r="D287" s="1442" t="s">
        <v>1394</v>
      </c>
      <c r="E287" s="1442" t="s">
        <v>1422</v>
      </c>
      <c r="F287" s="1442" t="s">
        <v>1394</v>
      </c>
      <c r="G287" s="1442" t="s">
        <v>1381</v>
      </c>
      <c r="H287" s="1442" t="s">
        <v>1418</v>
      </c>
      <c r="I287" s="1442" t="s">
        <v>1478</v>
      </c>
      <c r="J287" s="1442"/>
      <c r="K287" s="771" t="s">
        <v>2296</v>
      </c>
      <c r="L287" s="1211"/>
      <c r="M287" s="1211"/>
      <c r="N287" s="1211"/>
      <c r="O287" s="1206">
        <f t="shared" si="46"/>
        <v>0</v>
      </c>
      <c r="P287" s="1211"/>
      <c r="Q287" s="1211"/>
      <c r="R287" s="1211"/>
      <c r="S287" s="1211"/>
      <c r="T287" s="1211"/>
      <c r="U287" s="1211"/>
      <c r="V287" s="1211"/>
      <c r="W287" s="780" t="e">
        <f t="shared" si="45"/>
        <v>#DIV/0!</v>
      </c>
      <c r="X287" s="788"/>
      <c r="Y287" s="788"/>
    </row>
    <row r="288" spans="1:25" ht="22.5" customHeight="1" thickTop="1" thickBot="1" x14ac:dyDescent="0.3">
      <c r="A288" s="1441">
        <v>2</v>
      </c>
      <c r="B288" s="1442" t="s">
        <v>1381</v>
      </c>
      <c r="C288" s="1442" t="s">
        <v>1381</v>
      </c>
      <c r="D288" s="1442" t="s">
        <v>1394</v>
      </c>
      <c r="E288" s="1442" t="s">
        <v>1422</v>
      </c>
      <c r="F288" s="1442" t="s">
        <v>1394</v>
      </c>
      <c r="G288" s="1442" t="s">
        <v>1381</v>
      </c>
      <c r="H288" s="1442" t="s">
        <v>1418</v>
      </c>
      <c r="I288" s="1442" t="s">
        <v>1576</v>
      </c>
      <c r="J288" s="1442"/>
      <c r="K288" s="771" t="s">
        <v>2297</v>
      </c>
      <c r="L288" s="1211"/>
      <c r="M288" s="1211"/>
      <c r="N288" s="1211"/>
      <c r="O288" s="1206">
        <f t="shared" si="46"/>
        <v>0</v>
      </c>
      <c r="P288" s="1211"/>
      <c r="Q288" s="1211"/>
      <c r="R288" s="1211"/>
      <c r="S288" s="1211"/>
      <c r="T288" s="1211"/>
      <c r="U288" s="1211"/>
      <c r="V288" s="1211"/>
      <c r="W288" s="780" t="e">
        <f t="shared" si="45"/>
        <v>#DIV/0!</v>
      </c>
      <c r="X288" s="788"/>
      <c r="Y288" s="788"/>
    </row>
    <row r="289" spans="1:25" ht="22.5" customHeight="1" thickTop="1" thickBot="1" x14ac:dyDescent="0.3">
      <c r="A289" s="1441">
        <v>2</v>
      </c>
      <c r="B289" s="1442" t="s">
        <v>1381</v>
      </c>
      <c r="C289" s="1442" t="s">
        <v>1381</v>
      </c>
      <c r="D289" s="1442" t="s">
        <v>1394</v>
      </c>
      <c r="E289" s="1442" t="s">
        <v>1422</v>
      </c>
      <c r="F289" s="1442" t="s">
        <v>1394</v>
      </c>
      <c r="G289" s="1442" t="s">
        <v>1381</v>
      </c>
      <c r="H289" s="1442" t="s">
        <v>1418</v>
      </c>
      <c r="I289" s="1442" t="s">
        <v>1577</v>
      </c>
      <c r="J289" s="1442"/>
      <c r="K289" s="771" t="s">
        <v>2298</v>
      </c>
      <c r="L289" s="1211"/>
      <c r="M289" s="1211"/>
      <c r="N289" s="1211"/>
      <c r="O289" s="1206">
        <f t="shared" si="46"/>
        <v>0</v>
      </c>
      <c r="P289" s="1211"/>
      <c r="Q289" s="1211"/>
      <c r="R289" s="1211"/>
      <c r="S289" s="1211"/>
      <c r="T289" s="1211"/>
      <c r="U289" s="1211"/>
      <c r="V289" s="1211"/>
      <c r="W289" s="780" t="e">
        <f t="shared" si="45"/>
        <v>#DIV/0!</v>
      </c>
      <c r="X289" s="788"/>
      <c r="Y289" s="788"/>
    </row>
    <row r="290" spans="1:25" ht="22.5" customHeight="1" thickTop="1" thickBot="1" x14ac:dyDescent="0.3">
      <c r="A290" s="1441">
        <v>2</v>
      </c>
      <c r="B290" s="1442" t="s">
        <v>1381</v>
      </c>
      <c r="C290" s="1442" t="s">
        <v>1381</v>
      </c>
      <c r="D290" s="1442" t="s">
        <v>1394</v>
      </c>
      <c r="E290" s="1442" t="s">
        <v>1422</v>
      </c>
      <c r="F290" s="1442" t="s">
        <v>1394</v>
      </c>
      <c r="G290" s="1442" t="s">
        <v>1381</v>
      </c>
      <c r="H290" s="1442" t="s">
        <v>1418</v>
      </c>
      <c r="I290" s="1442" t="s">
        <v>1578</v>
      </c>
      <c r="J290" s="1442"/>
      <c r="K290" s="771" t="s">
        <v>2299</v>
      </c>
      <c r="L290" s="1211"/>
      <c r="M290" s="1211"/>
      <c r="N290" s="1211"/>
      <c r="O290" s="1206">
        <f t="shared" si="46"/>
        <v>0</v>
      </c>
      <c r="P290" s="1211"/>
      <c r="Q290" s="1211"/>
      <c r="R290" s="1211"/>
      <c r="S290" s="1211"/>
      <c r="T290" s="1211"/>
      <c r="U290" s="1211"/>
      <c r="V290" s="1211"/>
      <c r="W290" s="780" t="e">
        <f t="shared" si="45"/>
        <v>#DIV/0!</v>
      </c>
      <c r="X290" s="788"/>
      <c r="Y290" s="788"/>
    </row>
    <row r="291" spans="1:25" s="183" customFormat="1" ht="22.5" customHeight="1" thickTop="1" thickBot="1" x14ac:dyDescent="0.3">
      <c r="A291" s="1436">
        <v>1</v>
      </c>
      <c r="B291" s="1437" t="s">
        <v>1381</v>
      </c>
      <c r="C291" s="1437" t="s">
        <v>1381</v>
      </c>
      <c r="D291" s="1437" t="s">
        <v>1394</v>
      </c>
      <c r="E291" s="1437" t="s">
        <v>1447</v>
      </c>
      <c r="F291" s="1437"/>
      <c r="G291" s="1437"/>
      <c r="H291" s="1437"/>
      <c r="I291" s="1437"/>
      <c r="J291" s="1437"/>
      <c r="K291" s="1438" t="s">
        <v>1303</v>
      </c>
      <c r="L291" s="1207">
        <f>+L292</f>
        <v>0</v>
      </c>
      <c r="M291" s="1207">
        <f t="shared" ref="M291:V291" si="49">+M292</f>
        <v>0</v>
      </c>
      <c r="N291" s="1207">
        <f t="shared" si="49"/>
        <v>0</v>
      </c>
      <c r="O291" s="1206">
        <f t="shared" si="46"/>
        <v>0</v>
      </c>
      <c r="P291" s="1207">
        <f t="shared" si="49"/>
        <v>0</v>
      </c>
      <c r="Q291" s="1207">
        <f t="shared" si="49"/>
        <v>0</v>
      </c>
      <c r="R291" s="1207">
        <f t="shared" si="49"/>
        <v>0</v>
      </c>
      <c r="S291" s="1207"/>
      <c r="T291" s="1207">
        <f t="shared" si="49"/>
        <v>0</v>
      </c>
      <c r="U291" s="1207">
        <f t="shared" si="49"/>
        <v>0</v>
      </c>
      <c r="V291" s="1207">
        <f t="shared" si="49"/>
        <v>0</v>
      </c>
      <c r="W291" s="610" t="e">
        <f t="shared" si="45"/>
        <v>#DIV/0!</v>
      </c>
      <c r="X291" s="788" t="s">
        <v>2017</v>
      </c>
      <c r="Y291" s="788"/>
    </row>
    <row r="292" spans="1:25" s="183" customFormat="1" ht="22.5" customHeight="1" thickTop="1" thickBot="1" x14ac:dyDescent="0.3">
      <c r="A292" s="1439">
        <v>1</v>
      </c>
      <c r="B292" s="1440" t="s">
        <v>1381</v>
      </c>
      <c r="C292" s="1440" t="s">
        <v>1381</v>
      </c>
      <c r="D292" s="1440" t="s">
        <v>1394</v>
      </c>
      <c r="E292" s="1440" t="s">
        <v>1447</v>
      </c>
      <c r="F292" s="1440" t="s">
        <v>1381</v>
      </c>
      <c r="G292" s="1440"/>
      <c r="H292" s="1440"/>
      <c r="I292" s="1440"/>
      <c r="J292" s="1440"/>
      <c r="K292" s="770" t="s">
        <v>2084</v>
      </c>
      <c r="L292" s="1206">
        <f>+L293+L306</f>
        <v>0</v>
      </c>
      <c r="M292" s="1206">
        <f t="shared" ref="M292:V292" si="50">+M293+M306</f>
        <v>0</v>
      </c>
      <c r="N292" s="1206">
        <f t="shared" si="50"/>
        <v>0</v>
      </c>
      <c r="O292" s="1206">
        <f t="shared" si="46"/>
        <v>0</v>
      </c>
      <c r="P292" s="1206">
        <f t="shared" si="50"/>
        <v>0</v>
      </c>
      <c r="Q292" s="1206">
        <f t="shared" si="50"/>
        <v>0</v>
      </c>
      <c r="R292" s="1206">
        <f t="shared" si="50"/>
        <v>0</v>
      </c>
      <c r="S292" s="1206"/>
      <c r="T292" s="1206">
        <f t="shared" si="50"/>
        <v>0</v>
      </c>
      <c r="U292" s="1206">
        <f t="shared" si="50"/>
        <v>0</v>
      </c>
      <c r="V292" s="1206">
        <f t="shared" si="50"/>
        <v>0</v>
      </c>
      <c r="W292" s="779" t="e">
        <f t="shared" si="45"/>
        <v>#DIV/0!</v>
      </c>
      <c r="X292" s="788" t="s">
        <v>2088</v>
      </c>
      <c r="Y292" s="788"/>
    </row>
    <row r="293" spans="1:25" ht="22.5" customHeight="1" thickTop="1" thickBot="1" x14ac:dyDescent="0.3">
      <c r="A293" s="1441">
        <v>1</v>
      </c>
      <c r="B293" s="1442" t="s">
        <v>1381</v>
      </c>
      <c r="C293" s="1442" t="s">
        <v>1381</v>
      </c>
      <c r="D293" s="1442" t="s">
        <v>1394</v>
      </c>
      <c r="E293" s="1442" t="s">
        <v>1447</v>
      </c>
      <c r="F293" s="1442" t="s">
        <v>1381</v>
      </c>
      <c r="G293" s="1442" t="s">
        <v>1381</v>
      </c>
      <c r="H293" s="1442"/>
      <c r="I293" s="1442"/>
      <c r="J293" s="1442"/>
      <c r="K293" s="771" t="s">
        <v>2085</v>
      </c>
      <c r="L293" s="1211">
        <f>+L294+L306</f>
        <v>0</v>
      </c>
      <c r="M293" s="1211">
        <f t="shared" ref="M293:V293" si="51">+M294+M306</f>
        <v>0</v>
      </c>
      <c r="N293" s="1211">
        <f t="shared" si="51"/>
        <v>0</v>
      </c>
      <c r="O293" s="1206">
        <f t="shared" si="46"/>
        <v>0</v>
      </c>
      <c r="P293" s="1211">
        <f t="shared" si="51"/>
        <v>0</v>
      </c>
      <c r="Q293" s="1211">
        <f t="shared" si="51"/>
        <v>0</v>
      </c>
      <c r="R293" s="1211">
        <f t="shared" si="51"/>
        <v>0</v>
      </c>
      <c r="S293" s="1211"/>
      <c r="T293" s="1211">
        <f t="shared" si="51"/>
        <v>0</v>
      </c>
      <c r="U293" s="1211">
        <f t="shared" si="51"/>
        <v>0</v>
      </c>
      <c r="V293" s="1211">
        <f t="shared" si="51"/>
        <v>0</v>
      </c>
      <c r="W293" s="780" t="e">
        <f t="shared" si="45"/>
        <v>#DIV/0!</v>
      </c>
      <c r="X293" s="788" t="s">
        <v>2089</v>
      </c>
      <c r="Y293" s="788"/>
    </row>
    <row r="294" spans="1:25" ht="22.5" customHeight="1" thickTop="1" thickBot="1" x14ac:dyDescent="0.3">
      <c r="A294" s="1441">
        <v>1</v>
      </c>
      <c r="B294" s="1442" t="s">
        <v>1381</v>
      </c>
      <c r="C294" s="1442" t="s">
        <v>1381</v>
      </c>
      <c r="D294" s="1442" t="s">
        <v>1394</v>
      </c>
      <c r="E294" s="1442" t="s">
        <v>1447</v>
      </c>
      <c r="F294" s="1442" t="s">
        <v>1381</v>
      </c>
      <c r="G294" s="1442" t="s">
        <v>1381</v>
      </c>
      <c r="H294" s="1442" t="s">
        <v>1381</v>
      </c>
      <c r="I294" s="1442"/>
      <c r="J294" s="1442"/>
      <c r="K294" s="771" t="s">
        <v>2086</v>
      </c>
      <c r="L294" s="1211">
        <f>SUM(L295:L305)</f>
        <v>0</v>
      </c>
      <c r="M294" s="1211">
        <f t="shared" ref="M294:V294" si="52">SUM(M295:M305)</f>
        <v>0</v>
      </c>
      <c r="N294" s="1211">
        <f t="shared" si="52"/>
        <v>0</v>
      </c>
      <c r="O294" s="1206">
        <f t="shared" si="46"/>
        <v>0</v>
      </c>
      <c r="P294" s="1211">
        <f t="shared" si="52"/>
        <v>0</v>
      </c>
      <c r="Q294" s="1211">
        <f t="shared" si="52"/>
        <v>0</v>
      </c>
      <c r="R294" s="1211">
        <f t="shared" si="52"/>
        <v>0</v>
      </c>
      <c r="S294" s="1211"/>
      <c r="T294" s="1211">
        <f t="shared" si="52"/>
        <v>0</v>
      </c>
      <c r="U294" s="1211">
        <f t="shared" si="52"/>
        <v>0</v>
      </c>
      <c r="V294" s="1211">
        <f t="shared" si="52"/>
        <v>0</v>
      </c>
      <c r="W294" s="780" t="e">
        <f t="shared" si="45"/>
        <v>#DIV/0!</v>
      </c>
      <c r="X294" s="788" t="s">
        <v>2087</v>
      </c>
      <c r="Y294" s="788" t="s">
        <v>1529</v>
      </c>
    </row>
    <row r="295" spans="1:25" ht="22.5" customHeight="1" thickTop="1" thickBot="1" x14ac:dyDescent="0.3">
      <c r="A295" s="1441">
        <v>1</v>
      </c>
      <c r="B295" s="1442" t="s">
        <v>1381</v>
      </c>
      <c r="C295" s="1442" t="s">
        <v>1381</v>
      </c>
      <c r="D295" s="1442" t="s">
        <v>1394</v>
      </c>
      <c r="E295" s="1442" t="s">
        <v>1447</v>
      </c>
      <c r="F295" s="1442" t="s">
        <v>1381</v>
      </c>
      <c r="G295" s="1442" t="s">
        <v>1381</v>
      </c>
      <c r="H295" s="1442" t="s">
        <v>1381</v>
      </c>
      <c r="I295" s="1442" t="s">
        <v>1381</v>
      </c>
      <c r="J295" s="1442"/>
      <c r="K295" s="771" t="s">
        <v>2367</v>
      </c>
      <c r="L295" s="1211"/>
      <c r="M295" s="1211"/>
      <c r="N295" s="1211"/>
      <c r="O295" s="1206">
        <f t="shared" si="46"/>
        <v>0</v>
      </c>
      <c r="P295" s="1211"/>
      <c r="Q295" s="1211"/>
      <c r="R295" s="1211"/>
      <c r="S295" s="1211"/>
      <c r="T295" s="1211"/>
      <c r="U295" s="1211"/>
      <c r="V295" s="1211"/>
      <c r="W295" s="780" t="e">
        <f t="shared" si="45"/>
        <v>#DIV/0!</v>
      </c>
      <c r="X295" s="788"/>
      <c r="Y295" s="788"/>
    </row>
    <row r="296" spans="1:25" ht="22.5" customHeight="1" thickTop="1" thickBot="1" x14ac:dyDescent="0.3">
      <c r="A296" s="1441">
        <v>1</v>
      </c>
      <c r="B296" s="1442" t="s">
        <v>1381</v>
      </c>
      <c r="C296" s="1442" t="s">
        <v>1381</v>
      </c>
      <c r="D296" s="1442" t="s">
        <v>1394</v>
      </c>
      <c r="E296" s="1442" t="s">
        <v>1447</v>
      </c>
      <c r="F296" s="1442" t="s">
        <v>1381</v>
      </c>
      <c r="G296" s="1442" t="s">
        <v>1381</v>
      </c>
      <c r="H296" s="1442" t="s">
        <v>1381</v>
      </c>
      <c r="I296" s="1442" t="s">
        <v>1394</v>
      </c>
      <c r="J296" s="1442"/>
      <c r="K296" s="771" t="s">
        <v>2368</v>
      </c>
      <c r="L296" s="1211"/>
      <c r="M296" s="1211"/>
      <c r="N296" s="1211"/>
      <c r="O296" s="1206">
        <f t="shared" si="46"/>
        <v>0</v>
      </c>
      <c r="P296" s="1211"/>
      <c r="Q296" s="1211"/>
      <c r="R296" s="1211"/>
      <c r="S296" s="1211"/>
      <c r="T296" s="1211"/>
      <c r="U296" s="1211"/>
      <c r="V296" s="1211"/>
      <c r="W296" s="780" t="e">
        <f t="shared" si="45"/>
        <v>#DIV/0!</v>
      </c>
      <c r="X296" s="788"/>
      <c r="Y296" s="788"/>
    </row>
    <row r="297" spans="1:25" ht="22.5" customHeight="1" thickTop="1" thickBot="1" x14ac:dyDescent="0.3">
      <c r="A297" s="1441">
        <v>1</v>
      </c>
      <c r="B297" s="1442" t="s">
        <v>1381</v>
      </c>
      <c r="C297" s="1442" t="s">
        <v>1381</v>
      </c>
      <c r="D297" s="1442" t="s">
        <v>1394</v>
      </c>
      <c r="E297" s="1442" t="s">
        <v>1447</v>
      </c>
      <c r="F297" s="1442" t="s">
        <v>1381</v>
      </c>
      <c r="G297" s="1442" t="s">
        <v>1381</v>
      </c>
      <c r="H297" s="1442" t="s">
        <v>1381</v>
      </c>
      <c r="I297" s="1442" t="s">
        <v>1418</v>
      </c>
      <c r="J297" s="1442"/>
      <c r="K297" s="771" t="s">
        <v>2369</v>
      </c>
      <c r="L297" s="1211"/>
      <c r="M297" s="1211"/>
      <c r="N297" s="1211"/>
      <c r="O297" s="1206">
        <f t="shared" si="46"/>
        <v>0</v>
      </c>
      <c r="P297" s="1211"/>
      <c r="Q297" s="1211"/>
      <c r="R297" s="1211"/>
      <c r="S297" s="1211"/>
      <c r="T297" s="1211"/>
      <c r="U297" s="1211"/>
      <c r="V297" s="1211"/>
      <c r="W297" s="780" t="e">
        <f t="shared" si="45"/>
        <v>#DIV/0!</v>
      </c>
      <c r="X297" s="788"/>
      <c r="Y297" s="788"/>
    </row>
    <row r="298" spans="1:25" ht="22.5" customHeight="1" thickTop="1" thickBot="1" x14ac:dyDescent="0.3">
      <c r="A298" s="1441">
        <v>1</v>
      </c>
      <c r="B298" s="1442" t="s">
        <v>1381</v>
      </c>
      <c r="C298" s="1442" t="s">
        <v>1381</v>
      </c>
      <c r="D298" s="1442" t="s">
        <v>1394</v>
      </c>
      <c r="E298" s="1442" t="s">
        <v>1447</v>
      </c>
      <c r="F298" s="1442" t="s">
        <v>1381</v>
      </c>
      <c r="G298" s="1442" t="s">
        <v>1381</v>
      </c>
      <c r="H298" s="1442" t="s">
        <v>1381</v>
      </c>
      <c r="I298" s="1442" t="s">
        <v>1422</v>
      </c>
      <c r="J298" s="1442"/>
      <c r="K298" s="771" t="s">
        <v>2414</v>
      </c>
      <c r="L298" s="1211"/>
      <c r="M298" s="1211"/>
      <c r="N298" s="1211"/>
      <c r="O298" s="1206">
        <f t="shared" si="46"/>
        <v>0</v>
      </c>
      <c r="P298" s="1211"/>
      <c r="Q298" s="1211"/>
      <c r="R298" s="1211"/>
      <c r="S298" s="1211"/>
      <c r="T298" s="1211"/>
      <c r="U298" s="1211"/>
      <c r="V298" s="1211"/>
      <c r="W298" s="780" t="e">
        <f t="shared" si="45"/>
        <v>#DIV/0!</v>
      </c>
      <c r="X298" s="788"/>
      <c r="Y298" s="788"/>
    </row>
    <row r="299" spans="1:25" ht="22.5" customHeight="1" thickTop="1" thickBot="1" x14ac:dyDescent="0.3">
      <c r="A299" s="1441">
        <v>1</v>
      </c>
      <c r="B299" s="1442" t="s">
        <v>1381</v>
      </c>
      <c r="C299" s="1442" t="s">
        <v>1381</v>
      </c>
      <c r="D299" s="1442" t="s">
        <v>1394</v>
      </c>
      <c r="E299" s="1442" t="s">
        <v>1447</v>
      </c>
      <c r="F299" s="1442" t="s">
        <v>1381</v>
      </c>
      <c r="G299" s="1442" t="s">
        <v>1381</v>
      </c>
      <c r="H299" s="1442" t="s">
        <v>1381</v>
      </c>
      <c r="I299" s="1442" t="s">
        <v>1447</v>
      </c>
      <c r="J299" s="1442"/>
      <c r="K299" s="771" t="s">
        <v>2415</v>
      </c>
      <c r="L299" s="1211"/>
      <c r="M299" s="1211"/>
      <c r="N299" s="1211"/>
      <c r="O299" s="1206">
        <f t="shared" si="46"/>
        <v>0</v>
      </c>
      <c r="P299" s="1211"/>
      <c r="Q299" s="1211"/>
      <c r="R299" s="1211"/>
      <c r="S299" s="1211"/>
      <c r="T299" s="1211"/>
      <c r="U299" s="1211"/>
      <c r="V299" s="1211"/>
      <c r="W299" s="780" t="e">
        <f t="shared" si="45"/>
        <v>#DIV/0!</v>
      </c>
      <c r="X299" s="788"/>
      <c r="Y299" s="788"/>
    </row>
    <row r="300" spans="1:25" ht="22.5" customHeight="1" thickTop="1" thickBot="1" x14ac:dyDescent="0.3">
      <c r="A300" s="1441">
        <v>1</v>
      </c>
      <c r="B300" s="1442" t="s">
        <v>1381</v>
      </c>
      <c r="C300" s="1442" t="s">
        <v>1381</v>
      </c>
      <c r="D300" s="1442" t="s">
        <v>1394</v>
      </c>
      <c r="E300" s="1442" t="s">
        <v>1447</v>
      </c>
      <c r="F300" s="1442" t="s">
        <v>1381</v>
      </c>
      <c r="G300" s="1442" t="s">
        <v>1381</v>
      </c>
      <c r="H300" s="1442" t="s">
        <v>1381</v>
      </c>
      <c r="I300" s="1442" t="s">
        <v>1470</v>
      </c>
      <c r="J300" s="1442"/>
      <c r="K300" s="771" t="s">
        <v>2370</v>
      </c>
      <c r="L300" s="1211"/>
      <c r="M300" s="1211"/>
      <c r="N300" s="1211"/>
      <c r="O300" s="1206">
        <f t="shared" si="46"/>
        <v>0</v>
      </c>
      <c r="P300" s="1211"/>
      <c r="Q300" s="1211"/>
      <c r="R300" s="1211"/>
      <c r="S300" s="1211"/>
      <c r="T300" s="1211"/>
      <c r="U300" s="1211"/>
      <c r="V300" s="1211"/>
      <c r="W300" s="780" t="e">
        <f t="shared" si="45"/>
        <v>#DIV/0!</v>
      </c>
      <c r="X300" s="788"/>
      <c r="Y300" s="788"/>
    </row>
    <row r="301" spans="1:25" ht="22.5" customHeight="1" thickTop="1" thickBot="1" x14ac:dyDescent="0.3">
      <c r="A301" s="1441">
        <v>1</v>
      </c>
      <c r="B301" s="1442" t="s">
        <v>1381</v>
      </c>
      <c r="C301" s="1442" t="s">
        <v>1381</v>
      </c>
      <c r="D301" s="1442" t="s">
        <v>1394</v>
      </c>
      <c r="E301" s="1442" t="s">
        <v>1447</v>
      </c>
      <c r="F301" s="1442" t="s">
        <v>1381</v>
      </c>
      <c r="G301" s="1442" t="s">
        <v>1381</v>
      </c>
      <c r="H301" s="1442" t="s">
        <v>1381</v>
      </c>
      <c r="I301" s="1442" t="s">
        <v>1474</v>
      </c>
      <c r="J301" s="1442"/>
      <c r="K301" s="771" t="s">
        <v>2371</v>
      </c>
      <c r="L301" s="1211"/>
      <c r="M301" s="1211"/>
      <c r="N301" s="1211"/>
      <c r="O301" s="1206">
        <f t="shared" si="46"/>
        <v>0</v>
      </c>
      <c r="P301" s="1211"/>
      <c r="Q301" s="1211"/>
      <c r="R301" s="1211"/>
      <c r="S301" s="1211"/>
      <c r="T301" s="1211"/>
      <c r="U301" s="1211"/>
      <c r="V301" s="1211"/>
      <c r="W301" s="780" t="e">
        <f t="shared" si="45"/>
        <v>#DIV/0!</v>
      </c>
      <c r="X301" s="788"/>
      <c r="Y301" s="788"/>
    </row>
    <row r="302" spans="1:25" ht="22.5" customHeight="1" thickTop="1" thickBot="1" x14ac:dyDescent="0.3">
      <c r="A302" s="1441">
        <v>1</v>
      </c>
      <c r="B302" s="1442" t="s">
        <v>1381</v>
      </c>
      <c r="C302" s="1442" t="s">
        <v>1381</v>
      </c>
      <c r="D302" s="1442" t="s">
        <v>1394</v>
      </c>
      <c r="E302" s="1442" t="s">
        <v>1447</v>
      </c>
      <c r="F302" s="1442" t="s">
        <v>1381</v>
      </c>
      <c r="G302" s="1442" t="s">
        <v>1381</v>
      </c>
      <c r="H302" s="1442" t="s">
        <v>1381</v>
      </c>
      <c r="I302" s="1442" t="s">
        <v>1478</v>
      </c>
      <c r="J302" s="1442"/>
      <c r="K302" s="771" t="s">
        <v>2372</v>
      </c>
      <c r="L302" s="1211"/>
      <c r="M302" s="1211"/>
      <c r="N302" s="1211"/>
      <c r="O302" s="1206">
        <f t="shared" si="46"/>
        <v>0</v>
      </c>
      <c r="P302" s="1211"/>
      <c r="Q302" s="1211"/>
      <c r="R302" s="1211"/>
      <c r="S302" s="1211"/>
      <c r="T302" s="1211"/>
      <c r="U302" s="1211"/>
      <c r="V302" s="1211"/>
      <c r="W302" s="780" t="e">
        <f t="shared" si="45"/>
        <v>#DIV/0!</v>
      </c>
      <c r="X302" s="788"/>
      <c r="Y302" s="788"/>
    </row>
    <row r="303" spans="1:25" ht="22.5" customHeight="1" thickTop="1" thickBot="1" x14ac:dyDescent="0.3">
      <c r="A303" s="1441">
        <v>1</v>
      </c>
      <c r="B303" s="1442" t="s">
        <v>1381</v>
      </c>
      <c r="C303" s="1442" t="s">
        <v>1381</v>
      </c>
      <c r="D303" s="1442" t="s">
        <v>1394</v>
      </c>
      <c r="E303" s="1442" t="s">
        <v>1447</v>
      </c>
      <c r="F303" s="1442" t="s">
        <v>1381</v>
      </c>
      <c r="G303" s="1442" t="s">
        <v>1381</v>
      </c>
      <c r="H303" s="1442" t="s">
        <v>1381</v>
      </c>
      <c r="I303" s="1442" t="s">
        <v>1576</v>
      </c>
      <c r="J303" s="1442"/>
      <c r="K303" s="771" t="s">
        <v>2373</v>
      </c>
      <c r="L303" s="1211"/>
      <c r="M303" s="1211"/>
      <c r="N303" s="1211"/>
      <c r="O303" s="1206">
        <f t="shared" si="46"/>
        <v>0</v>
      </c>
      <c r="P303" s="1211"/>
      <c r="Q303" s="1211"/>
      <c r="R303" s="1211"/>
      <c r="S303" s="1211"/>
      <c r="T303" s="1211"/>
      <c r="U303" s="1211"/>
      <c r="V303" s="1211"/>
      <c r="W303" s="780" t="e">
        <f t="shared" si="45"/>
        <v>#DIV/0!</v>
      </c>
      <c r="X303" s="788"/>
      <c r="Y303" s="788"/>
    </row>
    <row r="304" spans="1:25" ht="22.5" customHeight="1" thickTop="1" thickBot="1" x14ac:dyDescent="0.3">
      <c r="A304" s="1441">
        <v>1</v>
      </c>
      <c r="B304" s="1442" t="s">
        <v>1381</v>
      </c>
      <c r="C304" s="1442" t="s">
        <v>1381</v>
      </c>
      <c r="D304" s="1442" t="s">
        <v>1394</v>
      </c>
      <c r="E304" s="1442" t="s">
        <v>1447</v>
      </c>
      <c r="F304" s="1442" t="s">
        <v>1381</v>
      </c>
      <c r="G304" s="1442" t="s">
        <v>1381</v>
      </c>
      <c r="H304" s="1442" t="s">
        <v>1381</v>
      </c>
      <c r="I304" s="1442" t="s">
        <v>1577</v>
      </c>
      <c r="J304" s="1442"/>
      <c r="K304" s="771" t="s">
        <v>2374</v>
      </c>
      <c r="L304" s="1211"/>
      <c r="M304" s="1211"/>
      <c r="N304" s="1211"/>
      <c r="O304" s="1206">
        <f t="shared" si="46"/>
        <v>0</v>
      </c>
      <c r="P304" s="1211"/>
      <c r="Q304" s="1211"/>
      <c r="R304" s="1211"/>
      <c r="S304" s="1211"/>
      <c r="T304" s="1211"/>
      <c r="U304" s="1211"/>
      <c r="V304" s="1211"/>
      <c r="W304" s="780" t="e">
        <f t="shared" si="45"/>
        <v>#DIV/0!</v>
      </c>
      <c r="X304" s="788"/>
      <c r="Y304" s="788"/>
    </row>
    <row r="305" spans="1:25" ht="22.5" customHeight="1" thickTop="1" thickBot="1" x14ac:dyDescent="0.3">
      <c r="A305" s="1441">
        <v>1</v>
      </c>
      <c r="B305" s="1442" t="s">
        <v>1381</v>
      </c>
      <c r="C305" s="1442" t="s">
        <v>1381</v>
      </c>
      <c r="D305" s="1442" t="s">
        <v>1394</v>
      </c>
      <c r="E305" s="1442" t="s">
        <v>1447</v>
      </c>
      <c r="F305" s="1442" t="s">
        <v>1381</v>
      </c>
      <c r="G305" s="1442" t="s">
        <v>1381</v>
      </c>
      <c r="H305" s="1442" t="s">
        <v>1381</v>
      </c>
      <c r="I305" s="1442" t="s">
        <v>1578</v>
      </c>
      <c r="J305" s="1442"/>
      <c r="K305" s="771" t="s">
        <v>2375</v>
      </c>
      <c r="L305" s="1211"/>
      <c r="M305" s="1211"/>
      <c r="N305" s="1211"/>
      <c r="O305" s="1206">
        <f t="shared" si="46"/>
        <v>0</v>
      </c>
      <c r="P305" s="1211"/>
      <c r="Q305" s="1211"/>
      <c r="R305" s="1211"/>
      <c r="S305" s="1211"/>
      <c r="T305" s="1211"/>
      <c r="U305" s="1211"/>
      <c r="V305" s="1211"/>
      <c r="W305" s="780" t="e">
        <f t="shared" si="45"/>
        <v>#DIV/0!</v>
      </c>
      <c r="X305" s="788"/>
      <c r="Y305" s="788"/>
    </row>
    <row r="306" spans="1:25" ht="22.5" customHeight="1" thickTop="1" thickBot="1" x14ac:dyDescent="0.3">
      <c r="A306" s="1441">
        <v>1</v>
      </c>
      <c r="B306" s="1442" t="s">
        <v>1381</v>
      </c>
      <c r="C306" s="1442" t="s">
        <v>1381</v>
      </c>
      <c r="D306" s="1442" t="s">
        <v>1394</v>
      </c>
      <c r="E306" s="1442" t="s">
        <v>1447</v>
      </c>
      <c r="F306" s="1442" t="s">
        <v>1381</v>
      </c>
      <c r="G306" s="1442" t="s">
        <v>1394</v>
      </c>
      <c r="H306" s="1442"/>
      <c r="I306" s="1442"/>
      <c r="J306" s="1442"/>
      <c r="K306" s="770" t="s">
        <v>2013</v>
      </c>
      <c r="L306" s="1206">
        <f>+L307</f>
        <v>0</v>
      </c>
      <c r="M306" s="1206">
        <f t="shared" ref="M306:V306" si="53">+M307</f>
        <v>0</v>
      </c>
      <c r="N306" s="1206">
        <f t="shared" si="53"/>
        <v>0</v>
      </c>
      <c r="O306" s="1206">
        <f t="shared" si="46"/>
        <v>0</v>
      </c>
      <c r="P306" s="1206">
        <f t="shared" si="53"/>
        <v>0</v>
      </c>
      <c r="Q306" s="1206">
        <f t="shared" si="53"/>
        <v>0</v>
      </c>
      <c r="R306" s="1206">
        <f t="shared" si="53"/>
        <v>0</v>
      </c>
      <c r="S306" s="1206"/>
      <c r="T306" s="1206">
        <f t="shared" si="53"/>
        <v>0</v>
      </c>
      <c r="U306" s="1206">
        <f t="shared" si="53"/>
        <v>0</v>
      </c>
      <c r="V306" s="1206">
        <f t="shared" si="53"/>
        <v>0</v>
      </c>
      <c r="W306" s="779" t="e">
        <f t="shared" si="45"/>
        <v>#DIV/0!</v>
      </c>
      <c r="X306" s="788" t="s">
        <v>2015</v>
      </c>
      <c r="Y306" s="788"/>
    </row>
    <row r="307" spans="1:25" ht="22.5" customHeight="1" thickTop="1" thickBot="1" x14ac:dyDescent="0.3">
      <c r="A307" s="1441">
        <v>1</v>
      </c>
      <c r="B307" s="1442" t="s">
        <v>1381</v>
      </c>
      <c r="C307" s="1442" t="s">
        <v>1381</v>
      </c>
      <c r="D307" s="1442" t="s">
        <v>1394</v>
      </c>
      <c r="E307" s="1442" t="s">
        <v>1447</v>
      </c>
      <c r="F307" s="1442" t="s">
        <v>1381</v>
      </c>
      <c r="G307" s="1442" t="s">
        <v>1394</v>
      </c>
      <c r="H307" s="1442" t="s">
        <v>1381</v>
      </c>
      <c r="I307" s="1442"/>
      <c r="J307" s="1442"/>
      <c r="K307" s="771" t="s">
        <v>2014</v>
      </c>
      <c r="L307" s="1211">
        <f>SUM(L308:L318)</f>
        <v>0</v>
      </c>
      <c r="M307" s="1211">
        <f t="shared" ref="M307:V307" si="54">SUM(M308:M318)</f>
        <v>0</v>
      </c>
      <c r="N307" s="1211">
        <f t="shared" si="54"/>
        <v>0</v>
      </c>
      <c r="O307" s="1206">
        <f t="shared" si="46"/>
        <v>0</v>
      </c>
      <c r="P307" s="1211">
        <f t="shared" si="54"/>
        <v>0</v>
      </c>
      <c r="Q307" s="1211">
        <f t="shared" si="54"/>
        <v>0</v>
      </c>
      <c r="R307" s="1211">
        <f t="shared" si="54"/>
        <v>0</v>
      </c>
      <c r="S307" s="1211"/>
      <c r="T307" s="1211">
        <f t="shared" si="54"/>
        <v>0</v>
      </c>
      <c r="U307" s="1211">
        <f t="shared" si="54"/>
        <v>0</v>
      </c>
      <c r="V307" s="1211">
        <f t="shared" si="54"/>
        <v>0</v>
      </c>
      <c r="W307" s="780" t="e">
        <f t="shared" si="45"/>
        <v>#DIV/0!</v>
      </c>
      <c r="X307" s="788" t="s">
        <v>2016</v>
      </c>
      <c r="Y307" s="788" t="s">
        <v>1398</v>
      </c>
    </row>
    <row r="308" spans="1:25" ht="22.5" customHeight="1" thickTop="1" thickBot="1" x14ac:dyDescent="0.3">
      <c r="A308" s="1441">
        <v>1</v>
      </c>
      <c r="B308" s="1442" t="s">
        <v>1381</v>
      </c>
      <c r="C308" s="1442" t="s">
        <v>1381</v>
      </c>
      <c r="D308" s="1442" t="s">
        <v>1394</v>
      </c>
      <c r="E308" s="1442" t="s">
        <v>1447</v>
      </c>
      <c r="F308" s="1442" t="s">
        <v>1381</v>
      </c>
      <c r="G308" s="1442" t="s">
        <v>1394</v>
      </c>
      <c r="H308" s="1442" t="s">
        <v>1381</v>
      </c>
      <c r="I308" s="1442" t="s">
        <v>1381</v>
      </c>
      <c r="J308" s="1442"/>
      <c r="K308" s="771" t="s">
        <v>2376</v>
      </c>
      <c r="L308" s="1211"/>
      <c r="M308" s="1211"/>
      <c r="N308" s="1211"/>
      <c r="O308" s="1206">
        <f t="shared" si="46"/>
        <v>0</v>
      </c>
      <c r="P308" s="1211"/>
      <c r="Q308" s="1211"/>
      <c r="R308" s="1211"/>
      <c r="S308" s="1211"/>
      <c r="T308" s="1211"/>
      <c r="U308" s="1211"/>
      <c r="V308" s="1211"/>
      <c r="W308" s="780" t="e">
        <f t="shared" si="45"/>
        <v>#DIV/0!</v>
      </c>
      <c r="X308" s="788"/>
      <c r="Y308" s="788"/>
    </row>
    <row r="309" spans="1:25" ht="22.5" customHeight="1" thickTop="1" thickBot="1" x14ac:dyDescent="0.3">
      <c r="A309" s="1441">
        <v>1</v>
      </c>
      <c r="B309" s="1442" t="s">
        <v>1381</v>
      </c>
      <c r="C309" s="1442" t="s">
        <v>1381</v>
      </c>
      <c r="D309" s="1442" t="s">
        <v>1394</v>
      </c>
      <c r="E309" s="1442" t="s">
        <v>1447</v>
      </c>
      <c r="F309" s="1442" t="s">
        <v>1381</v>
      </c>
      <c r="G309" s="1442" t="s">
        <v>1394</v>
      </c>
      <c r="H309" s="1442" t="s">
        <v>1381</v>
      </c>
      <c r="I309" s="1442" t="s">
        <v>1394</v>
      </c>
      <c r="J309" s="1442"/>
      <c r="K309" s="771" t="s">
        <v>2377</v>
      </c>
      <c r="L309" s="1211"/>
      <c r="M309" s="1211"/>
      <c r="N309" s="1211"/>
      <c r="O309" s="1206">
        <f t="shared" si="46"/>
        <v>0</v>
      </c>
      <c r="P309" s="1211"/>
      <c r="Q309" s="1211"/>
      <c r="R309" s="1211"/>
      <c r="S309" s="1211"/>
      <c r="T309" s="1211"/>
      <c r="U309" s="1211"/>
      <c r="V309" s="1211"/>
      <c r="W309" s="780" t="e">
        <f t="shared" si="45"/>
        <v>#DIV/0!</v>
      </c>
      <c r="X309" s="788"/>
      <c r="Y309" s="788"/>
    </row>
    <row r="310" spans="1:25" ht="22.5" customHeight="1" thickTop="1" thickBot="1" x14ac:dyDescent="0.3">
      <c r="A310" s="1441">
        <v>1</v>
      </c>
      <c r="B310" s="1442" t="s">
        <v>1381</v>
      </c>
      <c r="C310" s="1442" t="s">
        <v>1381</v>
      </c>
      <c r="D310" s="1442" t="s">
        <v>1394</v>
      </c>
      <c r="E310" s="1442" t="s">
        <v>1447</v>
      </c>
      <c r="F310" s="1442" t="s">
        <v>1381</v>
      </c>
      <c r="G310" s="1442" t="s">
        <v>1394</v>
      </c>
      <c r="H310" s="1442" t="s">
        <v>1381</v>
      </c>
      <c r="I310" s="1442" t="s">
        <v>1418</v>
      </c>
      <c r="J310" s="1442"/>
      <c r="K310" s="771" t="s">
        <v>2378</v>
      </c>
      <c r="L310" s="1211"/>
      <c r="M310" s="1211"/>
      <c r="N310" s="1211"/>
      <c r="O310" s="1206">
        <f t="shared" si="46"/>
        <v>0</v>
      </c>
      <c r="P310" s="1211"/>
      <c r="Q310" s="1211"/>
      <c r="R310" s="1211"/>
      <c r="S310" s="1211"/>
      <c r="T310" s="1211"/>
      <c r="U310" s="1211"/>
      <c r="V310" s="1211"/>
      <c r="W310" s="780" t="e">
        <f t="shared" si="45"/>
        <v>#DIV/0!</v>
      </c>
      <c r="X310" s="788"/>
      <c r="Y310" s="788"/>
    </row>
    <row r="311" spans="1:25" ht="22.5" customHeight="1" thickTop="1" thickBot="1" x14ac:dyDescent="0.3">
      <c r="A311" s="1441">
        <v>1</v>
      </c>
      <c r="B311" s="1442" t="s">
        <v>1381</v>
      </c>
      <c r="C311" s="1442" t="s">
        <v>1381</v>
      </c>
      <c r="D311" s="1442" t="s">
        <v>1394</v>
      </c>
      <c r="E311" s="1442" t="s">
        <v>1447</v>
      </c>
      <c r="F311" s="1442" t="s">
        <v>1381</v>
      </c>
      <c r="G311" s="1442" t="s">
        <v>1394</v>
      </c>
      <c r="H311" s="1442" t="s">
        <v>1381</v>
      </c>
      <c r="I311" s="1442" t="s">
        <v>1422</v>
      </c>
      <c r="J311" s="1442"/>
      <c r="K311" s="771" t="s">
        <v>2416</v>
      </c>
      <c r="L311" s="1211"/>
      <c r="M311" s="1211"/>
      <c r="N311" s="1211"/>
      <c r="O311" s="1206">
        <f t="shared" si="46"/>
        <v>0</v>
      </c>
      <c r="P311" s="1211"/>
      <c r="Q311" s="1211"/>
      <c r="R311" s="1211"/>
      <c r="S311" s="1211"/>
      <c r="T311" s="1211"/>
      <c r="U311" s="1211"/>
      <c r="V311" s="1211"/>
      <c r="W311" s="780" t="e">
        <f t="shared" si="45"/>
        <v>#DIV/0!</v>
      </c>
      <c r="X311" s="788"/>
      <c r="Y311" s="788"/>
    </row>
    <row r="312" spans="1:25" ht="22.5" customHeight="1" thickTop="1" thickBot="1" x14ac:dyDescent="0.3">
      <c r="A312" s="1441">
        <v>1</v>
      </c>
      <c r="B312" s="1442" t="s">
        <v>1381</v>
      </c>
      <c r="C312" s="1442" t="s">
        <v>1381</v>
      </c>
      <c r="D312" s="1442" t="s">
        <v>1394</v>
      </c>
      <c r="E312" s="1442" t="s">
        <v>1447</v>
      </c>
      <c r="F312" s="1442" t="s">
        <v>1381</v>
      </c>
      <c r="G312" s="1442" t="s">
        <v>1394</v>
      </c>
      <c r="H312" s="1442" t="s">
        <v>1381</v>
      </c>
      <c r="I312" s="1442" t="s">
        <v>1447</v>
      </c>
      <c r="J312" s="1442"/>
      <c r="K312" s="771" t="s">
        <v>2379</v>
      </c>
      <c r="L312" s="1211"/>
      <c r="M312" s="1211"/>
      <c r="N312" s="1211"/>
      <c r="O312" s="1206">
        <f t="shared" si="46"/>
        <v>0</v>
      </c>
      <c r="P312" s="1211"/>
      <c r="Q312" s="1211"/>
      <c r="R312" s="1211"/>
      <c r="S312" s="1211"/>
      <c r="T312" s="1211"/>
      <c r="U312" s="1211"/>
      <c r="V312" s="1211"/>
      <c r="W312" s="780" t="e">
        <f t="shared" si="45"/>
        <v>#DIV/0!</v>
      </c>
      <c r="X312" s="788"/>
      <c r="Y312" s="788"/>
    </row>
    <row r="313" spans="1:25" ht="22.5" customHeight="1" thickTop="1" thickBot="1" x14ac:dyDescent="0.3">
      <c r="A313" s="1441">
        <v>1</v>
      </c>
      <c r="B313" s="1442" t="s">
        <v>1381</v>
      </c>
      <c r="C313" s="1442" t="s">
        <v>1381</v>
      </c>
      <c r="D313" s="1442" t="s">
        <v>1394</v>
      </c>
      <c r="E313" s="1442" t="s">
        <v>1447</v>
      </c>
      <c r="F313" s="1442" t="s">
        <v>1381</v>
      </c>
      <c r="G313" s="1442" t="s">
        <v>1394</v>
      </c>
      <c r="H313" s="1442" t="s">
        <v>1381</v>
      </c>
      <c r="I313" s="1442" t="s">
        <v>1470</v>
      </c>
      <c r="J313" s="1442"/>
      <c r="K313" s="771" t="s">
        <v>2380</v>
      </c>
      <c r="L313" s="1211"/>
      <c r="M313" s="1211"/>
      <c r="N313" s="1211"/>
      <c r="O313" s="1206">
        <f t="shared" si="46"/>
        <v>0</v>
      </c>
      <c r="P313" s="1211"/>
      <c r="Q313" s="1211"/>
      <c r="R313" s="1211"/>
      <c r="S313" s="1211"/>
      <c r="T313" s="1211"/>
      <c r="U313" s="1211"/>
      <c r="V313" s="1211"/>
      <c r="W313" s="780" t="e">
        <f t="shared" si="45"/>
        <v>#DIV/0!</v>
      </c>
      <c r="X313" s="788"/>
      <c r="Y313" s="788"/>
    </row>
    <row r="314" spans="1:25" ht="22.5" customHeight="1" thickTop="1" thickBot="1" x14ac:dyDescent="0.3">
      <c r="A314" s="1441">
        <v>1</v>
      </c>
      <c r="B314" s="1442" t="s">
        <v>1381</v>
      </c>
      <c r="C314" s="1442" t="s">
        <v>1381</v>
      </c>
      <c r="D314" s="1442" t="s">
        <v>1394</v>
      </c>
      <c r="E314" s="1442" t="s">
        <v>1447</v>
      </c>
      <c r="F314" s="1442" t="s">
        <v>1381</v>
      </c>
      <c r="G314" s="1442" t="s">
        <v>1394</v>
      </c>
      <c r="H314" s="1442" t="s">
        <v>1381</v>
      </c>
      <c r="I314" s="1442" t="s">
        <v>1474</v>
      </c>
      <c r="J314" s="1442"/>
      <c r="K314" s="771" t="s">
        <v>2381</v>
      </c>
      <c r="L314" s="1211"/>
      <c r="M314" s="1211"/>
      <c r="N314" s="1211"/>
      <c r="O314" s="1206">
        <f t="shared" si="46"/>
        <v>0</v>
      </c>
      <c r="P314" s="1211"/>
      <c r="Q314" s="1211"/>
      <c r="R314" s="1211"/>
      <c r="S314" s="1211"/>
      <c r="T314" s="1211"/>
      <c r="U314" s="1211"/>
      <c r="V314" s="1211"/>
      <c r="W314" s="780" t="e">
        <f t="shared" si="45"/>
        <v>#DIV/0!</v>
      </c>
      <c r="X314" s="788"/>
      <c r="Y314" s="788"/>
    </row>
    <row r="315" spans="1:25" ht="22.5" customHeight="1" thickTop="1" thickBot="1" x14ac:dyDescent="0.3">
      <c r="A315" s="1441">
        <v>1</v>
      </c>
      <c r="B315" s="1442" t="s">
        <v>1381</v>
      </c>
      <c r="C315" s="1442" t="s">
        <v>1381</v>
      </c>
      <c r="D315" s="1442" t="s">
        <v>1394</v>
      </c>
      <c r="E315" s="1442" t="s">
        <v>1447</v>
      </c>
      <c r="F315" s="1442" t="s">
        <v>1381</v>
      </c>
      <c r="G315" s="1442" t="s">
        <v>1394</v>
      </c>
      <c r="H315" s="1442" t="s">
        <v>1381</v>
      </c>
      <c r="I315" s="1442" t="s">
        <v>1478</v>
      </c>
      <c r="J315" s="1442"/>
      <c r="K315" s="771" t="s">
        <v>2382</v>
      </c>
      <c r="L315" s="1211"/>
      <c r="M315" s="1211"/>
      <c r="N315" s="1211"/>
      <c r="O315" s="1206">
        <f t="shared" si="46"/>
        <v>0</v>
      </c>
      <c r="P315" s="1211"/>
      <c r="Q315" s="1211"/>
      <c r="R315" s="1211"/>
      <c r="S315" s="1211"/>
      <c r="T315" s="1211"/>
      <c r="U315" s="1211"/>
      <c r="V315" s="1211"/>
      <c r="W315" s="780" t="e">
        <f t="shared" si="45"/>
        <v>#DIV/0!</v>
      </c>
      <c r="X315" s="788"/>
      <c r="Y315" s="788"/>
    </row>
    <row r="316" spans="1:25" ht="22.5" customHeight="1" thickTop="1" thickBot="1" x14ac:dyDescent="0.3">
      <c r="A316" s="1441">
        <v>1</v>
      </c>
      <c r="B316" s="1442" t="s">
        <v>1381</v>
      </c>
      <c r="C316" s="1442" t="s">
        <v>1381</v>
      </c>
      <c r="D316" s="1442" t="s">
        <v>1394</v>
      </c>
      <c r="E316" s="1442" t="s">
        <v>1447</v>
      </c>
      <c r="F316" s="1442" t="s">
        <v>1381</v>
      </c>
      <c r="G316" s="1442" t="s">
        <v>1394</v>
      </c>
      <c r="H316" s="1442" t="s">
        <v>1381</v>
      </c>
      <c r="I316" s="1442" t="s">
        <v>1576</v>
      </c>
      <c r="J316" s="1442"/>
      <c r="K316" s="771" t="s">
        <v>2383</v>
      </c>
      <c r="L316" s="1211"/>
      <c r="M316" s="1211"/>
      <c r="N316" s="1211"/>
      <c r="O316" s="1206">
        <f t="shared" si="46"/>
        <v>0</v>
      </c>
      <c r="P316" s="1211"/>
      <c r="Q316" s="1211"/>
      <c r="R316" s="1211"/>
      <c r="S316" s="1211"/>
      <c r="T316" s="1211"/>
      <c r="U316" s="1211"/>
      <c r="V316" s="1211"/>
      <c r="W316" s="780" t="e">
        <f t="shared" si="45"/>
        <v>#DIV/0!</v>
      </c>
      <c r="X316" s="788"/>
      <c r="Y316" s="788"/>
    </row>
    <row r="317" spans="1:25" ht="22.5" customHeight="1" thickTop="1" thickBot="1" x14ac:dyDescent="0.3">
      <c r="A317" s="1441">
        <v>1</v>
      </c>
      <c r="B317" s="1442" t="s">
        <v>1381</v>
      </c>
      <c r="C317" s="1442" t="s">
        <v>1381</v>
      </c>
      <c r="D317" s="1442" t="s">
        <v>1394</v>
      </c>
      <c r="E317" s="1442" t="s">
        <v>1447</v>
      </c>
      <c r="F317" s="1442" t="s">
        <v>1381</v>
      </c>
      <c r="G317" s="1442" t="s">
        <v>1394</v>
      </c>
      <c r="H317" s="1442" t="s">
        <v>1381</v>
      </c>
      <c r="I317" s="1442" t="s">
        <v>1577</v>
      </c>
      <c r="J317" s="1442"/>
      <c r="K317" s="771" t="s">
        <v>2384</v>
      </c>
      <c r="L317" s="1211"/>
      <c r="M317" s="1211"/>
      <c r="N317" s="1211"/>
      <c r="O317" s="1206">
        <f t="shared" si="46"/>
        <v>0</v>
      </c>
      <c r="P317" s="1211"/>
      <c r="Q317" s="1211"/>
      <c r="R317" s="1211"/>
      <c r="S317" s="1211"/>
      <c r="T317" s="1211"/>
      <c r="U317" s="1211"/>
      <c r="V317" s="1211"/>
      <c r="W317" s="780" t="e">
        <f t="shared" si="45"/>
        <v>#DIV/0!</v>
      </c>
      <c r="X317" s="788"/>
      <c r="Y317" s="788"/>
    </row>
    <row r="318" spans="1:25" ht="22.5" customHeight="1" thickTop="1" thickBot="1" x14ac:dyDescent="0.3">
      <c r="A318" s="1441">
        <v>1</v>
      </c>
      <c r="B318" s="1442" t="s">
        <v>1381</v>
      </c>
      <c r="C318" s="1442" t="s">
        <v>1381</v>
      </c>
      <c r="D318" s="1442" t="s">
        <v>1394</v>
      </c>
      <c r="E318" s="1442" t="s">
        <v>1447</v>
      </c>
      <c r="F318" s="1442" t="s">
        <v>1381</v>
      </c>
      <c r="G318" s="1442" t="s">
        <v>1394</v>
      </c>
      <c r="H318" s="1442" t="s">
        <v>1381</v>
      </c>
      <c r="I318" s="1442" t="s">
        <v>1578</v>
      </c>
      <c r="J318" s="1442"/>
      <c r="K318" s="771" t="s">
        <v>2385</v>
      </c>
      <c r="L318" s="1211"/>
      <c r="M318" s="1211"/>
      <c r="N318" s="1211"/>
      <c r="O318" s="1206">
        <f t="shared" si="46"/>
        <v>0</v>
      </c>
      <c r="P318" s="1211"/>
      <c r="Q318" s="1211"/>
      <c r="R318" s="1211"/>
      <c r="S318" s="1211"/>
      <c r="T318" s="1211"/>
      <c r="U318" s="1211"/>
      <c r="V318" s="1211"/>
      <c r="W318" s="780" t="e">
        <f t="shared" si="45"/>
        <v>#DIV/0!</v>
      </c>
      <c r="X318" s="788"/>
      <c r="Y318" s="788"/>
    </row>
    <row r="319" spans="1:25" s="183" customFormat="1" ht="22.5" customHeight="1" thickTop="1" thickBot="1" x14ac:dyDescent="0.3">
      <c r="A319" s="1430">
        <v>1</v>
      </c>
      <c r="B319" s="1431" t="s">
        <v>1381</v>
      </c>
      <c r="C319" s="1431" t="s">
        <v>1394</v>
      </c>
      <c r="D319" s="1431"/>
      <c r="E319" s="1431"/>
      <c r="F319" s="1431"/>
      <c r="G319" s="1431"/>
      <c r="H319" s="1431"/>
      <c r="I319" s="1431"/>
      <c r="J319" s="1431"/>
      <c r="K319" s="1432" t="s">
        <v>1554</v>
      </c>
      <c r="L319" s="1207">
        <f>+L320+L397+L422+L484+L570+L684</f>
        <v>0</v>
      </c>
      <c r="M319" s="1207">
        <f t="shared" ref="M319:V319" si="55">+M320+M397+M422+M484+M570+M684</f>
        <v>0</v>
      </c>
      <c r="N319" s="1207">
        <f t="shared" si="55"/>
        <v>0</v>
      </c>
      <c r="O319" s="1206">
        <f t="shared" si="46"/>
        <v>0</v>
      </c>
      <c r="P319" s="1207">
        <f t="shared" si="55"/>
        <v>0</v>
      </c>
      <c r="Q319" s="1207">
        <f t="shared" si="55"/>
        <v>0</v>
      </c>
      <c r="R319" s="1207">
        <f t="shared" si="55"/>
        <v>0</v>
      </c>
      <c r="S319" s="1207"/>
      <c r="T319" s="1207">
        <f t="shared" si="55"/>
        <v>0</v>
      </c>
      <c r="U319" s="1207">
        <f t="shared" si="55"/>
        <v>0</v>
      </c>
      <c r="V319" s="1207">
        <f t="shared" si="55"/>
        <v>0</v>
      </c>
      <c r="W319" s="610" t="e">
        <f t="shared" si="45"/>
        <v>#DIV/0!</v>
      </c>
      <c r="X319" s="788" t="s">
        <v>1555</v>
      </c>
      <c r="Y319" s="788"/>
    </row>
    <row r="320" spans="1:25" s="183" customFormat="1" ht="22.5" customHeight="1" thickTop="1" thickBot="1" x14ac:dyDescent="0.3">
      <c r="A320" s="1433">
        <v>1</v>
      </c>
      <c r="B320" s="1434" t="s">
        <v>1381</v>
      </c>
      <c r="C320" s="1434" t="s">
        <v>1394</v>
      </c>
      <c r="D320" s="1434" t="s">
        <v>1381</v>
      </c>
      <c r="E320" s="1434"/>
      <c r="F320" s="1434"/>
      <c r="G320" s="1434"/>
      <c r="H320" s="1434"/>
      <c r="I320" s="1434"/>
      <c r="J320" s="1434"/>
      <c r="K320" s="1435" t="s">
        <v>1556</v>
      </c>
      <c r="L320" s="1206">
        <f>+L321</f>
        <v>0</v>
      </c>
      <c r="M320" s="1206">
        <f t="shared" ref="M320:V320" si="56">+M321</f>
        <v>0</v>
      </c>
      <c r="N320" s="1206">
        <f t="shared" si="56"/>
        <v>0</v>
      </c>
      <c r="O320" s="1206">
        <f t="shared" si="46"/>
        <v>0</v>
      </c>
      <c r="P320" s="1206">
        <f t="shared" si="56"/>
        <v>0</v>
      </c>
      <c r="Q320" s="1206">
        <f t="shared" si="56"/>
        <v>0</v>
      </c>
      <c r="R320" s="1206">
        <f t="shared" si="56"/>
        <v>0</v>
      </c>
      <c r="S320" s="1206"/>
      <c r="T320" s="1206">
        <f t="shared" si="56"/>
        <v>0</v>
      </c>
      <c r="U320" s="1206">
        <f t="shared" si="56"/>
        <v>0</v>
      </c>
      <c r="V320" s="1206">
        <f t="shared" si="56"/>
        <v>0</v>
      </c>
      <c r="W320" s="779" t="e">
        <f t="shared" si="45"/>
        <v>#DIV/0!</v>
      </c>
      <c r="X320" s="788" t="s">
        <v>2018</v>
      </c>
      <c r="Y320" s="788"/>
    </row>
    <row r="321" spans="1:25" s="183" customFormat="1" ht="22.5" customHeight="1" thickTop="1" thickBot="1" x14ac:dyDescent="0.3">
      <c r="A321" s="1437">
        <v>1</v>
      </c>
      <c r="B321" s="1437" t="s">
        <v>1381</v>
      </c>
      <c r="C321" s="1437" t="s">
        <v>1394</v>
      </c>
      <c r="D321" s="1437" t="s">
        <v>1381</v>
      </c>
      <c r="E321" s="1437" t="s">
        <v>1381</v>
      </c>
      <c r="F321" s="1437"/>
      <c r="G321" s="1437"/>
      <c r="H321" s="1437"/>
      <c r="I321" s="1437"/>
      <c r="J321" s="1437"/>
      <c r="K321" s="1438" t="s">
        <v>1558</v>
      </c>
      <c r="L321" s="1206">
        <f>+L322+L347+L372</f>
        <v>0</v>
      </c>
      <c r="M321" s="1206">
        <f t="shared" ref="M321:V321" si="57">+M322+M347+M372</f>
        <v>0</v>
      </c>
      <c r="N321" s="1206">
        <f t="shared" si="57"/>
        <v>0</v>
      </c>
      <c r="O321" s="1206">
        <f t="shared" si="46"/>
        <v>0</v>
      </c>
      <c r="P321" s="1206">
        <f t="shared" si="57"/>
        <v>0</v>
      </c>
      <c r="Q321" s="1206">
        <f t="shared" si="57"/>
        <v>0</v>
      </c>
      <c r="R321" s="1206">
        <f t="shared" si="57"/>
        <v>0</v>
      </c>
      <c r="S321" s="1206"/>
      <c r="T321" s="1206">
        <f t="shared" si="57"/>
        <v>0</v>
      </c>
      <c r="U321" s="1206">
        <f t="shared" si="57"/>
        <v>0</v>
      </c>
      <c r="V321" s="1206">
        <f t="shared" si="57"/>
        <v>0</v>
      </c>
      <c r="W321" s="779" t="e">
        <f t="shared" si="45"/>
        <v>#DIV/0!</v>
      </c>
      <c r="X321" s="788" t="s">
        <v>1559</v>
      </c>
      <c r="Y321" s="788"/>
    </row>
    <row r="322" spans="1:25" s="183" customFormat="1" ht="22.5" customHeight="1" thickTop="1" thickBot="1" x14ac:dyDescent="0.3">
      <c r="A322" s="1439">
        <v>1</v>
      </c>
      <c r="B322" s="1440" t="s">
        <v>1381</v>
      </c>
      <c r="C322" s="1440" t="s">
        <v>1394</v>
      </c>
      <c r="D322" s="1440" t="s">
        <v>1381</v>
      </c>
      <c r="E322" s="1440" t="s">
        <v>1381</v>
      </c>
      <c r="F322" s="1440" t="s">
        <v>1381</v>
      </c>
      <c r="G322" s="1440"/>
      <c r="H322" s="1440"/>
      <c r="I322" s="1440"/>
      <c r="J322" s="1440"/>
      <c r="K322" s="770" t="s">
        <v>1560</v>
      </c>
      <c r="L322" s="1206">
        <f>SUM(L323:L334)</f>
        <v>0</v>
      </c>
      <c r="M322" s="1206">
        <f t="shared" ref="M322:V322" si="58">SUM(M323:M334)</f>
        <v>0</v>
      </c>
      <c r="N322" s="1206">
        <f t="shared" si="58"/>
        <v>0</v>
      </c>
      <c r="O322" s="1206">
        <f t="shared" si="46"/>
        <v>0</v>
      </c>
      <c r="P322" s="1206">
        <f t="shared" si="58"/>
        <v>0</v>
      </c>
      <c r="Q322" s="1206">
        <f t="shared" si="58"/>
        <v>0</v>
      </c>
      <c r="R322" s="1206">
        <f t="shared" si="58"/>
        <v>0</v>
      </c>
      <c r="S322" s="1206"/>
      <c r="T322" s="1206">
        <f t="shared" si="58"/>
        <v>0</v>
      </c>
      <c r="U322" s="1206">
        <f t="shared" si="58"/>
        <v>0</v>
      </c>
      <c r="V322" s="1206">
        <f t="shared" si="58"/>
        <v>0</v>
      </c>
      <c r="W322" s="779" t="e">
        <f t="shared" si="45"/>
        <v>#DIV/0!</v>
      </c>
      <c r="X322" s="788" t="s">
        <v>1561</v>
      </c>
      <c r="Y322" s="788"/>
    </row>
    <row r="323" spans="1:25" ht="22.5" customHeight="1" thickTop="1" thickBot="1" x14ac:dyDescent="0.3">
      <c r="A323" s="1441">
        <v>1</v>
      </c>
      <c r="B323" s="1442" t="s">
        <v>1381</v>
      </c>
      <c r="C323" s="1442" t="s">
        <v>1394</v>
      </c>
      <c r="D323" s="1442" t="s">
        <v>1381</v>
      </c>
      <c r="E323" s="1442" t="s">
        <v>1381</v>
      </c>
      <c r="F323" s="1442" t="s">
        <v>1381</v>
      </c>
      <c r="G323" s="1442" t="s">
        <v>1381</v>
      </c>
      <c r="H323" s="1442"/>
      <c r="I323" s="1442"/>
      <c r="J323" s="1442"/>
      <c r="K323" s="771" t="s">
        <v>1562</v>
      </c>
      <c r="L323" s="1211"/>
      <c r="M323" s="1211"/>
      <c r="N323" s="1211"/>
      <c r="O323" s="1206">
        <f t="shared" si="46"/>
        <v>0</v>
      </c>
      <c r="P323" s="1211"/>
      <c r="Q323" s="1211"/>
      <c r="R323" s="1211"/>
      <c r="S323" s="1211"/>
      <c r="T323" s="1211"/>
      <c r="U323" s="1211"/>
      <c r="V323" s="1211"/>
      <c r="W323" s="780" t="e">
        <f t="shared" si="45"/>
        <v>#DIV/0!</v>
      </c>
      <c r="X323" s="788" t="s">
        <v>1563</v>
      </c>
      <c r="Y323" s="788"/>
    </row>
    <row r="324" spans="1:25" ht="22.5" customHeight="1" thickTop="1" thickBot="1" x14ac:dyDescent="0.3">
      <c r="A324" s="1441">
        <v>1</v>
      </c>
      <c r="B324" s="1442" t="s">
        <v>1381</v>
      </c>
      <c r="C324" s="1442" t="s">
        <v>1394</v>
      </c>
      <c r="D324" s="1442" t="s">
        <v>1381</v>
      </c>
      <c r="E324" s="1442" t="s">
        <v>1381</v>
      </c>
      <c r="F324" s="1442" t="s">
        <v>1381</v>
      </c>
      <c r="G324" s="1442" t="s">
        <v>1381</v>
      </c>
      <c r="H324" s="1442" t="s">
        <v>1381</v>
      </c>
      <c r="I324" s="1442"/>
      <c r="J324" s="1442"/>
      <c r="K324" s="771" t="s">
        <v>2386</v>
      </c>
      <c r="L324" s="1211"/>
      <c r="M324" s="1211"/>
      <c r="N324" s="1211"/>
      <c r="O324" s="1206">
        <f t="shared" si="46"/>
        <v>0</v>
      </c>
      <c r="P324" s="1211"/>
      <c r="Q324" s="1211"/>
      <c r="R324" s="1211"/>
      <c r="S324" s="1211"/>
      <c r="T324" s="1211"/>
      <c r="U324" s="1211"/>
      <c r="V324" s="1211"/>
      <c r="W324" s="780" t="e">
        <f t="shared" si="45"/>
        <v>#DIV/0!</v>
      </c>
      <c r="X324" s="788"/>
      <c r="Y324" s="788"/>
    </row>
    <row r="325" spans="1:25" ht="22.5" customHeight="1" thickTop="1" thickBot="1" x14ac:dyDescent="0.3">
      <c r="A325" s="1441">
        <v>1</v>
      </c>
      <c r="B325" s="1442" t="s">
        <v>1381</v>
      </c>
      <c r="C325" s="1442" t="s">
        <v>1394</v>
      </c>
      <c r="D325" s="1442" t="s">
        <v>1381</v>
      </c>
      <c r="E325" s="1442" t="s">
        <v>1381</v>
      </c>
      <c r="F325" s="1442" t="s">
        <v>1381</v>
      </c>
      <c r="G325" s="1442" t="s">
        <v>1381</v>
      </c>
      <c r="H325" s="1442" t="s">
        <v>1394</v>
      </c>
      <c r="I325" s="1442"/>
      <c r="J325" s="1442"/>
      <c r="K325" s="771" t="s">
        <v>2387</v>
      </c>
      <c r="L325" s="1211"/>
      <c r="M325" s="1211"/>
      <c r="N325" s="1211"/>
      <c r="O325" s="1206">
        <f t="shared" si="46"/>
        <v>0</v>
      </c>
      <c r="P325" s="1211"/>
      <c r="Q325" s="1211"/>
      <c r="R325" s="1211"/>
      <c r="S325" s="1211"/>
      <c r="T325" s="1211"/>
      <c r="U325" s="1211"/>
      <c r="V325" s="1211"/>
      <c r="W325" s="780" t="e">
        <f t="shared" si="45"/>
        <v>#DIV/0!</v>
      </c>
      <c r="X325" s="788"/>
      <c r="Y325" s="788"/>
    </row>
    <row r="326" spans="1:25" ht="22.5" customHeight="1" thickTop="1" thickBot="1" x14ac:dyDescent="0.3">
      <c r="A326" s="1441">
        <v>1</v>
      </c>
      <c r="B326" s="1442" t="s">
        <v>1381</v>
      </c>
      <c r="C326" s="1442" t="s">
        <v>1394</v>
      </c>
      <c r="D326" s="1442" t="s">
        <v>1381</v>
      </c>
      <c r="E326" s="1442" t="s">
        <v>1381</v>
      </c>
      <c r="F326" s="1442" t="s">
        <v>1381</v>
      </c>
      <c r="G326" s="1442" t="s">
        <v>1381</v>
      </c>
      <c r="H326" s="1442" t="s">
        <v>1418</v>
      </c>
      <c r="I326" s="1442"/>
      <c r="J326" s="1442"/>
      <c r="K326" s="771" t="s">
        <v>2388</v>
      </c>
      <c r="L326" s="1211"/>
      <c r="M326" s="1211"/>
      <c r="N326" s="1211"/>
      <c r="O326" s="1206">
        <f t="shared" si="46"/>
        <v>0</v>
      </c>
      <c r="P326" s="1211"/>
      <c r="Q326" s="1211"/>
      <c r="R326" s="1211"/>
      <c r="S326" s="1211"/>
      <c r="T326" s="1211"/>
      <c r="U326" s="1211"/>
      <c r="V326" s="1211"/>
      <c r="W326" s="780" t="e">
        <f t="shared" si="45"/>
        <v>#DIV/0!</v>
      </c>
      <c r="X326" s="788"/>
      <c r="Y326" s="788"/>
    </row>
    <row r="327" spans="1:25" ht="22.5" customHeight="1" thickTop="1" thickBot="1" x14ac:dyDescent="0.3">
      <c r="A327" s="1441">
        <v>1</v>
      </c>
      <c r="B327" s="1442" t="s">
        <v>1381</v>
      </c>
      <c r="C327" s="1442" t="s">
        <v>1394</v>
      </c>
      <c r="D327" s="1442" t="s">
        <v>1381</v>
      </c>
      <c r="E327" s="1442" t="s">
        <v>1381</v>
      </c>
      <c r="F327" s="1442" t="s">
        <v>1381</v>
      </c>
      <c r="G327" s="1442" t="s">
        <v>1381</v>
      </c>
      <c r="H327" s="1442" t="s">
        <v>1422</v>
      </c>
      <c r="I327" s="1442"/>
      <c r="J327" s="1442"/>
      <c r="K327" s="771" t="s">
        <v>2417</v>
      </c>
      <c r="L327" s="1211"/>
      <c r="M327" s="1211"/>
      <c r="N327" s="1211"/>
      <c r="O327" s="1206">
        <f t="shared" si="46"/>
        <v>0</v>
      </c>
      <c r="P327" s="1211"/>
      <c r="Q327" s="1211"/>
      <c r="R327" s="1211"/>
      <c r="S327" s="1211"/>
      <c r="T327" s="1211"/>
      <c r="U327" s="1211"/>
      <c r="V327" s="1211"/>
      <c r="W327" s="780" t="e">
        <f t="shared" ref="W327:W390" si="59">V327/O327</f>
        <v>#DIV/0!</v>
      </c>
      <c r="X327" s="788"/>
      <c r="Y327" s="788"/>
    </row>
    <row r="328" spans="1:25" ht="22.5" customHeight="1" thickTop="1" thickBot="1" x14ac:dyDescent="0.3">
      <c r="A328" s="1441">
        <v>1</v>
      </c>
      <c r="B328" s="1442" t="s">
        <v>1381</v>
      </c>
      <c r="C328" s="1442" t="s">
        <v>1394</v>
      </c>
      <c r="D328" s="1442" t="s">
        <v>1381</v>
      </c>
      <c r="E328" s="1442" t="s">
        <v>1381</v>
      </c>
      <c r="F328" s="1442" t="s">
        <v>1381</v>
      </c>
      <c r="G328" s="1442" t="s">
        <v>1381</v>
      </c>
      <c r="H328" s="1442" t="s">
        <v>1447</v>
      </c>
      <c r="I328" s="1442"/>
      <c r="J328" s="1442"/>
      <c r="K328" s="771" t="s">
        <v>2389</v>
      </c>
      <c r="L328" s="1211"/>
      <c r="M328" s="1211"/>
      <c r="N328" s="1211"/>
      <c r="O328" s="1206">
        <f t="shared" ref="O328:O391" si="60">L328+M328-N328</f>
        <v>0</v>
      </c>
      <c r="P328" s="1211"/>
      <c r="Q328" s="1211"/>
      <c r="R328" s="1211"/>
      <c r="S328" s="1211"/>
      <c r="T328" s="1211"/>
      <c r="U328" s="1211"/>
      <c r="V328" s="1211"/>
      <c r="W328" s="780" t="e">
        <f t="shared" si="59"/>
        <v>#DIV/0!</v>
      </c>
      <c r="X328" s="788"/>
      <c r="Y328" s="788"/>
    </row>
    <row r="329" spans="1:25" ht="22.5" customHeight="1" thickTop="1" thickBot="1" x14ac:dyDescent="0.3">
      <c r="A329" s="1441">
        <v>1</v>
      </c>
      <c r="B329" s="1442" t="s">
        <v>1381</v>
      </c>
      <c r="C329" s="1442" t="s">
        <v>1394</v>
      </c>
      <c r="D329" s="1442" t="s">
        <v>1381</v>
      </c>
      <c r="E329" s="1442" t="s">
        <v>1381</v>
      </c>
      <c r="F329" s="1442" t="s">
        <v>1381</v>
      </c>
      <c r="G329" s="1442" t="s">
        <v>1381</v>
      </c>
      <c r="H329" s="1442" t="s">
        <v>1470</v>
      </c>
      <c r="I329" s="1442"/>
      <c r="J329" s="1442"/>
      <c r="K329" s="771" t="s">
        <v>2390</v>
      </c>
      <c r="L329" s="1211"/>
      <c r="M329" s="1211"/>
      <c r="N329" s="1211"/>
      <c r="O329" s="1206">
        <f t="shared" si="60"/>
        <v>0</v>
      </c>
      <c r="P329" s="1211"/>
      <c r="Q329" s="1211"/>
      <c r="R329" s="1211"/>
      <c r="S329" s="1211"/>
      <c r="T329" s="1211"/>
      <c r="U329" s="1211"/>
      <c r="V329" s="1211"/>
      <c r="W329" s="780" t="e">
        <f t="shared" si="59"/>
        <v>#DIV/0!</v>
      </c>
      <c r="X329" s="788"/>
      <c r="Y329" s="788"/>
    </row>
    <row r="330" spans="1:25" ht="22.5" customHeight="1" thickTop="1" thickBot="1" x14ac:dyDescent="0.3">
      <c r="A330" s="1441">
        <v>1</v>
      </c>
      <c r="B330" s="1442" t="s">
        <v>1381</v>
      </c>
      <c r="C330" s="1442" t="s">
        <v>1394</v>
      </c>
      <c r="D330" s="1442" t="s">
        <v>1381</v>
      </c>
      <c r="E330" s="1442" t="s">
        <v>1381</v>
      </c>
      <c r="F330" s="1442" t="s">
        <v>1381</v>
      </c>
      <c r="G330" s="1442" t="s">
        <v>1381</v>
      </c>
      <c r="H330" s="1442" t="s">
        <v>1474</v>
      </c>
      <c r="I330" s="1442"/>
      <c r="J330" s="1442"/>
      <c r="K330" s="771" t="s">
        <v>2391</v>
      </c>
      <c r="L330" s="1211"/>
      <c r="M330" s="1211"/>
      <c r="N330" s="1211"/>
      <c r="O330" s="1206">
        <f t="shared" si="60"/>
        <v>0</v>
      </c>
      <c r="P330" s="1211"/>
      <c r="Q330" s="1211"/>
      <c r="R330" s="1211"/>
      <c r="S330" s="1211"/>
      <c r="T330" s="1211"/>
      <c r="U330" s="1211"/>
      <c r="V330" s="1211"/>
      <c r="W330" s="780" t="e">
        <f t="shared" si="59"/>
        <v>#DIV/0!</v>
      </c>
      <c r="X330" s="788"/>
      <c r="Y330" s="788"/>
    </row>
    <row r="331" spans="1:25" ht="22.5" customHeight="1" thickTop="1" thickBot="1" x14ac:dyDescent="0.3">
      <c r="A331" s="1441">
        <v>1</v>
      </c>
      <c r="B331" s="1442" t="s">
        <v>1381</v>
      </c>
      <c r="C331" s="1442" t="s">
        <v>1394</v>
      </c>
      <c r="D331" s="1442" t="s">
        <v>1381</v>
      </c>
      <c r="E331" s="1442" t="s">
        <v>1381</v>
      </c>
      <c r="F331" s="1442" t="s">
        <v>1381</v>
      </c>
      <c r="G331" s="1442" t="s">
        <v>1381</v>
      </c>
      <c r="H331" s="1442" t="s">
        <v>1478</v>
      </c>
      <c r="I331" s="1442"/>
      <c r="J331" s="1442"/>
      <c r="K331" s="771" t="s">
        <v>2392</v>
      </c>
      <c r="L331" s="1211"/>
      <c r="M331" s="1211"/>
      <c r="N331" s="1211"/>
      <c r="O331" s="1206">
        <f t="shared" si="60"/>
        <v>0</v>
      </c>
      <c r="P331" s="1211"/>
      <c r="Q331" s="1211"/>
      <c r="R331" s="1211"/>
      <c r="S331" s="1211"/>
      <c r="T331" s="1211"/>
      <c r="U331" s="1211"/>
      <c r="V331" s="1211"/>
      <c r="W331" s="780" t="e">
        <f t="shared" si="59"/>
        <v>#DIV/0!</v>
      </c>
      <c r="X331" s="788"/>
      <c r="Y331" s="788"/>
    </row>
    <row r="332" spans="1:25" ht="22.5" customHeight="1" thickTop="1" thickBot="1" x14ac:dyDescent="0.3">
      <c r="A332" s="1441">
        <v>1</v>
      </c>
      <c r="B332" s="1442" t="s">
        <v>1381</v>
      </c>
      <c r="C332" s="1442" t="s">
        <v>1394</v>
      </c>
      <c r="D332" s="1442" t="s">
        <v>1381</v>
      </c>
      <c r="E332" s="1442" t="s">
        <v>1381</v>
      </c>
      <c r="F332" s="1442" t="s">
        <v>1381</v>
      </c>
      <c r="G332" s="1442" t="s">
        <v>1381</v>
      </c>
      <c r="H332" s="1442" t="s">
        <v>1576</v>
      </c>
      <c r="I332" s="1442"/>
      <c r="J332" s="1442"/>
      <c r="K332" s="771" t="s">
        <v>2393</v>
      </c>
      <c r="L332" s="1211"/>
      <c r="M332" s="1211"/>
      <c r="N332" s="1211"/>
      <c r="O332" s="1206">
        <f t="shared" si="60"/>
        <v>0</v>
      </c>
      <c r="P332" s="1211"/>
      <c r="Q332" s="1211"/>
      <c r="R332" s="1211"/>
      <c r="S332" s="1211"/>
      <c r="T332" s="1211"/>
      <c r="U332" s="1211"/>
      <c r="V332" s="1211"/>
      <c r="W332" s="780" t="e">
        <f t="shared" si="59"/>
        <v>#DIV/0!</v>
      </c>
      <c r="X332" s="788"/>
      <c r="Y332" s="788"/>
    </row>
    <row r="333" spans="1:25" ht="22.5" customHeight="1" thickTop="1" thickBot="1" x14ac:dyDescent="0.3">
      <c r="A333" s="1441">
        <v>1</v>
      </c>
      <c r="B333" s="1442" t="s">
        <v>1381</v>
      </c>
      <c r="C333" s="1442" t="s">
        <v>1394</v>
      </c>
      <c r="D333" s="1442" t="s">
        <v>1381</v>
      </c>
      <c r="E333" s="1442" t="s">
        <v>1381</v>
      </c>
      <c r="F333" s="1442" t="s">
        <v>1381</v>
      </c>
      <c r="G333" s="1442" t="s">
        <v>1381</v>
      </c>
      <c r="H333" s="1442" t="s">
        <v>1577</v>
      </c>
      <c r="I333" s="1442"/>
      <c r="J333" s="1442"/>
      <c r="K333" s="771" t="s">
        <v>2394</v>
      </c>
      <c r="L333" s="1211"/>
      <c r="M333" s="1211"/>
      <c r="N333" s="1211"/>
      <c r="O333" s="1206">
        <f t="shared" si="60"/>
        <v>0</v>
      </c>
      <c r="P333" s="1211"/>
      <c r="Q333" s="1211"/>
      <c r="R333" s="1211"/>
      <c r="S333" s="1211"/>
      <c r="T333" s="1211"/>
      <c r="U333" s="1211"/>
      <c r="V333" s="1211"/>
      <c r="W333" s="780" t="e">
        <f t="shared" si="59"/>
        <v>#DIV/0!</v>
      </c>
      <c r="X333" s="788"/>
      <c r="Y333" s="788"/>
    </row>
    <row r="334" spans="1:25" ht="22.5" customHeight="1" thickTop="1" thickBot="1" x14ac:dyDescent="0.3">
      <c r="A334" s="1441">
        <v>1</v>
      </c>
      <c r="B334" s="1442" t="s">
        <v>1381</v>
      </c>
      <c r="C334" s="1442" t="s">
        <v>1394</v>
      </c>
      <c r="D334" s="1442" t="s">
        <v>1381</v>
      </c>
      <c r="E334" s="1442" t="s">
        <v>1381</v>
      </c>
      <c r="F334" s="1442" t="s">
        <v>1381</v>
      </c>
      <c r="G334" s="1442" t="s">
        <v>1381</v>
      </c>
      <c r="H334" s="1442" t="s">
        <v>1578</v>
      </c>
      <c r="I334" s="1442"/>
      <c r="J334" s="1442"/>
      <c r="K334" s="771" t="s">
        <v>2395</v>
      </c>
      <c r="L334" s="1211"/>
      <c r="M334" s="1211"/>
      <c r="N334" s="1211"/>
      <c r="O334" s="1206">
        <f t="shared" si="60"/>
        <v>0</v>
      </c>
      <c r="P334" s="1211"/>
      <c r="Q334" s="1211"/>
      <c r="R334" s="1211"/>
      <c r="S334" s="1211"/>
      <c r="T334" s="1211"/>
      <c r="U334" s="1211"/>
      <c r="V334" s="1211"/>
      <c r="W334" s="780" t="e">
        <f t="shared" si="59"/>
        <v>#DIV/0!</v>
      </c>
      <c r="X334" s="788"/>
      <c r="Y334" s="788"/>
    </row>
    <row r="335" spans="1:25" ht="22.5" customHeight="1" thickTop="1" thickBot="1" x14ac:dyDescent="0.3">
      <c r="A335" s="1441">
        <v>1</v>
      </c>
      <c r="B335" s="1442" t="s">
        <v>1381</v>
      </c>
      <c r="C335" s="1442" t="s">
        <v>1394</v>
      </c>
      <c r="D335" s="1442" t="s">
        <v>1381</v>
      </c>
      <c r="E335" s="1442" t="s">
        <v>1381</v>
      </c>
      <c r="F335" s="1442" t="s">
        <v>1381</v>
      </c>
      <c r="G335" s="1442" t="s">
        <v>1394</v>
      </c>
      <c r="H335" s="1442"/>
      <c r="I335" s="1442"/>
      <c r="J335" s="1442"/>
      <c r="K335" s="771" t="s">
        <v>1564</v>
      </c>
      <c r="L335" s="1211">
        <f>SUM(L336:L346)</f>
        <v>0</v>
      </c>
      <c r="M335" s="1211">
        <f t="shared" ref="M335:V335" si="61">SUM(M336:M346)</f>
        <v>0</v>
      </c>
      <c r="N335" s="1211">
        <f t="shared" si="61"/>
        <v>0</v>
      </c>
      <c r="O335" s="1206">
        <f t="shared" si="60"/>
        <v>0</v>
      </c>
      <c r="P335" s="1211">
        <f t="shared" si="61"/>
        <v>0</v>
      </c>
      <c r="Q335" s="1211">
        <f t="shared" si="61"/>
        <v>0</v>
      </c>
      <c r="R335" s="1211">
        <f t="shared" si="61"/>
        <v>0</v>
      </c>
      <c r="S335" s="1211"/>
      <c r="T335" s="1211">
        <f t="shared" si="61"/>
        <v>0</v>
      </c>
      <c r="U335" s="1211">
        <f t="shared" si="61"/>
        <v>0</v>
      </c>
      <c r="V335" s="1211">
        <f t="shared" si="61"/>
        <v>0</v>
      </c>
      <c r="W335" s="780" t="e">
        <f t="shared" si="59"/>
        <v>#DIV/0!</v>
      </c>
      <c r="X335" s="788" t="s">
        <v>1565</v>
      </c>
      <c r="Y335" s="788"/>
    </row>
    <row r="336" spans="1:25" ht="22.5" customHeight="1" thickTop="1" thickBot="1" x14ac:dyDescent="0.3">
      <c r="A336" s="1441">
        <v>1</v>
      </c>
      <c r="B336" s="1442" t="s">
        <v>1381</v>
      </c>
      <c r="C336" s="1442" t="s">
        <v>1394</v>
      </c>
      <c r="D336" s="1442" t="s">
        <v>1381</v>
      </c>
      <c r="E336" s="1442" t="s">
        <v>1381</v>
      </c>
      <c r="F336" s="1442" t="s">
        <v>1381</v>
      </c>
      <c r="G336" s="1442" t="s">
        <v>1394</v>
      </c>
      <c r="H336" s="1442" t="s">
        <v>1381</v>
      </c>
      <c r="I336" s="1442"/>
      <c r="J336" s="1442"/>
      <c r="K336" s="771" t="s">
        <v>2396</v>
      </c>
      <c r="L336" s="1211"/>
      <c r="M336" s="1211"/>
      <c r="N336" s="1211"/>
      <c r="O336" s="1206">
        <f t="shared" si="60"/>
        <v>0</v>
      </c>
      <c r="P336" s="1211"/>
      <c r="Q336" s="1211"/>
      <c r="R336" s="1211"/>
      <c r="S336" s="1211"/>
      <c r="T336" s="1211"/>
      <c r="U336" s="1211"/>
      <c r="V336" s="1211"/>
      <c r="W336" s="780" t="e">
        <f t="shared" si="59"/>
        <v>#DIV/0!</v>
      </c>
      <c r="X336" s="788"/>
      <c r="Y336" s="788"/>
    </row>
    <row r="337" spans="1:25" ht="22.5" customHeight="1" thickTop="1" thickBot="1" x14ac:dyDescent="0.3">
      <c r="A337" s="1441">
        <v>1</v>
      </c>
      <c r="B337" s="1442" t="s">
        <v>1381</v>
      </c>
      <c r="C337" s="1442" t="s">
        <v>1394</v>
      </c>
      <c r="D337" s="1442" t="s">
        <v>1381</v>
      </c>
      <c r="E337" s="1442" t="s">
        <v>1381</v>
      </c>
      <c r="F337" s="1442" t="s">
        <v>1381</v>
      </c>
      <c r="G337" s="1442" t="s">
        <v>1394</v>
      </c>
      <c r="H337" s="1442" t="s">
        <v>1394</v>
      </c>
      <c r="I337" s="1442"/>
      <c r="J337" s="1442"/>
      <c r="K337" s="771" t="s">
        <v>2397</v>
      </c>
      <c r="L337" s="1211"/>
      <c r="M337" s="1211"/>
      <c r="N337" s="1211"/>
      <c r="O337" s="1206">
        <f t="shared" si="60"/>
        <v>0</v>
      </c>
      <c r="P337" s="1211"/>
      <c r="Q337" s="1211"/>
      <c r="R337" s="1211"/>
      <c r="S337" s="1211"/>
      <c r="T337" s="1211"/>
      <c r="U337" s="1211"/>
      <c r="V337" s="1211"/>
      <c r="W337" s="780" t="e">
        <f t="shared" si="59"/>
        <v>#DIV/0!</v>
      </c>
      <c r="X337" s="788"/>
      <c r="Y337" s="788"/>
    </row>
    <row r="338" spans="1:25" ht="22.5" customHeight="1" thickTop="1" thickBot="1" x14ac:dyDescent="0.3">
      <c r="A338" s="1441">
        <v>1</v>
      </c>
      <c r="B338" s="1442" t="s">
        <v>1381</v>
      </c>
      <c r="C338" s="1442" t="s">
        <v>1394</v>
      </c>
      <c r="D338" s="1442" t="s">
        <v>1381</v>
      </c>
      <c r="E338" s="1442" t="s">
        <v>1381</v>
      </c>
      <c r="F338" s="1442" t="s">
        <v>1381</v>
      </c>
      <c r="G338" s="1442" t="s">
        <v>1394</v>
      </c>
      <c r="H338" s="1442" t="s">
        <v>1418</v>
      </c>
      <c r="I338" s="1442"/>
      <c r="J338" s="1442"/>
      <c r="K338" s="771" t="s">
        <v>2398</v>
      </c>
      <c r="L338" s="1211"/>
      <c r="M338" s="1211"/>
      <c r="N338" s="1211"/>
      <c r="O338" s="1206">
        <f t="shared" si="60"/>
        <v>0</v>
      </c>
      <c r="P338" s="1211"/>
      <c r="Q338" s="1211"/>
      <c r="R338" s="1211"/>
      <c r="S338" s="1211"/>
      <c r="T338" s="1211"/>
      <c r="U338" s="1211"/>
      <c r="V338" s="1211"/>
      <c r="W338" s="780" t="e">
        <f t="shared" si="59"/>
        <v>#DIV/0!</v>
      </c>
      <c r="X338" s="788"/>
      <c r="Y338" s="788"/>
    </row>
    <row r="339" spans="1:25" ht="22.5" customHeight="1" thickTop="1" thickBot="1" x14ac:dyDescent="0.3">
      <c r="A339" s="1441">
        <v>1</v>
      </c>
      <c r="B339" s="1442" t="s">
        <v>1381</v>
      </c>
      <c r="C339" s="1442" t="s">
        <v>1394</v>
      </c>
      <c r="D339" s="1442" t="s">
        <v>1381</v>
      </c>
      <c r="E339" s="1442" t="s">
        <v>1381</v>
      </c>
      <c r="F339" s="1442" t="s">
        <v>1381</v>
      </c>
      <c r="G339" s="1442" t="s">
        <v>1394</v>
      </c>
      <c r="H339" s="1442" t="s">
        <v>1422</v>
      </c>
      <c r="I339" s="1442"/>
      <c r="J339" s="1442"/>
      <c r="K339" s="771" t="s">
        <v>2418</v>
      </c>
      <c r="L339" s="1211"/>
      <c r="M339" s="1211"/>
      <c r="N339" s="1211"/>
      <c r="O339" s="1206">
        <f t="shared" si="60"/>
        <v>0</v>
      </c>
      <c r="P339" s="1211"/>
      <c r="Q339" s="1211"/>
      <c r="R339" s="1211"/>
      <c r="S339" s="1211"/>
      <c r="T339" s="1211"/>
      <c r="U339" s="1211"/>
      <c r="V339" s="1211"/>
      <c r="W339" s="780" t="e">
        <f t="shared" si="59"/>
        <v>#DIV/0!</v>
      </c>
      <c r="X339" s="788"/>
      <c r="Y339" s="788"/>
    </row>
    <row r="340" spans="1:25" ht="22.5" customHeight="1" thickTop="1" thickBot="1" x14ac:dyDescent="0.3">
      <c r="A340" s="1441">
        <v>1</v>
      </c>
      <c r="B340" s="1442" t="s">
        <v>1381</v>
      </c>
      <c r="C340" s="1442" t="s">
        <v>1394</v>
      </c>
      <c r="D340" s="1442" t="s">
        <v>1381</v>
      </c>
      <c r="E340" s="1442" t="s">
        <v>1381</v>
      </c>
      <c r="F340" s="1442" t="s">
        <v>1381</v>
      </c>
      <c r="G340" s="1442" t="s">
        <v>1394</v>
      </c>
      <c r="H340" s="1442" t="s">
        <v>1447</v>
      </c>
      <c r="I340" s="1442"/>
      <c r="J340" s="1442"/>
      <c r="K340" s="771" t="s">
        <v>2399</v>
      </c>
      <c r="L340" s="1211"/>
      <c r="M340" s="1211"/>
      <c r="N340" s="1211"/>
      <c r="O340" s="1206">
        <f t="shared" si="60"/>
        <v>0</v>
      </c>
      <c r="P340" s="1211"/>
      <c r="Q340" s="1211"/>
      <c r="R340" s="1211"/>
      <c r="S340" s="1211"/>
      <c r="T340" s="1211"/>
      <c r="U340" s="1211"/>
      <c r="V340" s="1211"/>
      <c r="W340" s="780" t="e">
        <f t="shared" si="59"/>
        <v>#DIV/0!</v>
      </c>
      <c r="X340" s="788"/>
      <c r="Y340" s="788"/>
    </row>
    <row r="341" spans="1:25" ht="22.5" customHeight="1" thickTop="1" thickBot="1" x14ac:dyDescent="0.3">
      <c r="A341" s="1441">
        <v>1</v>
      </c>
      <c r="B341" s="1442" t="s">
        <v>1381</v>
      </c>
      <c r="C341" s="1442" t="s">
        <v>1394</v>
      </c>
      <c r="D341" s="1442" t="s">
        <v>1381</v>
      </c>
      <c r="E341" s="1442" t="s">
        <v>1381</v>
      </c>
      <c r="F341" s="1442" t="s">
        <v>1381</v>
      </c>
      <c r="G341" s="1442" t="s">
        <v>1394</v>
      </c>
      <c r="H341" s="1442" t="s">
        <v>1470</v>
      </c>
      <c r="I341" s="1442"/>
      <c r="J341" s="1442"/>
      <c r="K341" s="771" t="s">
        <v>2400</v>
      </c>
      <c r="L341" s="1211"/>
      <c r="M341" s="1211"/>
      <c r="N341" s="1211"/>
      <c r="O341" s="1206">
        <f t="shared" si="60"/>
        <v>0</v>
      </c>
      <c r="P341" s="1211"/>
      <c r="Q341" s="1211"/>
      <c r="R341" s="1211"/>
      <c r="S341" s="1211"/>
      <c r="T341" s="1211"/>
      <c r="U341" s="1211"/>
      <c r="V341" s="1211"/>
      <c r="W341" s="780" t="e">
        <f t="shared" si="59"/>
        <v>#DIV/0!</v>
      </c>
      <c r="X341" s="788"/>
      <c r="Y341" s="788"/>
    </row>
    <row r="342" spans="1:25" ht="22.5" customHeight="1" thickTop="1" thickBot="1" x14ac:dyDescent="0.3">
      <c r="A342" s="1441">
        <v>1</v>
      </c>
      <c r="B342" s="1442" t="s">
        <v>1381</v>
      </c>
      <c r="C342" s="1442" t="s">
        <v>1394</v>
      </c>
      <c r="D342" s="1442" t="s">
        <v>1381</v>
      </c>
      <c r="E342" s="1442" t="s">
        <v>1381</v>
      </c>
      <c r="F342" s="1442" t="s">
        <v>1381</v>
      </c>
      <c r="G342" s="1442" t="s">
        <v>1394</v>
      </c>
      <c r="H342" s="1442" t="s">
        <v>1474</v>
      </c>
      <c r="I342" s="1442"/>
      <c r="J342" s="1442"/>
      <c r="K342" s="771" t="s">
        <v>2401</v>
      </c>
      <c r="L342" s="1211"/>
      <c r="M342" s="1211"/>
      <c r="N342" s="1211"/>
      <c r="O342" s="1206">
        <f t="shared" si="60"/>
        <v>0</v>
      </c>
      <c r="P342" s="1211"/>
      <c r="Q342" s="1211"/>
      <c r="R342" s="1211"/>
      <c r="S342" s="1211"/>
      <c r="T342" s="1211"/>
      <c r="U342" s="1211"/>
      <c r="V342" s="1211"/>
      <c r="W342" s="780" t="e">
        <f t="shared" si="59"/>
        <v>#DIV/0!</v>
      </c>
      <c r="X342" s="788"/>
      <c r="Y342" s="788"/>
    </row>
    <row r="343" spans="1:25" ht="22.5" customHeight="1" thickTop="1" thickBot="1" x14ac:dyDescent="0.3">
      <c r="A343" s="1441">
        <v>1</v>
      </c>
      <c r="B343" s="1442" t="s">
        <v>1381</v>
      </c>
      <c r="C343" s="1442" t="s">
        <v>1394</v>
      </c>
      <c r="D343" s="1442" t="s">
        <v>1381</v>
      </c>
      <c r="E343" s="1442" t="s">
        <v>1381</v>
      </c>
      <c r="F343" s="1442" t="s">
        <v>1381</v>
      </c>
      <c r="G343" s="1442" t="s">
        <v>1394</v>
      </c>
      <c r="H343" s="1442" t="s">
        <v>1478</v>
      </c>
      <c r="I343" s="1442"/>
      <c r="J343" s="1442"/>
      <c r="K343" s="771" t="s">
        <v>2402</v>
      </c>
      <c r="L343" s="1211"/>
      <c r="M343" s="1211"/>
      <c r="N343" s="1211"/>
      <c r="O343" s="1206">
        <f t="shared" si="60"/>
        <v>0</v>
      </c>
      <c r="P343" s="1211"/>
      <c r="Q343" s="1211"/>
      <c r="R343" s="1211"/>
      <c r="S343" s="1211"/>
      <c r="T343" s="1211"/>
      <c r="U343" s="1211"/>
      <c r="V343" s="1211"/>
      <c r="W343" s="780" t="e">
        <f t="shared" si="59"/>
        <v>#DIV/0!</v>
      </c>
      <c r="X343" s="788"/>
      <c r="Y343" s="788"/>
    </row>
    <row r="344" spans="1:25" ht="22.5" customHeight="1" thickTop="1" thickBot="1" x14ac:dyDescent="0.3">
      <c r="A344" s="1441">
        <v>1</v>
      </c>
      <c r="B344" s="1442" t="s">
        <v>1381</v>
      </c>
      <c r="C344" s="1442" t="s">
        <v>1394</v>
      </c>
      <c r="D344" s="1442" t="s">
        <v>1381</v>
      </c>
      <c r="E344" s="1442" t="s">
        <v>1381</v>
      </c>
      <c r="F344" s="1442" t="s">
        <v>1381</v>
      </c>
      <c r="G344" s="1442" t="s">
        <v>1394</v>
      </c>
      <c r="H344" s="1442" t="s">
        <v>1576</v>
      </c>
      <c r="I344" s="1442"/>
      <c r="J344" s="1442"/>
      <c r="K344" s="771" t="s">
        <v>2403</v>
      </c>
      <c r="L344" s="1211"/>
      <c r="M344" s="1211"/>
      <c r="N344" s="1211"/>
      <c r="O344" s="1206">
        <f t="shared" si="60"/>
        <v>0</v>
      </c>
      <c r="P344" s="1211"/>
      <c r="Q344" s="1211"/>
      <c r="R344" s="1211"/>
      <c r="S344" s="1211"/>
      <c r="T344" s="1211"/>
      <c r="U344" s="1211"/>
      <c r="V344" s="1211"/>
      <c r="W344" s="780" t="e">
        <f t="shared" si="59"/>
        <v>#DIV/0!</v>
      </c>
      <c r="X344" s="788"/>
      <c r="Y344" s="788"/>
    </row>
    <row r="345" spans="1:25" ht="22.5" customHeight="1" thickTop="1" thickBot="1" x14ac:dyDescent="0.3">
      <c r="A345" s="1441">
        <v>1</v>
      </c>
      <c r="B345" s="1442" t="s">
        <v>1381</v>
      </c>
      <c r="C345" s="1442" t="s">
        <v>1394</v>
      </c>
      <c r="D345" s="1442" t="s">
        <v>1381</v>
      </c>
      <c r="E345" s="1442" t="s">
        <v>1381</v>
      </c>
      <c r="F345" s="1442" t="s">
        <v>1381</v>
      </c>
      <c r="G345" s="1442" t="s">
        <v>1394</v>
      </c>
      <c r="H345" s="1442" t="s">
        <v>1577</v>
      </c>
      <c r="I345" s="1442"/>
      <c r="J345" s="1442"/>
      <c r="K345" s="771" t="s">
        <v>2404</v>
      </c>
      <c r="L345" s="1211"/>
      <c r="M345" s="1211"/>
      <c r="N345" s="1211"/>
      <c r="O345" s="1206">
        <f t="shared" si="60"/>
        <v>0</v>
      </c>
      <c r="P345" s="1211"/>
      <c r="Q345" s="1211"/>
      <c r="R345" s="1211"/>
      <c r="S345" s="1211"/>
      <c r="T345" s="1211"/>
      <c r="U345" s="1211"/>
      <c r="V345" s="1211"/>
      <c r="W345" s="780" t="e">
        <f t="shared" si="59"/>
        <v>#DIV/0!</v>
      </c>
      <c r="X345" s="788"/>
      <c r="Y345" s="788"/>
    </row>
    <row r="346" spans="1:25" ht="22.5" customHeight="1" thickTop="1" thickBot="1" x14ac:dyDescent="0.3">
      <c r="A346" s="1441">
        <v>1</v>
      </c>
      <c r="B346" s="1442" t="s">
        <v>1381</v>
      </c>
      <c r="C346" s="1442" t="s">
        <v>1394</v>
      </c>
      <c r="D346" s="1442" t="s">
        <v>1381</v>
      </c>
      <c r="E346" s="1442" t="s">
        <v>1381</v>
      </c>
      <c r="F346" s="1442" t="s">
        <v>1381</v>
      </c>
      <c r="G346" s="1442" t="s">
        <v>1394</v>
      </c>
      <c r="H346" s="1442" t="s">
        <v>1578</v>
      </c>
      <c r="I346" s="1442"/>
      <c r="J346" s="1442"/>
      <c r="K346" s="771" t="s">
        <v>2405</v>
      </c>
      <c r="L346" s="1211"/>
      <c r="M346" s="1211"/>
      <c r="N346" s="1211"/>
      <c r="O346" s="1206">
        <f t="shared" si="60"/>
        <v>0</v>
      </c>
      <c r="P346" s="1211"/>
      <c r="Q346" s="1211"/>
      <c r="R346" s="1211"/>
      <c r="S346" s="1211"/>
      <c r="T346" s="1211"/>
      <c r="U346" s="1211"/>
      <c r="V346" s="1211"/>
      <c r="W346" s="780" t="e">
        <f t="shared" si="59"/>
        <v>#DIV/0!</v>
      </c>
      <c r="X346" s="788"/>
      <c r="Y346" s="788"/>
    </row>
    <row r="347" spans="1:25" s="183" customFormat="1" ht="22.5" customHeight="1" thickTop="1" thickBot="1" x14ac:dyDescent="0.3">
      <c r="A347" s="1439">
        <v>1</v>
      </c>
      <c r="B347" s="1440" t="s">
        <v>1381</v>
      </c>
      <c r="C347" s="1440" t="s">
        <v>1394</v>
      </c>
      <c r="D347" s="1440" t="s">
        <v>1381</v>
      </c>
      <c r="E347" s="1440" t="s">
        <v>1381</v>
      </c>
      <c r="F347" s="1440" t="s">
        <v>1394</v>
      </c>
      <c r="G347" s="1440"/>
      <c r="H347" s="1440"/>
      <c r="I347" s="1440"/>
      <c r="J347" s="1440"/>
      <c r="K347" s="770" t="s">
        <v>1566</v>
      </c>
      <c r="L347" s="1206">
        <f>+L348+L360</f>
        <v>0</v>
      </c>
      <c r="M347" s="1206">
        <f t="shared" ref="M347:V347" si="62">+M348+M360</f>
        <v>0</v>
      </c>
      <c r="N347" s="1206">
        <f t="shared" si="62"/>
        <v>0</v>
      </c>
      <c r="O347" s="1206">
        <f t="shared" si="60"/>
        <v>0</v>
      </c>
      <c r="P347" s="1206">
        <f t="shared" si="62"/>
        <v>0</v>
      </c>
      <c r="Q347" s="1206">
        <f t="shared" si="62"/>
        <v>0</v>
      </c>
      <c r="R347" s="1206">
        <f t="shared" si="62"/>
        <v>0</v>
      </c>
      <c r="S347" s="1206"/>
      <c r="T347" s="1206">
        <f t="shared" si="62"/>
        <v>0</v>
      </c>
      <c r="U347" s="1206">
        <f t="shared" si="62"/>
        <v>0</v>
      </c>
      <c r="V347" s="1206">
        <f t="shared" si="62"/>
        <v>0</v>
      </c>
      <c r="W347" s="779" t="e">
        <f t="shared" si="59"/>
        <v>#DIV/0!</v>
      </c>
      <c r="X347" s="788" t="s">
        <v>1567</v>
      </c>
      <c r="Y347" s="788"/>
    </row>
    <row r="348" spans="1:25" ht="22.5" customHeight="1" thickTop="1" thickBot="1" x14ac:dyDescent="0.3">
      <c r="A348" s="1441">
        <v>1</v>
      </c>
      <c r="B348" s="1442" t="s">
        <v>1381</v>
      </c>
      <c r="C348" s="1442" t="s">
        <v>1394</v>
      </c>
      <c r="D348" s="1442" t="s">
        <v>1381</v>
      </c>
      <c r="E348" s="1442" t="s">
        <v>1381</v>
      </c>
      <c r="F348" s="1442" t="s">
        <v>1394</v>
      </c>
      <c r="G348" s="1442" t="s">
        <v>1381</v>
      </c>
      <c r="H348" s="1442"/>
      <c r="I348" s="1442"/>
      <c r="J348" s="1442"/>
      <c r="K348" s="771" t="s">
        <v>2019</v>
      </c>
      <c r="L348" s="1211">
        <f>SUM(L349:L359)</f>
        <v>0</v>
      </c>
      <c r="M348" s="1211">
        <f t="shared" ref="M348:V348" si="63">SUM(M349:M359)</f>
        <v>0</v>
      </c>
      <c r="N348" s="1211">
        <f t="shared" si="63"/>
        <v>0</v>
      </c>
      <c r="O348" s="1206">
        <f t="shared" si="60"/>
        <v>0</v>
      </c>
      <c r="P348" s="1211">
        <f t="shared" si="63"/>
        <v>0</v>
      </c>
      <c r="Q348" s="1211">
        <f t="shared" si="63"/>
        <v>0</v>
      </c>
      <c r="R348" s="1211">
        <f t="shared" si="63"/>
        <v>0</v>
      </c>
      <c r="S348" s="1211"/>
      <c r="T348" s="1211">
        <f t="shared" si="63"/>
        <v>0</v>
      </c>
      <c r="U348" s="1211">
        <f t="shared" si="63"/>
        <v>0</v>
      </c>
      <c r="V348" s="1211">
        <f t="shared" si="63"/>
        <v>0</v>
      </c>
      <c r="W348" s="780" t="e">
        <f t="shared" si="59"/>
        <v>#DIV/0!</v>
      </c>
      <c r="X348" s="788" t="s">
        <v>2021</v>
      </c>
      <c r="Y348" s="788"/>
    </row>
    <row r="349" spans="1:25" ht="22.5" customHeight="1" thickTop="1" thickBot="1" x14ac:dyDescent="0.3">
      <c r="A349" s="1441">
        <v>1</v>
      </c>
      <c r="B349" s="1442" t="s">
        <v>1381</v>
      </c>
      <c r="C349" s="1442" t="s">
        <v>1394</v>
      </c>
      <c r="D349" s="1442" t="s">
        <v>1381</v>
      </c>
      <c r="E349" s="1442" t="s">
        <v>1381</v>
      </c>
      <c r="F349" s="1442" t="s">
        <v>1394</v>
      </c>
      <c r="G349" s="1442" t="s">
        <v>1381</v>
      </c>
      <c r="H349" s="1442" t="s">
        <v>1381</v>
      </c>
      <c r="I349" s="1442"/>
      <c r="J349" s="1442"/>
      <c r="K349" s="771" t="s">
        <v>2419</v>
      </c>
      <c r="L349" s="1211"/>
      <c r="M349" s="1211"/>
      <c r="N349" s="1211"/>
      <c r="O349" s="1206">
        <f t="shared" si="60"/>
        <v>0</v>
      </c>
      <c r="P349" s="1211"/>
      <c r="Q349" s="1211"/>
      <c r="R349" s="1211"/>
      <c r="S349" s="1211"/>
      <c r="T349" s="1211"/>
      <c r="U349" s="1211"/>
      <c r="V349" s="1211"/>
      <c r="W349" s="780" t="e">
        <f t="shared" si="59"/>
        <v>#DIV/0!</v>
      </c>
      <c r="X349" s="788"/>
      <c r="Y349" s="788"/>
    </row>
    <row r="350" spans="1:25" ht="22.5" customHeight="1" thickTop="1" thickBot="1" x14ac:dyDescent="0.3">
      <c r="A350" s="1441">
        <v>1</v>
      </c>
      <c r="B350" s="1442" t="s">
        <v>1381</v>
      </c>
      <c r="C350" s="1442" t="s">
        <v>1394</v>
      </c>
      <c r="D350" s="1442" t="s">
        <v>1381</v>
      </c>
      <c r="E350" s="1442" t="s">
        <v>1381</v>
      </c>
      <c r="F350" s="1442" t="s">
        <v>1394</v>
      </c>
      <c r="G350" s="1442" t="s">
        <v>1381</v>
      </c>
      <c r="H350" s="1442" t="s">
        <v>1394</v>
      </c>
      <c r="I350" s="1442"/>
      <c r="J350" s="1442"/>
      <c r="K350" s="771" t="s">
        <v>2420</v>
      </c>
      <c r="L350" s="1211"/>
      <c r="M350" s="1211"/>
      <c r="N350" s="1211"/>
      <c r="O350" s="1206">
        <f t="shared" si="60"/>
        <v>0</v>
      </c>
      <c r="P350" s="1211"/>
      <c r="Q350" s="1211"/>
      <c r="R350" s="1211"/>
      <c r="S350" s="1211"/>
      <c r="T350" s="1211"/>
      <c r="U350" s="1211"/>
      <c r="V350" s="1211"/>
      <c r="W350" s="780" t="e">
        <f t="shared" si="59"/>
        <v>#DIV/0!</v>
      </c>
      <c r="X350" s="788"/>
      <c r="Y350" s="788"/>
    </row>
    <row r="351" spans="1:25" ht="22.5" customHeight="1" thickTop="1" thickBot="1" x14ac:dyDescent="0.3">
      <c r="A351" s="1441">
        <v>1</v>
      </c>
      <c r="B351" s="1442" t="s">
        <v>1381</v>
      </c>
      <c r="C351" s="1442" t="s">
        <v>1394</v>
      </c>
      <c r="D351" s="1442" t="s">
        <v>1381</v>
      </c>
      <c r="E351" s="1442" t="s">
        <v>1381</v>
      </c>
      <c r="F351" s="1442" t="s">
        <v>1394</v>
      </c>
      <c r="G351" s="1442" t="s">
        <v>1381</v>
      </c>
      <c r="H351" s="1442" t="s">
        <v>1418</v>
      </c>
      <c r="I351" s="1442"/>
      <c r="J351" s="1442"/>
      <c r="K351" s="771" t="s">
        <v>2406</v>
      </c>
      <c r="L351" s="1211"/>
      <c r="M351" s="1211"/>
      <c r="N351" s="1211"/>
      <c r="O351" s="1206">
        <f t="shared" si="60"/>
        <v>0</v>
      </c>
      <c r="P351" s="1211"/>
      <c r="Q351" s="1211"/>
      <c r="R351" s="1211"/>
      <c r="S351" s="1211"/>
      <c r="T351" s="1211"/>
      <c r="U351" s="1211"/>
      <c r="V351" s="1211"/>
      <c r="W351" s="780" t="e">
        <f t="shared" si="59"/>
        <v>#DIV/0!</v>
      </c>
      <c r="X351" s="788"/>
      <c r="Y351" s="788"/>
    </row>
    <row r="352" spans="1:25" ht="22.5" customHeight="1" thickTop="1" thickBot="1" x14ac:dyDescent="0.3">
      <c r="A352" s="1441">
        <v>1</v>
      </c>
      <c r="B352" s="1442" t="s">
        <v>1381</v>
      </c>
      <c r="C352" s="1442" t="s">
        <v>1394</v>
      </c>
      <c r="D352" s="1442" t="s">
        <v>1381</v>
      </c>
      <c r="E352" s="1442" t="s">
        <v>1381</v>
      </c>
      <c r="F352" s="1442" t="s">
        <v>1394</v>
      </c>
      <c r="G352" s="1442" t="s">
        <v>1381</v>
      </c>
      <c r="H352" s="1442" t="s">
        <v>1422</v>
      </c>
      <c r="I352" s="1442"/>
      <c r="J352" s="1442"/>
      <c r="K352" s="771" t="s">
        <v>2420</v>
      </c>
      <c r="L352" s="1211"/>
      <c r="M352" s="1211"/>
      <c r="N352" s="1211"/>
      <c r="O352" s="1206">
        <f t="shared" si="60"/>
        <v>0</v>
      </c>
      <c r="P352" s="1211"/>
      <c r="Q352" s="1211"/>
      <c r="R352" s="1211"/>
      <c r="S352" s="1211"/>
      <c r="T352" s="1211"/>
      <c r="U352" s="1211"/>
      <c r="V352" s="1211"/>
      <c r="W352" s="780" t="e">
        <f t="shared" si="59"/>
        <v>#DIV/0!</v>
      </c>
      <c r="X352" s="788"/>
      <c r="Y352" s="788"/>
    </row>
    <row r="353" spans="1:25" ht="22.5" customHeight="1" thickTop="1" thickBot="1" x14ac:dyDescent="0.3">
      <c r="A353" s="1441">
        <v>1</v>
      </c>
      <c r="B353" s="1442" t="s">
        <v>1381</v>
      </c>
      <c r="C353" s="1442" t="s">
        <v>1394</v>
      </c>
      <c r="D353" s="1442" t="s">
        <v>1381</v>
      </c>
      <c r="E353" s="1442" t="s">
        <v>1381</v>
      </c>
      <c r="F353" s="1442" t="s">
        <v>1394</v>
      </c>
      <c r="G353" s="1442" t="s">
        <v>1381</v>
      </c>
      <c r="H353" s="1442" t="s">
        <v>1447</v>
      </c>
      <c r="I353" s="1442"/>
      <c r="J353" s="1442"/>
      <c r="K353" s="771" t="s">
        <v>2407</v>
      </c>
      <c r="L353" s="1211"/>
      <c r="M353" s="1211"/>
      <c r="N353" s="1211"/>
      <c r="O353" s="1206">
        <f t="shared" si="60"/>
        <v>0</v>
      </c>
      <c r="P353" s="1211"/>
      <c r="Q353" s="1211"/>
      <c r="R353" s="1211"/>
      <c r="S353" s="1211"/>
      <c r="T353" s="1211"/>
      <c r="U353" s="1211"/>
      <c r="V353" s="1211"/>
      <c r="W353" s="780" t="e">
        <f t="shared" si="59"/>
        <v>#DIV/0!</v>
      </c>
      <c r="X353" s="788"/>
      <c r="Y353" s="788"/>
    </row>
    <row r="354" spans="1:25" ht="22.5" customHeight="1" thickTop="1" thickBot="1" x14ac:dyDescent="0.3">
      <c r="A354" s="1441">
        <v>1</v>
      </c>
      <c r="B354" s="1442" t="s">
        <v>1381</v>
      </c>
      <c r="C354" s="1442" t="s">
        <v>1394</v>
      </c>
      <c r="D354" s="1442" t="s">
        <v>1381</v>
      </c>
      <c r="E354" s="1442" t="s">
        <v>1381</v>
      </c>
      <c r="F354" s="1442" t="s">
        <v>1394</v>
      </c>
      <c r="G354" s="1442" t="s">
        <v>1381</v>
      </c>
      <c r="H354" s="1442" t="s">
        <v>1470</v>
      </c>
      <c r="I354" s="1442"/>
      <c r="J354" s="1442"/>
      <c r="K354" s="771" t="s">
        <v>2408</v>
      </c>
      <c r="L354" s="1211"/>
      <c r="M354" s="1211"/>
      <c r="N354" s="1211"/>
      <c r="O354" s="1206">
        <f t="shared" si="60"/>
        <v>0</v>
      </c>
      <c r="P354" s="1211"/>
      <c r="Q354" s="1211"/>
      <c r="R354" s="1211"/>
      <c r="S354" s="1211"/>
      <c r="T354" s="1211"/>
      <c r="U354" s="1211"/>
      <c r="V354" s="1211"/>
      <c r="W354" s="780" t="e">
        <f t="shared" si="59"/>
        <v>#DIV/0!</v>
      </c>
      <c r="X354" s="788"/>
      <c r="Y354" s="788"/>
    </row>
    <row r="355" spans="1:25" ht="22.5" customHeight="1" thickTop="1" thickBot="1" x14ac:dyDescent="0.3">
      <c r="A355" s="1441">
        <v>1</v>
      </c>
      <c r="B355" s="1442" t="s">
        <v>1381</v>
      </c>
      <c r="C355" s="1442" t="s">
        <v>1394</v>
      </c>
      <c r="D355" s="1442" t="s">
        <v>1381</v>
      </c>
      <c r="E355" s="1442" t="s">
        <v>1381</v>
      </c>
      <c r="F355" s="1442" t="s">
        <v>1394</v>
      </c>
      <c r="G355" s="1442" t="s">
        <v>1381</v>
      </c>
      <c r="H355" s="1442" t="s">
        <v>1474</v>
      </c>
      <c r="I355" s="1442"/>
      <c r="J355" s="1442"/>
      <c r="K355" s="771" t="s">
        <v>2409</v>
      </c>
      <c r="L355" s="1211"/>
      <c r="M355" s="1211"/>
      <c r="N355" s="1211"/>
      <c r="O355" s="1206">
        <f t="shared" si="60"/>
        <v>0</v>
      </c>
      <c r="P355" s="1211"/>
      <c r="Q355" s="1211"/>
      <c r="R355" s="1211"/>
      <c r="S355" s="1211"/>
      <c r="T355" s="1211"/>
      <c r="U355" s="1211"/>
      <c r="V355" s="1211"/>
      <c r="W355" s="780" t="e">
        <f t="shared" si="59"/>
        <v>#DIV/0!</v>
      </c>
      <c r="X355" s="788"/>
      <c r="Y355" s="788"/>
    </row>
    <row r="356" spans="1:25" ht="22.5" customHeight="1" thickTop="1" thickBot="1" x14ac:dyDescent="0.3">
      <c r="A356" s="1441">
        <v>1</v>
      </c>
      <c r="B356" s="1442" t="s">
        <v>1381</v>
      </c>
      <c r="C356" s="1442" t="s">
        <v>1394</v>
      </c>
      <c r="D356" s="1442" t="s">
        <v>1381</v>
      </c>
      <c r="E356" s="1442" t="s">
        <v>1381</v>
      </c>
      <c r="F356" s="1442" t="s">
        <v>1394</v>
      </c>
      <c r="G356" s="1442" t="s">
        <v>1381</v>
      </c>
      <c r="H356" s="1442" t="s">
        <v>1478</v>
      </c>
      <c r="I356" s="1442"/>
      <c r="J356" s="1442"/>
      <c r="K356" s="771" t="s">
        <v>2410</v>
      </c>
      <c r="L356" s="1211"/>
      <c r="M356" s="1211"/>
      <c r="N356" s="1211"/>
      <c r="O356" s="1206">
        <f t="shared" si="60"/>
        <v>0</v>
      </c>
      <c r="P356" s="1211"/>
      <c r="Q356" s="1211"/>
      <c r="R356" s="1211"/>
      <c r="S356" s="1211"/>
      <c r="T356" s="1211"/>
      <c r="U356" s="1211"/>
      <c r="V356" s="1211"/>
      <c r="W356" s="780" t="e">
        <f t="shared" si="59"/>
        <v>#DIV/0!</v>
      </c>
      <c r="X356" s="788"/>
      <c r="Y356" s="788"/>
    </row>
    <row r="357" spans="1:25" ht="22.5" customHeight="1" thickTop="1" thickBot="1" x14ac:dyDescent="0.3">
      <c r="A357" s="1441">
        <v>1</v>
      </c>
      <c r="B357" s="1442" t="s">
        <v>1381</v>
      </c>
      <c r="C357" s="1442" t="s">
        <v>1394</v>
      </c>
      <c r="D357" s="1442" t="s">
        <v>1381</v>
      </c>
      <c r="E357" s="1442" t="s">
        <v>1381</v>
      </c>
      <c r="F357" s="1442" t="s">
        <v>1394</v>
      </c>
      <c r="G357" s="1442" t="s">
        <v>1381</v>
      </c>
      <c r="H357" s="1442" t="s">
        <v>1576</v>
      </c>
      <c r="I357" s="1442"/>
      <c r="J357" s="1442"/>
      <c r="K357" s="771" t="s">
        <v>2411</v>
      </c>
      <c r="L357" s="1211"/>
      <c r="M357" s="1211"/>
      <c r="N357" s="1211"/>
      <c r="O357" s="1206">
        <f t="shared" si="60"/>
        <v>0</v>
      </c>
      <c r="P357" s="1211"/>
      <c r="Q357" s="1211"/>
      <c r="R357" s="1211"/>
      <c r="S357" s="1211"/>
      <c r="T357" s="1211"/>
      <c r="U357" s="1211"/>
      <c r="V357" s="1211"/>
      <c r="W357" s="780" t="e">
        <f t="shared" si="59"/>
        <v>#DIV/0!</v>
      </c>
      <c r="X357" s="788"/>
      <c r="Y357" s="788"/>
    </row>
    <row r="358" spans="1:25" ht="22.5" customHeight="1" thickTop="1" thickBot="1" x14ac:dyDescent="0.3">
      <c r="A358" s="1441">
        <v>1</v>
      </c>
      <c r="B358" s="1442" t="s">
        <v>1381</v>
      </c>
      <c r="C358" s="1442" t="s">
        <v>1394</v>
      </c>
      <c r="D358" s="1442" t="s">
        <v>1381</v>
      </c>
      <c r="E358" s="1442" t="s">
        <v>1381</v>
      </c>
      <c r="F358" s="1442" t="s">
        <v>1394</v>
      </c>
      <c r="G358" s="1442" t="s">
        <v>1381</v>
      </c>
      <c r="H358" s="1442" t="s">
        <v>1577</v>
      </c>
      <c r="I358" s="1442"/>
      <c r="J358" s="1442"/>
      <c r="K358" s="771" t="s">
        <v>2412</v>
      </c>
      <c r="L358" s="1211"/>
      <c r="M358" s="1211"/>
      <c r="N358" s="1211"/>
      <c r="O358" s="1206">
        <f t="shared" si="60"/>
        <v>0</v>
      </c>
      <c r="P358" s="1211"/>
      <c r="Q358" s="1211"/>
      <c r="R358" s="1211"/>
      <c r="S358" s="1211"/>
      <c r="T358" s="1211"/>
      <c r="U358" s="1211"/>
      <c r="V358" s="1211"/>
      <c r="W358" s="780" t="e">
        <f t="shared" si="59"/>
        <v>#DIV/0!</v>
      </c>
      <c r="X358" s="788"/>
      <c r="Y358" s="788"/>
    </row>
    <row r="359" spans="1:25" ht="22.5" customHeight="1" thickTop="1" thickBot="1" x14ac:dyDescent="0.3">
      <c r="A359" s="1441">
        <v>1</v>
      </c>
      <c r="B359" s="1442" t="s">
        <v>1381</v>
      </c>
      <c r="C359" s="1442" t="s">
        <v>1394</v>
      </c>
      <c r="D359" s="1442" t="s">
        <v>1381</v>
      </c>
      <c r="E359" s="1442" t="s">
        <v>1381</v>
      </c>
      <c r="F359" s="1442" t="s">
        <v>1394</v>
      </c>
      <c r="G359" s="1442" t="s">
        <v>1381</v>
      </c>
      <c r="H359" s="1442" t="s">
        <v>1578</v>
      </c>
      <c r="I359" s="1442"/>
      <c r="J359" s="1442"/>
      <c r="K359" s="771" t="s">
        <v>2413</v>
      </c>
      <c r="L359" s="1211"/>
      <c r="M359" s="1211"/>
      <c r="N359" s="1211"/>
      <c r="O359" s="1206">
        <f t="shared" si="60"/>
        <v>0</v>
      </c>
      <c r="P359" s="1211"/>
      <c r="Q359" s="1211"/>
      <c r="R359" s="1211"/>
      <c r="S359" s="1211"/>
      <c r="T359" s="1211"/>
      <c r="U359" s="1211"/>
      <c r="V359" s="1211"/>
      <c r="W359" s="780" t="e">
        <f t="shared" si="59"/>
        <v>#DIV/0!</v>
      </c>
      <c r="X359" s="788"/>
      <c r="Y359" s="788"/>
    </row>
    <row r="360" spans="1:25" ht="22.5" customHeight="1" thickTop="1" thickBot="1" x14ac:dyDescent="0.3">
      <c r="A360" s="1441">
        <v>1</v>
      </c>
      <c r="B360" s="1442" t="s">
        <v>1381</v>
      </c>
      <c r="C360" s="1442" t="s">
        <v>1394</v>
      </c>
      <c r="D360" s="1442" t="s">
        <v>1381</v>
      </c>
      <c r="E360" s="1442" t="s">
        <v>1381</v>
      </c>
      <c r="F360" s="1442" t="s">
        <v>1394</v>
      </c>
      <c r="G360" s="1442" t="s">
        <v>1394</v>
      </c>
      <c r="H360" s="1442"/>
      <c r="I360" s="1442"/>
      <c r="J360" s="1442"/>
      <c r="K360" s="771" t="s">
        <v>1568</v>
      </c>
      <c r="L360" s="1211">
        <f>SUM(L361:L371)</f>
        <v>0</v>
      </c>
      <c r="M360" s="1211">
        <f t="shared" ref="M360:V360" si="64">SUM(M361:M371)</f>
        <v>0</v>
      </c>
      <c r="N360" s="1211">
        <f t="shared" si="64"/>
        <v>0</v>
      </c>
      <c r="O360" s="1206">
        <f t="shared" si="60"/>
        <v>0</v>
      </c>
      <c r="P360" s="1211">
        <f t="shared" si="64"/>
        <v>0</v>
      </c>
      <c r="Q360" s="1211">
        <f t="shared" si="64"/>
        <v>0</v>
      </c>
      <c r="R360" s="1211">
        <f t="shared" si="64"/>
        <v>0</v>
      </c>
      <c r="S360" s="1211"/>
      <c r="T360" s="1211">
        <f t="shared" si="64"/>
        <v>0</v>
      </c>
      <c r="U360" s="1211">
        <f t="shared" si="64"/>
        <v>0</v>
      </c>
      <c r="V360" s="1211">
        <f t="shared" si="64"/>
        <v>0</v>
      </c>
      <c r="W360" s="780" t="e">
        <f t="shared" si="59"/>
        <v>#DIV/0!</v>
      </c>
      <c r="X360" s="788" t="s">
        <v>1569</v>
      </c>
      <c r="Y360" s="788"/>
    </row>
    <row r="361" spans="1:25" ht="22.5" customHeight="1" thickTop="1" thickBot="1" x14ac:dyDescent="0.3">
      <c r="A361" s="1441">
        <v>1</v>
      </c>
      <c r="B361" s="1442" t="s">
        <v>1381</v>
      </c>
      <c r="C361" s="1442" t="s">
        <v>1394</v>
      </c>
      <c r="D361" s="1442" t="s">
        <v>1381</v>
      </c>
      <c r="E361" s="1442" t="s">
        <v>1381</v>
      </c>
      <c r="F361" s="1442" t="s">
        <v>1394</v>
      </c>
      <c r="G361" s="1442" t="s">
        <v>1394</v>
      </c>
      <c r="H361" s="1442" t="s">
        <v>1381</v>
      </c>
      <c r="I361" s="1442"/>
      <c r="J361" s="1442"/>
      <c r="K361" s="771" t="s">
        <v>2421</v>
      </c>
      <c r="L361" s="1211"/>
      <c r="M361" s="1211"/>
      <c r="N361" s="1211"/>
      <c r="O361" s="1206">
        <f t="shared" si="60"/>
        <v>0</v>
      </c>
      <c r="P361" s="1211"/>
      <c r="Q361" s="1211"/>
      <c r="R361" s="1211"/>
      <c r="S361" s="1211"/>
      <c r="T361" s="1211"/>
      <c r="U361" s="1211"/>
      <c r="V361" s="1211"/>
      <c r="W361" s="780" t="e">
        <f t="shared" si="59"/>
        <v>#DIV/0!</v>
      </c>
      <c r="X361" s="788"/>
      <c r="Y361" s="788"/>
    </row>
    <row r="362" spans="1:25" ht="22.5" customHeight="1" thickTop="1" thickBot="1" x14ac:dyDescent="0.3">
      <c r="A362" s="1441">
        <v>1</v>
      </c>
      <c r="B362" s="1442" t="s">
        <v>1381</v>
      </c>
      <c r="C362" s="1442" t="s">
        <v>1394</v>
      </c>
      <c r="D362" s="1442" t="s">
        <v>1381</v>
      </c>
      <c r="E362" s="1442" t="s">
        <v>1381</v>
      </c>
      <c r="F362" s="1442" t="s">
        <v>1394</v>
      </c>
      <c r="G362" s="1442" t="s">
        <v>1394</v>
      </c>
      <c r="H362" s="1442" t="s">
        <v>1394</v>
      </c>
      <c r="I362" s="1442"/>
      <c r="J362" s="1442"/>
      <c r="K362" s="771" t="s">
        <v>2422</v>
      </c>
      <c r="L362" s="1211"/>
      <c r="M362" s="1211"/>
      <c r="N362" s="1211"/>
      <c r="O362" s="1206">
        <f t="shared" si="60"/>
        <v>0</v>
      </c>
      <c r="P362" s="1211"/>
      <c r="Q362" s="1211"/>
      <c r="R362" s="1211"/>
      <c r="S362" s="1211"/>
      <c r="T362" s="1211"/>
      <c r="U362" s="1211"/>
      <c r="V362" s="1211"/>
      <c r="W362" s="780" t="e">
        <f t="shared" si="59"/>
        <v>#DIV/0!</v>
      </c>
      <c r="X362" s="788"/>
      <c r="Y362" s="788"/>
    </row>
    <row r="363" spans="1:25" ht="22.5" customHeight="1" thickTop="1" thickBot="1" x14ac:dyDescent="0.3">
      <c r="A363" s="1441">
        <v>1</v>
      </c>
      <c r="B363" s="1442" t="s">
        <v>1381</v>
      </c>
      <c r="C363" s="1442" t="s">
        <v>1394</v>
      </c>
      <c r="D363" s="1442" t="s">
        <v>1381</v>
      </c>
      <c r="E363" s="1442" t="s">
        <v>1381</v>
      </c>
      <c r="F363" s="1442" t="s">
        <v>1394</v>
      </c>
      <c r="G363" s="1442" t="s">
        <v>1394</v>
      </c>
      <c r="H363" s="1442" t="s">
        <v>1418</v>
      </c>
      <c r="I363" s="1442"/>
      <c r="J363" s="1442"/>
      <c r="K363" s="771" t="s">
        <v>2423</v>
      </c>
      <c r="L363" s="1211"/>
      <c r="M363" s="1211"/>
      <c r="N363" s="1211"/>
      <c r="O363" s="1206">
        <f t="shared" si="60"/>
        <v>0</v>
      </c>
      <c r="P363" s="1211"/>
      <c r="Q363" s="1211"/>
      <c r="R363" s="1211"/>
      <c r="S363" s="1211"/>
      <c r="T363" s="1211"/>
      <c r="U363" s="1211"/>
      <c r="V363" s="1211"/>
      <c r="W363" s="780" t="e">
        <f t="shared" si="59"/>
        <v>#DIV/0!</v>
      </c>
      <c r="X363" s="788"/>
      <c r="Y363" s="788"/>
    </row>
    <row r="364" spans="1:25" ht="22.5" customHeight="1" thickTop="1" thickBot="1" x14ac:dyDescent="0.3">
      <c r="A364" s="1441">
        <v>1</v>
      </c>
      <c r="B364" s="1442" t="s">
        <v>1381</v>
      </c>
      <c r="C364" s="1442" t="s">
        <v>1394</v>
      </c>
      <c r="D364" s="1442" t="s">
        <v>1381</v>
      </c>
      <c r="E364" s="1442" t="s">
        <v>1381</v>
      </c>
      <c r="F364" s="1442" t="s">
        <v>1394</v>
      </c>
      <c r="G364" s="1442" t="s">
        <v>1394</v>
      </c>
      <c r="H364" s="1442" t="s">
        <v>1422</v>
      </c>
      <c r="I364" s="1442"/>
      <c r="J364" s="1442"/>
      <c r="K364" s="771" t="s">
        <v>2424</v>
      </c>
      <c r="L364" s="1211"/>
      <c r="M364" s="1211"/>
      <c r="N364" s="1211"/>
      <c r="O364" s="1206">
        <f t="shared" si="60"/>
        <v>0</v>
      </c>
      <c r="P364" s="1211"/>
      <c r="Q364" s="1211"/>
      <c r="R364" s="1211"/>
      <c r="S364" s="1211"/>
      <c r="T364" s="1211"/>
      <c r="U364" s="1211"/>
      <c r="V364" s="1211"/>
      <c r="W364" s="780" t="e">
        <f t="shared" si="59"/>
        <v>#DIV/0!</v>
      </c>
      <c r="X364" s="788"/>
      <c r="Y364" s="788"/>
    </row>
    <row r="365" spans="1:25" ht="22.5" customHeight="1" thickTop="1" thickBot="1" x14ac:dyDescent="0.3">
      <c r="A365" s="1441">
        <v>1</v>
      </c>
      <c r="B365" s="1442" t="s">
        <v>1381</v>
      </c>
      <c r="C365" s="1442" t="s">
        <v>1394</v>
      </c>
      <c r="D365" s="1442" t="s">
        <v>1381</v>
      </c>
      <c r="E365" s="1442" t="s">
        <v>1381</v>
      </c>
      <c r="F365" s="1442" t="s">
        <v>1394</v>
      </c>
      <c r="G365" s="1442" t="s">
        <v>1394</v>
      </c>
      <c r="H365" s="1442" t="s">
        <v>1447</v>
      </c>
      <c r="I365" s="1442"/>
      <c r="J365" s="1442"/>
      <c r="K365" s="771" t="s">
        <v>2425</v>
      </c>
      <c r="L365" s="1211"/>
      <c r="M365" s="1211"/>
      <c r="N365" s="1211"/>
      <c r="O365" s="1206">
        <f t="shared" si="60"/>
        <v>0</v>
      </c>
      <c r="P365" s="1211"/>
      <c r="Q365" s="1211"/>
      <c r="R365" s="1211"/>
      <c r="S365" s="1211"/>
      <c r="T365" s="1211"/>
      <c r="U365" s="1211"/>
      <c r="V365" s="1211"/>
      <c r="W365" s="780" t="e">
        <f t="shared" si="59"/>
        <v>#DIV/0!</v>
      </c>
      <c r="X365" s="788"/>
      <c r="Y365" s="788"/>
    </row>
    <row r="366" spans="1:25" ht="22.5" customHeight="1" thickTop="1" thickBot="1" x14ac:dyDescent="0.3">
      <c r="A366" s="1441">
        <v>1</v>
      </c>
      <c r="B366" s="1442" t="s">
        <v>1381</v>
      </c>
      <c r="C366" s="1442" t="s">
        <v>1394</v>
      </c>
      <c r="D366" s="1442" t="s">
        <v>1381</v>
      </c>
      <c r="E366" s="1442" t="s">
        <v>1381</v>
      </c>
      <c r="F366" s="1442" t="s">
        <v>1394</v>
      </c>
      <c r="G366" s="1442" t="s">
        <v>1394</v>
      </c>
      <c r="H366" s="1442" t="s">
        <v>1470</v>
      </c>
      <c r="I366" s="1442"/>
      <c r="J366" s="1442"/>
      <c r="K366" s="771" t="s">
        <v>2426</v>
      </c>
      <c r="L366" s="1211"/>
      <c r="M366" s="1211"/>
      <c r="N366" s="1211"/>
      <c r="O366" s="1206">
        <f t="shared" si="60"/>
        <v>0</v>
      </c>
      <c r="P366" s="1211"/>
      <c r="Q366" s="1211"/>
      <c r="R366" s="1211"/>
      <c r="S366" s="1211"/>
      <c r="T366" s="1211"/>
      <c r="U366" s="1211"/>
      <c r="V366" s="1211"/>
      <c r="W366" s="780" t="e">
        <f t="shared" si="59"/>
        <v>#DIV/0!</v>
      </c>
      <c r="X366" s="788"/>
      <c r="Y366" s="788"/>
    </row>
    <row r="367" spans="1:25" ht="22.5" customHeight="1" thickTop="1" thickBot="1" x14ac:dyDescent="0.3">
      <c r="A367" s="1441">
        <v>1</v>
      </c>
      <c r="B367" s="1442" t="s">
        <v>1381</v>
      </c>
      <c r="C367" s="1442" t="s">
        <v>1394</v>
      </c>
      <c r="D367" s="1442" t="s">
        <v>1381</v>
      </c>
      <c r="E367" s="1442" t="s">
        <v>1381</v>
      </c>
      <c r="F367" s="1442" t="s">
        <v>1394</v>
      </c>
      <c r="G367" s="1442" t="s">
        <v>1394</v>
      </c>
      <c r="H367" s="1442" t="s">
        <v>1474</v>
      </c>
      <c r="I367" s="1442"/>
      <c r="J367" s="1442"/>
      <c r="K367" s="771" t="s">
        <v>2427</v>
      </c>
      <c r="L367" s="1211"/>
      <c r="M367" s="1211"/>
      <c r="N367" s="1211"/>
      <c r="O367" s="1206">
        <f t="shared" si="60"/>
        <v>0</v>
      </c>
      <c r="P367" s="1211"/>
      <c r="Q367" s="1211"/>
      <c r="R367" s="1211"/>
      <c r="S367" s="1211"/>
      <c r="T367" s="1211"/>
      <c r="U367" s="1211"/>
      <c r="V367" s="1211"/>
      <c r="W367" s="780" t="e">
        <f t="shared" si="59"/>
        <v>#DIV/0!</v>
      </c>
      <c r="X367" s="788"/>
      <c r="Y367" s="788"/>
    </row>
    <row r="368" spans="1:25" ht="22.5" customHeight="1" thickTop="1" thickBot="1" x14ac:dyDescent="0.3">
      <c r="A368" s="1441">
        <v>1</v>
      </c>
      <c r="B368" s="1442" t="s">
        <v>1381</v>
      </c>
      <c r="C368" s="1442" t="s">
        <v>1394</v>
      </c>
      <c r="D368" s="1442" t="s">
        <v>1381</v>
      </c>
      <c r="E368" s="1442" t="s">
        <v>1381</v>
      </c>
      <c r="F368" s="1442" t="s">
        <v>1394</v>
      </c>
      <c r="G368" s="1442" t="s">
        <v>1394</v>
      </c>
      <c r="H368" s="1442" t="s">
        <v>1478</v>
      </c>
      <c r="I368" s="1442"/>
      <c r="J368" s="1442"/>
      <c r="K368" s="771" t="s">
        <v>2428</v>
      </c>
      <c r="L368" s="1211"/>
      <c r="M368" s="1211"/>
      <c r="N368" s="1211"/>
      <c r="O368" s="1206">
        <f t="shared" si="60"/>
        <v>0</v>
      </c>
      <c r="P368" s="1211"/>
      <c r="Q368" s="1211"/>
      <c r="R368" s="1211"/>
      <c r="S368" s="1211"/>
      <c r="T368" s="1211"/>
      <c r="U368" s="1211"/>
      <c r="V368" s="1211"/>
      <c r="W368" s="780" t="e">
        <f t="shared" si="59"/>
        <v>#DIV/0!</v>
      </c>
      <c r="X368" s="788"/>
      <c r="Y368" s="788"/>
    </row>
    <row r="369" spans="1:25" ht="22.5" customHeight="1" thickTop="1" thickBot="1" x14ac:dyDescent="0.3">
      <c r="A369" s="1441">
        <v>1</v>
      </c>
      <c r="B369" s="1442" t="s">
        <v>1381</v>
      </c>
      <c r="C369" s="1442" t="s">
        <v>1394</v>
      </c>
      <c r="D369" s="1442" t="s">
        <v>1381</v>
      </c>
      <c r="E369" s="1442" t="s">
        <v>1381</v>
      </c>
      <c r="F369" s="1442" t="s">
        <v>1394</v>
      </c>
      <c r="G369" s="1442" t="s">
        <v>1394</v>
      </c>
      <c r="H369" s="1442" t="s">
        <v>1576</v>
      </c>
      <c r="I369" s="1442"/>
      <c r="J369" s="1442"/>
      <c r="K369" s="771" t="s">
        <v>2429</v>
      </c>
      <c r="L369" s="1211"/>
      <c r="M369" s="1211"/>
      <c r="N369" s="1211"/>
      <c r="O369" s="1206">
        <f t="shared" si="60"/>
        <v>0</v>
      </c>
      <c r="P369" s="1211"/>
      <c r="Q369" s="1211"/>
      <c r="R369" s="1211"/>
      <c r="S369" s="1211"/>
      <c r="T369" s="1211"/>
      <c r="U369" s="1211"/>
      <c r="V369" s="1211"/>
      <c r="W369" s="780" t="e">
        <f t="shared" si="59"/>
        <v>#DIV/0!</v>
      </c>
      <c r="X369" s="788"/>
      <c r="Y369" s="788"/>
    </row>
    <row r="370" spans="1:25" ht="22.5" customHeight="1" thickTop="1" thickBot="1" x14ac:dyDescent="0.3">
      <c r="A370" s="1441">
        <v>1</v>
      </c>
      <c r="B370" s="1442" t="s">
        <v>1381</v>
      </c>
      <c r="C370" s="1442" t="s">
        <v>1394</v>
      </c>
      <c r="D370" s="1442" t="s">
        <v>1381</v>
      </c>
      <c r="E370" s="1442" t="s">
        <v>1381</v>
      </c>
      <c r="F370" s="1442" t="s">
        <v>1394</v>
      </c>
      <c r="G370" s="1442" t="s">
        <v>1394</v>
      </c>
      <c r="H370" s="1442" t="s">
        <v>1577</v>
      </c>
      <c r="I370" s="1442"/>
      <c r="J370" s="1442"/>
      <c r="K370" s="771" t="s">
        <v>2430</v>
      </c>
      <c r="L370" s="1211"/>
      <c r="M370" s="1211"/>
      <c r="N370" s="1211"/>
      <c r="O370" s="1206">
        <f t="shared" si="60"/>
        <v>0</v>
      </c>
      <c r="P370" s="1211"/>
      <c r="Q370" s="1211"/>
      <c r="R370" s="1211"/>
      <c r="S370" s="1211"/>
      <c r="T370" s="1211"/>
      <c r="U370" s="1211"/>
      <c r="V370" s="1211"/>
      <c r="W370" s="780" t="e">
        <f t="shared" si="59"/>
        <v>#DIV/0!</v>
      </c>
      <c r="X370" s="788"/>
      <c r="Y370" s="788"/>
    </row>
    <row r="371" spans="1:25" ht="22.5" customHeight="1" thickTop="1" thickBot="1" x14ac:dyDescent="0.3">
      <c r="A371" s="1441">
        <v>1</v>
      </c>
      <c r="B371" s="1442" t="s">
        <v>1381</v>
      </c>
      <c r="C371" s="1442" t="s">
        <v>1394</v>
      </c>
      <c r="D371" s="1442" t="s">
        <v>1381</v>
      </c>
      <c r="E371" s="1442" t="s">
        <v>1381</v>
      </c>
      <c r="F371" s="1442" t="s">
        <v>1394</v>
      </c>
      <c r="G371" s="1442" t="s">
        <v>1394</v>
      </c>
      <c r="H371" s="1442" t="s">
        <v>1578</v>
      </c>
      <c r="I371" s="1442"/>
      <c r="J371" s="1442"/>
      <c r="K371" s="771" t="s">
        <v>2431</v>
      </c>
      <c r="L371" s="1211"/>
      <c r="M371" s="1211"/>
      <c r="N371" s="1211"/>
      <c r="O371" s="1206">
        <f t="shared" si="60"/>
        <v>0</v>
      </c>
      <c r="P371" s="1211"/>
      <c r="Q371" s="1211"/>
      <c r="R371" s="1211"/>
      <c r="S371" s="1211"/>
      <c r="T371" s="1211"/>
      <c r="U371" s="1211"/>
      <c r="V371" s="1211"/>
      <c r="W371" s="780" t="e">
        <f t="shared" si="59"/>
        <v>#DIV/0!</v>
      </c>
      <c r="X371" s="788"/>
      <c r="Y371" s="788"/>
    </row>
    <row r="372" spans="1:25" ht="22.5" customHeight="1" thickTop="1" thickBot="1" x14ac:dyDescent="0.3">
      <c r="A372" s="1441">
        <v>1</v>
      </c>
      <c r="B372" s="1442" t="s">
        <v>1381</v>
      </c>
      <c r="C372" s="1442" t="s">
        <v>1394</v>
      </c>
      <c r="D372" s="1442" t="s">
        <v>1381</v>
      </c>
      <c r="E372" s="1442" t="s">
        <v>1381</v>
      </c>
      <c r="F372" s="1442" t="s">
        <v>1418</v>
      </c>
      <c r="G372" s="1440"/>
      <c r="H372" s="1442"/>
      <c r="I372" s="1442"/>
      <c r="J372" s="1442"/>
      <c r="K372" s="770" t="s">
        <v>1570</v>
      </c>
      <c r="L372" s="1211">
        <f>+L373+L385</f>
        <v>0</v>
      </c>
      <c r="M372" s="1211">
        <f t="shared" ref="M372:V372" si="65">+M373+M385</f>
        <v>0</v>
      </c>
      <c r="N372" s="1211">
        <f t="shared" si="65"/>
        <v>0</v>
      </c>
      <c r="O372" s="1206">
        <f t="shared" si="60"/>
        <v>0</v>
      </c>
      <c r="P372" s="1211">
        <f t="shared" si="65"/>
        <v>0</v>
      </c>
      <c r="Q372" s="1211">
        <f t="shared" si="65"/>
        <v>0</v>
      </c>
      <c r="R372" s="1211">
        <f t="shared" si="65"/>
        <v>0</v>
      </c>
      <c r="S372" s="1211"/>
      <c r="T372" s="1211">
        <f t="shared" si="65"/>
        <v>0</v>
      </c>
      <c r="U372" s="1211">
        <f t="shared" si="65"/>
        <v>0</v>
      </c>
      <c r="V372" s="1211">
        <f t="shared" si="65"/>
        <v>0</v>
      </c>
      <c r="W372" s="780" t="e">
        <f t="shared" si="59"/>
        <v>#DIV/0!</v>
      </c>
      <c r="X372" s="788" t="s">
        <v>1571</v>
      </c>
      <c r="Y372" s="788"/>
    </row>
    <row r="373" spans="1:25" ht="22.5" customHeight="1" thickTop="1" thickBot="1" x14ac:dyDescent="0.3">
      <c r="A373" s="1441">
        <v>1</v>
      </c>
      <c r="B373" s="1442" t="s">
        <v>1381</v>
      </c>
      <c r="C373" s="1442" t="s">
        <v>1394</v>
      </c>
      <c r="D373" s="1442" t="s">
        <v>1381</v>
      </c>
      <c r="E373" s="1442" t="s">
        <v>1381</v>
      </c>
      <c r="F373" s="1442" t="s">
        <v>1418</v>
      </c>
      <c r="G373" s="1440" t="s">
        <v>1381</v>
      </c>
      <c r="H373" s="1442"/>
      <c r="I373" s="1442"/>
      <c r="J373" s="1442"/>
      <c r="K373" s="771" t="s">
        <v>1572</v>
      </c>
      <c r="L373" s="1211">
        <f>SUM(L374:L384)</f>
        <v>0</v>
      </c>
      <c r="M373" s="1211">
        <f t="shared" ref="M373:V373" si="66">SUM(M374:M384)</f>
        <v>0</v>
      </c>
      <c r="N373" s="1211">
        <f t="shared" si="66"/>
        <v>0</v>
      </c>
      <c r="O373" s="1206">
        <f t="shared" si="60"/>
        <v>0</v>
      </c>
      <c r="P373" s="1211">
        <f t="shared" si="66"/>
        <v>0</v>
      </c>
      <c r="Q373" s="1211">
        <f t="shared" si="66"/>
        <v>0</v>
      </c>
      <c r="R373" s="1211">
        <f t="shared" si="66"/>
        <v>0</v>
      </c>
      <c r="S373" s="1211"/>
      <c r="T373" s="1211">
        <f t="shared" si="66"/>
        <v>0</v>
      </c>
      <c r="U373" s="1211">
        <f t="shared" si="66"/>
        <v>0</v>
      </c>
      <c r="V373" s="1211">
        <f t="shared" si="66"/>
        <v>0</v>
      </c>
      <c r="W373" s="780" t="e">
        <f t="shared" si="59"/>
        <v>#DIV/0!</v>
      </c>
      <c r="X373" s="788" t="s">
        <v>1573</v>
      </c>
      <c r="Y373" s="788"/>
    </row>
    <row r="374" spans="1:25" ht="22.5" customHeight="1" thickTop="1" thickBot="1" x14ac:dyDescent="0.3">
      <c r="A374" s="1441">
        <v>1</v>
      </c>
      <c r="B374" s="1442" t="s">
        <v>1381</v>
      </c>
      <c r="C374" s="1442" t="s">
        <v>1394</v>
      </c>
      <c r="D374" s="1442" t="s">
        <v>1381</v>
      </c>
      <c r="E374" s="1442" t="s">
        <v>1381</v>
      </c>
      <c r="F374" s="1442" t="s">
        <v>1418</v>
      </c>
      <c r="G374" s="1440" t="s">
        <v>1381</v>
      </c>
      <c r="H374" s="1442" t="s">
        <v>1381</v>
      </c>
      <c r="I374" s="1442"/>
      <c r="J374" s="1442"/>
      <c r="K374" s="771" t="s">
        <v>2432</v>
      </c>
      <c r="L374" s="1211"/>
      <c r="M374" s="1211"/>
      <c r="N374" s="1211"/>
      <c r="O374" s="1206">
        <f t="shared" si="60"/>
        <v>0</v>
      </c>
      <c r="P374" s="1211"/>
      <c r="Q374" s="1211"/>
      <c r="R374" s="1211"/>
      <c r="S374" s="1211"/>
      <c r="T374" s="1211"/>
      <c r="U374" s="1211"/>
      <c r="V374" s="1211"/>
      <c r="W374" s="780" t="e">
        <f t="shared" si="59"/>
        <v>#DIV/0!</v>
      </c>
      <c r="X374" s="788"/>
      <c r="Y374" s="788"/>
    </row>
    <row r="375" spans="1:25" ht="22.5" customHeight="1" thickTop="1" thickBot="1" x14ac:dyDescent="0.3">
      <c r="A375" s="1441">
        <v>1</v>
      </c>
      <c r="B375" s="1442" t="s">
        <v>1381</v>
      </c>
      <c r="C375" s="1442" t="s">
        <v>1394</v>
      </c>
      <c r="D375" s="1442" t="s">
        <v>1381</v>
      </c>
      <c r="E375" s="1442" t="s">
        <v>1381</v>
      </c>
      <c r="F375" s="1442" t="s">
        <v>1418</v>
      </c>
      <c r="G375" s="1440" t="s">
        <v>1381</v>
      </c>
      <c r="H375" s="1442" t="s">
        <v>1394</v>
      </c>
      <c r="I375" s="1442"/>
      <c r="J375" s="1442"/>
      <c r="K375" s="771" t="s">
        <v>2433</v>
      </c>
      <c r="L375" s="1211"/>
      <c r="M375" s="1211"/>
      <c r="N375" s="1211"/>
      <c r="O375" s="1206">
        <f t="shared" si="60"/>
        <v>0</v>
      </c>
      <c r="P375" s="1211"/>
      <c r="Q375" s="1211"/>
      <c r="R375" s="1211"/>
      <c r="S375" s="1211"/>
      <c r="T375" s="1211"/>
      <c r="U375" s="1211"/>
      <c r="V375" s="1211"/>
      <c r="W375" s="780" t="e">
        <f t="shared" si="59"/>
        <v>#DIV/0!</v>
      </c>
      <c r="X375" s="788"/>
      <c r="Y375" s="788"/>
    </row>
    <row r="376" spans="1:25" ht="22.5" customHeight="1" thickTop="1" thickBot="1" x14ac:dyDescent="0.3">
      <c r="A376" s="1441">
        <v>1</v>
      </c>
      <c r="B376" s="1442" t="s">
        <v>1381</v>
      </c>
      <c r="C376" s="1442" t="s">
        <v>1394</v>
      </c>
      <c r="D376" s="1442" t="s">
        <v>1381</v>
      </c>
      <c r="E376" s="1442" t="s">
        <v>1381</v>
      </c>
      <c r="F376" s="1442" t="s">
        <v>1418</v>
      </c>
      <c r="G376" s="1440" t="s">
        <v>1381</v>
      </c>
      <c r="H376" s="1442" t="s">
        <v>1418</v>
      </c>
      <c r="I376" s="1442"/>
      <c r="J376" s="1442"/>
      <c r="K376" s="771" t="s">
        <v>2434</v>
      </c>
      <c r="L376" s="1211"/>
      <c r="M376" s="1211"/>
      <c r="N376" s="1211"/>
      <c r="O376" s="1206">
        <f t="shared" si="60"/>
        <v>0</v>
      </c>
      <c r="P376" s="1211"/>
      <c r="Q376" s="1211"/>
      <c r="R376" s="1211"/>
      <c r="S376" s="1211"/>
      <c r="T376" s="1211"/>
      <c r="U376" s="1211"/>
      <c r="V376" s="1211"/>
      <c r="W376" s="780" t="e">
        <f t="shared" si="59"/>
        <v>#DIV/0!</v>
      </c>
      <c r="X376" s="788"/>
      <c r="Y376" s="788"/>
    </row>
    <row r="377" spans="1:25" ht="22.5" customHeight="1" thickTop="1" thickBot="1" x14ac:dyDescent="0.3">
      <c r="A377" s="1441">
        <v>1</v>
      </c>
      <c r="B377" s="1442" t="s">
        <v>1381</v>
      </c>
      <c r="C377" s="1442" t="s">
        <v>1394</v>
      </c>
      <c r="D377" s="1442" t="s">
        <v>1381</v>
      </c>
      <c r="E377" s="1442" t="s">
        <v>1381</v>
      </c>
      <c r="F377" s="1442" t="s">
        <v>1418</v>
      </c>
      <c r="G377" s="1440" t="s">
        <v>1381</v>
      </c>
      <c r="H377" s="1442" t="s">
        <v>1422</v>
      </c>
      <c r="I377" s="1442"/>
      <c r="J377" s="1442"/>
      <c r="K377" s="771" t="s">
        <v>2435</v>
      </c>
      <c r="L377" s="1211"/>
      <c r="M377" s="1211"/>
      <c r="N377" s="1211"/>
      <c r="O377" s="1206">
        <f t="shared" si="60"/>
        <v>0</v>
      </c>
      <c r="P377" s="1211"/>
      <c r="Q377" s="1211"/>
      <c r="R377" s="1211"/>
      <c r="S377" s="1211"/>
      <c r="T377" s="1211"/>
      <c r="U377" s="1211"/>
      <c r="V377" s="1211"/>
      <c r="W377" s="780" t="e">
        <f t="shared" si="59"/>
        <v>#DIV/0!</v>
      </c>
      <c r="X377" s="788"/>
      <c r="Y377" s="788"/>
    </row>
    <row r="378" spans="1:25" ht="22.5" customHeight="1" thickTop="1" thickBot="1" x14ac:dyDescent="0.3">
      <c r="A378" s="1441">
        <v>1</v>
      </c>
      <c r="B378" s="1442" t="s">
        <v>1381</v>
      </c>
      <c r="C378" s="1442" t="s">
        <v>1394</v>
      </c>
      <c r="D378" s="1442" t="s">
        <v>1381</v>
      </c>
      <c r="E378" s="1442" t="s">
        <v>1381</v>
      </c>
      <c r="F378" s="1442" t="s">
        <v>1418</v>
      </c>
      <c r="G378" s="1440" t="s">
        <v>1381</v>
      </c>
      <c r="H378" s="1442" t="s">
        <v>1447</v>
      </c>
      <c r="I378" s="1442"/>
      <c r="J378" s="1442"/>
      <c r="K378" s="771" t="s">
        <v>2436</v>
      </c>
      <c r="L378" s="1211"/>
      <c r="M378" s="1211"/>
      <c r="N378" s="1211"/>
      <c r="O378" s="1206">
        <f t="shared" si="60"/>
        <v>0</v>
      </c>
      <c r="P378" s="1211"/>
      <c r="Q378" s="1211"/>
      <c r="R378" s="1211"/>
      <c r="S378" s="1211"/>
      <c r="T378" s="1211"/>
      <c r="U378" s="1211"/>
      <c r="V378" s="1211"/>
      <c r="W378" s="780" t="e">
        <f t="shared" si="59"/>
        <v>#DIV/0!</v>
      </c>
      <c r="X378" s="788"/>
      <c r="Y378" s="788"/>
    </row>
    <row r="379" spans="1:25" ht="22.5" customHeight="1" thickTop="1" thickBot="1" x14ac:dyDescent="0.3">
      <c r="A379" s="1441">
        <v>1</v>
      </c>
      <c r="B379" s="1442" t="s">
        <v>1381</v>
      </c>
      <c r="C379" s="1442" t="s">
        <v>1394</v>
      </c>
      <c r="D379" s="1442" t="s">
        <v>1381</v>
      </c>
      <c r="E379" s="1442" t="s">
        <v>1381</v>
      </c>
      <c r="F379" s="1442" t="s">
        <v>1418</v>
      </c>
      <c r="G379" s="1440" t="s">
        <v>1381</v>
      </c>
      <c r="H379" s="1442" t="s">
        <v>1470</v>
      </c>
      <c r="I379" s="1442"/>
      <c r="J379" s="1442"/>
      <c r="K379" s="771" t="s">
        <v>2437</v>
      </c>
      <c r="L379" s="1211"/>
      <c r="M379" s="1211"/>
      <c r="N379" s="1211"/>
      <c r="O379" s="1206">
        <f t="shared" si="60"/>
        <v>0</v>
      </c>
      <c r="P379" s="1211"/>
      <c r="Q379" s="1211"/>
      <c r="R379" s="1211"/>
      <c r="S379" s="1211"/>
      <c r="T379" s="1211"/>
      <c r="U379" s="1211"/>
      <c r="V379" s="1211"/>
      <c r="W379" s="780" t="e">
        <f t="shared" si="59"/>
        <v>#DIV/0!</v>
      </c>
      <c r="X379" s="788"/>
      <c r="Y379" s="788"/>
    </row>
    <row r="380" spans="1:25" ht="22.5" customHeight="1" thickTop="1" thickBot="1" x14ac:dyDescent="0.3">
      <c r="A380" s="1441">
        <v>1</v>
      </c>
      <c r="B380" s="1442" t="s">
        <v>1381</v>
      </c>
      <c r="C380" s="1442" t="s">
        <v>1394</v>
      </c>
      <c r="D380" s="1442" t="s">
        <v>1381</v>
      </c>
      <c r="E380" s="1442" t="s">
        <v>1381</v>
      </c>
      <c r="F380" s="1442" t="s">
        <v>1418</v>
      </c>
      <c r="G380" s="1440" t="s">
        <v>1381</v>
      </c>
      <c r="H380" s="1442" t="s">
        <v>1474</v>
      </c>
      <c r="I380" s="1442"/>
      <c r="J380" s="1442"/>
      <c r="K380" s="771" t="s">
        <v>2438</v>
      </c>
      <c r="L380" s="1211"/>
      <c r="M380" s="1211"/>
      <c r="N380" s="1211"/>
      <c r="O380" s="1206">
        <f t="shared" si="60"/>
        <v>0</v>
      </c>
      <c r="P380" s="1211"/>
      <c r="Q380" s="1211"/>
      <c r="R380" s="1211"/>
      <c r="S380" s="1211"/>
      <c r="T380" s="1211"/>
      <c r="U380" s="1211"/>
      <c r="V380" s="1211"/>
      <c r="W380" s="780" t="e">
        <f t="shared" si="59"/>
        <v>#DIV/0!</v>
      </c>
      <c r="X380" s="788"/>
      <c r="Y380" s="788"/>
    </row>
    <row r="381" spans="1:25" ht="22.5" customHeight="1" thickTop="1" thickBot="1" x14ac:dyDescent="0.3">
      <c r="A381" s="1441">
        <v>1</v>
      </c>
      <c r="B381" s="1442" t="s">
        <v>1381</v>
      </c>
      <c r="C381" s="1442" t="s">
        <v>1394</v>
      </c>
      <c r="D381" s="1442" t="s">
        <v>1381</v>
      </c>
      <c r="E381" s="1442" t="s">
        <v>1381</v>
      </c>
      <c r="F381" s="1442" t="s">
        <v>1418</v>
      </c>
      <c r="G381" s="1440" t="s">
        <v>1381</v>
      </c>
      <c r="H381" s="1442" t="s">
        <v>1478</v>
      </c>
      <c r="I381" s="1442"/>
      <c r="J381" s="1442"/>
      <c r="K381" s="771" t="s">
        <v>2439</v>
      </c>
      <c r="L381" s="1211"/>
      <c r="M381" s="1211"/>
      <c r="N381" s="1211"/>
      <c r="O381" s="1206">
        <f t="shared" si="60"/>
        <v>0</v>
      </c>
      <c r="P381" s="1211"/>
      <c r="Q381" s="1211"/>
      <c r="R381" s="1211"/>
      <c r="S381" s="1211"/>
      <c r="T381" s="1211"/>
      <c r="U381" s="1211"/>
      <c r="V381" s="1211"/>
      <c r="W381" s="780" t="e">
        <f t="shared" si="59"/>
        <v>#DIV/0!</v>
      </c>
      <c r="X381" s="788"/>
      <c r="Y381" s="788"/>
    </row>
    <row r="382" spans="1:25" ht="22.5" customHeight="1" thickTop="1" thickBot="1" x14ac:dyDescent="0.3">
      <c r="A382" s="1441">
        <v>1</v>
      </c>
      <c r="B382" s="1442" t="s">
        <v>1381</v>
      </c>
      <c r="C382" s="1442" t="s">
        <v>1394</v>
      </c>
      <c r="D382" s="1442" t="s">
        <v>1381</v>
      </c>
      <c r="E382" s="1442" t="s">
        <v>1381</v>
      </c>
      <c r="F382" s="1442" t="s">
        <v>1418</v>
      </c>
      <c r="G382" s="1440" t="s">
        <v>1381</v>
      </c>
      <c r="H382" s="1442" t="s">
        <v>1576</v>
      </c>
      <c r="I382" s="1442"/>
      <c r="J382" s="1442"/>
      <c r="K382" s="771" t="s">
        <v>2440</v>
      </c>
      <c r="L382" s="1211"/>
      <c r="M382" s="1211"/>
      <c r="N382" s="1211"/>
      <c r="O382" s="1206">
        <f t="shared" si="60"/>
        <v>0</v>
      </c>
      <c r="P382" s="1211"/>
      <c r="Q382" s="1211"/>
      <c r="R382" s="1211"/>
      <c r="S382" s="1211"/>
      <c r="T382" s="1211"/>
      <c r="U382" s="1211"/>
      <c r="V382" s="1211"/>
      <c r="W382" s="780" t="e">
        <f t="shared" si="59"/>
        <v>#DIV/0!</v>
      </c>
      <c r="X382" s="788"/>
      <c r="Y382" s="788"/>
    </row>
    <row r="383" spans="1:25" ht="22.5" customHeight="1" thickTop="1" thickBot="1" x14ac:dyDescent="0.3">
      <c r="A383" s="1441">
        <v>1</v>
      </c>
      <c r="B383" s="1442" t="s">
        <v>1381</v>
      </c>
      <c r="C383" s="1442" t="s">
        <v>1394</v>
      </c>
      <c r="D383" s="1442" t="s">
        <v>1381</v>
      </c>
      <c r="E383" s="1442" t="s">
        <v>1381</v>
      </c>
      <c r="F383" s="1442" t="s">
        <v>1418</v>
      </c>
      <c r="G383" s="1440" t="s">
        <v>1381</v>
      </c>
      <c r="H383" s="1442" t="s">
        <v>1577</v>
      </c>
      <c r="I383" s="1442"/>
      <c r="J383" s="1442"/>
      <c r="K383" s="771" t="s">
        <v>2441</v>
      </c>
      <c r="L383" s="1211"/>
      <c r="M383" s="1211"/>
      <c r="N383" s="1211"/>
      <c r="O383" s="1206">
        <f t="shared" si="60"/>
        <v>0</v>
      </c>
      <c r="P383" s="1211"/>
      <c r="Q383" s="1211"/>
      <c r="R383" s="1211"/>
      <c r="S383" s="1211"/>
      <c r="T383" s="1211"/>
      <c r="U383" s="1211"/>
      <c r="V383" s="1211"/>
      <c r="W383" s="780" t="e">
        <f t="shared" si="59"/>
        <v>#DIV/0!</v>
      </c>
      <c r="X383" s="788"/>
      <c r="Y383" s="788"/>
    </row>
    <row r="384" spans="1:25" ht="22.5" customHeight="1" thickTop="1" thickBot="1" x14ac:dyDescent="0.3">
      <c r="A384" s="1441">
        <v>1</v>
      </c>
      <c r="B384" s="1442" t="s">
        <v>1381</v>
      </c>
      <c r="C384" s="1442" t="s">
        <v>1394</v>
      </c>
      <c r="D384" s="1442" t="s">
        <v>1381</v>
      </c>
      <c r="E384" s="1442" t="s">
        <v>1381</v>
      </c>
      <c r="F384" s="1442" t="s">
        <v>1418</v>
      </c>
      <c r="G384" s="1440" t="s">
        <v>1381</v>
      </c>
      <c r="H384" s="1442" t="s">
        <v>1578</v>
      </c>
      <c r="I384" s="1442"/>
      <c r="J384" s="1442"/>
      <c r="K384" s="771" t="s">
        <v>2442</v>
      </c>
      <c r="L384" s="1211"/>
      <c r="M384" s="1211"/>
      <c r="N384" s="1211"/>
      <c r="O384" s="1206">
        <f t="shared" si="60"/>
        <v>0</v>
      </c>
      <c r="P384" s="1211"/>
      <c r="Q384" s="1211"/>
      <c r="R384" s="1211"/>
      <c r="S384" s="1211"/>
      <c r="T384" s="1211"/>
      <c r="U384" s="1211"/>
      <c r="V384" s="1211"/>
      <c r="W384" s="780" t="e">
        <f t="shared" si="59"/>
        <v>#DIV/0!</v>
      </c>
      <c r="X384" s="788"/>
      <c r="Y384" s="788"/>
    </row>
    <row r="385" spans="1:25" ht="22.5" customHeight="1" thickTop="1" thickBot="1" x14ac:dyDescent="0.3">
      <c r="A385" s="1441">
        <v>1</v>
      </c>
      <c r="B385" s="1442" t="s">
        <v>1381</v>
      </c>
      <c r="C385" s="1442" t="s">
        <v>1394</v>
      </c>
      <c r="D385" s="1442" t="s">
        <v>1381</v>
      </c>
      <c r="E385" s="1442" t="s">
        <v>1381</v>
      </c>
      <c r="F385" s="1442" t="s">
        <v>1418</v>
      </c>
      <c r="G385" s="1440" t="s">
        <v>1394</v>
      </c>
      <c r="H385" s="1442"/>
      <c r="I385" s="1442"/>
      <c r="J385" s="1442"/>
      <c r="K385" s="771" t="s">
        <v>2020</v>
      </c>
      <c r="L385" s="1211">
        <f>SUM(L386:L396)</f>
        <v>0</v>
      </c>
      <c r="M385" s="1211">
        <f t="shared" ref="M385:V385" si="67">SUM(M386:M396)</f>
        <v>0</v>
      </c>
      <c r="N385" s="1211">
        <f t="shared" si="67"/>
        <v>0</v>
      </c>
      <c r="O385" s="1206">
        <f t="shared" si="60"/>
        <v>0</v>
      </c>
      <c r="P385" s="1211">
        <f t="shared" si="67"/>
        <v>0</v>
      </c>
      <c r="Q385" s="1211">
        <f t="shared" si="67"/>
        <v>0</v>
      </c>
      <c r="R385" s="1211">
        <f t="shared" si="67"/>
        <v>0</v>
      </c>
      <c r="S385" s="1211"/>
      <c r="T385" s="1211">
        <f t="shared" si="67"/>
        <v>0</v>
      </c>
      <c r="U385" s="1211">
        <f t="shared" si="67"/>
        <v>0</v>
      </c>
      <c r="V385" s="1211">
        <f t="shared" si="67"/>
        <v>0</v>
      </c>
      <c r="W385" s="780" t="e">
        <f t="shared" si="59"/>
        <v>#DIV/0!</v>
      </c>
      <c r="X385" s="788" t="s">
        <v>2022</v>
      </c>
      <c r="Y385" s="788"/>
    </row>
    <row r="386" spans="1:25" ht="22.5" customHeight="1" thickTop="1" thickBot="1" x14ac:dyDescent="0.3">
      <c r="A386" s="1441">
        <v>1</v>
      </c>
      <c r="B386" s="1442" t="s">
        <v>1381</v>
      </c>
      <c r="C386" s="1442" t="s">
        <v>1394</v>
      </c>
      <c r="D386" s="1442" t="s">
        <v>1381</v>
      </c>
      <c r="E386" s="1442" t="s">
        <v>1381</v>
      </c>
      <c r="F386" s="1442" t="s">
        <v>1418</v>
      </c>
      <c r="G386" s="1440" t="s">
        <v>1394</v>
      </c>
      <c r="H386" s="1442" t="s">
        <v>1381</v>
      </c>
      <c r="I386" s="1442"/>
      <c r="J386" s="1442"/>
      <c r="K386" s="771" t="s">
        <v>2443</v>
      </c>
      <c r="L386" s="1211"/>
      <c r="M386" s="1211"/>
      <c r="N386" s="1211"/>
      <c r="O386" s="1206">
        <f t="shared" si="60"/>
        <v>0</v>
      </c>
      <c r="P386" s="1211"/>
      <c r="Q386" s="1211"/>
      <c r="R386" s="1211"/>
      <c r="S386" s="1211"/>
      <c r="T386" s="1211"/>
      <c r="U386" s="1211"/>
      <c r="V386" s="1211"/>
      <c r="W386" s="780" t="e">
        <f t="shared" si="59"/>
        <v>#DIV/0!</v>
      </c>
      <c r="X386" s="788"/>
      <c r="Y386" s="788"/>
    </row>
    <row r="387" spans="1:25" ht="22.5" customHeight="1" thickTop="1" thickBot="1" x14ac:dyDescent="0.3">
      <c r="A387" s="1441">
        <v>1</v>
      </c>
      <c r="B387" s="1442" t="s">
        <v>1381</v>
      </c>
      <c r="C387" s="1442" t="s">
        <v>1394</v>
      </c>
      <c r="D387" s="1442" t="s">
        <v>1381</v>
      </c>
      <c r="E387" s="1442" t="s">
        <v>1381</v>
      </c>
      <c r="F387" s="1442" t="s">
        <v>1418</v>
      </c>
      <c r="G387" s="1440" t="s">
        <v>1394</v>
      </c>
      <c r="H387" s="1442" t="s">
        <v>1394</v>
      </c>
      <c r="I387" s="1442"/>
      <c r="J387" s="1442"/>
      <c r="K387" s="771" t="s">
        <v>2444</v>
      </c>
      <c r="L387" s="1211"/>
      <c r="M387" s="1211"/>
      <c r="N387" s="1211"/>
      <c r="O387" s="1206">
        <f t="shared" si="60"/>
        <v>0</v>
      </c>
      <c r="P387" s="1211"/>
      <c r="Q387" s="1211"/>
      <c r="R387" s="1211"/>
      <c r="S387" s="1211"/>
      <c r="T387" s="1211"/>
      <c r="U387" s="1211"/>
      <c r="V387" s="1211"/>
      <c r="W387" s="780" t="e">
        <f t="shared" si="59"/>
        <v>#DIV/0!</v>
      </c>
      <c r="X387" s="788"/>
      <c r="Y387" s="788"/>
    </row>
    <row r="388" spans="1:25" ht="22.5" customHeight="1" thickTop="1" thickBot="1" x14ac:dyDescent="0.3">
      <c r="A388" s="1441">
        <v>1</v>
      </c>
      <c r="B388" s="1442" t="s">
        <v>1381</v>
      </c>
      <c r="C388" s="1442" t="s">
        <v>1394</v>
      </c>
      <c r="D388" s="1442" t="s">
        <v>1381</v>
      </c>
      <c r="E388" s="1442" t="s">
        <v>1381</v>
      </c>
      <c r="F388" s="1442" t="s">
        <v>1418</v>
      </c>
      <c r="G388" s="1440" t="s">
        <v>1394</v>
      </c>
      <c r="H388" s="1442" t="s">
        <v>1418</v>
      </c>
      <c r="I388" s="1442"/>
      <c r="J388" s="1442"/>
      <c r="K388" s="771" t="s">
        <v>2445</v>
      </c>
      <c r="L388" s="1211"/>
      <c r="M388" s="1211"/>
      <c r="N388" s="1211"/>
      <c r="O388" s="1206">
        <f t="shared" si="60"/>
        <v>0</v>
      </c>
      <c r="P388" s="1211"/>
      <c r="Q388" s="1211"/>
      <c r="R388" s="1211"/>
      <c r="S388" s="1211"/>
      <c r="T388" s="1211"/>
      <c r="U388" s="1211"/>
      <c r="V388" s="1211"/>
      <c r="W388" s="780" t="e">
        <f t="shared" si="59"/>
        <v>#DIV/0!</v>
      </c>
      <c r="X388" s="788"/>
      <c r="Y388" s="788"/>
    </row>
    <row r="389" spans="1:25" ht="22.5" customHeight="1" thickTop="1" thickBot="1" x14ac:dyDescent="0.3">
      <c r="A389" s="1441">
        <v>1</v>
      </c>
      <c r="B389" s="1442" t="s">
        <v>1381</v>
      </c>
      <c r="C389" s="1442" t="s">
        <v>1394</v>
      </c>
      <c r="D389" s="1442" t="s">
        <v>1381</v>
      </c>
      <c r="E389" s="1442" t="s">
        <v>1381</v>
      </c>
      <c r="F389" s="1442" t="s">
        <v>1418</v>
      </c>
      <c r="G389" s="1440" t="s">
        <v>1394</v>
      </c>
      <c r="H389" s="1442" t="s">
        <v>1422</v>
      </c>
      <c r="I389" s="1442"/>
      <c r="J389" s="1442"/>
      <c r="K389" s="771" t="s">
        <v>2446</v>
      </c>
      <c r="L389" s="1211"/>
      <c r="M389" s="1211"/>
      <c r="N389" s="1211"/>
      <c r="O389" s="1206">
        <f t="shared" si="60"/>
        <v>0</v>
      </c>
      <c r="P389" s="1211"/>
      <c r="Q389" s="1211"/>
      <c r="R389" s="1211"/>
      <c r="S389" s="1211"/>
      <c r="T389" s="1211"/>
      <c r="U389" s="1211"/>
      <c r="V389" s="1211"/>
      <c r="W389" s="780" t="e">
        <f t="shared" si="59"/>
        <v>#DIV/0!</v>
      </c>
      <c r="X389" s="788"/>
      <c r="Y389" s="788"/>
    </row>
    <row r="390" spans="1:25" ht="22.5" customHeight="1" thickTop="1" thickBot="1" x14ac:dyDescent="0.3">
      <c r="A390" s="1441">
        <v>1</v>
      </c>
      <c r="B390" s="1442" t="s">
        <v>1381</v>
      </c>
      <c r="C390" s="1442" t="s">
        <v>1394</v>
      </c>
      <c r="D390" s="1442" t="s">
        <v>1381</v>
      </c>
      <c r="E390" s="1442" t="s">
        <v>1381</v>
      </c>
      <c r="F390" s="1442" t="s">
        <v>1418</v>
      </c>
      <c r="G390" s="1440" t="s">
        <v>1394</v>
      </c>
      <c r="H390" s="1442" t="s">
        <v>1447</v>
      </c>
      <c r="I390" s="1442"/>
      <c r="J390" s="1442"/>
      <c r="K390" s="771" t="s">
        <v>2447</v>
      </c>
      <c r="L390" s="1211"/>
      <c r="M390" s="1211"/>
      <c r="N390" s="1211"/>
      <c r="O390" s="1206">
        <f t="shared" si="60"/>
        <v>0</v>
      </c>
      <c r="P390" s="1211"/>
      <c r="Q390" s="1211"/>
      <c r="R390" s="1211"/>
      <c r="S390" s="1211"/>
      <c r="T390" s="1211"/>
      <c r="U390" s="1211"/>
      <c r="V390" s="1211"/>
      <c r="W390" s="780" t="e">
        <f t="shared" si="59"/>
        <v>#DIV/0!</v>
      </c>
      <c r="X390" s="788"/>
      <c r="Y390" s="788"/>
    </row>
    <row r="391" spans="1:25" ht="22.5" customHeight="1" thickTop="1" thickBot="1" x14ac:dyDescent="0.3">
      <c r="A391" s="1441">
        <v>1</v>
      </c>
      <c r="B391" s="1442" t="s">
        <v>1381</v>
      </c>
      <c r="C391" s="1442" t="s">
        <v>1394</v>
      </c>
      <c r="D391" s="1442" t="s">
        <v>1381</v>
      </c>
      <c r="E391" s="1442" t="s">
        <v>1381</v>
      </c>
      <c r="F391" s="1442" t="s">
        <v>1418</v>
      </c>
      <c r="G391" s="1440" t="s">
        <v>1394</v>
      </c>
      <c r="H391" s="1442" t="s">
        <v>1470</v>
      </c>
      <c r="I391" s="1442"/>
      <c r="J391" s="1442"/>
      <c r="K391" s="771" t="s">
        <v>2448</v>
      </c>
      <c r="L391" s="1211"/>
      <c r="M391" s="1211"/>
      <c r="N391" s="1211"/>
      <c r="O391" s="1206">
        <f t="shared" si="60"/>
        <v>0</v>
      </c>
      <c r="P391" s="1211"/>
      <c r="Q391" s="1211"/>
      <c r="R391" s="1211"/>
      <c r="S391" s="1211"/>
      <c r="T391" s="1211"/>
      <c r="U391" s="1211"/>
      <c r="V391" s="1211"/>
      <c r="W391" s="780" t="e">
        <f t="shared" ref="W391:W454" si="68">V391/O391</f>
        <v>#DIV/0!</v>
      </c>
      <c r="X391" s="788"/>
      <c r="Y391" s="788"/>
    </row>
    <row r="392" spans="1:25" ht="22.5" customHeight="1" thickTop="1" thickBot="1" x14ac:dyDescent="0.3">
      <c r="A392" s="1441">
        <v>1</v>
      </c>
      <c r="B392" s="1442" t="s">
        <v>1381</v>
      </c>
      <c r="C392" s="1442" t="s">
        <v>1394</v>
      </c>
      <c r="D392" s="1442" t="s">
        <v>1381</v>
      </c>
      <c r="E392" s="1442" t="s">
        <v>1381</v>
      </c>
      <c r="F392" s="1442" t="s">
        <v>1418</v>
      </c>
      <c r="G392" s="1440" t="s">
        <v>1394</v>
      </c>
      <c r="H392" s="1442" t="s">
        <v>1474</v>
      </c>
      <c r="I392" s="1442"/>
      <c r="J392" s="1442"/>
      <c r="K392" s="771" t="s">
        <v>2449</v>
      </c>
      <c r="L392" s="1211"/>
      <c r="M392" s="1211"/>
      <c r="N392" s="1211"/>
      <c r="O392" s="1206">
        <f t="shared" ref="O392:O455" si="69">L392+M392-N392</f>
        <v>0</v>
      </c>
      <c r="P392" s="1211"/>
      <c r="Q392" s="1211"/>
      <c r="R392" s="1211"/>
      <c r="S392" s="1211"/>
      <c r="T392" s="1211"/>
      <c r="U392" s="1211"/>
      <c r="V392" s="1211"/>
      <c r="W392" s="780" t="e">
        <f t="shared" si="68"/>
        <v>#DIV/0!</v>
      </c>
      <c r="X392" s="788"/>
      <c r="Y392" s="788"/>
    </row>
    <row r="393" spans="1:25" ht="22.5" customHeight="1" thickTop="1" thickBot="1" x14ac:dyDescent="0.3">
      <c r="A393" s="1441">
        <v>1</v>
      </c>
      <c r="B393" s="1442" t="s">
        <v>1381</v>
      </c>
      <c r="C393" s="1442" t="s">
        <v>1394</v>
      </c>
      <c r="D393" s="1442" t="s">
        <v>1381</v>
      </c>
      <c r="E393" s="1442" t="s">
        <v>1381</v>
      </c>
      <c r="F393" s="1442" t="s">
        <v>1418</v>
      </c>
      <c r="G393" s="1440" t="s">
        <v>1394</v>
      </c>
      <c r="H393" s="1442" t="s">
        <v>1478</v>
      </c>
      <c r="I393" s="1442"/>
      <c r="J393" s="1442"/>
      <c r="K393" s="771" t="s">
        <v>2450</v>
      </c>
      <c r="L393" s="1211"/>
      <c r="M393" s="1211"/>
      <c r="N393" s="1211"/>
      <c r="O393" s="1206">
        <f t="shared" si="69"/>
        <v>0</v>
      </c>
      <c r="P393" s="1211"/>
      <c r="Q393" s="1211"/>
      <c r="R393" s="1211"/>
      <c r="S393" s="1211"/>
      <c r="T393" s="1211"/>
      <c r="U393" s="1211"/>
      <c r="V393" s="1211"/>
      <c r="W393" s="780" t="e">
        <f t="shared" si="68"/>
        <v>#DIV/0!</v>
      </c>
      <c r="X393" s="788"/>
      <c r="Y393" s="788"/>
    </row>
    <row r="394" spans="1:25" ht="22.5" customHeight="1" thickTop="1" thickBot="1" x14ac:dyDescent="0.3">
      <c r="A394" s="1441">
        <v>1</v>
      </c>
      <c r="B394" s="1442" t="s">
        <v>1381</v>
      </c>
      <c r="C394" s="1442" t="s">
        <v>1394</v>
      </c>
      <c r="D394" s="1442" t="s">
        <v>1381</v>
      </c>
      <c r="E394" s="1442" t="s">
        <v>1381</v>
      </c>
      <c r="F394" s="1442" t="s">
        <v>1418</v>
      </c>
      <c r="G394" s="1440" t="s">
        <v>1394</v>
      </c>
      <c r="H394" s="1442" t="s">
        <v>1576</v>
      </c>
      <c r="I394" s="1442"/>
      <c r="J394" s="1442"/>
      <c r="K394" s="771" t="s">
        <v>2451</v>
      </c>
      <c r="L394" s="1211"/>
      <c r="M394" s="1211"/>
      <c r="N394" s="1211"/>
      <c r="O394" s="1206">
        <f t="shared" si="69"/>
        <v>0</v>
      </c>
      <c r="P394" s="1211"/>
      <c r="Q394" s="1211"/>
      <c r="R394" s="1211"/>
      <c r="S394" s="1211"/>
      <c r="T394" s="1211"/>
      <c r="U394" s="1211"/>
      <c r="V394" s="1211"/>
      <c r="W394" s="780" t="e">
        <f t="shared" si="68"/>
        <v>#DIV/0!</v>
      </c>
      <c r="X394" s="788"/>
      <c r="Y394" s="788"/>
    </row>
    <row r="395" spans="1:25" ht="22.5" customHeight="1" thickTop="1" thickBot="1" x14ac:dyDescent="0.3">
      <c r="A395" s="1441">
        <v>1</v>
      </c>
      <c r="B395" s="1442" t="s">
        <v>1381</v>
      </c>
      <c r="C395" s="1442" t="s">
        <v>1394</v>
      </c>
      <c r="D395" s="1442" t="s">
        <v>1381</v>
      </c>
      <c r="E395" s="1442" t="s">
        <v>1381</v>
      </c>
      <c r="F395" s="1442" t="s">
        <v>1418</v>
      </c>
      <c r="G395" s="1440" t="s">
        <v>1394</v>
      </c>
      <c r="H395" s="1442" t="s">
        <v>1577</v>
      </c>
      <c r="I395" s="1442"/>
      <c r="J395" s="1442"/>
      <c r="K395" s="771" t="s">
        <v>2452</v>
      </c>
      <c r="L395" s="1211"/>
      <c r="M395" s="1211"/>
      <c r="N395" s="1211"/>
      <c r="O395" s="1206">
        <f t="shared" si="69"/>
        <v>0</v>
      </c>
      <c r="P395" s="1211"/>
      <c r="Q395" s="1211"/>
      <c r="R395" s="1211"/>
      <c r="S395" s="1211"/>
      <c r="T395" s="1211"/>
      <c r="U395" s="1211"/>
      <c r="V395" s="1211"/>
      <c r="W395" s="780" t="e">
        <f t="shared" si="68"/>
        <v>#DIV/0!</v>
      </c>
      <c r="X395" s="788"/>
      <c r="Y395" s="788"/>
    </row>
    <row r="396" spans="1:25" ht="22.5" customHeight="1" thickTop="1" thickBot="1" x14ac:dyDescent="0.3">
      <c r="A396" s="1441">
        <v>1</v>
      </c>
      <c r="B396" s="1442" t="s">
        <v>1381</v>
      </c>
      <c r="C396" s="1442" t="s">
        <v>1394</v>
      </c>
      <c r="D396" s="1442" t="s">
        <v>1381</v>
      </c>
      <c r="E396" s="1442" t="s">
        <v>1381</v>
      </c>
      <c r="F396" s="1442" t="s">
        <v>1418</v>
      </c>
      <c r="G396" s="1440" t="s">
        <v>1394</v>
      </c>
      <c r="H396" s="1442" t="s">
        <v>1578</v>
      </c>
      <c r="I396" s="1442"/>
      <c r="J396" s="1442"/>
      <c r="K396" s="771" t="s">
        <v>2453</v>
      </c>
      <c r="L396" s="1211"/>
      <c r="M396" s="1211"/>
      <c r="N396" s="1211"/>
      <c r="O396" s="1206">
        <f t="shared" si="69"/>
        <v>0</v>
      </c>
      <c r="P396" s="1211"/>
      <c r="Q396" s="1211"/>
      <c r="R396" s="1211"/>
      <c r="S396" s="1211"/>
      <c r="T396" s="1211"/>
      <c r="U396" s="1211"/>
      <c r="V396" s="1211"/>
      <c r="W396" s="780" t="e">
        <f t="shared" si="68"/>
        <v>#DIV/0!</v>
      </c>
      <c r="X396" s="788"/>
      <c r="Y396" s="788"/>
    </row>
    <row r="397" spans="1:25" ht="22.5" customHeight="1" thickTop="1" thickBot="1" x14ac:dyDescent="0.3">
      <c r="A397" s="1445">
        <v>1</v>
      </c>
      <c r="B397" s="1434" t="s">
        <v>1381</v>
      </c>
      <c r="C397" s="1434" t="s">
        <v>1394</v>
      </c>
      <c r="D397" s="1434" t="s">
        <v>1394</v>
      </c>
      <c r="E397" s="1434"/>
      <c r="F397" s="1434"/>
      <c r="G397" s="1434"/>
      <c r="H397" s="1446"/>
      <c r="I397" s="1446"/>
      <c r="J397" s="1446"/>
      <c r="K397" s="1435" t="s">
        <v>2023</v>
      </c>
      <c r="L397" s="1218">
        <f>+L398+L410</f>
        <v>0</v>
      </c>
      <c r="M397" s="1218">
        <f t="shared" ref="M397:V397" si="70">+M398+M410</f>
        <v>0</v>
      </c>
      <c r="N397" s="1218">
        <f t="shared" si="70"/>
        <v>0</v>
      </c>
      <c r="O397" s="1206">
        <f t="shared" si="69"/>
        <v>0</v>
      </c>
      <c r="P397" s="1218">
        <f t="shared" si="70"/>
        <v>0</v>
      </c>
      <c r="Q397" s="1218">
        <f t="shared" si="70"/>
        <v>0</v>
      </c>
      <c r="R397" s="1218">
        <f t="shared" si="70"/>
        <v>0</v>
      </c>
      <c r="S397" s="1218"/>
      <c r="T397" s="1218">
        <f t="shared" si="70"/>
        <v>0</v>
      </c>
      <c r="U397" s="1218">
        <f t="shared" si="70"/>
        <v>0</v>
      </c>
      <c r="V397" s="1218">
        <f t="shared" si="70"/>
        <v>0</v>
      </c>
      <c r="W397" s="787" t="e">
        <f t="shared" si="68"/>
        <v>#DIV/0!</v>
      </c>
      <c r="X397" s="788" t="s">
        <v>2026</v>
      </c>
      <c r="Y397" s="788"/>
    </row>
    <row r="398" spans="1:25" s="183" customFormat="1" ht="22.5" customHeight="1" thickTop="1" thickBot="1" x14ac:dyDescent="0.3">
      <c r="A398" s="1439">
        <v>1</v>
      </c>
      <c r="B398" s="1440" t="s">
        <v>1381</v>
      </c>
      <c r="C398" s="1440" t="s">
        <v>1394</v>
      </c>
      <c r="D398" s="1440" t="s">
        <v>1394</v>
      </c>
      <c r="E398" s="1440" t="s">
        <v>1381</v>
      </c>
      <c r="F398" s="1440"/>
      <c r="G398" s="1440"/>
      <c r="H398" s="1440"/>
      <c r="I398" s="1440"/>
      <c r="J398" s="1440"/>
      <c r="K398" s="770" t="s">
        <v>2024</v>
      </c>
      <c r="L398" s="1206">
        <f>SUM(L399:L409)</f>
        <v>0</v>
      </c>
      <c r="M398" s="1206">
        <f t="shared" ref="M398:V398" si="71">SUM(M399:M409)</f>
        <v>0</v>
      </c>
      <c r="N398" s="1206">
        <f t="shared" si="71"/>
        <v>0</v>
      </c>
      <c r="O398" s="1206">
        <f t="shared" si="69"/>
        <v>0</v>
      </c>
      <c r="P398" s="1206">
        <f t="shared" si="71"/>
        <v>0</v>
      </c>
      <c r="Q398" s="1206">
        <f t="shared" si="71"/>
        <v>0</v>
      </c>
      <c r="R398" s="1206">
        <f t="shared" si="71"/>
        <v>0</v>
      </c>
      <c r="S398" s="1206"/>
      <c r="T398" s="1206">
        <f t="shared" si="71"/>
        <v>0</v>
      </c>
      <c r="U398" s="1206">
        <f t="shared" si="71"/>
        <v>0</v>
      </c>
      <c r="V398" s="1206">
        <f t="shared" si="71"/>
        <v>0</v>
      </c>
      <c r="W398" s="779" t="e">
        <f t="shared" si="68"/>
        <v>#DIV/0!</v>
      </c>
      <c r="X398" s="788" t="s">
        <v>2027</v>
      </c>
      <c r="Y398" s="788" t="s">
        <v>2028</v>
      </c>
    </row>
    <row r="399" spans="1:25" ht="22.5" customHeight="1" thickTop="1" thickBot="1" x14ac:dyDescent="0.3">
      <c r="A399" s="1441">
        <v>1</v>
      </c>
      <c r="B399" s="1442" t="s">
        <v>1381</v>
      </c>
      <c r="C399" s="1442" t="s">
        <v>1394</v>
      </c>
      <c r="D399" s="1442" t="s">
        <v>1394</v>
      </c>
      <c r="E399" s="1442" t="s">
        <v>1381</v>
      </c>
      <c r="F399" s="1442" t="s">
        <v>1381</v>
      </c>
      <c r="G399" s="1440"/>
      <c r="H399" s="1442"/>
      <c r="I399" s="1442"/>
      <c r="J399" s="1442"/>
      <c r="K399" s="771" t="s">
        <v>2454</v>
      </c>
      <c r="L399" s="1211"/>
      <c r="M399" s="1211"/>
      <c r="N399" s="1211"/>
      <c r="O399" s="1206">
        <f t="shared" si="69"/>
        <v>0</v>
      </c>
      <c r="P399" s="1211"/>
      <c r="Q399" s="1211"/>
      <c r="R399" s="1211"/>
      <c r="S399" s="1211"/>
      <c r="T399" s="1211"/>
      <c r="U399" s="1211"/>
      <c r="V399" s="1211"/>
      <c r="W399" s="780" t="e">
        <f t="shared" si="68"/>
        <v>#DIV/0!</v>
      </c>
      <c r="X399" s="788"/>
      <c r="Y399" s="788"/>
    </row>
    <row r="400" spans="1:25" ht="22.5" customHeight="1" thickTop="1" thickBot="1" x14ac:dyDescent="0.3">
      <c r="A400" s="1441">
        <v>1</v>
      </c>
      <c r="B400" s="1442" t="s">
        <v>1381</v>
      </c>
      <c r="C400" s="1442" t="s">
        <v>1394</v>
      </c>
      <c r="D400" s="1442" t="s">
        <v>1394</v>
      </c>
      <c r="E400" s="1442" t="s">
        <v>1381</v>
      </c>
      <c r="F400" s="1442" t="s">
        <v>1394</v>
      </c>
      <c r="G400" s="1440"/>
      <c r="H400" s="1442"/>
      <c r="I400" s="1442"/>
      <c r="J400" s="1442"/>
      <c r="K400" s="771" t="s">
        <v>2455</v>
      </c>
      <c r="L400" s="1211"/>
      <c r="M400" s="1211"/>
      <c r="N400" s="1211"/>
      <c r="O400" s="1206">
        <f t="shared" si="69"/>
        <v>0</v>
      </c>
      <c r="P400" s="1211"/>
      <c r="Q400" s="1211"/>
      <c r="R400" s="1211"/>
      <c r="S400" s="1211"/>
      <c r="T400" s="1211"/>
      <c r="U400" s="1211"/>
      <c r="V400" s="1211"/>
      <c r="W400" s="780" t="e">
        <f t="shared" si="68"/>
        <v>#DIV/0!</v>
      </c>
      <c r="X400" s="788"/>
      <c r="Y400" s="788"/>
    </row>
    <row r="401" spans="1:25" ht="22.5" customHeight="1" thickTop="1" thickBot="1" x14ac:dyDescent="0.3">
      <c r="A401" s="1441">
        <v>1</v>
      </c>
      <c r="B401" s="1442" t="s">
        <v>1381</v>
      </c>
      <c r="C401" s="1442" t="s">
        <v>1394</v>
      </c>
      <c r="D401" s="1442" t="s">
        <v>1394</v>
      </c>
      <c r="E401" s="1442" t="s">
        <v>1381</v>
      </c>
      <c r="F401" s="1442" t="s">
        <v>1418</v>
      </c>
      <c r="G401" s="1440"/>
      <c r="H401" s="1442"/>
      <c r="I401" s="1442"/>
      <c r="J401" s="1442"/>
      <c r="K401" s="771" t="s">
        <v>2456</v>
      </c>
      <c r="L401" s="1211"/>
      <c r="M401" s="1211"/>
      <c r="N401" s="1211"/>
      <c r="O401" s="1206">
        <f t="shared" si="69"/>
        <v>0</v>
      </c>
      <c r="P401" s="1211"/>
      <c r="Q401" s="1211"/>
      <c r="R401" s="1211"/>
      <c r="S401" s="1211"/>
      <c r="T401" s="1211"/>
      <c r="U401" s="1211"/>
      <c r="V401" s="1211"/>
      <c r="W401" s="780" t="e">
        <f t="shared" si="68"/>
        <v>#DIV/0!</v>
      </c>
      <c r="X401" s="788"/>
      <c r="Y401" s="788"/>
    </row>
    <row r="402" spans="1:25" ht="22.5" customHeight="1" thickTop="1" thickBot="1" x14ac:dyDescent="0.3">
      <c r="A402" s="1441">
        <v>1</v>
      </c>
      <c r="B402" s="1442" t="s">
        <v>1381</v>
      </c>
      <c r="C402" s="1442" t="s">
        <v>1394</v>
      </c>
      <c r="D402" s="1442" t="s">
        <v>1394</v>
      </c>
      <c r="E402" s="1442" t="s">
        <v>1381</v>
      </c>
      <c r="F402" s="1442" t="s">
        <v>1422</v>
      </c>
      <c r="G402" s="1440"/>
      <c r="H402" s="1442"/>
      <c r="I402" s="1442"/>
      <c r="J402" s="1442"/>
      <c r="K402" s="771" t="s">
        <v>2457</v>
      </c>
      <c r="L402" s="1211"/>
      <c r="M402" s="1211"/>
      <c r="N402" s="1211"/>
      <c r="O402" s="1206">
        <f t="shared" si="69"/>
        <v>0</v>
      </c>
      <c r="P402" s="1211"/>
      <c r="Q402" s="1211"/>
      <c r="R402" s="1211"/>
      <c r="S402" s="1211"/>
      <c r="T402" s="1211"/>
      <c r="U402" s="1211"/>
      <c r="V402" s="1211"/>
      <c r="W402" s="780" t="e">
        <f t="shared" si="68"/>
        <v>#DIV/0!</v>
      </c>
      <c r="X402" s="788"/>
      <c r="Y402" s="788"/>
    </row>
    <row r="403" spans="1:25" ht="22.5" customHeight="1" thickTop="1" thickBot="1" x14ac:dyDescent="0.3">
      <c r="A403" s="1441">
        <v>1</v>
      </c>
      <c r="B403" s="1442" t="s">
        <v>1381</v>
      </c>
      <c r="C403" s="1442" t="s">
        <v>1394</v>
      </c>
      <c r="D403" s="1442" t="s">
        <v>1394</v>
      </c>
      <c r="E403" s="1442" t="s">
        <v>1381</v>
      </c>
      <c r="F403" s="1442" t="s">
        <v>1447</v>
      </c>
      <c r="G403" s="1440"/>
      <c r="H403" s="1442"/>
      <c r="I403" s="1442"/>
      <c r="J403" s="1442"/>
      <c r="K403" s="771" t="s">
        <v>2458</v>
      </c>
      <c r="L403" s="1211"/>
      <c r="M403" s="1211"/>
      <c r="N403" s="1211"/>
      <c r="O403" s="1206">
        <f t="shared" si="69"/>
        <v>0</v>
      </c>
      <c r="P403" s="1211"/>
      <c r="Q403" s="1211"/>
      <c r="R403" s="1211"/>
      <c r="S403" s="1211"/>
      <c r="T403" s="1211"/>
      <c r="U403" s="1211"/>
      <c r="V403" s="1211"/>
      <c r="W403" s="780" t="e">
        <f t="shared" si="68"/>
        <v>#DIV/0!</v>
      </c>
      <c r="X403" s="788"/>
      <c r="Y403" s="788"/>
    </row>
    <row r="404" spans="1:25" ht="22.5" customHeight="1" thickTop="1" thickBot="1" x14ac:dyDescent="0.3">
      <c r="A404" s="1441">
        <v>1</v>
      </c>
      <c r="B404" s="1442" t="s">
        <v>1381</v>
      </c>
      <c r="C404" s="1442" t="s">
        <v>1394</v>
      </c>
      <c r="D404" s="1442" t="s">
        <v>1394</v>
      </c>
      <c r="E404" s="1442" t="s">
        <v>1381</v>
      </c>
      <c r="F404" s="1442" t="s">
        <v>1470</v>
      </c>
      <c r="G404" s="1440"/>
      <c r="H404" s="1442"/>
      <c r="I404" s="1442"/>
      <c r="J404" s="1442"/>
      <c r="K404" s="771" t="s">
        <v>2459</v>
      </c>
      <c r="L404" s="1211"/>
      <c r="M404" s="1211"/>
      <c r="N404" s="1211"/>
      <c r="O404" s="1206">
        <f t="shared" si="69"/>
        <v>0</v>
      </c>
      <c r="P404" s="1211"/>
      <c r="Q404" s="1211"/>
      <c r="R404" s="1211"/>
      <c r="S404" s="1211"/>
      <c r="T404" s="1211"/>
      <c r="U404" s="1211"/>
      <c r="V404" s="1211"/>
      <c r="W404" s="780" t="e">
        <f t="shared" si="68"/>
        <v>#DIV/0!</v>
      </c>
      <c r="X404" s="788"/>
      <c r="Y404" s="788"/>
    </row>
    <row r="405" spans="1:25" ht="22.5" customHeight="1" thickTop="1" thickBot="1" x14ac:dyDescent="0.3">
      <c r="A405" s="1441">
        <v>1</v>
      </c>
      <c r="B405" s="1442" t="s">
        <v>1381</v>
      </c>
      <c r="C405" s="1442" t="s">
        <v>1394</v>
      </c>
      <c r="D405" s="1442" t="s">
        <v>1394</v>
      </c>
      <c r="E405" s="1442" t="s">
        <v>1381</v>
      </c>
      <c r="F405" s="1442" t="s">
        <v>1474</v>
      </c>
      <c r="G405" s="1440"/>
      <c r="H405" s="1442"/>
      <c r="I405" s="1442"/>
      <c r="J405" s="1442"/>
      <c r="K405" s="771" t="s">
        <v>2460</v>
      </c>
      <c r="L405" s="1211"/>
      <c r="M405" s="1211"/>
      <c r="N405" s="1211"/>
      <c r="O405" s="1206">
        <f t="shared" si="69"/>
        <v>0</v>
      </c>
      <c r="P405" s="1211"/>
      <c r="Q405" s="1211"/>
      <c r="R405" s="1211"/>
      <c r="S405" s="1211"/>
      <c r="T405" s="1211"/>
      <c r="U405" s="1211"/>
      <c r="V405" s="1211"/>
      <c r="W405" s="780" t="e">
        <f t="shared" si="68"/>
        <v>#DIV/0!</v>
      </c>
      <c r="X405" s="788"/>
      <c r="Y405" s="788"/>
    </row>
    <row r="406" spans="1:25" ht="22.5" customHeight="1" thickTop="1" thickBot="1" x14ac:dyDescent="0.3">
      <c r="A406" s="1441">
        <v>1</v>
      </c>
      <c r="B406" s="1442" t="s">
        <v>1381</v>
      </c>
      <c r="C406" s="1442" t="s">
        <v>1394</v>
      </c>
      <c r="D406" s="1442" t="s">
        <v>1394</v>
      </c>
      <c r="E406" s="1442" t="s">
        <v>1381</v>
      </c>
      <c r="F406" s="1442" t="s">
        <v>1478</v>
      </c>
      <c r="G406" s="1440"/>
      <c r="H406" s="1442"/>
      <c r="I406" s="1442"/>
      <c r="J406" s="1442"/>
      <c r="K406" s="771" t="s">
        <v>2461</v>
      </c>
      <c r="L406" s="1211"/>
      <c r="M406" s="1211"/>
      <c r="N406" s="1211"/>
      <c r="O406" s="1206">
        <f t="shared" si="69"/>
        <v>0</v>
      </c>
      <c r="P406" s="1211"/>
      <c r="Q406" s="1211"/>
      <c r="R406" s="1211"/>
      <c r="S406" s="1211"/>
      <c r="T406" s="1211"/>
      <c r="U406" s="1211"/>
      <c r="V406" s="1211"/>
      <c r="W406" s="780" t="e">
        <f t="shared" si="68"/>
        <v>#DIV/0!</v>
      </c>
      <c r="X406" s="788"/>
      <c r="Y406" s="788"/>
    </row>
    <row r="407" spans="1:25" ht="22.5" customHeight="1" thickTop="1" thickBot="1" x14ac:dyDescent="0.3">
      <c r="A407" s="1441">
        <v>1</v>
      </c>
      <c r="B407" s="1442" t="s">
        <v>1381</v>
      </c>
      <c r="C407" s="1442" t="s">
        <v>1394</v>
      </c>
      <c r="D407" s="1442" t="s">
        <v>1394</v>
      </c>
      <c r="E407" s="1442" t="s">
        <v>1381</v>
      </c>
      <c r="F407" s="1442" t="s">
        <v>1576</v>
      </c>
      <c r="G407" s="1440"/>
      <c r="H407" s="1442"/>
      <c r="I407" s="1442"/>
      <c r="J407" s="1442"/>
      <c r="K407" s="771" t="s">
        <v>2462</v>
      </c>
      <c r="L407" s="1211"/>
      <c r="M407" s="1211"/>
      <c r="N407" s="1211"/>
      <c r="O407" s="1206">
        <f t="shared" si="69"/>
        <v>0</v>
      </c>
      <c r="P407" s="1211"/>
      <c r="Q407" s="1211"/>
      <c r="R407" s="1211"/>
      <c r="S407" s="1211"/>
      <c r="T407" s="1211"/>
      <c r="U407" s="1211"/>
      <c r="V407" s="1211"/>
      <c r="W407" s="780" t="e">
        <f t="shared" si="68"/>
        <v>#DIV/0!</v>
      </c>
      <c r="X407" s="788"/>
      <c r="Y407" s="788"/>
    </row>
    <row r="408" spans="1:25" ht="22.5" customHeight="1" thickTop="1" thickBot="1" x14ac:dyDescent="0.3">
      <c r="A408" s="1441">
        <v>1</v>
      </c>
      <c r="B408" s="1442" t="s">
        <v>1381</v>
      </c>
      <c r="C408" s="1442" t="s">
        <v>1394</v>
      </c>
      <c r="D408" s="1442" t="s">
        <v>1394</v>
      </c>
      <c r="E408" s="1442" t="s">
        <v>1381</v>
      </c>
      <c r="F408" s="1442" t="s">
        <v>1577</v>
      </c>
      <c r="G408" s="1440"/>
      <c r="H408" s="1442"/>
      <c r="I408" s="1442"/>
      <c r="J408" s="1442"/>
      <c r="K408" s="771" t="s">
        <v>2463</v>
      </c>
      <c r="L408" s="1211"/>
      <c r="M408" s="1211"/>
      <c r="N408" s="1211"/>
      <c r="O408" s="1206">
        <f t="shared" si="69"/>
        <v>0</v>
      </c>
      <c r="P408" s="1211"/>
      <c r="Q408" s="1211"/>
      <c r="R408" s="1211"/>
      <c r="S408" s="1211"/>
      <c r="T408" s="1211"/>
      <c r="U408" s="1211"/>
      <c r="V408" s="1211"/>
      <c r="W408" s="780" t="e">
        <f t="shared" si="68"/>
        <v>#DIV/0!</v>
      </c>
      <c r="X408" s="788"/>
      <c r="Y408" s="788"/>
    </row>
    <row r="409" spans="1:25" ht="22.5" customHeight="1" thickTop="1" thickBot="1" x14ac:dyDescent="0.3">
      <c r="A409" s="1441">
        <v>1</v>
      </c>
      <c r="B409" s="1442" t="s">
        <v>1381</v>
      </c>
      <c r="C409" s="1442" t="s">
        <v>1394</v>
      </c>
      <c r="D409" s="1442" t="s">
        <v>1394</v>
      </c>
      <c r="E409" s="1442" t="s">
        <v>1381</v>
      </c>
      <c r="F409" s="1442" t="s">
        <v>1578</v>
      </c>
      <c r="G409" s="1440"/>
      <c r="H409" s="1442"/>
      <c r="I409" s="1442"/>
      <c r="J409" s="1442"/>
      <c r="K409" s="771" t="s">
        <v>2464</v>
      </c>
      <c r="L409" s="1211"/>
      <c r="M409" s="1211"/>
      <c r="N409" s="1211"/>
      <c r="O409" s="1206">
        <f t="shared" si="69"/>
        <v>0</v>
      </c>
      <c r="P409" s="1211"/>
      <c r="Q409" s="1211"/>
      <c r="R409" s="1211"/>
      <c r="S409" s="1211"/>
      <c r="T409" s="1211"/>
      <c r="U409" s="1211"/>
      <c r="V409" s="1211"/>
      <c r="W409" s="780" t="e">
        <f t="shared" si="68"/>
        <v>#DIV/0!</v>
      </c>
      <c r="X409" s="788"/>
      <c r="Y409" s="788"/>
    </row>
    <row r="410" spans="1:25" s="183" customFormat="1" ht="22.5" customHeight="1" thickTop="1" thickBot="1" x14ac:dyDescent="0.3">
      <c r="A410" s="1439">
        <v>1</v>
      </c>
      <c r="B410" s="1440" t="s">
        <v>1381</v>
      </c>
      <c r="C410" s="1440" t="s">
        <v>1394</v>
      </c>
      <c r="D410" s="1440" t="s">
        <v>1394</v>
      </c>
      <c r="E410" s="1440" t="s">
        <v>1394</v>
      </c>
      <c r="F410" s="1440"/>
      <c r="G410" s="1440"/>
      <c r="H410" s="1440"/>
      <c r="I410" s="1440"/>
      <c r="J410" s="1440"/>
      <c r="K410" s="770" t="s">
        <v>2025</v>
      </c>
      <c r="L410" s="1206">
        <f>SUM(L411:L421)</f>
        <v>0</v>
      </c>
      <c r="M410" s="1206">
        <f t="shared" ref="M410:V410" si="72">SUM(M411:M421)</f>
        <v>0</v>
      </c>
      <c r="N410" s="1206">
        <f t="shared" si="72"/>
        <v>0</v>
      </c>
      <c r="O410" s="1206">
        <f t="shared" si="69"/>
        <v>0</v>
      </c>
      <c r="P410" s="1206">
        <f t="shared" si="72"/>
        <v>0</v>
      </c>
      <c r="Q410" s="1206">
        <f t="shared" si="72"/>
        <v>0</v>
      </c>
      <c r="R410" s="1206">
        <f t="shared" si="72"/>
        <v>0</v>
      </c>
      <c r="S410" s="1206"/>
      <c r="T410" s="1206">
        <f t="shared" si="72"/>
        <v>0</v>
      </c>
      <c r="U410" s="1206">
        <f t="shared" si="72"/>
        <v>0</v>
      </c>
      <c r="V410" s="1206">
        <f t="shared" si="72"/>
        <v>0</v>
      </c>
      <c r="W410" s="779" t="e">
        <f t="shared" si="68"/>
        <v>#DIV/0!</v>
      </c>
      <c r="X410" s="788" t="s">
        <v>2029</v>
      </c>
      <c r="Y410" s="788"/>
    </row>
    <row r="411" spans="1:25" ht="22.5" customHeight="1" thickTop="1" thickBot="1" x14ac:dyDescent="0.3">
      <c r="A411" s="1441">
        <v>1</v>
      </c>
      <c r="B411" s="1442" t="s">
        <v>1381</v>
      </c>
      <c r="C411" s="1442" t="s">
        <v>1394</v>
      </c>
      <c r="D411" s="1442" t="s">
        <v>1394</v>
      </c>
      <c r="E411" s="1442" t="s">
        <v>1394</v>
      </c>
      <c r="F411" s="1442" t="s">
        <v>1381</v>
      </c>
      <c r="G411" s="1440"/>
      <c r="H411" s="1442"/>
      <c r="I411" s="1442"/>
      <c r="J411" s="1442"/>
      <c r="K411" s="771" t="s">
        <v>2465</v>
      </c>
      <c r="L411" s="1211"/>
      <c r="M411" s="1211"/>
      <c r="N411" s="1211"/>
      <c r="O411" s="1206">
        <f t="shared" si="69"/>
        <v>0</v>
      </c>
      <c r="P411" s="1211"/>
      <c r="Q411" s="1211"/>
      <c r="R411" s="1211"/>
      <c r="S411" s="1211"/>
      <c r="T411" s="1211"/>
      <c r="U411" s="1211"/>
      <c r="V411" s="1211"/>
      <c r="W411" s="780" t="e">
        <f t="shared" si="68"/>
        <v>#DIV/0!</v>
      </c>
      <c r="X411" s="788"/>
      <c r="Y411" s="788"/>
    </row>
    <row r="412" spans="1:25" ht="22.5" customHeight="1" thickTop="1" thickBot="1" x14ac:dyDescent="0.3">
      <c r="A412" s="1441">
        <v>1</v>
      </c>
      <c r="B412" s="1442" t="s">
        <v>1381</v>
      </c>
      <c r="C412" s="1442" t="s">
        <v>1394</v>
      </c>
      <c r="D412" s="1442" t="s">
        <v>1394</v>
      </c>
      <c r="E412" s="1442" t="s">
        <v>1394</v>
      </c>
      <c r="F412" s="1442" t="s">
        <v>1394</v>
      </c>
      <c r="G412" s="1440"/>
      <c r="H412" s="1442"/>
      <c r="I412" s="1442"/>
      <c r="J412" s="1442"/>
      <c r="K412" s="771" t="s">
        <v>2466</v>
      </c>
      <c r="L412" s="1211"/>
      <c r="M412" s="1211"/>
      <c r="N412" s="1211"/>
      <c r="O412" s="1206">
        <f t="shared" si="69"/>
        <v>0</v>
      </c>
      <c r="P412" s="1211"/>
      <c r="Q412" s="1211"/>
      <c r="R412" s="1211"/>
      <c r="S412" s="1211"/>
      <c r="T412" s="1211"/>
      <c r="U412" s="1211"/>
      <c r="V412" s="1211"/>
      <c r="W412" s="780" t="e">
        <f t="shared" si="68"/>
        <v>#DIV/0!</v>
      </c>
      <c r="X412" s="788"/>
      <c r="Y412" s="788"/>
    </row>
    <row r="413" spans="1:25" ht="22.5" customHeight="1" thickTop="1" thickBot="1" x14ac:dyDescent="0.3">
      <c r="A413" s="1441">
        <v>1</v>
      </c>
      <c r="B413" s="1442" t="s">
        <v>1381</v>
      </c>
      <c r="C413" s="1442" t="s">
        <v>1394</v>
      </c>
      <c r="D413" s="1442" t="s">
        <v>1394</v>
      </c>
      <c r="E413" s="1442" t="s">
        <v>1394</v>
      </c>
      <c r="F413" s="1442" t="s">
        <v>1418</v>
      </c>
      <c r="G413" s="1440"/>
      <c r="H413" s="1442"/>
      <c r="I413" s="1442"/>
      <c r="J413" s="1442"/>
      <c r="K413" s="771" t="s">
        <v>2467</v>
      </c>
      <c r="L413" s="1211"/>
      <c r="M413" s="1211"/>
      <c r="N413" s="1211"/>
      <c r="O413" s="1206">
        <f t="shared" si="69"/>
        <v>0</v>
      </c>
      <c r="P413" s="1211"/>
      <c r="Q413" s="1211"/>
      <c r="R413" s="1211"/>
      <c r="S413" s="1211"/>
      <c r="T413" s="1211"/>
      <c r="U413" s="1211"/>
      <c r="V413" s="1211"/>
      <c r="W413" s="780" t="e">
        <f t="shared" si="68"/>
        <v>#DIV/0!</v>
      </c>
      <c r="X413" s="788"/>
      <c r="Y413" s="788"/>
    </row>
    <row r="414" spans="1:25" ht="22.5" customHeight="1" thickTop="1" thickBot="1" x14ac:dyDescent="0.3">
      <c r="A414" s="1441">
        <v>1</v>
      </c>
      <c r="B414" s="1442" t="s">
        <v>1381</v>
      </c>
      <c r="C414" s="1442" t="s">
        <v>1394</v>
      </c>
      <c r="D414" s="1442" t="s">
        <v>1394</v>
      </c>
      <c r="E414" s="1442" t="s">
        <v>1394</v>
      </c>
      <c r="F414" s="1442" t="s">
        <v>1422</v>
      </c>
      <c r="G414" s="1440"/>
      <c r="H414" s="1442"/>
      <c r="I414" s="1442"/>
      <c r="J414" s="1442"/>
      <c r="K414" s="771" t="s">
        <v>2468</v>
      </c>
      <c r="L414" s="1211"/>
      <c r="M414" s="1211"/>
      <c r="N414" s="1211"/>
      <c r="O414" s="1206">
        <f t="shared" si="69"/>
        <v>0</v>
      </c>
      <c r="P414" s="1211"/>
      <c r="Q414" s="1211"/>
      <c r="R414" s="1211"/>
      <c r="S414" s="1211"/>
      <c r="T414" s="1211"/>
      <c r="U414" s="1211"/>
      <c r="V414" s="1211"/>
      <c r="W414" s="780" t="e">
        <f t="shared" si="68"/>
        <v>#DIV/0!</v>
      </c>
      <c r="X414" s="788"/>
      <c r="Y414" s="788"/>
    </row>
    <row r="415" spans="1:25" ht="22.5" customHeight="1" thickTop="1" thickBot="1" x14ac:dyDescent="0.3">
      <c r="A415" s="1441">
        <v>1</v>
      </c>
      <c r="B415" s="1442" t="s">
        <v>1381</v>
      </c>
      <c r="C415" s="1442" t="s">
        <v>1394</v>
      </c>
      <c r="D415" s="1442" t="s">
        <v>1394</v>
      </c>
      <c r="E415" s="1442" t="s">
        <v>1394</v>
      </c>
      <c r="F415" s="1442" t="s">
        <v>1447</v>
      </c>
      <c r="G415" s="1440"/>
      <c r="H415" s="1442"/>
      <c r="I415" s="1442"/>
      <c r="J415" s="1442"/>
      <c r="K415" s="771" t="s">
        <v>2469</v>
      </c>
      <c r="L415" s="1211"/>
      <c r="M415" s="1211"/>
      <c r="N415" s="1211"/>
      <c r="O415" s="1206">
        <f t="shared" si="69"/>
        <v>0</v>
      </c>
      <c r="P415" s="1211"/>
      <c r="Q415" s="1211"/>
      <c r="R415" s="1211"/>
      <c r="S415" s="1211"/>
      <c r="T415" s="1211"/>
      <c r="U415" s="1211"/>
      <c r="V415" s="1211"/>
      <c r="W415" s="780" t="e">
        <f t="shared" si="68"/>
        <v>#DIV/0!</v>
      </c>
      <c r="X415" s="788"/>
      <c r="Y415" s="788"/>
    </row>
    <row r="416" spans="1:25" ht="22.5" customHeight="1" thickTop="1" thickBot="1" x14ac:dyDescent="0.3">
      <c r="A416" s="1441">
        <v>1</v>
      </c>
      <c r="B416" s="1442" t="s">
        <v>1381</v>
      </c>
      <c r="C416" s="1442" t="s">
        <v>1394</v>
      </c>
      <c r="D416" s="1442" t="s">
        <v>1394</v>
      </c>
      <c r="E416" s="1442" t="s">
        <v>1394</v>
      </c>
      <c r="F416" s="1442" t="s">
        <v>1470</v>
      </c>
      <c r="G416" s="1440"/>
      <c r="H416" s="1442"/>
      <c r="I416" s="1442"/>
      <c r="J416" s="1442"/>
      <c r="K416" s="771" t="s">
        <v>2470</v>
      </c>
      <c r="L416" s="1211"/>
      <c r="M416" s="1211"/>
      <c r="N416" s="1211"/>
      <c r="O416" s="1206">
        <f t="shared" si="69"/>
        <v>0</v>
      </c>
      <c r="P416" s="1211"/>
      <c r="Q416" s="1211"/>
      <c r="R416" s="1211"/>
      <c r="S416" s="1211"/>
      <c r="T416" s="1211"/>
      <c r="U416" s="1211"/>
      <c r="V416" s="1211"/>
      <c r="W416" s="780" t="e">
        <f t="shared" si="68"/>
        <v>#DIV/0!</v>
      </c>
      <c r="X416" s="788"/>
      <c r="Y416" s="788"/>
    </row>
    <row r="417" spans="1:25" ht="22.5" customHeight="1" thickTop="1" thickBot="1" x14ac:dyDescent="0.3">
      <c r="A417" s="1441">
        <v>1</v>
      </c>
      <c r="B417" s="1442" t="s">
        <v>1381</v>
      </c>
      <c r="C417" s="1442" t="s">
        <v>1394</v>
      </c>
      <c r="D417" s="1442" t="s">
        <v>1394</v>
      </c>
      <c r="E417" s="1442" t="s">
        <v>1394</v>
      </c>
      <c r="F417" s="1442" t="s">
        <v>1474</v>
      </c>
      <c r="G417" s="1440"/>
      <c r="H417" s="1442"/>
      <c r="I417" s="1442"/>
      <c r="J417" s="1442"/>
      <c r="K417" s="771" t="s">
        <v>2471</v>
      </c>
      <c r="L417" s="1211"/>
      <c r="M417" s="1211"/>
      <c r="N417" s="1211"/>
      <c r="O417" s="1206">
        <f t="shared" si="69"/>
        <v>0</v>
      </c>
      <c r="P417" s="1211"/>
      <c r="Q417" s="1211"/>
      <c r="R417" s="1211"/>
      <c r="S417" s="1211"/>
      <c r="T417" s="1211"/>
      <c r="U417" s="1211"/>
      <c r="V417" s="1211"/>
      <c r="W417" s="780" t="e">
        <f t="shared" si="68"/>
        <v>#DIV/0!</v>
      </c>
      <c r="X417" s="788"/>
      <c r="Y417" s="788"/>
    </row>
    <row r="418" spans="1:25" ht="22.5" customHeight="1" thickTop="1" thickBot="1" x14ac:dyDescent="0.3">
      <c r="A418" s="1441">
        <v>1</v>
      </c>
      <c r="B418" s="1442" t="s">
        <v>1381</v>
      </c>
      <c r="C418" s="1442" t="s">
        <v>1394</v>
      </c>
      <c r="D418" s="1442" t="s">
        <v>1394</v>
      </c>
      <c r="E418" s="1442" t="s">
        <v>1394</v>
      </c>
      <c r="F418" s="1442" t="s">
        <v>1478</v>
      </c>
      <c r="G418" s="1440"/>
      <c r="H418" s="1442"/>
      <c r="I418" s="1442"/>
      <c r="J418" s="1442"/>
      <c r="K418" s="771" t="s">
        <v>2472</v>
      </c>
      <c r="L418" s="1211"/>
      <c r="M418" s="1211"/>
      <c r="N418" s="1211"/>
      <c r="O418" s="1206">
        <f t="shared" si="69"/>
        <v>0</v>
      </c>
      <c r="P418" s="1211"/>
      <c r="Q418" s="1211"/>
      <c r="R418" s="1211"/>
      <c r="S418" s="1211"/>
      <c r="T418" s="1211"/>
      <c r="U418" s="1211"/>
      <c r="V418" s="1211"/>
      <c r="W418" s="780" t="e">
        <f t="shared" si="68"/>
        <v>#DIV/0!</v>
      </c>
      <c r="X418" s="788"/>
      <c r="Y418" s="788"/>
    </row>
    <row r="419" spans="1:25" ht="22.5" customHeight="1" thickTop="1" thickBot="1" x14ac:dyDescent="0.3">
      <c r="A419" s="1441">
        <v>1</v>
      </c>
      <c r="B419" s="1442" t="s">
        <v>1381</v>
      </c>
      <c r="C419" s="1442" t="s">
        <v>1394</v>
      </c>
      <c r="D419" s="1442" t="s">
        <v>1394</v>
      </c>
      <c r="E419" s="1442" t="s">
        <v>1394</v>
      </c>
      <c r="F419" s="1442" t="s">
        <v>1576</v>
      </c>
      <c r="G419" s="1440"/>
      <c r="H419" s="1442"/>
      <c r="I419" s="1442"/>
      <c r="J419" s="1442"/>
      <c r="K419" s="771" t="s">
        <v>2473</v>
      </c>
      <c r="L419" s="1211"/>
      <c r="M419" s="1211"/>
      <c r="N419" s="1211"/>
      <c r="O419" s="1206">
        <f t="shared" si="69"/>
        <v>0</v>
      </c>
      <c r="P419" s="1211"/>
      <c r="Q419" s="1211"/>
      <c r="R419" s="1211"/>
      <c r="S419" s="1211"/>
      <c r="T419" s="1211"/>
      <c r="U419" s="1211"/>
      <c r="V419" s="1211"/>
      <c r="W419" s="780" t="e">
        <f t="shared" si="68"/>
        <v>#DIV/0!</v>
      </c>
      <c r="X419" s="788"/>
      <c r="Y419" s="788"/>
    </row>
    <row r="420" spans="1:25" ht="22.5" customHeight="1" thickTop="1" thickBot="1" x14ac:dyDescent="0.3">
      <c r="A420" s="1441">
        <v>1</v>
      </c>
      <c r="B420" s="1442" t="s">
        <v>1381</v>
      </c>
      <c r="C420" s="1442" t="s">
        <v>1394</v>
      </c>
      <c r="D420" s="1442" t="s">
        <v>1394</v>
      </c>
      <c r="E420" s="1442" t="s">
        <v>1394</v>
      </c>
      <c r="F420" s="1442" t="s">
        <v>1577</v>
      </c>
      <c r="G420" s="1440"/>
      <c r="H420" s="1442"/>
      <c r="I420" s="1442"/>
      <c r="J420" s="1442"/>
      <c r="K420" s="771" t="s">
        <v>2474</v>
      </c>
      <c r="L420" s="1211"/>
      <c r="M420" s="1211"/>
      <c r="N420" s="1211"/>
      <c r="O420" s="1206">
        <f t="shared" si="69"/>
        <v>0</v>
      </c>
      <c r="P420" s="1211"/>
      <c r="Q420" s="1211"/>
      <c r="R420" s="1211"/>
      <c r="S420" s="1211"/>
      <c r="T420" s="1211"/>
      <c r="U420" s="1211"/>
      <c r="V420" s="1211"/>
      <c r="W420" s="780" t="e">
        <f t="shared" si="68"/>
        <v>#DIV/0!</v>
      </c>
      <c r="X420" s="788"/>
      <c r="Y420" s="788"/>
    </row>
    <row r="421" spans="1:25" ht="22.5" customHeight="1" thickTop="1" thickBot="1" x14ac:dyDescent="0.3">
      <c r="A421" s="1441">
        <v>1</v>
      </c>
      <c r="B421" s="1442" t="s">
        <v>1381</v>
      </c>
      <c r="C421" s="1442" t="s">
        <v>1394</v>
      </c>
      <c r="D421" s="1442" t="s">
        <v>1394</v>
      </c>
      <c r="E421" s="1442" t="s">
        <v>1394</v>
      </c>
      <c r="F421" s="1442" t="s">
        <v>1578</v>
      </c>
      <c r="G421" s="1440"/>
      <c r="H421" s="1442"/>
      <c r="I421" s="1442"/>
      <c r="J421" s="1442"/>
      <c r="K421" s="771" t="s">
        <v>2475</v>
      </c>
      <c r="L421" s="1211"/>
      <c r="M421" s="1211"/>
      <c r="N421" s="1211"/>
      <c r="O421" s="1206">
        <f t="shared" si="69"/>
        <v>0</v>
      </c>
      <c r="P421" s="1211"/>
      <c r="Q421" s="1211"/>
      <c r="R421" s="1211"/>
      <c r="S421" s="1211"/>
      <c r="T421" s="1211"/>
      <c r="U421" s="1211"/>
      <c r="V421" s="1211"/>
      <c r="W421" s="780" t="e">
        <f t="shared" si="68"/>
        <v>#DIV/0!</v>
      </c>
      <c r="X421" s="788"/>
      <c r="Y421" s="788"/>
    </row>
    <row r="422" spans="1:25" s="183" customFormat="1" ht="22.5" customHeight="1" thickTop="1" thickBot="1" x14ac:dyDescent="0.3">
      <c r="A422" s="1433">
        <v>1</v>
      </c>
      <c r="B422" s="1434" t="s">
        <v>1381</v>
      </c>
      <c r="C422" s="1434" t="s">
        <v>1394</v>
      </c>
      <c r="D422" s="1434" t="s">
        <v>1418</v>
      </c>
      <c r="E422" s="1434"/>
      <c r="F422" s="1434"/>
      <c r="G422" s="1434"/>
      <c r="H422" s="1434"/>
      <c r="I422" s="1434"/>
      <c r="J422" s="1434"/>
      <c r="K422" s="1435" t="s">
        <v>1580</v>
      </c>
      <c r="L422" s="1207">
        <f>+L423</f>
        <v>0</v>
      </c>
      <c r="M422" s="1207">
        <f t="shared" ref="M422:V422" si="73">+M423</f>
        <v>0</v>
      </c>
      <c r="N422" s="1207">
        <f t="shared" si="73"/>
        <v>0</v>
      </c>
      <c r="O422" s="1206">
        <f t="shared" si="69"/>
        <v>0</v>
      </c>
      <c r="P422" s="1207">
        <f t="shared" si="73"/>
        <v>0</v>
      </c>
      <c r="Q422" s="1207">
        <f t="shared" si="73"/>
        <v>0</v>
      </c>
      <c r="R422" s="1207">
        <f t="shared" si="73"/>
        <v>0</v>
      </c>
      <c r="S422" s="1207"/>
      <c r="T422" s="1207">
        <f t="shared" si="73"/>
        <v>0</v>
      </c>
      <c r="U422" s="1207">
        <f t="shared" si="73"/>
        <v>0</v>
      </c>
      <c r="V422" s="1207">
        <f t="shared" si="73"/>
        <v>0</v>
      </c>
      <c r="W422" s="610" t="e">
        <f t="shared" si="68"/>
        <v>#DIV/0!</v>
      </c>
      <c r="X422" s="788" t="s">
        <v>1581</v>
      </c>
      <c r="Y422" s="788"/>
    </row>
    <row r="423" spans="1:25" s="183" customFormat="1" ht="22.5" customHeight="1" thickTop="1" thickBot="1" x14ac:dyDescent="0.3">
      <c r="A423" s="1437" t="s">
        <v>1377</v>
      </c>
      <c r="B423" s="1437" t="s">
        <v>1381</v>
      </c>
      <c r="C423" s="1437" t="s">
        <v>1394</v>
      </c>
      <c r="D423" s="1437" t="s">
        <v>1418</v>
      </c>
      <c r="E423" s="1437" t="s">
        <v>1381</v>
      </c>
      <c r="F423" s="1437"/>
      <c r="G423" s="1437"/>
      <c r="H423" s="1437"/>
      <c r="I423" s="1437"/>
      <c r="J423" s="1437"/>
      <c r="K423" s="1438" t="s">
        <v>1582</v>
      </c>
      <c r="L423" s="1209">
        <f>+L424+L436+L448+L460+L472</f>
        <v>0</v>
      </c>
      <c r="M423" s="1209">
        <f t="shared" ref="M423:V423" si="74">+M424+M436+M448+M460+M472</f>
        <v>0</v>
      </c>
      <c r="N423" s="1209">
        <f t="shared" si="74"/>
        <v>0</v>
      </c>
      <c r="O423" s="1206">
        <f t="shared" si="69"/>
        <v>0</v>
      </c>
      <c r="P423" s="1209">
        <f t="shared" si="74"/>
        <v>0</v>
      </c>
      <c r="Q423" s="1209">
        <f t="shared" si="74"/>
        <v>0</v>
      </c>
      <c r="R423" s="1209">
        <f t="shared" si="74"/>
        <v>0</v>
      </c>
      <c r="S423" s="1209"/>
      <c r="T423" s="1209">
        <f t="shared" si="74"/>
        <v>0</v>
      </c>
      <c r="U423" s="1209">
        <f t="shared" si="74"/>
        <v>0</v>
      </c>
      <c r="V423" s="1209">
        <f t="shared" si="74"/>
        <v>0</v>
      </c>
      <c r="W423" s="777" t="e">
        <f t="shared" si="68"/>
        <v>#DIV/0!</v>
      </c>
      <c r="X423" s="788" t="s">
        <v>2039</v>
      </c>
      <c r="Y423" s="788" t="s">
        <v>2040</v>
      </c>
    </row>
    <row r="424" spans="1:25" s="183" customFormat="1" ht="22.5" customHeight="1" thickTop="1" thickBot="1" x14ac:dyDescent="0.3">
      <c r="A424" s="1439">
        <v>1</v>
      </c>
      <c r="B424" s="1440" t="s">
        <v>1381</v>
      </c>
      <c r="C424" s="1440" t="s">
        <v>1394</v>
      </c>
      <c r="D424" s="1440" t="s">
        <v>1418</v>
      </c>
      <c r="E424" s="1440" t="s">
        <v>1381</v>
      </c>
      <c r="F424" s="1440" t="s">
        <v>1381</v>
      </c>
      <c r="G424" s="1440"/>
      <c r="H424" s="1440"/>
      <c r="I424" s="1440"/>
      <c r="J424" s="1440"/>
      <c r="K424" s="770" t="s">
        <v>1585</v>
      </c>
      <c r="L424" s="1215">
        <f>SUM(L425:L435)</f>
        <v>0</v>
      </c>
      <c r="M424" s="1215">
        <f t="shared" ref="M424:V424" si="75">SUM(M425:M435)</f>
        <v>0</v>
      </c>
      <c r="N424" s="1215">
        <f t="shared" si="75"/>
        <v>0</v>
      </c>
      <c r="O424" s="1206">
        <f t="shared" si="69"/>
        <v>0</v>
      </c>
      <c r="P424" s="1215">
        <f t="shared" si="75"/>
        <v>0</v>
      </c>
      <c r="Q424" s="1215">
        <f t="shared" si="75"/>
        <v>0</v>
      </c>
      <c r="R424" s="1215">
        <f t="shared" si="75"/>
        <v>0</v>
      </c>
      <c r="S424" s="1215"/>
      <c r="T424" s="1215">
        <f t="shared" si="75"/>
        <v>0</v>
      </c>
      <c r="U424" s="1215">
        <f t="shared" si="75"/>
        <v>0</v>
      </c>
      <c r="V424" s="1215">
        <f t="shared" si="75"/>
        <v>0</v>
      </c>
      <c r="W424" s="631" t="e">
        <f t="shared" si="68"/>
        <v>#DIV/0!</v>
      </c>
      <c r="X424" s="788" t="s">
        <v>1586</v>
      </c>
      <c r="Y424" s="788" t="s">
        <v>1587</v>
      </c>
    </row>
    <row r="425" spans="1:25" s="183" customFormat="1" ht="22.5" customHeight="1" thickTop="1" thickBot="1" x14ac:dyDescent="0.3">
      <c r="A425" s="1441">
        <v>1</v>
      </c>
      <c r="B425" s="1442" t="s">
        <v>1381</v>
      </c>
      <c r="C425" s="1442" t="s">
        <v>1394</v>
      </c>
      <c r="D425" s="1442" t="s">
        <v>1418</v>
      </c>
      <c r="E425" s="1442" t="s">
        <v>1381</v>
      </c>
      <c r="F425" s="1442" t="s">
        <v>1381</v>
      </c>
      <c r="G425" s="1442" t="s">
        <v>1381</v>
      </c>
      <c r="H425" s="1442"/>
      <c r="I425" s="1442"/>
      <c r="J425" s="1442"/>
      <c r="K425" s="771" t="s">
        <v>2476</v>
      </c>
      <c r="L425" s="1215"/>
      <c r="M425" s="1215"/>
      <c r="N425" s="1215"/>
      <c r="O425" s="1206">
        <f t="shared" si="69"/>
        <v>0</v>
      </c>
      <c r="P425" s="1215"/>
      <c r="Q425" s="1215"/>
      <c r="R425" s="1215"/>
      <c r="S425" s="1215"/>
      <c r="T425" s="1215"/>
      <c r="U425" s="1215"/>
      <c r="V425" s="1215"/>
      <c r="W425" s="631" t="e">
        <f t="shared" si="68"/>
        <v>#DIV/0!</v>
      </c>
      <c r="X425" s="788"/>
      <c r="Y425" s="788"/>
    </row>
    <row r="426" spans="1:25" s="183" customFormat="1" ht="22.5" customHeight="1" thickTop="1" thickBot="1" x14ac:dyDescent="0.3">
      <c r="A426" s="1441">
        <v>1</v>
      </c>
      <c r="B426" s="1442" t="s">
        <v>1381</v>
      </c>
      <c r="C426" s="1442" t="s">
        <v>1394</v>
      </c>
      <c r="D426" s="1442" t="s">
        <v>1418</v>
      </c>
      <c r="E426" s="1442" t="s">
        <v>1381</v>
      </c>
      <c r="F426" s="1442" t="s">
        <v>1381</v>
      </c>
      <c r="G426" s="1442" t="s">
        <v>1394</v>
      </c>
      <c r="H426" s="1442"/>
      <c r="I426" s="1442"/>
      <c r="J426" s="1442"/>
      <c r="K426" s="771" t="s">
        <v>2477</v>
      </c>
      <c r="L426" s="1215"/>
      <c r="M426" s="1215"/>
      <c r="N426" s="1215"/>
      <c r="O426" s="1206">
        <f t="shared" si="69"/>
        <v>0</v>
      </c>
      <c r="P426" s="1215"/>
      <c r="Q426" s="1215"/>
      <c r="R426" s="1215"/>
      <c r="S426" s="1215"/>
      <c r="T426" s="1215"/>
      <c r="U426" s="1215"/>
      <c r="V426" s="1215"/>
      <c r="W426" s="631" t="e">
        <f t="shared" si="68"/>
        <v>#DIV/0!</v>
      </c>
      <c r="X426" s="788"/>
      <c r="Y426" s="788"/>
    </row>
    <row r="427" spans="1:25" s="183" customFormat="1" ht="22.5" customHeight="1" thickTop="1" thickBot="1" x14ac:dyDescent="0.3">
      <c r="A427" s="1441">
        <v>1</v>
      </c>
      <c r="B427" s="1442" t="s">
        <v>1381</v>
      </c>
      <c r="C427" s="1442" t="s">
        <v>1394</v>
      </c>
      <c r="D427" s="1442" t="s">
        <v>1418</v>
      </c>
      <c r="E427" s="1442" t="s">
        <v>1381</v>
      </c>
      <c r="F427" s="1442" t="s">
        <v>1381</v>
      </c>
      <c r="G427" s="1442" t="s">
        <v>1418</v>
      </c>
      <c r="H427" s="1442"/>
      <c r="I427" s="1442"/>
      <c r="J427" s="1442"/>
      <c r="K427" s="771" t="s">
        <v>2478</v>
      </c>
      <c r="L427" s="1215"/>
      <c r="M427" s="1215"/>
      <c r="N427" s="1215"/>
      <c r="O427" s="1206">
        <f t="shared" si="69"/>
        <v>0</v>
      </c>
      <c r="P427" s="1215"/>
      <c r="Q427" s="1215"/>
      <c r="R427" s="1215"/>
      <c r="S427" s="1215"/>
      <c r="T427" s="1215"/>
      <c r="U427" s="1215"/>
      <c r="V427" s="1215"/>
      <c r="W427" s="631" t="e">
        <f t="shared" si="68"/>
        <v>#DIV/0!</v>
      </c>
      <c r="X427" s="788"/>
      <c r="Y427" s="788"/>
    </row>
    <row r="428" spans="1:25" s="183" customFormat="1" ht="22.5" customHeight="1" thickTop="1" thickBot="1" x14ac:dyDescent="0.3">
      <c r="A428" s="1441">
        <v>1</v>
      </c>
      <c r="B428" s="1442" t="s">
        <v>1381</v>
      </c>
      <c r="C428" s="1442" t="s">
        <v>1394</v>
      </c>
      <c r="D428" s="1442" t="s">
        <v>1418</v>
      </c>
      <c r="E428" s="1442" t="s">
        <v>1381</v>
      </c>
      <c r="F428" s="1442" t="s">
        <v>1381</v>
      </c>
      <c r="G428" s="1442" t="s">
        <v>1422</v>
      </c>
      <c r="H428" s="1442"/>
      <c r="I428" s="1442"/>
      <c r="J428" s="1442"/>
      <c r="K428" s="771" t="s">
        <v>2479</v>
      </c>
      <c r="L428" s="1215"/>
      <c r="M428" s="1215"/>
      <c r="N428" s="1215"/>
      <c r="O428" s="1206">
        <f t="shared" si="69"/>
        <v>0</v>
      </c>
      <c r="P428" s="1215"/>
      <c r="Q428" s="1215"/>
      <c r="R428" s="1215"/>
      <c r="S428" s="1215"/>
      <c r="T428" s="1215"/>
      <c r="U428" s="1215"/>
      <c r="V428" s="1215"/>
      <c r="W428" s="631" t="e">
        <f t="shared" si="68"/>
        <v>#DIV/0!</v>
      </c>
      <c r="X428" s="788"/>
      <c r="Y428" s="788"/>
    </row>
    <row r="429" spans="1:25" s="183" customFormat="1" ht="22.5" customHeight="1" thickTop="1" thickBot="1" x14ac:dyDescent="0.3">
      <c r="A429" s="1441">
        <v>1</v>
      </c>
      <c r="B429" s="1442" t="s">
        <v>1381</v>
      </c>
      <c r="C429" s="1442" t="s">
        <v>1394</v>
      </c>
      <c r="D429" s="1442" t="s">
        <v>1418</v>
      </c>
      <c r="E429" s="1442" t="s">
        <v>1381</v>
      </c>
      <c r="F429" s="1442" t="s">
        <v>1381</v>
      </c>
      <c r="G429" s="1442" t="s">
        <v>1447</v>
      </c>
      <c r="H429" s="1442"/>
      <c r="I429" s="1442"/>
      <c r="J429" s="1442"/>
      <c r="K429" s="771" t="s">
        <v>2480</v>
      </c>
      <c r="L429" s="1215"/>
      <c r="M429" s="1215"/>
      <c r="N429" s="1215"/>
      <c r="O429" s="1206">
        <f t="shared" si="69"/>
        <v>0</v>
      </c>
      <c r="P429" s="1215"/>
      <c r="Q429" s="1215"/>
      <c r="R429" s="1215"/>
      <c r="S429" s="1215"/>
      <c r="T429" s="1215"/>
      <c r="U429" s="1215"/>
      <c r="V429" s="1215"/>
      <c r="W429" s="631" t="e">
        <f t="shared" si="68"/>
        <v>#DIV/0!</v>
      </c>
      <c r="X429" s="788"/>
      <c r="Y429" s="788"/>
    </row>
    <row r="430" spans="1:25" s="183" customFormat="1" ht="22.5" customHeight="1" thickTop="1" thickBot="1" x14ac:dyDescent="0.3">
      <c r="A430" s="1441">
        <v>1</v>
      </c>
      <c r="B430" s="1442" t="s">
        <v>1381</v>
      </c>
      <c r="C430" s="1442" t="s">
        <v>1394</v>
      </c>
      <c r="D430" s="1442" t="s">
        <v>1418</v>
      </c>
      <c r="E430" s="1442" t="s">
        <v>1381</v>
      </c>
      <c r="F430" s="1442" t="s">
        <v>1381</v>
      </c>
      <c r="G430" s="1442" t="s">
        <v>1470</v>
      </c>
      <c r="H430" s="1442"/>
      <c r="I430" s="1442"/>
      <c r="J430" s="1442"/>
      <c r="K430" s="771" t="s">
        <v>2481</v>
      </c>
      <c r="L430" s="1215"/>
      <c r="M430" s="1215"/>
      <c r="N430" s="1215"/>
      <c r="O430" s="1206">
        <f t="shared" si="69"/>
        <v>0</v>
      </c>
      <c r="P430" s="1215"/>
      <c r="Q430" s="1215"/>
      <c r="R430" s="1215"/>
      <c r="S430" s="1215"/>
      <c r="T430" s="1215"/>
      <c r="U430" s="1215"/>
      <c r="V430" s="1215"/>
      <c r="W430" s="631" t="e">
        <f t="shared" si="68"/>
        <v>#DIV/0!</v>
      </c>
      <c r="X430" s="788"/>
      <c r="Y430" s="788"/>
    </row>
    <row r="431" spans="1:25" s="183" customFormat="1" ht="22.5" customHeight="1" thickTop="1" thickBot="1" x14ac:dyDescent="0.3">
      <c r="A431" s="1441">
        <v>1</v>
      </c>
      <c r="B431" s="1442" t="s">
        <v>1381</v>
      </c>
      <c r="C431" s="1442" t="s">
        <v>1394</v>
      </c>
      <c r="D431" s="1442" t="s">
        <v>1418</v>
      </c>
      <c r="E431" s="1442" t="s">
        <v>1381</v>
      </c>
      <c r="F431" s="1442" t="s">
        <v>1381</v>
      </c>
      <c r="G431" s="1442" t="s">
        <v>1474</v>
      </c>
      <c r="H431" s="1442"/>
      <c r="I431" s="1442"/>
      <c r="J431" s="1442"/>
      <c r="K431" s="771" t="s">
        <v>2482</v>
      </c>
      <c r="L431" s="1215"/>
      <c r="M431" s="1215"/>
      <c r="N431" s="1215"/>
      <c r="O431" s="1206">
        <f t="shared" si="69"/>
        <v>0</v>
      </c>
      <c r="P431" s="1215"/>
      <c r="Q431" s="1215"/>
      <c r="R431" s="1215"/>
      <c r="S431" s="1215"/>
      <c r="T431" s="1215"/>
      <c r="U431" s="1215"/>
      <c r="V431" s="1215"/>
      <c r="W431" s="631" t="e">
        <f t="shared" si="68"/>
        <v>#DIV/0!</v>
      </c>
      <c r="X431" s="788"/>
      <c r="Y431" s="788"/>
    </row>
    <row r="432" spans="1:25" s="183" customFormat="1" ht="22.5" customHeight="1" thickTop="1" thickBot="1" x14ac:dyDescent="0.3">
      <c r="A432" s="1441">
        <v>1</v>
      </c>
      <c r="B432" s="1442" t="s">
        <v>1381</v>
      </c>
      <c r="C432" s="1442" t="s">
        <v>1394</v>
      </c>
      <c r="D432" s="1442" t="s">
        <v>1418</v>
      </c>
      <c r="E432" s="1442" t="s">
        <v>1381</v>
      </c>
      <c r="F432" s="1442" t="s">
        <v>1381</v>
      </c>
      <c r="G432" s="1442" t="s">
        <v>1478</v>
      </c>
      <c r="H432" s="1442"/>
      <c r="I432" s="1442"/>
      <c r="J432" s="1442"/>
      <c r="K432" s="771" t="s">
        <v>2483</v>
      </c>
      <c r="L432" s="1215"/>
      <c r="M432" s="1215"/>
      <c r="N432" s="1215"/>
      <c r="O432" s="1206">
        <f t="shared" si="69"/>
        <v>0</v>
      </c>
      <c r="P432" s="1215"/>
      <c r="Q432" s="1215"/>
      <c r="R432" s="1215"/>
      <c r="S432" s="1215"/>
      <c r="T432" s="1215"/>
      <c r="U432" s="1215"/>
      <c r="V432" s="1215"/>
      <c r="W432" s="631" t="e">
        <f t="shared" si="68"/>
        <v>#DIV/0!</v>
      </c>
      <c r="X432" s="788"/>
      <c r="Y432" s="788"/>
    </row>
    <row r="433" spans="1:25" s="183" customFormat="1" ht="22.5" customHeight="1" thickTop="1" thickBot="1" x14ac:dyDescent="0.3">
      <c r="A433" s="1441">
        <v>1</v>
      </c>
      <c r="B433" s="1442" t="s">
        <v>1381</v>
      </c>
      <c r="C433" s="1442" t="s">
        <v>1394</v>
      </c>
      <c r="D433" s="1442" t="s">
        <v>1418</v>
      </c>
      <c r="E433" s="1442" t="s">
        <v>1381</v>
      </c>
      <c r="F433" s="1442" t="s">
        <v>1381</v>
      </c>
      <c r="G433" s="1442" t="s">
        <v>1576</v>
      </c>
      <c r="H433" s="1442"/>
      <c r="I433" s="1442"/>
      <c r="J433" s="1442"/>
      <c r="K433" s="771" t="s">
        <v>2484</v>
      </c>
      <c r="L433" s="1215"/>
      <c r="M433" s="1215"/>
      <c r="N433" s="1215"/>
      <c r="O433" s="1206">
        <f t="shared" si="69"/>
        <v>0</v>
      </c>
      <c r="P433" s="1215"/>
      <c r="Q433" s="1215"/>
      <c r="R433" s="1215"/>
      <c r="S433" s="1215"/>
      <c r="T433" s="1215"/>
      <c r="U433" s="1215"/>
      <c r="V433" s="1215"/>
      <c r="W433" s="631" t="e">
        <f t="shared" si="68"/>
        <v>#DIV/0!</v>
      </c>
      <c r="X433" s="788"/>
      <c r="Y433" s="788"/>
    </row>
    <row r="434" spans="1:25" s="183" customFormat="1" ht="22.5" customHeight="1" thickTop="1" thickBot="1" x14ac:dyDescent="0.3">
      <c r="A434" s="1441">
        <v>1</v>
      </c>
      <c r="B434" s="1442" t="s">
        <v>1381</v>
      </c>
      <c r="C434" s="1442" t="s">
        <v>1394</v>
      </c>
      <c r="D434" s="1442" t="s">
        <v>1418</v>
      </c>
      <c r="E434" s="1442" t="s">
        <v>1381</v>
      </c>
      <c r="F434" s="1442" t="s">
        <v>1381</v>
      </c>
      <c r="G434" s="1442" t="s">
        <v>1577</v>
      </c>
      <c r="H434" s="1442"/>
      <c r="I434" s="1442"/>
      <c r="J434" s="1442"/>
      <c r="K434" s="771" t="s">
        <v>2485</v>
      </c>
      <c r="L434" s="1215"/>
      <c r="M434" s="1215"/>
      <c r="N434" s="1215"/>
      <c r="O434" s="1206">
        <f t="shared" si="69"/>
        <v>0</v>
      </c>
      <c r="P434" s="1215"/>
      <c r="Q434" s="1215"/>
      <c r="R434" s="1215"/>
      <c r="S434" s="1215"/>
      <c r="T434" s="1215"/>
      <c r="U434" s="1215"/>
      <c r="V434" s="1215"/>
      <c r="W434" s="631" t="e">
        <f t="shared" si="68"/>
        <v>#DIV/0!</v>
      </c>
      <c r="X434" s="788"/>
      <c r="Y434" s="788"/>
    </row>
    <row r="435" spans="1:25" s="183" customFormat="1" ht="22.5" customHeight="1" thickTop="1" thickBot="1" x14ac:dyDescent="0.3">
      <c r="A435" s="1441">
        <v>1</v>
      </c>
      <c r="B435" s="1442" t="s">
        <v>1381</v>
      </c>
      <c r="C435" s="1442" t="s">
        <v>1394</v>
      </c>
      <c r="D435" s="1442" t="s">
        <v>1418</v>
      </c>
      <c r="E435" s="1442" t="s">
        <v>1381</v>
      </c>
      <c r="F435" s="1442" t="s">
        <v>1381</v>
      </c>
      <c r="G435" s="1442" t="s">
        <v>1578</v>
      </c>
      <c r="H435" s="1442"/>
      <c r="I435" s="1442"/>
      <c r="J435" s="1442"/>
      <c r="K435" s="771" t="s">
        <v>2486</v>
      </c>
      <c r="L435" s="1215"/>
      <c r="M435" s="1215"/>
      <c r="N435" s="1215"/>
      <c r="O435" s="1206">
        <f t="shared" si="69"/>
        <v>0</v>
      </c>
      <c r="P435" s="1215"/>
      <c r="Q435" s="1215"/>
      <c r="R435" s="1215"/>
      <c r="S435" s="1215"/>
      <c r="T435" s="1215"/>
      <c r="U435" s="1215"/>
      <c r="V435" s="1215"/>
      <c r="W435" s="631" t="e">
        <f t="shared" si="68"/>
        <v>#DIV/0!</v>
      </c>
      <c r="X435" s="788"/>
      <c r="Y435" s="788"/>
    </row>
    <row r="436" spans="1:25" s="183" customFormat="1" ht="22.5" customHeight="1" thickTop="1" thickBot="1" x14ac:dyDescent="0.3">
      <c r="A436" s="1439">
        <v>1</v>
      </c>
      <c r="B436" s="1440" t="s">
        <v>1381</v>
      </c>
      <c r="C436" s="1440" t="s">
        <v>1394</v>
      </c>
      <c r="D436" s="1440" t="s">
        <v>1418</v>
      </c>
      <c r="E436" s="1440" t="s">
        <v>1381</v>
      </c>
      <c r="F436" s="1440" t="s">
        <v>1394</v>
      </c>
      <c r="G436" s="1440"/>
      <c r="H436" s="1440"/>
      <c r="I436" s="1440"/>
      <c r="J436" s="1440"/>
      <c r="K436" s="770" t="s">
        <v>1588</v>
      </c>
      <c r="L436" s="1215">
        <f>SUM(L437:L447)</f>
        <v>0</v>
      </c>
      <c r="M436" s="1215">
        <f t="shared" ref="M436:V436" si="76">SUM(M437:M447)</f>
        <v>0</v>
      </c>
      <c r="N436" s="1215">
        <f t="shared" si="76"/>
        <v>0</v>
      </c>
      <c r="O436" s="1206">
        <f t="shared" si="69"/>
        <v>0</v>
      </c>
      <c r="P436" s="1215">
        <f t="shared" si="76"/>
        <v>0</v>
      </c>
      <c r="Q436" s="1215">
        <f t="shared" si="76"/>
        <v>0</v>
      </c>
      <c r="R436" s="1215">
        <f t="shared" si="76"/>
        <v>0</v>
      </c>
      <c r="S436" s="1215"/>
      <c r="T436" s="1215">
        <f t="shared" si="76"/>
        <v>0</v>
      </c>
      <c r="U436" s="1215">
        <f t="shared" si="76"/>
        <v>0</v>
      </c>
      <c r="V436" s="1215">
        <f t="shared" si="76"/>
        <v>0</v>
      </c>
      <c r="W436" s="631" t="e">
        <f t="shared" si="68"/>
        <v>#DIV/0!</v>
      </c>
      <c r="X436" s="788" t="s">
        <v>1589</v>
      </c>
      <c r="Y436" s="788"/>
    </row>
    <row r="437" spans="1:25" s="183" customFormat="1" ht="22.5" customHeight="1" thickTop="1" thickBot="1" x14ac:dyDescent="0.3">
      <c r="A437" s="1441">
        <v>1</v>
      </c>
      <c r="B437" s="1442" t="s">
        <v>1381</v>
      </c>
      <c r="C437" s="1442" t="s">
        <v>1394</v>
      </c>
      <c r="D437" s="1442" t="s">
        <v>1418</v>
      </c>
      <c r="E437" s="1442" t="s">
        <v>1381</v>
      </c>
      <c r="F437" s="1442" t="s">
        <v>1394</v>
      </c>
      <c r="G437" s="1442" t="s">
        <v>1381</v>
      </c>
      <c r="H437" s="1442"/>
      <c r="I437" s="1442"/>
      <c r="J437" s="1442"/>
      <c r="K437" s="771" t="s">
        <v>2487</v>
      </c>
      <c r="L437" s="1215"/>
      <c r="M437" s="1215"/>
      <c r="N437" s="1215"/>
      <c r="O437" s="1206">
        <f t="shared" si="69"/>
        <v>0</v>
      </c>
      <c r="P437" s="1215"/>
      <c r="Q437" s="1215"/>
      <c r="R437" s="1215"/>
      <c r="S437" s="1215"/>
      <c r="T437" s="1215"/>
      <c r="U437" s="1215"/>
      <c r="V437" s="1215"/>
      <c r="W437" s="631" t="e">
        <f t="shared" si="68"/>
        <v>#DIV/0!</v>
      </c>
      <c r="X437" s="788"/>
      <c r="Y437" s="788"/>
    </row>
    <row r="438" spans="1:25" s="183" customFormat="1" ht="22.5" customHeight="1" thickTop="1" thickBot="1" x14ac:dyDescent="0.3">
      <c r="A438" s="1441">
        <v>1</v>
      </c>
      <c r="B438" s="1442" t="s">
        <v>1381</v>
      </c>
      <c r="C438" s="1442" t="s">
        <v>1394</v>
      </c>
      <c r="D438" s="1442" t="s">
        <v>1418</v>
      </c>
      <c r="E438" s="1442" t="s">
        <v>1381</v>
      </c>
      <c r="F438" s="1442" t="s">
        <v>1394</v>
      </c>
      <c r="G438" s="1442" t="s">
        <v>1394</v>
      </c>
      <c r="H438" s="1442"/>
      <c r="I438" s="1442"/>
      <c r="J438" s="1442"/>
      <c r="K438" s="771" t="s">
        <v>2488</v>
      </c>
      <c r="L438" s="1215"/>
      <c r="M438" s="1215"/>
      <c r="N438" s="1215"/>
      <c r="O438" s="1206">
        <f t="shared" si="69"/>
        <v>0</v>
      </c>
      <c r="P438" s="1215"/>
      <c r="Q438" s="1215"/>
      <c r="R438" s="1215"/>
      <c r="S438" s="1215"/>
      <c r="T438" s="1215"/>
      <c r="U438" s="1215"/>
      <c r="V438" s="1215"/>
      <c r="W438" s="631" t="e">
        <f t="shared" si="68"/>
        <v>#DIV/0!</v>
      </c>
      <c r="X438" s="788"/>
      <c r="Y438" s="788"/>
    </row>
    <row r="439" spans="1:25" s="183" customFormat="1" ht="22.5" customHeight="1" thickTop="1" thickBot="1" x14ac:dyDescent="0.3">
      <c r="A439" s="1441">
        <v>1</v>
      </c>
      <c r="B439" s="1442" t="s">
        <v>1381</v>
      </c>
      <c r="C439" s="1442" t="s">
        <v>1394</v>
      </c>
      <c r="D439" s="1442" t="s">
        <v>1418</v>
      </c>
      <c r="E439" s="1442" t="s">
        <v>1381</v>
      </c>
      <c r="F439" s="1442" t="s">
        <v>1394</v>
      </c>
      <c r="G439" s="1442" t="s">
        <v>1418</v>
      </c>
      <c r="H439" s="1442"/>
      <c r="I439" s="1442"/>
      <c r="J439" s="1442"/>
      <c r="K439" s="771" t="s">
        <v>2489</v>
      </c>
      <c r="L439" s="1215"/>
      <c r="M439" s="1215"/>
      <c r="N439" s="1215"/>
      <c r="O439" s="1206">
        <f t="shared" si="69"/>
        <v>0</v>
      </c>
      <c r="P439" s="1215"/>
      <c r="Q439" s="1215"/>
      <c r="R439" s="1215"/>
      <c r="S439" s="1215"/>
      <c r="T439" s="1215"/>
      <c r="U439" s="1215"/>
      <c r="V439" s="1215"/>
      <c r="W439" s="631" t="e">
        <f t="shared" si="68"/>
        <v>#DIV/0!</v>
      </c>
      <c r="X439" s="788"/>
      <c r="Y439" s="788"/>
    </row>
    <row r="440" spans="1:25" s="183" customFormat="1" ht="22.5" customHeight="1" thickTop="1" thickBot="1" x14ac:dyDescent="0.3">
      <c r="A440" s="1441">
        <v>1</v>
      </c>
      <c r="B440" s="1442" t="s">
        <v>1381</v>
      </c>
      <c r="C440" s="1442" t="s">
        <v>1394</v>
      </c>
      <c r="D440" s="1442" t="s">
        <v>1418</v>
      </c>
      <c r="E440" s="1442" t="s">
        <v>1381</v>
      </c>
      <c r="F440" s="1442" t="s">
        <v>1394</v>
      </c>
      <c r="G440" s="1442" t="s">
        <v>1422</v>
      </c>
      <c r="H440" s="1442"/>
      <c r="I440" s="1442"/>
      <c r="J440" s="1442"/>
      <c r="K440" s="771" t="s">
        <v>2490</v>
      </c>
      <c r="L440" s="1215"/>
      <c r="M440" s="1215"/>
      <c r="N440" s="1215"/>
      <c r="O440" s="1206">
        <f t="shared" si="69"/>
        <v>0</v>
      </c>
      <c r="P440" s="1215"/>
      <c r="Q440" s="1215"/>
      <c r="R440" s="1215"/>
      <c r="S440" s="1215"/>
      <c r="T440" s="1215"/>
      <c r="U440" s="1215"/>
      <c r="V440" s="1215"/>
      <c r="W440" s="631" t="e">
        <f t="shared" si="68"/>
        <v>#DIV/0!</v>
      </c>
      <c r="X440" s="788"/>
      <c r="Y440" s="788"/>
    </row>
    <row r="441" spans="1:25" s="183" customFormat="1" ht="22.5" customHeight="1" thickTop="1" thickBot="1" x14ac:dyDescent="0.3">
      <c r="A441" s="1441">
        <v>1</v>
      </c>
      <c r="B441" s="1442" t="s">
        <v>1381</v>
      </c>
      <c r="C441" s="1442" t="s">
        <v>1394</v>
      </c>
      <c r="D441" s="1442" t="s">
        <v>1418</v>
      </c>
      <c r="E441" s="1442" t="s">
        <v>1381</v>
      </c>
      <c r="F441" s="1442" t="s">
        <v>1394</v>
      </c>
      <c r="G441" s="1442" t="s">
        <v>1447</v>
      </c>
      <c r="H441" s="1442"/>
      <c r="I441" s="1442"/>
      <c r="J441" s="1442"/>
      <c r="K441" s="771" t="s">
        <v>2491</v>
      </c>
      <c r="L441" s="1215"/>
      <c r="M441" s="1215"/>
      <c r="N441" s="1215"/>
      <c r="O441" s="1206">
        <f t="shared" si="69"/>
        <v>0</v>
      </c>
      <c r="P441" s="1215"/>
      <c r="Q441" s="1215"/>
      <c r="R441" s="1215"/>
      <c r="S441" s="1215"/>
      <c r="T441" s="1215"/>
      <c r="U441" s="1215"/>
      <c r="V441" s="1215"/>
      <c r="W441" s="631" t="e">
        <f t="shared" si="68"/>
        <v>#DIV/0!</v>
      </c>
      <c r="X441" s="788"/>
      <c r="Y441" s="788"/>
    </row>
    <row r="442" spans="1:25" s="183" customFormat="1" ht="22.5" customHeight="1" thickTop="1" thickBot="1" x14ac:dyDescent="0.3">
      <c r="A442" s="1441">
        <v>1</v>
      </c>
      <c r="B442" s="1442" t="s">
        <v>1381</v>
      </c>
      <c r="C442" s="1442" t="s">
        <v>1394</v>
      </c>
      <c r="D442" s="1442" t="s">
        <v>1418</v>
      </c>
      <c r="E442" s="1442" t="s">
        <v>1381</v>
      </c>
      <c r="F442" s="1442" t="s">
        <v>1394</v>
      </c>
      <c r="G442" s="1442" t="s">
        <v>1470</v>
      </c>
      <c r="H442" s="1442"/>
      <c r="I442" s="1442"/>
      <c r="J442" s="1442"/>
      <c r="K442" s="771" t="s">
        <v>2492</v>
      </c>
      <c r="L442" s="1215"/>
      <c r="M442" s="1215"/>
      <c r="N442" s="1215"/>
      <c r="O442" s="1206">
        <f t="shared" si="69"/>
        <v>0</v>
      </c>
      <c r="P442" s="1215"/>
      <c r="Q442" s="1215"/>
      <c r="R442" s="1215"/>
      <c r="S442" s="1215"/>
      <c r="T442" s="1215"/>
      <c r="U442" s="1215"/>
      <c r="V442" s="1215"/>
      <c r="W442" s="631" t="e">
        <f t="shared" si="68"/>
        <v>#DIV/0!</v>
      </c>
      <c r="X442" s="788"/>
      <c r="Y442" s="788"/>
    </row>
    <row r="443" spans="1:25" s="183" customFormat="1" ht="22.5" customHeight="1" thickTop="1" thickBot="1" x14ac:dyDescent="0.3">
      <c r="A443" s="1441">
        <v>1</v>
      </c>
      <c r="B443" s="1442" t="s">
        <v>1381</v>
      </c>
      <c r="C443" s="1442" t="s">
        <v>1394</v>
      </c>
      <c r="D443" s="1442" t="s">
        <v>1418</v>
      </c>
      <c r="E443" s="1442" t="s">
        <v>1381</v>
      </c>
      <c r="F443" s="1442" t="s">
        <v>1394</v>
      </c>
      <c r="G443" s="1442" t="s">
        <v>1474</v>
      </c>
      <c r="H443" s="1442"/>
      <c r="I443" s="1442"/>
      <c r="J443" s="1442"/>
      <c r="K443" s="771" t="s">
        <v>2493</v>
      </c>
      <c r="L443" s="1215"/>
      <c r="M443" s="1215"/>
      <c r="N443" s="1215"/>
      <c r="O443" s="1206">
        <f t="shared" si="69"/>
        <v>0</v>
      </c>
      <c r="P443" s="1215"/>
      <c r="Q443" s="1215"/>
      <c r="R443" s="1215"/>
      <c r="S443" s="1215"/>
      <c r="T443" s="1215"/>
      <c r="U443" s="1215"/>
      <c r="V443" s="1215"/>
      <c r="W443" s="631" t="e">
        <f t="shared" si="68"/>
        <v>#DIV/0!</v>
      </c>
      <c r="X443" s="788"/>
      <c r="Y443" s="788"/>
    </row>
    <row r="444" spans="1:25" s="183" customFormat="1" ht="22.5" customHeight="1" thickTop="1" thickBot="1" x14ac:dyDescent="0.3">
      <c r="A444" s="1441">
        <v>1</v>
      </c>
      <c r="B444" s="1442" t="s">
        <v>1381</v>
      </c>
      <c r="C444" s="1442" t="s">
        <v>1394</v>
      </c>
      <c r="D444" s="1442" t="s">
        <v>1418</v>
      </c>
      <c r="E444" s="1442" t="s">
        <v>1381</v>
      </c>
      <c r="F444" s="1442" t="s">
        <v>1394</v>
      </c>
      <c r="G444" s="1442" t="s">
        <v>1478</v>
      </c>
      <c r="H444" s="1442"/>
      <c r="I444" s="1442"/>
      <c r="J444" s="1442"/>
      <c r="K444" s="771" t="s">
        <v>2494</v>
      </c>
      <c r="L444" s="1215"/>
      <c r="M444" s="1215"/>
      <c r="N444" s="1215"/>
      <c r="O444" s="1206">
        <f t="shared" si="69"/>
        <v>0</v>
      </c>
      <c r="P444" s="1215"/>
      <c r="Q444" s="1215"/>
      <c r="R444" s="1215"/>
      <c r="S444" s="1215"/>
      <c r="T444" s="1215"/>
      <c r="U444" s="1215"/>
      <c r="V444" s="1215"/>
      <c r="W444" s="631" t="e">
        <f t="shared" si="68"/>
        <v>#DIV/0!</v>
      </c>
      <c r="X444" s="788"/>
      <c r="Y444" s="788"/>
    </row>
    <row r="445" spans="1:25" s="183" customFormat="1" ht="22.5" customHeight="1" thickTop="1" thickBot="1" x14ac:dyDescent="0.3">
      <c r="A445" s="1441">
        <v>1</v>
      </c>
      <c r="B445" s="1442" t="s">
        <v>1381</v>
      </c>
      <c r="C445" s="1442" t="s">
        <v>1394</v>
      </c>
      <c r="D445" s="1442" t="s">
        <v>1418</v>
      </c>
      <c r="E445" s="1442" t="s">
        <v>1381</v>
      </c>
      <c r="F445" s="1442" t="s">
        <v>1394</v>
      </c>
      <c r="G445" s="1442" t="s">
        <v>1576</v>
      </c>
      <c r="H445" s="1442"/>
      <c r="I445" s="1442"/>
      <c r="J445" s="1442"/>
      <c r="K445" s="771" t="s">
        <v>2495</v>
      </c>
      <c r="L445" s="1215"/>
      <c r="M445" s="1215"/>
      <c r="N445" s="1215"/>
      <c r="O445" s="1206">
        <f t="shared" si="69"/>
        <v>0</v>
      </c>
      <c r="P445" s="1215"/>
      <c r="Q445" s="1215"/>
      <c r="R445" s="1215"/>
      <c r="S445" s="1215"/>
      <c r="T445" s="1215"/>
      <c r="U445" s="1215"/>
      <c r="V445" s="1215"/>
      <c r="W445" s="631" t="e">
        <f t="shared" si="68"/>
        <v>#DIV/0!</v>
      </c>
      <c r="X445" s="788"/>
      <c r="Y445" s="788"/>
    </row>
    <row r="446" spans="1:25" s="183" customFormat="1" ht="22.5" customHeight="1" thickTop="1" thickBot="1" x14ac:dyDescent="0.3">
      <c r="A446" s="1441">
        <v>1</v>
      </c>
      <c r="B446" s="1442" t="s">
        <v>1381</v>
      </c>
      <c r="C446" s="1442" t="s">
        <v>1394</v>
      </c>
      <c r="D446" s="1442" t="s">
        <v>1418</v>
      </c>
      <c r="E446" s="1442" t="s">
        <v>1381</v>
      </c>
      <c r="F446" s="1442" t="s">
        <v>1394</v>
      </c>
      <c r="G446" s="1442" t="s">
        <v>1577</v>
      </c>
      <c r="H446" s="1442"/>
      <c r="I446" s="1442"/>
      <c r="J446" s="1442"/>
      <c r="K446" s="771" t="s">
        <v>2496</v>
      </c>
      <c r="L446" s="1215"/>
      <c r="M446" s="1215"/>
      <c r="N446" s="1215"/>
      <c r="O446" s="1206">
        <f t="shared" si="69"/>
        <v>0</v>
      </c>
      <c r="P446" s="1215"/>
      <c r="Q446" s="1215"/>
      <c r="R446" s="1215"/>
      <c r="S446" s="1215"/>
      <c r="T446" s="1215"/>
      <c r="U446" s="1215"/>
      <c r="V446" s="1215"/>
      <c r="W446" s="631" t="e">
        <f t="shared" si="68"/>
        <v>#DIV/0!</v>
      </c>
      <c r="X446" s="788"/>
      <c r="Y446" s="788"/>
    </row>
    <row r="447" spans="1:25" s="183" customFormat="1" ht="22.5" customHeight="1" thickTop="1" thickBot="1" x14ac:dyDescent="0.3">
      <c r="A447" s="1441">
        <v>1</v>
      </c>
      <c r="B447" s="1442" t="s">
        <v>1381</v>
      </c>
      <c r="C447" s="1442" t="s">
        <v>1394</v>
      </c>
      <c r="D447" s="1442" t="s">
        <v>1418</v>
      </c>
      <c r="E447" s="1442" t="s">
        <v>1381</v>
      </c>
      <c r="F447" s="1442" t="s">
        <v>1394</v>
      </c>
      <c r="G447" s="1442" t="s">
        <v>1578</v>
      </c>
      <c r="H447" s="1442"/>
      <c r="I447" s="1442"/>
      <c r="J447" s="1442"/>
      <c r="K447" s="771" t="s">
        <v>2497</v>
      </c>
      <c r="L447" s="1215"/>
      <c r="M447" s="1215"/>
      <c r="N447" s="1215"/>
      <c r="O447" s="1206">
        <f t="shared" si="69"/>
        <v>0</v>
      </c>
      <c r="P447" s="1215"/>
      <c r="Q447" s="1215"/>
      <c r="R447" s="1215"/>
      <c r="S447" s="1215"/>
      <c r="T447" s="1215"/>
      <c r="U447" s="1215"/>
      <c r="V447" s="1215"/>
      <c r="W447" s="631" t="e">
        <f t="shared" si="68"/>
        <v>#DIV/0!</v>
      </c>
      <c r="X447" s="788"/>
      <c r="Y447" s="788"/>
    </row>
    <row r="448" spans="1:25" s="183" customFormat="1" ht="22.5" customHeight="1" thickTop="1" thickBot="1" x14ac:dyDescent="0.3">
      <c r="A448" s="1439">
        <v>1</v>
      </c>
      <c r="B448" s="1440" t="s">
        <v>1381</v>
      </c>
      <c r="C448" s="1440" t="s">
        <v>1394</v>
      </c>
      <c r="D448" s="1440" t="s">
        <v>1418</v>
      </c>
      <c r="E448" s="1440" t="s">
        <v>1381</v>
      </c>
      <c r="F448" s="1440" t="s">
        <v>1418</v>
      </c>
      <c r="G448" s="1440"/>
      <c r="H448" s="1440"/>
      <c r="I448" s="1440"/>
      <c r="J448" s="1440"/>
      <c r="K448" s="770" t="s">
        <v>2041</v>
      </c>
      <c r="L448" s="1215">
        <f>SUM(L449:L459)</f>
        <v>0</v>
      </c>
      <c r="M448" s="1215">
        <f t="shared" ref="M448:V448" si="77">SUM(M449:M459)</f>
        <v>0</v>
      </c>
      <c r="N448" s="1215">
        <f t="shared" si="77"/>
        <v>0</v>
      </c>
      <c r="O448" s="1206">
        <f t="shared" si="69"/>
        <v>0</v>
      </c>
      <c r="P448" s="1215">
        <f t="shared" si="77"/>
        <v>0</v>
      </c>
      <c r="Q448" s="1215">
        <f t="shared" si="77"/>
        <v>0</v>
      </c>
      <c r="R448" s="1215">
        <f t="shared" si="77"/>
        <v>0</v>
      </c>
      <c r="S448" s="1215"/>
      <c r="T448" s="1215">
        <f t="shared" si="77"/>
        <v>0</v>
      </c>
      <c r="U448" s="1215">
        <f t="shared" si="77"/>
        <v>0</v>
      </c>
      <c r="V448" s="1215">
        <f t="shared" si="77"/>
        <v>0</v>
      </c>
      <c r="W448" s="631" t="e">
        <f t="shared" si="68"/>
        <v>#DIV/0!</v>
      </c>
      <c r="X448" s="788" t="s">
        <v>2043</v>
      </c>
      <c r="Y448" s="788" t="s">
        <v>2044</v>
      </c>
    </row>
    <row r="449" spans="1:25" s="183" customFormat="1" ht="22.5" customHeight="1" thickTop="1" thickBot="1" x14ac:dyDescent="0.3">
      <c r="A449" s="1441">
        <v>1</v>
      </c>
      <c r="B449" s="1442" t="s">
        <v>1381</v>
      </c>
      <c r="C449" s="1442" t="s">
        <v>1394</v>
      </c>
      <c r="D449" s="1442" t="s">
        <v>1418</v>
      </c>
      <c r="E449" s="1442" t="s">
        <v>1381</v>
      </c>
      <c r="F449" s="1442" t="s">
        <v>1418</v>
      </c>
      <c r="G449" s="1442" t="s">
        <v>1381</v>
      </c>
      <c r="H449" s="1442"/>
      <c r="I449" s="1442"/>
      <c r="J449" s="1442"/>
      <c r="K449" s="771" t="s">
        <v>2498</v>
      </c>
      <c r="L449" s="1215"/>
      <c r="M449" s="1215"/>
      <c r="N449" s="1215"/>
      <c r="O449" s="1206">
        <f t="shared" si="69"/>
        <v>0</v>
      </c>
      <c r="P449" s="1215"/>
      <c r="Q449" s="1215"/>
      <c r="R449" s="1215"/>
      <c r="S449" s="1215"/>
      <c r="T449" s="1215"/>
      <c r="U449" s="1215"/>
      <c r="V449" s="1215"/>
      <c r="W449" s="631" t="e">
        <f t="shared" si="68"/>
        <v>#DIV/0!</v>
      </c>
      <c r="X449" s="788"/>
      <c r="Y449" s="788"/>
    </row>
    <row r="450" spans="1:25" s="183" customFormat="1" ht="22.5" customHeight="1" thickTop="1" thickBot="1" x14ac:dyDescent="0.3">
      <c r="A450" s="1441">
        <v>1</v>
      </c>
      <c r="B450" s="1442" t="s">
        <v>1381</v>
      </c>
      <c r="C450" s="1442" t="s">
        <v>1394</v>
      </c>
      <c r="D450" s="1442" t="s">
        <v>1418</v>
      </c>
      <c r="E450" s="1442" t="s">
        <v>1381</v>
      </c>
      <c r="F450" s="1442" t="s">
        <v>1418</v>
      </c>
      <c r="G450" s="1442" t="s">
        <v>1394</v>
      </c>
      <c r="H450" s="1442"/>
      <c r="I450" s="1442"/>
      <c r="J450" s="1442"/>
      <c r="K450" s="771" t="s">
        <v>2499</v>
      </c>
      <c r="L450" s="1215"/>
      <c r="M450" s="1215"/>
      <c r="N450" s="1215"/>
      <c r="O450" s="1206">
        <f t="shared" si="69"/>
        <v>0</v>
      </c>
      <c r="P450" s="1215"/>
      <c r="Q450" s="1215"/>
      <c r="R450" s="1215"/>
      <c r="S450" s="1215"/>
      <c r="T450" s="1215"/>
      <c r="U450" s="1215"/>
      <c r="V450" s="1215"/>
      <c r="W450" s="631" t="e">
        <f t="shared" si="68"/>
        <v>#DIV/0!</v>
      </c>
      <c r="X450" s="788"/>
      <c r="Y450" s="788"/>
    </row>
    <row r="451" spans="1:25" s="183" customFormat="1" ht="22.5" customHeight="1" thickTop="1" thickBot="1" x14ac:dyDescent="0.3">
      <c r="A451" s="1441">
        <v>1</v>
      </c>
      <c r="B451" s="1442" t="s">
        <v>1381</v>
      </c>
      <c r="C451" s="1442" t="s">
        <v>1394</v>
      </c>
      <c r="D451" s="1442" t="s">
        <v>1418</v>
      </c>
      <c r="E451" s="1442" t="s">
        <v>1381</v>
      </c>
      <c r="F451" s="1442" t="s">
        <v>1418</v>
      </c>
      <c r="G451" s="1442" t="s">
        <v>1418</v>
      </c>
      <c r="H451" s="1442"/>
      <c r="I451" s="1442"/>
      <c r="J451" s="1442"/>
      <c r="K451" s="771" t="s">
        <v>2500</v>
      </c>
      <c r="L451" s="1215"/>
      <c r="M451" s="1215"/>
      <c r="N451" s="1215"/>
      <c r="O451" s="1206">
        <f t="shared" si="69"/>
        <v>0</v>
      </c>
      <c r="P451" s="1215"/>
      <c r="Q451" s="1215"/>
      <c r="R451" s="1215"/>
      <c r="S451" s="1215"/>
      <c r="T451" s="1215"/>
      <c r="U451" s="1215"/>
      <c r="V451" s="1215"/>
      <c r="W451" s="631" t="e">
        <f t="shared" si="68"/>
        <v>#DIV/0!</v>
      </c>
      <c r="X451" s="788"/>
      <c r="Y451" s="788"/>
    </row>
    <row r="452" spans="1:25" s="183" customFormat="1" ht="22.5" customHeight="1" thickTop="1" thickBot="1" x14ac:dyDescent="0.3">
      <c r="A452" s="1441">
        <v>1</v>
      </c>
      <c r="B452" s="1442" t="s">
        <v>1381</v>
      </c>
      <c r="C452" s="1442" t="s">
        <v>1394</v>
      </c>
      <c r="D452" s="1442" t="s">
        <v>1418</v>
      </c>
      <c r="E452" s="1442" t="s">
        <v>1381</v>
      </c>
      <c r="F452" s="1442" t="s">
        <v>1418</v>
      </c>
      <c r="G452" s="1442" t="s">
        <v>1422</v>
      </c>
      <c r="H452" s="1442"/>
      <c r="I452" s="1442"/>
      <c r="J452" s="1442"/>
      <c r="K452" s="771" t="s">
        <v>2501</v>
      </c>
      <c r="L452" s="1215"/>
      <c r="M452" s="1215"/>
      <c r="N452" s="1215"/>
      <c r="O452" s="1206">
        <f t="shared" si="69"/>
        <v>0</v>
      </c>
      <c r="P452" s="1215"/>
      <c r="Q452" s="1215"/>
      <c r="R452" s="1215"/>
      <c r="S452" s="1215"/>
      <c r="T452" s="1215"/>
      <c r="U452" s="1215"/>
      <c r="V452" s="1215"/>
      <c r="W452" s="631" t="e">
        <f t="shared" si="68"/>
        <v>#DIV/0!</v>
      </c>
      <c r="X452" s="788"/>
      <c r="Y452" s="788"/>
    </row>
    <row r="453" spans="1:25" s="183" customFormat="1" ht="22.5" customHeight="1" thickTop="1" thickBot="1" x14ac:dyDescent="0.3">
      <c r="A453" s="1441">
        <v>1</v>
      </c>
      <c r="B453" s="1442" t="s">
        <v>1381</v>
      </c>
      <c r="C453" s="1442" t="s">
        <v>1394</v>
      </c>
      <c r="D453" s="1442" t="s">
        <v>1418</v>
      </c>
      <c r="E453" s="1442" t="s">
        <v>1381</v>
      </c>
      <c r="F453" s="1442" t="s">
        <v>1418</v>
      </c>
      <c r="G453" s="1442" t="s">
        <v>1447</v>
      </c>
      <c r="H453" s="1442"/>
      <c r="I453" s="1442"/>
      <c r="J453" s="1442"/>
      <c r="K453" s="771" t="s">
        <v>2502</v>
      </c>
      <c r="L453" s="1215"/>
      <c r="M453" s="1215"/>
      <c r="N453" s="1215"/>
      <c r="O453" s="1206">
        <f t="shared" si="69"/>
        <v>0</v>
      </c>
      <c r="P453" s="1215"/>
      <c r="Q453" s="1215"/>
      <c r="R453" s="1215"/>
      <c r="S453" s="1215"/>
      <c r="T453" s="1215"/>
      <c r="U453" s="1215"/>
      <c r="V453" s="1215"/>
      <c r="W453" s="631" t="e">
        <f t="shared" si="68"/>
        <v>#DIV/0!</v>
      </c>
      <c r="X453" s="788"/>
      <c r="Y453" s="788"/>
    </row>
    <row r="454" spans="1:25" s="183" customFormat="1" ht="22.5" customHeight="1" thickTop="1" thickBot="1" x14ac:dyDescent="0.3">
      <c r="A454" s="1441">
        <v>1</v>
      </c>
      <c r="B454" s="1442" t="s">
        <v>1381</v>
      </c>
      <c r="C454" s="1442" t="s">
        <v>1394</v>
      </c>
      <c r="D454" s="1442" t="s">
        <v>1418</v>
      </c>
      <c r="E454" s="1442" t="s">
        <v>1381</v>
      </c>
      <c r="F454" s="1442" t="s">
        <v>1418</v>
      </c>
      <c r="G454" s="1442" t="s">
        <v>1470</v>
      </c>
      <c r="H454" s="1442"/>
      <c r="I454" s="1442"/>
      <c r="J454" s="1442"/>
      <c r="K454" s="771" t="s">
        <v>2503</v>
      </c>
      <c r="L454" s="1215"/>
      <c r="M454" s="1215"/>
      <c r="N454" s="1215"/>
      <c r="O454" s="1206">
        <f t="shared" si="69"/>
        <v>0</v>
      </c>
      <c r="P454" s="1215"/>
      <c r="Q454" s="1215"/>
      <c r="R454" s="1215"/>
      <c r="S454" s="1215"/>
      <c r="T454" s="1215"/>
      <c r="U454" s="1215"/>
      <c r="V454" s="1215"/>
      <c r="W454" s="631" t="e">
        <f t="shared" si="68"/>
        <v>#DIV/0!</v>
      </c>
      <c r="X454" s="788"/>
      <c r="Y454" s="788"/>
    </row>
    <row r="455" spans="1:25" s="183" customFormat="1" ht="22.5" customHeight="1" thickTop="1" thickBot="1" x14ac:dyDescent="0.3">
      <c r="A455" s="1441">
        <v>1</v>
      </c>
      <c r="B455" s="1442" t="s">
        <v>1381</v>
      </c>
      <c r="C455" s="1442" t="s">
        <v>1394</v>
      </c>
      <c r="D455" s="1442" t="s">
        <v>1418</v>
      </c>
      <c r="E455" s="1442" t="s">
        <v>1381</v>
      </c>
      <c r="F455" s="1442" t="s">
        <v>1418</v>
      </c>
      <c r="G455" s="1442" t="s">
        <v>1474</v>
      </c>
      <c r="H455" s="1442"/>
      <c r="I455" s="1442"/>
      <c r="J455" s="1442"/>
      <c r="K455" s="771" t="s">
        <v>2504</v>
      </c>
      <c r="L455" s="1215"/>
      <c r="M455" s="1215"/>
      <c r="N455" s="1215"/>
      <c r="O455" s="1206">
        <f t="shared" si="69"/>
        <v>0</v>
      </c>
      <c r="P455" s="1215"/>
      <c r="Q455" s="1215"/>
      <c r="R455" s="1215"/>
      <c r="S455" s="1215"/>
      <c r="T455" s="1215"/>
      <c r="U455" s="1215"/>
      <c r="V455" s="1215"/>
      <c r="W455" s="631" t="e">
        <f t="shared" ref="W455:W518" si="78">V455/O455</f>
        <v>#DIV/0!</v>
      </c>
      <c r="X455" s="788"/>
      <c r="Y455" s="788"/>
    </row>
    <row r="456" spans="1:25" s="183" customFormat="1" ht="22.5" customHeight="1" thickTop="1" thickBot="1" x14ac:dyDescent="0.3">
      <c r="A456" s="1441">
        <v>1</v>
      </c>
      <c r="B456" s="1442" t="s">
        <v>1381</v>
      </c>
      <c r="C456" s="1442" t="s">
        <v>1394</v>
      </c>
      <c r="D456" s="1442" t="s">
        <v>1418</v>
      </c>
      <c r="E456" s="1442" t="s">
        <v>1381</v>
      </c>
      <c r="F456" s="1442" t="s">
        <v>1418</v>
      </c>
      <c r="G456" s="1442" t="s">
        <v>1478</v>
      </c>
      <c r="H456" s="1442"/>
      <c r="I456" s="1442"/>
      <c r="J456" s="1442"/>
      <c r="K456" s="771" t="s">
        <v>2505</v>
      </c>
      <c r="L456" s="1215"/>
      <c r="M456" s="1215"/>
      <c r="N456" s="1215"/>
      <c r="O456" s="1206">
        <f t="shared" ref="O456:O519" si="79">L456+M456-N456</f>
        <v>0</v>
      </c>
      <c r="P456" s="1215"/>
      <c r="Q456" s="1215"/>
      <c r="R456" s="1215"/>
      <c r="S456" s="1215"/>
      <c r="T456" s="1215"/>
      <c r="U456" s="1215"/>
      <c r="V456" s="1215"/>
      <c r="W456" s="631" t="e">
        <f t="shared" si="78"/>
        <v>#DIV/0!</v>
      </c>
      <c r="X456" s="788"/>
      <c r="Y456" s="788"/>
    </row>
    <row r="457" spans="1:25" s="183" customFormat="1" ht="22.5" customHeight="1" thickTop="1" thickBot="1" x14ac:dyDescent="0.3">
      <c r="A457" s="1441">
        <v>1</v>
      </c>
      <c r="B457" s="1442" t="s">
        <v>1381</v>
      </c>
      <c r="C457" s="1442" t="s">
        <v>1394</v>
      </c>
      <c r="D457" s="1442" t="s">
        <v>1418</v>
      </c>
      <c r="E457" s="1442" t="s">
        <v>1381</v>
      </c>
      <c r="F457" s="1442" t="s">
        <v>1418</v>
      </c>
      <c r="G457" s="1442" t="s">
        <v>1576</v>
      </c>
      <c r="H457" s="1442"/>
      <c r="I457" s="1442"/>
      <c r="J457" s="1442"/>
      <c r="K457" s="771" t="s">
        <v>2506</v>
      </c>
      <c r="L457" s="1215"/>
      <c r="M457" s="1215"/>
      <c r="N457" s="1215"/>
      <c r="O457" s="1206">
        <f t="shared" si="79"/>
        <v>0</v>
      </c>
      <c r="P457" s="1215"/>
      <c r="Q457" s="1215"/>
      <c r="R457" s="1215"/>
      <c r="S457" s="1215"/>
      <c r="T457" s="1215"/>
      <c r="U457" s="1215"/>
      <c r="V457" s="1215"/>
      <c r="W457" s="631" t="e">
        <f t="shared" si="78"/>
        <v>#DIV/0!</v>
      </c>
      <c r="X457" s="788"/>
      <c r="Y457" s="788"/>
    </row>
    <row r="458" spans="1:25" s="183" customFormat="1" ht="22.5" customHeight="1" thickTop="1" thickBot="1" x14ac:dyDescent="0.3">
      <c r="A458" s="1441">
        <v>1</v>
      </c>
      <c r="B458" s="1442" t="s">
        <v>1381</v>
      </c>
      <c r="C458" s="1442" t="s">
        <v>1394</v>
      </c>
      <c r="D458" s="1442" t="s">
        <v>1418</v>
      </c>
      <c r="E458" s="1442" t="s">
        <v>1381</v>
      </c>
      <c r="F458" s="1442" t="s">
        <v>1418</v>
      </c>
      <c r="G458" s="1442" t="s">
        <v>1577</v>
      </c>
      <c r="H458" s="1442"/>
      <c r="I458" s="1442"/>
      <c r="J458" s="1442"/>
      <c r="K458" s="771" t="s">
        <v>2507</v>
      </c>
      <c r="L458" s="1215"/>
      <c r="M458" s="1215"/>
      <c r="N458" s="1215"/>
      <c r="O458" s="1206">
        <f t="shared" si="79"/>
        <v>0</v>
      </c>
      <c r="P458" s="1215"/>
      <c r="Q458" s="1215"/>
      <c r="R458" s="1215"/>
      <c r="S458" s="1215"/>
      <c r="T458" s="1215"/>
      <c r="U458" s="1215"/>
      <c r="V458" s="1215"/>
      <c r="W458" s="631" t="e">
        <f t="shared" si="78"/>
        <v>#DIV/0!</v>
      </c>
      <c r="X458" s="788"/>
      <c r="Y458" s="788"/>
    </row>
    <row r="459" spans="1:25" s="183" customFormat="1" ht="22.5" customHeight="1" thickTop="1" thickBot="1" x14ac:dyDescent="0.3">
      <c r="A459" s="1441">
        <v>1</v>
      </c>
      <c r="B459" s="1442" t="s">
        <v>1381</v>
      </c>
      <c r="C459" s="1442" t="s">
        <v>1394</v>
      </c>
      <c r="D459" s="1442" t="s">
        <v>1418</v>
      </c>
      <c r="E459" s="1442" t="s">
        <v>1381</v>
      </c>
      <c r="F459" s="1442" t="s">
        <v>1418</v>
      </c>
      <c r="G459" s="1442" t="s">
        <v>1578</v>
      </c>
      <c r="H459" s="1442"/>
      <c r="I459" s="1442"/>
      <c r="J459" s="1442"/>
      <c r="K459" s="771" t="s">
        <v>2508</v>
      </c>
      <c r="L459" s="1215"/>
      <c r="M459" s="1215"/>
      <c r="N459" s="1215"/>
      <c r="O459" s="1206">
        <f t="shared" si="79"/>
        <v>0</v>
      </c>
      <c r="P459" s="1215"/>
      <c r="Q459" s="1215"/>
      <c r="R459" s="1215"/>
      <c r="S459" s="1215"/>
      <c r="T459" s="1215"/>
      <c r="U459" s="1215"/>
      <c r="V459" s="1215"/>
      <c r="W459" s="631" t="e">
        <f t="shared" si="78"/>
        <v>#DIV/0!</v>
      </c>
      <c r="X459" s="788"/>
      <c r="Y459" s="788"/>
    </row>
    <row r="460" spans="1:25" s="183" customFormat="1" ht="22.5" customHeight="1" thickTop="1" thickBot="1" x14ac:dyDescent="0.3">
      <c r="A460" s="1439">
        <v>1</v>
      </c>
      <c r="B460" s="1440" t="s">
        <v>1381</v>
      </c>
      <c r="C460" s="1440" t="s">
        <v>1394</v>
      </c>
      <c r="D460" s="1440" t="s">
        <v>1418</v>
      </c>
      <c r="E460" s="1440" t="s">
        <v>1381</v>
      </c>
      <c r="F460" s="1440" t="s">
        <v>1422</v>
      </c>
      <c r="G460" s="1440"/>
      <c r="H460" s="1440"/>
      <c r="I460" s="1440"/>
      <c r="J460" s="1440"/>
      <c r="K460" s="770" t="s">
        <v>2042</v>
      </c>
      <c r="L460" s="1215">
        <f>SUM(L461:L471)</f>
        <v>0</v>
      </c>
      <c r="M460" s="1215">
        <f t="shared" ref="M460:V460" si="80">SUM(M461:M471)</f>
        <v>0</v>
      </c>
      <c r="N460" s="1215">
        <f t="shared" si="80"/>
        <v>0</v>
      </c>
      <c r="O460" s="1206">
        <f t="shared" si="79"/>
        <v>0</v>
      </c>
      <c r="P460" s="1215">
        <f t="shared" si="80"/>
        <v>0</v>
      </c>
      <c r="Q460" s="1215">
        <f t="shared" si="80"/>
        <v>0</v>
      </c>
      <c r="R460" s="1215">
        <f t="shared" si="80"/>
        <v>0</v>
      </c>
      <c r="S460" s="1215"/>
      <c r="T460" s="1215">
        <f t="shared" si="80"/>
        <v>0</v>
      </c>
      <c r="U460" s="1215">
        <f t="shared" si="80"/>
        <v>0</v>
      </c>
      <c r="V460" s="1215">
        <f t="shared" si="80"/>
        <v>0</v>
      </c>
      <c r="W460" s="631" t="e">
        <f t="shared" si="78"/>
        <v>#DIV/0!</v>
      </c>
      <c r="X460" s="788" t="s">
        <v>2045</v>
      </c>
      <c r="Y460" s="788"/>
    </row>
    <row r="461" spans="1:25" s="183" customFormat="1" ht="22.5" customHeight="1" thickTop="1" thickBot="1" x14ac:dyDescent="0.3">
      <c r="A461" s="1441">
        <v>1</v>
      </c>
      <c r="B461" s="1442" t="s">
        <v>1381</v>
      </c>
      <c r="C461" s="1442" t="s">
        <v>1394</v>
      </c>
      <c r="D461" s="1442" t="s">
        <v>1418</v>
      </c>
      <c r="E461" s="1442" t="s">
        <v>1381</v>
      </c>
      <c r="F461" s="1442" t="s">
        <v>1422</v>
      </c>
      <c r="G461" s="1442" t="s">
        <v>1381</v>
      </c>
      <c r="H461" s="1442"/>
      <c r="I461" s="1442"/>
      <c r="J461" s="1442"/>
      <c r="K461" s="771" t="s">
        <v>2509</v>
      </c>
      <c r="L461" s="1215"/>
      <c r="M461" s="1215"/>
      <c r="N461" s="1215"/>
      <c r="O461" s="1206">
        <f t="shared" si="79"/>
        <v>0</v>
      </c>
      <c r="P461" s="1215"/>
      <c r="Q461" s="1215"/>
      <c r="R461" s="1215"/>
      <c r="S461" s="1215"/>
      <c r="T461" s="1215"/>
      <c r="U461" s="1215"/>
      <c r="V461" s="1215"/>
      <c r="W461" s="631" t="e">
        <f t="shared" si="78"/>
        <v>#DIV/0!</v>
      </c>
      <c r="X461" s="788"/>
      <c r="Y461" s="788"/>
    </row>
    <row r="462" spans="1:25" s="183" customFormat="1" ht="22.5" customHeight="1" thickTop="1" thickBot="1" x14ac:dyDescent="0.3">
      <c r="A462" s="1441">
        <v>1</v>
      </c>
      <c r="B462" s="1442" t="s">
        <v>1381</v>
      </c>
      <c r="C462" s="1442" t="s">
        <v>1394</v>
      </c>
      <c r="D462" s="1442" t="s">
        <v>1418</v>
      </c>
      <c r="E462" s="1442" t="s">
        <v>1381</v>
      </c>
      <c r="F462" s="1442" t="s">
        <v>1422</v>
      </c>
      <c r="G462" s="1442" t="s">
        <v>1394</v>
      </c>
      <c r="H462" s="1442"/>
      <c r="I462" s="1442"/>
      <c r="J462" s="1442"/>
      <c r="K462" s="771" t="s">
        <v>2510</v>
      </c>
      <c r="L462" s="1215"/>
      <c r="M462" s="1215"/>
      <c r="N462" s="1215"/>
      <c r="O462" s="1206">
        <f t="shared" si="79"/>
        <v>0</v>
      </c>
      <c r="P462" s="1215"/>
      <c r="Q462" s="1215"/>
      <c r="R462" s="1215"/>
      <c r="S462" s="1215"/>
      <c r="T462" s="1215"/>
      <c r="U462" s="1215"/>
      <c r="V462" s="1215"/>
      <c r="W462" s="631" t="e">
        <f t="shared" si="78"/>
        <v>#DIV/0!</v>
      </c>
      <c r="X462" s="788"/>
      <c r="Y462" s="788"/>
    </row>
    <row r="463" spans="1:25" s="183" customFormat="1" ht="22.5" customHeight="1" thickTop="1" thickBot="1" x14ac:dyDescent="0.3">
      <c r="A463" s="1441">
        <v>1</v>
      </c>
      <c r="B463" s="1442" t="s">
        <v>1381</v>
      </c>
      <c r="C463" s="1442" t="s">
        <v>1394</v>
      </c>
      <c r="D463" s="1442" t="s">
        <v>1418</v>
      </c>
      <c r="E463" s="1442" t="s">
        <v>1381</v>
      </c>
      <c r="F463" s="1442" t="s">
        <v>1422</v>
      </c>
      <c r="G463" s="1442" t="s">
        <v>1418</v>
      </c>
      <c r="H463" s="1442"/>
      <c r="I463" s="1442"/>
      <c r="J463" s="1442"/>
      <c r="K463" s="771" t="s">
        <v>2511</v>
      </c>
      <c r="L463" s="1215"/>
      <c r="M463" s="1215"/>
      <c r="N463" s="1215"/>
      <c r="O463" s="1206">
        <f t="shared" si="79"/>
        <v>0</v>
      </c>
      <c r="P463" s="1215"/>
      <c r="Q463" s="1215"/>
      <c r="R463" s="1215"/>
      <c r="S463" s="1215"/>
      <c r="T463" s="1215"/>
      <c r="U463" s="1215"/>
      <c r="V463" s="1215"/>
      <c r="W463" s="631" t="e">
        <f t="shared" si="78"/>
        <v>#DIV/0!</v>
      </c>
      <c r="X463" s="788"/>
      <c r="Y463" s="788"/>
    </row>
    <row r="464" spans="1:25" s="183" customFormat="1" ht="22.5" customHeight="1" thickTop="1" thickBot="1" x14ac:dyDescent="0.3">
      <c r="A464" s="1441">
        <v>1</v>
      </c>
      <c r="B464" s="1442" t="s">
        <v>1381</v>
      </c>
      <c r="C464" s="1442" t="s">
        <v>1394</v>
      </c>
      <c r="D464" s="1442" t="s">
        <v>1418</v>
      </c>
      <c r="E464" s="1442" t="s">
        <v>1381</v>
      </c>
      <c r="F464" s="1442" t="s">
        <v>1422</v>
      </c>
      <c r="G464" s="1442" t="s">
        <v>1422</v>
      </c>
      <c r="H464" s="1442"/>
      <c r="I464" s="1442"/>
      <c r="J464" s="1442"/>
      <c r="K464" s="771" t="s">
        <v>2512</v>
      </c>
      <c r="L464" s="1215"/>
      <c r="M464" s="1215"/>
      <c r="N464" s="1215"/>
      <c r="O464" s="1206">
        <f t="shared" si="79"/>
        <v>0</v>
      </c>
      <c r="P464" s="1215"/>
      <c r="Q464" s="1215"/>
      <c r="R464" s="1215"/>
      <c r="S464" s="1215"/>
      <c r="T464" s="1215"/>
      <c r="U464" s="1215"/>
      <c r="V464" s="1215"/>
      <c r="W464" s="631" t="e">
        <f t="shared" si="78"/>
        <v>#DIV/0!</v>
      </c>
      <c r="X464" s="788"/>
      <c r="Y464" s="788"/>
    </row>
    <row r="465" spans="1:25" s="183" customFormat="1" ht="22.5" customHeight="1" thickTop="1" thickBot="1" x14ac:dyDescent="0.3">
      <c r="A465" s="1441">
        <v>1</v>
      </c>
      <c r="B465" s="1442" t="s">
        <v>1381</v>
      </c>
      <c r="C465" s="1442" t="s">
        <v>1394</v>
      </c>
      <c r="D465" s="1442" t="s">
        <v>1418</v>
      </c>
      <c r="E465" s="1442" t="s">
        <v>1381</v>
      </c>
      <c r="F465" s="1442" t="s">
        <v>1422</v>
      </c>
      <c r="G465" s="1442" t="s">
        <v>1447</v>
      </c>
      <c r="H465" s="1442"/>
      <c r="I465" s="1442"/>
      <c r="J465" s="1442"/>
      <c r="K465" s="771" t="s">
        <v>2513</v>
      </c>
      <c r="L465" s="1215"/>
      <c r="M465" s="1215"/>
      <c r="N465" s="1215"/>
      <c r="O465" s="1206">
        <f t="shared" si="79"/>
        <v>0</v>
      </c>
      <c r="P465" s="1215"/>
      <c r="Q465" s="1215"/>
      <c r="R465" s="1215"/>
      <c r="S465" s="1215"/>
      <c r="T465" s="1215"/>
      <c r="U465" s="1215"/>
      <c r="V465" s="1215"/>
      <c r="W465" s="631" t="e">
        <f t="shared" si="78"/>
        <v>#DIV/0!</v>
      </c>
      <c r="X465" s="788"/>
      <c r="Y465" s="788"/>
    </row>
    <row r="466" spans="1:25" s="183" customFormat="1" ht="22.5" customHeight="1" thickTop="1" thickBot="1" x14ac:dyDescent="0.3">
      <c r="A466" s="1441">
        <v>1</v>
      </c>
      <c r="B466" s="1442" t="s">
        <v>1381</v>
      </c>
      <c r="C466" s="1442" t="s">
        <v>1394</v>
      </c>
      <c r="D466" s="1442" t="s">
        <v>1418</v>
      </c>
      <c r="E466" s="1442" t="s">
        <v>1381</v>
      </c>
      <c r="F466" s="1442" t="s">
        <v>1422</v>
      </c>
      <c r="G466" s="1442" t="s">
        <v>1470</v>
      </c>
      <c r="H466" s="1442"/>
      <c r="I466" s="1442"/>
      <c r="J466" s="1442"/>
      <c r="K466" s="771" t="s">
        <v>2514</v>
      </c>
      <c r="L466" s="1215"/>
      <c r="M466" s="1215"/>
      <c r="N466" s="1215"/>
      <c r="O466" s="1206">
        <f t="shared" si="79"/>
        <v>0</v>
      </c>
      <c r="P466" s="1215"/>
      <c r="Q466" s="1215"/>
      <c r="R466" s="1215"/>
      <c r="S466" s="1215"/>
      <c r="T466" s="1215"/>
      <c r="U466" s="1215"/>
      <c r="V466" s="1215"/>
      <c r="W466" s="631" t="e">
        <f t="shared" si="78"/>
        <v>#DIV/0!</v>
      </c>
      <c r="X466" s="788"/>
      <c r="Y466" s="788"/>
    </row>
    <row r="467" spans="1:25" s="183" customFormat="1" ht="22.5" customHeight="1" thickTop="1" thickBot="1" x14ac:dyDescent="0.3">
      <c r="A467" s="1441">
        <v>1</v>
      </c>
      <c r="B467" s="1442" t="s">
        <v>1381</v>
      </c>
      <c r="C467" s="1442" t="s">
        <v>1394</v>
      </c>
      <c r="D467" s="1442" t="s">
        <v>1418</v>
      </c>
      <c r="E467" s="1442" t="s">
        <v>1381</v>
      </c>
      <c r="F467" s="1442" t="s">
        <v>1422</v>
      </c>
      <c r="G467" s="1442" t="s">
        <v>1474</v>
      </c>
      <c r="H467" s="1442"/>
      <c r="I467" s="1442"/>
      <c r="J467" s="1442"/>
      <c r="K467" s="771" t="s">
        <v>2515</v>
      </c>
      <c r="L467" s="1215"/>
      <c r="M467" s="1215"/>
      <c r="N467" s="1215"/>
      <c r="O467" s="1206">
        <f t="shared" si="79"/>
        <v>0</v>
      </c>
      <c r="P467" s="1215"/>
      <c r="Q467" s="1215"/>
      <c r="R467" s="1215"/>
      <c r="S467" s="1215"/>
      <c r="T467" s="1215"/>
      <c r="U467" s="1215"/>
      <c r="V467" s="1215"/>
      <c r="W467" s="631" t="e">
        <f t="shared" si="78"/>
        <v>#DIV/0!</v>
      </c>
      <c r="X467" s="788"/>
      <c r="Y467" s="788"/>
    </row>
    <row r="468" spans="1:25" s="183" customFormat="1" ht="22.5" customHeight="1" thickTop="1" thickBot="1" x14ac:dyDescent="0.3">
      <c r="A468" s="1441">
        <v>1</v>
      </c>
      <c r="B468" s="1442" t="s">
        <v>1381</v>
      </c>
      <c r="C468" s="1442" t="s">
        <v>1394</v>
      </c>
      <c r="D468" s="1442" t="s">
        <v>1418</v>
      </c>
      <c r="E468" s="1442" t="s">
        <v>1381</v>
      </c>
      <c r="F468" s="1442" t="s">
        <v>1422</v>
      </c>
      <c r="G468" s="1442" t="s">
        <v>1478</v>
      </c>
      <c r="H468" s="1442"/>
      <c r="I468" s="1442"/>
      <c r="J468" s="1442"/>
      <c r="K468" s="771" t="s">
        <v>2516</v>
      </c>
      <c r="L468" s="1215"/>
      <c r="M468" s="1215"/>
      <c r="N468" s="1215"/>
      <c r="O468" s="1206">
        <f t="shared" si="79"/>
        <v>0</v>
      </c>
      <c r="P468" s="1215"/>
      <c r="Q468" s="1215"/>
      <c r="R468" s="1215"/>
      <c r="S468" s="1215"/>
      <c r="T468" s="1215"/>
      <c r="U468" s="1215"/>
      <c r="V468" s="1215"/>
      <c r="W468" s="631" t="e">
        <f t="shared" si="78"/>
        <v>#DIV/0!</v>
      </c>
      <c r="X468" s="788"/>
      <c r="Y468" s="788"/>
    </row>
    <row r="469" spans="1:25" s="183" customFormat="1" ht="22.5" customHeight="1" thickTop="1" thickBot="1" x14ac:dyDescent="0.3">
      <c r="A469" s="1441">
        <v>1</v>
      </c>
      <c r="B469" s="1442" t="s">
        <v>1381</v>
      </c>
      <c r="C469" s="1442" t="s">
        <v>1394</v>
      </c>
      <c r="D469" s="1442" t="s">
        <v>1418</v>
      </c>
      <c r="E469" s="1442" t="s">
        <v>1381</v>
      </c>
      <c r="F469" s="1442" t="s">
        <v>1422</v>
      </c>
      <c r="G469" s="1442" t="s">
        <v>1576</v>
      </c>
      <c r="H469" s="1442"/>
      <c r="I469" s="1442"/>
      <c r="J469" s="1442"/>
      <c r="K469" s="771" t="s">
        <v>2517</v>
      </c>
      <c r="L469" s="1215"/>
      <c r="M469" s="1215"/>
      <c r="N469" s="1215"/>
      <c r="O469" s="1206">
        <f t="shared" si="79"/>
        <v>0</v>
      </c>
      <c r="P469" s="1215"/>
      <c r="Q469" s="1215"/>
      <c r="R469" s="1215"/>
      <c r="S469" s="1215"/>
      <c r="T469" s="1215"/>
      <c r="U469" s="1215"/>
      <c r="V469" s="1215"/>
      <c r="W469" s="631" t="e">
        <f t="shared" si="78"/>
        <v>#DIV/0!</v>
      </c>
      <c r="X469" s="788"/>
      <c r="Y469" s="788"/>
    </row>
    <row r="470" spans="1:25" s="183" customFormat="1" ht="22.5" customHeight="1" thickTop="1" thickBot="1" x14ac:dyDescent="0.3">
      <c r="A470" s="1441">
        <v>1</v>
      </c>
      <c r="B470" s="1442" t="s">
        <v>1381</v>
      </c>
      <c r="C470" s="1442" t="s">
        <v>1394</v>
      </c>
      <c r="D470" s="1442" t="s">
        <v>1418</v>
      </c>
      <c r="E470" s="1442" t="s">
        <v>1381</v>
      </c>
      <c r="F470" s="1442" t="s">
        <v>1422</v>
      </c>
      <c r="G470" s="1442" t="s">
        <v>1577</v>
      </c>
      <c r="H470" s="1442"/>
      <c r="I470" s="1442"/>
      <c r="J470" s="1442"/>
      <c r="K470" s="771" t="s">
        <v>2518</v>
      </c>
      <c r="L470" s="1215"/>
      <c r="M470" s="1215"/>
      <c r="N470" s="1215"/>
      <c r="O470" s="1206">
        <f t="shared" si="79"/>
        <v>0</v>
      </c>
      <c r="P470" s="1215"/>
      <c r="Q470" s="1215"/>
      <c r="R470" s="1215"/>
      <c r="S470" s="1215"/>
      <c r="T470" s="1215"/>
      <c r="U470" s="1215"/>
      <c r="V470" s="1215"/>
      <c r="W470" s="631" t="e">
        <f t="shared" si="78"/>
        <v>#DIV/0!</v>
      </c>
      <c r="X470" s="788"/>
      <c r="Y470" s="788"/>
    </row>
    <row r="471" spans="1:25" s="183" customFormat="1" ht="22.5" customHeight="1" thickTop="1" thickBot="1" x14ac:dyDescent="0.3">
      <c r="A471" s="1441">
        <v>1</v>
      </c>
      <c r="B471" s="1442" t="s">
        <v>1381</v>
      </c>
      <c r="C471" s="1442" t="s">
        <v>1394</v>
      </c>
      <c r="D471" s="1442" t="s">
        <v>1418</v>
      </c>
      <c r="E471" s="1442" t="s">
        <v>1381</v>
      </c>
      <c r="F471" s="1442" t="s">
        <v>1422</v>
      </c>
      <c r="G471" s="1442" t="s">
        <v>1578</v>
      </c>
      <c r="H471" s="1442"/>
      <c r="I471" s="1442"/>
      <c r="J471" s="1442"/>
      <c r="K471" s="771" t="s">
        <v>2519</v>
      </c>
      <c r="L471" s="1215"/>
      <c r="M471" s="1215"/>
      <c r="N471" s="1215"/>
      <c r="O471" s="1206">
        <f t="shared" si="79"/>
        <v>0</v>
      </c>
      <c r="P471" s="1215"/>
      <c r="Q471" s="1215"/>
      <c r="R471" s="1215"/>
      <c r="S471" s="1215"/>
      <c r="T471" s="1215"/>
      <c r="U471" s="1215"/>
      <c r="V471" s="1215"/>
      <c r="W471" s="631" t="e">
        <f t="shared" si="78"/>
        <v>#DIV/0!</v>
      </c>
      <c r="X471" s="788"/>
      <c r="Y471" s="788"/>
    </row>
    <row r="472" spans="1:25" s="183" customFormat="1" ht="22.5" customHeight="1" thickTop="1" thickBot="1" x14ac:dyDescent="0.3">
      <c r="A472" s="1439">
        <v>1</v>
      </c>
      <c r="B472" s="1440" t="s">
        <v>1381</v>
      </c>
      <c r="C472" s="1440" t="s">
        <v>1394</v>
      </c>
      <c r="D472" s="1440" t="s">
        <v>1418</v>
      </c>
      <c r="E472" s="1440" t="s">
        <v>1381</v>
      </c>
      <c r="F472" s="1440" t="s">
        <v>1447</v>
      </c>
      <c r="G472" s="1440"/>
      <c r="H472" s="1440"/>
      <c r="I472" s="1440"/>
      <c r="J472" s="1440"/>
      <c r="K472" s="770" t="s">
        <v>2034</v>
      </c>
      <c r="L472" s="1215">
        <f>SUM(L473:L483)</f>
        <v>0</v>
      </c>
      <c r="M472" s="1215">
        <f t="shared" ref="M472:V472" si="81">SUM(M473:M483)</f>
        <v>0</v>
      </c>
      <c r="N472" s="1215">
        <f t="shared" si="81"/>
        <v>0</v>
      </c>
      <c r="O472" s="1206">
        <f t="shared" si="79"/>
        <v>0</v>
      </c>
      <c r="P472" s="1215">
        <f t="shared" si="81"/>
        <v>0</v>
      </c>
      <c r="Q472" s="1215">
        <f t="shared" si="81"/>
        <v>0</v>
      </c>
      <c r="R472" s="1215">
        <f t="shared" si="81"/>
        <v>0</v>
      </c>
      <c r="S472" s="1215"/>
      <c r="T472" s="1215">
        <f t="shared" si="81"/>
        <v>0</v>
      </c>
      <c r="U472" s="1215">
        <f t="shared" si="81"/>
        <v>0</v>
      </c>
      <c r="V472" s="1215">
        <f t="shared" si="81"/>
        <v>0</v>
      </c>
      <c r="W472" s="631" t="e">
        <f t="shared" si="78"/>
        <v>#DIV/0!</v>
      </c>
      <c r="X472" s="788" t="s">
        <v>2046</v>
      </c>
      <c r="Y472" s="788"/>
    </row>
    <row r="473" spans="1:25" s="183" customFormat="1" ht="22.5" customHeight="1" thickTop="1" thickBot="1" x14ac:dyDescent="0.3">
      <c r="A473" s="1441">
        <v>1</v>
      </c>
      <c r="B473" s="1442" t="s">
        <v>1381</v>
      </c>
      <c r="C473" s="1442" t="s">
        <v>1394</v>
      </c>
      <c r="D473" s="1442" t="s">
        <v>1418</v>
      </c>
      <c r="E473" s="1442" t="s">
        <v>1381</v>
      </c>
      <c r="F473" s="1442" t="s">
        <v>1447</v>
      </c>
      <c r="G473" s="1442" t="s">
        <v>1381</v>
      </c>
      <c r="H473" s="1442"/>
      <c r="I473" s="1442"/>
      <c r="J473" s="1442"/>
      <c r="K473" s="771" t="s">
        <v>2520</v>
      </c>
      <c r="L473" s="1215"/>
      <c r="M473" s="1215"/>
      <c r="N473" s="1215"/>
      <c r="O473" s="1206">
        <f t="shared" si="79"/>
        <v>0</v>
      </c>
      <c r="P473" s="1215"/>
      <c r="Q473" s="1215"/>
      <c r="R473" s="1215"/>
      <c r="S473" s="1215"/>
      <c r="T473" s="1215"/>
      <c r="U473" s="1215"/>
      <c r="V473" s="1215"/>
      <c r="W473" s="631" t="e">
        <f t="shared" si="78"/>
        <v>#DIV/0!</v>
      </c>
      <c r="X473" s="788"/>
      <c r="Y473" s="788"/>
    </row>
    <row r="474" spans="1:25" s="183" customFormat="1" ht="22.5" customHeight="1" thickTop="1" thickBot="1" x14ac:dyDescent="0.3">
      <c r="A474" s="1441">
        <v>1</v>
      </c>
      <c r="B474" s="1442" t="s">
        <v>1381</v>
      </c>
      <c r="C474" s="1442" t="s">
        <v>1394</v>
      </c>
      <c r="D474" s="1442" t="s">
        <v>1418</v>
      </c>
      <c r="E474" s="1442" t="s">
        <v>1381</v>
      </c>
      <c r="F474" s="1442" t="s">
        <v>1447</v>
      </c>
      <c r="G474" s="1442" t="s">
        <v>1394</v>
      </c>
      <c r="H474" s="1442"/>
      <c r="I474" s="1442"/>
      <c r="J474" s="1442"/>
      <c r="K474" s="771" t="s">
        <v>2521</v>
      </c>
      <c r="L474" s="1215"/>
      <c r="M474" s="1215"/>
      <c r="N474" s="1215"/>
      <c r="O474" s="1206">
        <f t="shared" si="79"/>
        <v>0</v>
      </c>
      <c r="P474" s="1215"/>
      <c r="Q474" s="1215"/>
      <c r="R474" s="1215"/>
      <c r="S474" s="1215"/>
      <c r="T474" s="1215"/>
      <c r="U474" s="1215"/>
      <c r="V474" s="1215"/>
      <c r="W474" s="631" t="e">
        <f t="shared" si="78"/>
        <v>#DIV/0!</v>
      </c>
      <c r="X474" s="788"/>
      <c r="Y474" s="788"/>
    </row>
    <row r="475" spans="1:25" s="183" customFormat="1" ht="22.5" customHeight="1" thickTop="1" thickBot="1" x14ac:dyDescent="0.3">
      <c r="A475" s="1441">
        <v>1</v>
      </c>
      <c r="B475" s="1442" t="s">
        <v>1381</v>
      </c>
      <c r="C475" s="1442" t="s">
        <v>1394</v>
      </c>
      <c r="D475" s="1442" t="s">
        <v>1418</v>
      </c>
      <c r="E475" s="1442" t="s">
        <v>1381</v>
      </c>
      <c r="F475" s="1442" t="s">
        <v>1447</v>
      </c>
      <c r="G475" s="1442" t="s">
        <v>1418</v>
      </c>
      <c r="H475" s="1442"/>
      <c r="I475" s="1442"/>
      <c r="J475" s="1442"/>
      <c r="K475" s="771" t="s">
        <v>2522</v>
      </c>
      <c r="L475" s="1215"/>
      <c r="M475" s="1215"/>
      <c r="N475" s="1215"/>
      <c r="O475" s="1206">
        <f t="shared" si="79"/>
        <v>0</v>
      </c>
      <c r="P475" s="1215"/>
      <c r="Q475" s="1215"/>
      <c r="R475" s="1215"/>
      <c r="S475" s="1215"/>
      <c r="T475" s="1215"/>
      <c r="U475" s="1215"/>
      <c r="V475" s="1215"/>
      <c r="W475" s="631" t="e">
        <f t="shared" si="78"/>
        <v>#DIV/0!</v>
      </c>
      <c r="X475" s="788"/>
      <c r="Y475" s="788"/>
    </row>
    <row r="476" spans="1:25" s="183" customFormat="1" ht="22.5" customHeight="1" thickTop="1" thickBot="1" x14ac:dyDescent="0.3">
      <c r="A476" s="1441">
        <v>1</v>
      </c>
      <c r="B476" s="1442" t="s">
        <v>1381</v>
      </c>
      <c r="C476" s="1442" t="s">
        <v>1394</v>
      </c>
      <c r="D476" s="1442" t="s">
        <v>1418</v>
      </c>
      <c r="E476" s="1442" t="s">
        <v>1381</v>
      </c>
      <c r="F476" s="1442" t="s">
        <v>1447</v>
      </c>
      <c r="G476" s="1442" t="s">
        <v>1422</v>
      </c>
      <c r="H476" s="1442"/>
      <c r="I476" s="1442"/>
      <c r="J476" s="1442"/>
      <c r="K476" s="771" t="s">
        <v>2523</v>
      </c>
      <c r="L476" s="1215"/>
      <c r="M476" s="1215"/>
      <c r="N476" s="1215"/>
      <c r="O476" s="1206">
        <f t="shared" si="79"/>
        <v>0</v>
      </c>
      <c r="P476" s="1215"/>
      <c r="Q476" s="1215"/>
      <c r="R476" s="1215"/>
      <c r="S476" s="1215"/>
      <c r="T476" s="1215"/>
      <c r="U476" s="1215"/>
      <c r="V476" s="1215"/>
      <c r="W476" s="631" t="e">
        <f t="shared" si="78"/>
        <v>#DIV/0!</v>
      </c>
      <c r="X476" s="788"/>
      <c r="Y476" s="788"/>
    </row>
    <row r="477" spans="1:25" s="183" customFormat="1" ht="22.5" customHeight="1" thickTop="1" thickBot="1" x14ac:dyDescent="0.3">
      <c r="A477" s="1441">
        <v>1</v>
      </c>
      <c r="B477" s="1442" t="s">
        <v>1381</v>
      </c>
      <c r="C477" s="1442" t="s">
        <v>1394</v>
      </c>
      <c r="D477" s="1442" t="s">
        <v>1418</v>
      </c>
      <c r="E477" s="1442" t="s">
        <v>1381</v>
      </c>
      <c r="F477" s="1442" t="s">
        <v>1447</v>
      </c>
      <c r="G477" s="1442" t="s">
        <v>1447</v>
      </c>
      <c r="H477" s="1442"/>
      <c r="I477" s="1442"/>
      <c r="J477" s="1442"/>
      <c r="K477" s="771" t="s">
        <v>2524</v>
      </c>
      <c r="L477" s="1215"/>
      <c r="M477" s="1215"/>
      <c r="N477" s="1215"/>
      <c r="O477" s="1206">
        <f t="shared" si="79"/>
        <v>0</v>
      </c>
      <c r="P477" s="1215"/>
      <c r="Q477" s="1215"/>
      <c r="R477" s="1215"/>
      <c r="S477" s="1215"/>
      <c r="T477" s="1215"/>
      <c r="U477" s="1215"/>
      <c r="V477" s="1215"/>
      <c r="W477" s="631" t="e">
        <f t="shared" si="78"/>
        <v>#DIV/0!</v>
      </c>
      <c r="X477" s="788"/>
      <c r="Y477" s="788"/>
    </row>
    <row r="478" spans="1:25" s="183" customFormat="1" ht="22.5" customHeight="1" thickTop="1" thickBot="1" x14ac:dyDescent="0.3">
      <c r="A478" s="1441">
        <v>1</v>
      </c>
      <c r="B478" s="1442" t="s">
        <v>1381</v>
      </c>
      <c r="C478" s="1442" t="s">
        <v>1394</v>
      </c>
      <c r="D478" s="1442" t="s">
        <v>1418</v>
      </c>
      <c r="E478" s="1442" t="s">
        <v>1381</v>
      </c>
      <c r="F478" s="1442" t="s">
        <v>1447</v>
      </c>
      <c r="G478" s="1442" t="s">
        <v>1470</v>
      </c>
      <c r="H478" s="1442"/>
      <c r="I478" s="1442"/>
      <c r="J478" s="1442"/>
      <c r="K478" s="771" t="s">
        <v>2525</v>
      </c>
      <c r="L478" s="1215"/>
      <c r="M478" s="1215"/>
      <c r="N478" s="1215"/>
      <c r="O478" s="1206">
        <f t="shared" si="79"/>
        <v>0</v>
      </c>
      <c r="P478" s="1215"/>
      <c r="Q478" s="1215"/>
      <c r="R478" s="1215"/>
      <c r="S478" s="1215"/>
      <c r="T478" s="1215"/>
      <c r="U478" s="1215"/>
      <c r="V478" s="1215"/>
      <c r="W478" s="631" t="e">
        <f t="shared" si="78"/>
        <v>#DIV/0!</v>
      </c>
      <c r="X478" s="788"/>
      <c r="Y478" s="788"/>
    </row>
    <row r="479" spans="1:25" s="183" customFormat="1" ht="22.5" customHeight="1" thickTop="1" thickBot="1" x14ac:dyDescent="0.3">
      <c r="A479" s="1441">
        <v>1</v>
      </c>
      <c r="B479" s="1442" t="s">
        <v>1381</v>
      </c>
      <c r="C479" s="1442" t="s">
        <v>1394</v>
      </c>
      <c r="D479" s="1442" t="s">
        <v>1418</v>
      </c>
      <c r="E479" s="1442" t="s">
        <v>1381</v>
      </c>
      <c r="F479" s="1442" t="s">
        <v>1447</v>
      </c>
      <c r="G479" s="1442" t="s">
        <v>1474</v>
      </c>
      <c r="H479" s="1442"/>
      <c r="I479" s="1442"/>
      <c r="J479" s="1442"/>
      <c r="K479" s="771" t="s">
        <v>2526</v>
      </c>
      <c r="L479" s="1215"/>
      <c r="M479" s="1215"/>
      <c r="N479" s="1215"/>
      <c r="O479" s="1206">
        <f t="shared" si="79"/>
        <v>0</v>
      </c>
      <c r="P479" s="1215"/>
      <c r="Q479" s="1215"/>
      <c r="R479" s="1215"/>
      <c r="S479" s="1215"/>
      <c r="T479" s="1215"/>
      <c r="U479" s="1215"/>
      <c r="V479" s="1215"/>
      <c r="W479" s="631" t="e">
        <f t="shared" si="78"/>
        <v>#DIV/0!</v>
      </c>
      <c r="X479" s="788"/>
      <c r="Y479" s="788"/>
    </row>
    <row r="480" spans="1:25" s="183" customFormat="1" ht="22.5" customHeight="1" thickTop="1" thickBot="1" x14ac:dyDescent="0.3">
      <c r="A480" s="1441">
        <v>1</v>
      </c>
      <c r="B480" s="1442" t="s">
        <v>1381</v>
      </c>
      <c r="C480" s="1442" t="s">
        <v>1394</v>
      </c>
      <c r="D480" s="1442" t="s">
        <v>1418</v>
      </c>
      <c r="E480" s="1442" t="s">
        <v>1381</v>
      </c>
      <c r="F480" s="1442" t="s">
        <v>1447</v>
      </c>
      <c r="G480" s="1442" t="s">
        <v>1478</v>
      </c>
      <c r="H480" s="1442"/>
      <c r="I480" s="1442"/>
      <c r="J480" s="1442"/>
      <c r="K480" s="771" t="s">
        <v>2527</v>
      </c>
      <c r="L480" s="1215"/>
      <c r="M480" s="1215"/>
      <c r="N480" s="1215"/>
      <c r="O480" s="1206">
        <f t="shared" si="79"/>
        <v>0</v>
      </c>
      <c r="P480" s="1215"/>
      <c r="Q480" s="1215"/>
      <c r="R480" s="1215"/>
      <c r="S480" s="1215"/>
      <c r="T480" s="1215"/>
      <c r="U480" s="1215"/>
      <c r="V480" s="1215"/>
      <c r="W480" s="631" t="e">
        <f t="shared" si="78"/>
        <v>#DIV/0!</v>
      </c>
      <c r="X480" s="788"/>
      <c r="Y480" s="788"/>
    </row>
    <row r="481" spans="1:25" s="183" customFormat="1" ht="22.5" customHeight="1" thickTop="1" thickBot="1" x14ac:dyDescent="0.3">
      <c r="A481" s="1441">
        <v>1</v>
      </c>
      <c r="B481" s="1442" t="s">
        <v>1381</v>
      </c>
      <c r="C481" s="1442" t="s">
        <v>1394</v>
      </c>
      <c r="D481" s="1442" t="s">
        <v>1418</v>
      </c>
      <c r="E481" s="1442" t="s">
        <v>1381</v>
      </c>
      <c r="F481" s="1442" t="s">
        <v>1447</v>
      </c>
      <c r="G481" s="1442" t="s">
        <v>1576</v>
      </c>
      <c r="H481" s="1442"/>
      <c r="I481" s="1442"/>
      <c r="J481" s="1442"/>
      <c r="K481" s="771" t="s">
        <v>2528</v>
      </c>
      <c r="L481" s="1215"/>
      <c r="M481" s="1215"/>
      <c r="N481" s="1215"/>
      <c r="O481" s="1206">
        <f t="shared" si="79"/>
        <v>0</v>
      </c>
      <c r="P481" s="1215"/>
      <c r="Q481" s="1215"/>
      <c r="R481" s="1215"/>
      <c r="S481" s="1215"/>
      <c r="T481" s="1215"/>
      <c r="U481" s="1215"/>
      <c r="V481" s="1215"/>
      <c r="W481" s="631" t="e">
        <f t="shared" si="78"/>
        <v>#DIV/0!</v>
      </c>
      <c r="X481" s="788"/>
      <c r="Y481" s="788"/>
    </row>
    <row r="482" spans="1:25" s="183" customFormat="1" ht="22.5" customHeight="1" thickTop="1" thickBot="1" x14ac:dyDescent="0.3">
      <c r="A482" s="1441">
        <v>1</v>
      </c>
      <c r="B482" s="1442" t="s">
        <v>1381</v>
      </c>
      <c r="C482" s="1442" t="s">
        <v>1394</v>
      </c>
      <c r="D482" s="1442" t="s">
        <v>1418</v>
      </c>
      <c r="E482" s="1442" t="s">
        <v>1381</v>
      </c>
      <c r="F482" s="1442" t="s">
        <v>1447</v>
      </c>
      <c r="G482" s="1442" t="s">
        <v>1577</v>
      </c>
      <c r="H482" s="1442"/>
      <c r="I482" s="1442"/>
      <c r="J482" s="1442"/>
      <c r="K482" s="771" t="s">
        <v>2529</v>
      </c>
      <c r="L482" s="1215"/>
      <c r="M482" s="1215"/>
      <c r="N482" s="1215"/>
      <c r="O482" s="1206">
        <f t="shared" si="79"/>
        <v>0</v>
      </c>
      <c r="P482" s="1215"/>
      <c r="Q482" s="1215"/>
      <c r="R482" s="1215"/>
      <c r="S482" s="1215"/>
      <c r="T482" s="1215"/>
      <c r="U482" s="1215"/>
      <c r="V482" s="1215"/>
      <c r="W482" s="631" t="e">
        <f t="shared" si="78"/>
        <v>#DIV/0!</v>
      </c>
      <c r="X482" s="788"/>
      <c r="Y482" s="788"/>
    </row>
    <row r="483" spans="1:25" s="183" customFormat="1" ht="22.5" customHeight="1" thickTop="1" thickBot="1" x14ac:dyDescent="0.3">
      <c r="A483" s="1441">
        <v>1</v>
      </c>
      <c r="B483" s="1442" t="s">
        <v>1381</v>
      </c>
      <c r="C483" s="1442" t="s">
        <v>1394</v>
      </c>
      <c r="D483" s="1442" t="s">
        <v>1418</v>
      </c>
      <c r="E483" s="1442" t="s">
        <v>1381</v>
      </c>
      <c r="F483" s="1442" t="s">
        <v>1447</v>
      </c>
      <c r="G483" s="1442" t="s">
        <v>1578</v>
      </c>
      <c r="H483" s="1442"/>
      <c r="I483" s="1442"/>
      <c r="J483" s="1442"/>
      <c r="K483" s="771" t="s">
        <v>2530</v>
      </c>
      <c r="L483" s="1215"/>
      <c r="M483" s="1215"/>
      <c r="N483" s="1215"/>
      <c r="O483" s="1206">
        <f t="shared" si="79"/>
        <v>0</v>
      </c>
      <c r="P483" s="1215"/>
      <c r="Q483" s="1215"/>
      <c r="R483" s="1215"/>
      <c r="S483" s="1215"/>
      <c r="T483" s="1215"/>
      <c r="U483" s="1215"/>
      <c r="V483" s="1215"/>
      <c r="W483" s="631" t="e">
        <f t="shared" si="78"/>
        <v>#DIV/0!</v>
      </c>
      <c r="X483" s="788"/>
      <c r="Y483" s="788"/>
    </row>
    <row r="484" spans="1:25" s="183" customFormat="1" ht="22.5" customHeight="1" thickTop="1" thickBot="1" x14ac:dyDescent="0.3">
      <c r="A484" s="1433">
        <v>1</v>
      </c>
      <c r="B484" s="1434" t="s">
        <v>1381</v>
      </c>
      <c r="C484" s="1434" t="s">
        <v>1394</v>
      </c>
      <c r="D484" s="1434" t="s">
        <v>1422</v>
      </c>
      <c r="E484" s="1434"/>
      <c r="F484" s="1434"/>
      <c r="G484" s="1434"/>
      <c r="H484" s="1434"/>
      <c r="I484" s="1434"/>
      <c r="J484" s="1434"/>
      <c r="K484" s="1435" t="s">
        <v>1595</v>
      </c>
      <c r="L484" s="1208">
        <f>+L485</f>
        <v>0</v>
      </c>
      <c r="M484" s="1208">
        <f t="shared" ref="M484:V484" si="82">+M485</f>
        <v>0</v>
      </c>
      <c r="N484" s="1208">
        <f t="shared" si="82"/>
        <v>0</v>
      </c>
      <c r="O484" s="1206">
        <f t="shared" si="79"/>
        <v>0</v>
      </c>
      <c r="P484" s="1208">
        <f t="shared" si="82"/>
        <v>0</v>
      </c>
      <c r="Q484" s="1208">
        <f t="shared" si="82"/>
        <v>0</v>
      </c>
      <c r="R484" s="1208">
        <f t="shared" si="82"/>
        <v>0</v>
      </c>
      <c r="S484" s="1208"/>
      <c r="T484" s="1208">
        <f t="shared" si="82"/>
        <v>0</v>
      </c>
      <c r="U484" s="1208">
        <f t="shared" si="82"/>
        <v>0</v>
      </c>
      <c r="V484" s="1208">
        <f t="shared" si="82"/>
        <v>0</v>
      </c>
      <c r="W484" s="617" t="e">
        <f t="shared" si="78"/>
        <v>#DIV/0!</v>
      </c>
      <c r="X484" s="788" t="s">
        <v>2047</v>
      </c>
      <c r="Y484" s="788" t="s">
        <v>2040</v>
      </c>
    </row>
    <row r="485" spans="1:25" s="183" customFormat="1" ht="22.5" customHeight="1" thickTop="1" thickBot="1" x14ac:dyDescent="0.3">
      <c r="A485" s="1436">
        <v>1</v>
      </c>
      <c r="B485" s="1437" t="s">
        <v>1381</v>
      </c>
      <c r="C485" s="1437" t="s">
        <v>1394</v>
      </c>
      <c r="D485" s="1437" t="s">
        <v>1422</v>
      </c>
      <c r="E485" s="1437" t="s">
        <v>1381</v>
      </c>
      <c r="F485" s="1437"/>
      <c r="G485" s="1437"/>
      <c r="H485" s="1437"/>
      <c r="I485" s="1437"/>
      <c r="J485" s="1437"/>
      <c r="K485" s="1438" t="s">
        <v>1597</v>
      </c>
      <c r="L485" s="1209">
        <f>+L486+L498+L510+L522+L534+L546+L558</f>
        <v>0</v>
      </c>
      <c r="M485" s="1209">
        <f t="shared" ref="M485:V485" si="83">+M486+M498+M510+M522+M534+M546+M558</f>
        <v>0</v>
      </c>
      <c r="N485" s="1209">
        <f t="shared" si="83"/>
        <v>0</v>
      </c>
      <c r="O485" s="1206">
        <f t="shared" si="79"/>
        <v>0</v>
      </c>
      <c r="P485" s="1209">
        <f t="shared" si="83"/>
        <v>0</v>
      </c>
      <c r="Q485" s="1209">
        <f t="shared" si="83"/>
        <v>0</v>
      </c>
      <c r="R485" s="1209">
        <f t="shared" si="83"/>
        <v>0</v>
      </c>
      <c r="S485" s="1209"/>
      <c r="T485" s="1209">
        <f t="shared" si="83"/>
        <v>0</v>
      </c>
      <c r="U485" s="1209">
        <f t="shared" si="83"/>
        <v>0</v>
      </c>
      <c r="V485" s="1209">
        <f t="shared" si="83"/>
        <v>0</v>
      </c>
      <c r="W485" s="777" t="e">
        <f t="shared" si="78"/>
        <v>#DIV/0!</v>
      </c>
      <c r="X485" s="788" t="s">
        <v>2048</v>
      </c>
      <c r="Y485" s="788" t="s">
        <v>2049</v>
      </c>
    </row>
    <row r="486" spans="1:25" s="183" customFormat="1" ht="22.5" customHeight="1" thickTop="1" thickBot="1" x14ac:dyDescent="0.3">
      <c r="A486" s="1439">
        <v>1</v>
      </c>
      <c r="B486" s="1440" t="s">
        <v>1381</v>
      </c>
      <c r="C486" s="1440" t="s">
        <v>1394</v>
      </c>
      <c r="D486" s="1440" t="s">
        <v>1422</v>
      </c>
      <c r="E486" s="1440" t="s">
        <v>1381</v>
      </c>
      <c r="F486" s="1440" t="s">
        <v>1381</v>
      </c>
      <c r="G486" s="1440"/>
      <c r="H486" s="1440"/>
      <c r="I486" s="1440"/>
      <c r="J486" s="1440"/>
      <c r="K486" s="770" t="s">
        <v>2030</v>
      </c>
      <c r="L486" s="1215">
        <f>SUM(L487:L497)</f>
        <v>0</v>
      </c>
      <c r="M486" s="1215">
        <f t="shared" ref="M486:V486" si="84">SUM(M487:M497)</f>
        <v>0</v>
      </c>
      <c r="N486" s="1215">
        <f t="shared" si="84"/>
        <v>0</v>
      </c>
      <c r="O486" s="1206">
        <f t="shared" si="79"/>
        <v>0</v>
      </c>
      <c r="P486" s="1215">
        <f t="shared" si="84"/>
        <v>0</v>
      </c>
      <c r="Q486" s="1215">
        <f t="shared" si="84"/>
        <v>0</v>
      </c>
      <c r="R486" s="1215">
        <f t="shared" si="84"/>
        <v>0</v>
      </c>
      <c r="S486" s="1215"/>
      <c r="T486" s="1215">
        <f t="shared" si="84"/>
        <v>0</v>
      </c>
      <c r="U486" s="1215">
        <f t="shared" si="84"/>
        <v>0</v>
      </c>
      <c r="V486" s="1215">
        <f t="shared" si="84"/>
        <v>0</v>
      </c>
      <c r="W486" s="631" t="e">
        <f t="shared" si="78"/>
        <v>#DIV/0!</v>
      </c>
      <c r="X486" s="788" t="s">
        <v>1601</v>
      </c>
      <c r="Y486" s="788" t="s">
        <v>1587</v>
      </c>
    </row>
    <row r="487" spans="1:25" s="183" customFormat="1" ht="22.5" customHeight="1" thickTop="1" thickBot="1" x14ac:dyDescent="0.3">
      <c r="A487" s="1441">
        <v>1</v>
      </c>
      <c r="B487" s="1442" t="s">
        <v>1381</v>
      </c>
      <c r="C487" s="1442" t="s">
        <v>1394</v>
      </c>
      <c r="D487" s="1442" t="s">
        <v>1422</v>
      </c>
      <c r="E487" s="1442" t="s">
        <v>1381</v>
      </c>
      <c r="F487" s="1442" t="s">
        <v>1381</v>
      </c>
      <c r="G487" s="1442" t="s">
        <v>1381</v>
      </c>
      <c r="H487" s="1442"/>
      <c r="I487" s="1442"/>
      <c r="J487" s="1442"/>
      <c r="K487" s="771" t="s">
        <v>2555</v>
      </c>
      <c r="L487" s="1215"/>
      <c r="M487" s="1215"/>
      <c r="N487" s="1215"/>
      <c r="O487" s="1206">
        <f t="shared" si="79"/>
        <v>0</v>
      </c>
      <c r="P487" s="1215"/>
      <c r="Q487" s="1215"/>
      <c r="R487" s="1215"/>
      <c r="S487" s="1215"/>
      <c r="T487" s="1215"/>
      <c r="U487" s="1215"/>
      <c r="V487" s="1215"/>
      <c r="W487" s="631" t="e">
        <f t="shared" si="78"/>
        <v>#DIV/0!</v>
      </c>
      <c r="X487" s="788"/>
      <c r="Y487" s="788"/>
    </row>
    <row r="488" spans="1:25" s="183" customFormat="1" ht="22.5" customHeight="1" thickTop="1" thickBot="1" x14ac:dyDescent="0.3">
      <c r="A488" s="1441">
        <v>1</v>
      </c>
      <c r="B488" s="1442" t="s">
        <v>1381</v>
      </c>
      <c r="C488" s="1442" t="s">
        <v>1394</v>
      </c>
      <c r="D488" s="1442" t="s">
        <v>1422</v>
      </c>
      <c r="E488" s="1442" t="s">
        <v>1381</v>
      </c>
      <c r="F488" s="1442" t="s">
        <v>1381</v>
      </c>
      <c r="G488" s="1442" t="s">
        <v>1394</v>
      </c>
      <c r="H488" s="1442"/>
      <c r="I488" s="1442"/>
      <c r="J488" s="1442"/>
      <c r="K488" s="771" t="s">
        <v>2556</v>
      </c>
      <c r="L488" s="1215"/>
      <c r="M488" s="1215"/>
      <c r="N488" s="1215"/>
      <c r="O488" s="1206">
        <f t="shared" si="79"/>
        <v>0</v>
      </c>
      <c r="P488" s="1215"/>
      <c r="Q488" s="1215"/>
      <c r="R488" s="1215"/>
      <c r="S488" s="1215"/>
      <c r="T488" s="1215"/>
      <c r="U488" s="1215"/>
      <c r="V488" s="1215"/>
      <c r="W488" s="631" t="e">
        <f t="shared" si="78"/>
        <v>#DIV/0!</v>
      </c>
      <c r="X488" s="788"/>
      <c r="Y488" s="788"/>
    </row>
    <row r="489" spans="1:25" s="183" customFormat="1" ht="22.5" customHeight="1" thickTop="1" thickBot="1" x14ac:dyDescent="0.3">
      <c r="A489" s="1441">
        <v>1</v>
      </c>
      <c r="B489" s="1442" t="s">
        <v>1381</v>
      </c>
      <c r="C489" s="1442" t="s">
        <v>1394</v>
      </c>
      <c r="D489" s="1442" t="s">
        <v>1422</v>
      </c>
      <c r="E489" s="1442" t="s">
        <v>1381</v>
      </c>
      <c r="F489" s="1442" t="s">
        <v>1381</v>
      </c>
      <c r="G489" s="1442" t="s">
        <v>1418</v>
      </c>
      <c r="H489" s="1442"/>
      <c r="I489" s="1442"/>
      <c r="J489" s="1442"/>
      <c r="K489" s="771" t="s">
        <v>2557</v>
      </c>
      <c r="L489" s="1215"/>
      <c r="M489" s="1215"/>
      <c r="N489" s="1215"/>
      <c r="O489" s="1206">
        <f t="shared" si="79"/>
        <v>0</v>
      </c>
      <c r="P489" s="1215"/>
      <c r="Q489" s="1215"/>
      <c r="R489" s="1215"/>
      <c r="S489" s="1215"/>
      <c r="T489" s="1215"/>
      <c r="U489" s="1215"/>
      <c r="V489" s="1215"/>
      <c r="W489" s="631" t="e">
        <f t="shared" si="78"/>
        <v>#DIV/0!</v>
      </c>
      <c r="X489" s="788"/>
      <c r="Y489" s="788"/>
    </row>
    <row r="490" spans="1:25" s="183" customFormat="1" ht="22.5" customHeight="1" thickTop="1" thickBot="1" x14ac:dyDescent="0.3">
      <c r="A490" s="1441">
        <v>1</v>
      </c>
      <c r="B490" s="1442" t="s">
        <v>1381</v>
      </c>
      <c r="C490" s="1442" t="s">
        <v>1394</v>
      </c>
      <c r="D490" s="1442" t="s">
        <v>1422</v>
      </c>
      <c r="E490" s="1442" t="s">
        <v>1381</v>
      </c>
      <c r="F490" s="1442" t="s">
        <v>1381</v>
      </c>
      <c r="G490" s="1442" t="s">
        <v>1422</v>
      </c>
      <c r="H490" s="1442"/>
      <c r="I490" s="1442"/>
      <c r="J490" s="1442"/>
      <c r="K490" s="771" t="s">
        <v>2558</v>
      </c>
      <c r="L490" s="1215"/>
      <c r="M490" s="1215"/>
      <c r="N490" s="1215"/>
      <c r="O490" s="1206">
        <f t="shared" si="79"/>
        <v>0</v>
      </c>
      <c r="P490" s="1215"/>
      <c r="Q490" s="1215"/>
      <c r="R490" s="1215"/>
      <c r="S490" s="1215"/>
      <c r="T490" s="1215"/>
      <c r="U490" s="1215"/>
      <c r="V490" s="1215"/>
      <c r="W490" s="631" t="e">
        <f t="shared" si="78"/>
        <v>#DIV/0!</v>
      </c>
      <c r="X490" s="788"/>
      <c r="Y490" s="788"/>
    </row>
    <row r="491" spans="1:25" s="183" customFormat="1" ht="22.5" customHeight="1" thickTop="1" thickBot="1" x14ac:dyDescent="0.3">
      <c r="A491" s="1441">
        <v>1</v>
      </c>
      <c r="B491" s="1442" t="s">
        <v>1381</v>
      </c>
      <c r="C491" s="1442" t="s">
        <v>1394</v>
      </c>
      <c r="D491" s="1442" t="s">
        <v>1422</v>
      </c>
      <c r="E491" s="1442" t="s">
        <v>1381</v>
      </c>
      <c r="F491" s="1442" t="s">
        <v>1381</v>
      </c>
      <c r="G491" s="1442" t="s">
        <v>1447</v>
      </c>
      <c r="H491" s="1442"/>
      <c r="I491" s="1442"/>
      <c r="J491" s="1442"/>
      <c r="K491" s="771" t="s">
        <v>2559</v>
      </c>
      <c r="L491" s="1215"/>
      <c r="M491" s="1215"/>
      <c r="N491" s="1215"/>
      <c r="O491" s="1206">
        <f t="shared" si="79"/>
        <v>0</v>
      </c>
      <c r="P491" s="1215"/>
      <c r="Q491" s="1215"/>
      <c r="R491" s="1215"/>
      <c r="S491" s="1215"/>
      <c r="T491" s="1215"/>
      <c r="U491" s="1215"/>
      <c r="V491" s="1215"/>
      <c r="W491" s="631" t="e">
        <f t="shared" si="78"/>
        <v>#DIV/0!</v>
      </c>
      <c r="X491" s="788"/>
      <c r="Y491" s="788"/>
    </row>
    <row r="492" spans="1:25" s="183" customFormat="1" ht="22.5" customHeight="1" thickTop="1" thickBot="1" x14ac:dyDescent="0.3">
      <c r="A492" s="1441">
        <v>1</v>
      </c>
      <c r="B492" s="1442" t="s">
        <v>1381</v>
      </c>
      <c r="C492" s="1442" t="s">
        <v>1394</v>
      </c>
      <c r="D492" s="1442" t="s">
        <v>1422</v>
      </c>
      <c r="E492" s="1442" t="s">
        <v>1381</v>
      </c>
      <c r="F492" s="1442" t="s">
        <v>1381</v>
      </c>
      <c r="G492" s="1442" t="s">
        <v>1470</v>
      </c>
      <c r="H492" s="1442"/>
      <c r="I492" s="1442"/>
      <c r="J492" s="1442"/>
      <c r="K492" s="771" t="s">
        <v>2560</v>
      </c>
      <c r="L492" s="1215"/>
      <c r="M492" s="1215"/>
      <c r="N492" s="1215"/>
      <c r="O492" s="1206">
        <f t="shared" si="79"/>
        <v>0</v>
      </c>
      <c r="P492" s="1215"/>
      <c r="Q492" s="1215"/>
      <c r="R492" s="1215"/>
      <c r="S492" s="1215"/>
      <c r="T492" s="1215"/>
      <c r="U492" s="1215"/>
      <c r="V492" s="1215"/>
      <c r="W492" s="631" t="e">
        <f t="shared" si="78"/>
        <v>#DIV/0!</v>
      </c>
      <c r="X492" s="788"/>
      <c r="Y492" s="788"/>
    </row>
    <row r="493" spans="1:25" s="183" customFormat="1" ht="22.5" customHeight="1" thickTop="1" thickBot="1" x14ac:dyDescent="0.3">
      <c r="A493" s="1441">
        <v>1</v>
      </c>
      <c r="B493" s="1442" t="s">
        <v>1381</v>
      </c>
      <c r="C493" s="1442" t="s">
        <v>1394</v>
      </c>
      <c r="D493" s="1442" t="s">
        <v>1422</v>
      </c>
      <c r="E493" s="1442" t="s">
        <v>1381</v>
      </c>
      <c r="F493" s="1442" t="s">
        <v>1381</v>
      </c>
      <c r="G493" s="1442" t="s">
        <v>1474</v>
      </c>
      <c r="H493" s="1442"/>
      <c r="I493" s="1442"/>
      <c r="J493" s="1442"/>
      <c r="K493" s="771" t="s">
        <v>2561</v>
      </c>
      <c r="L493" s="1215"/>
      <c r="M493" s="1215"/>
      <c r="N493" s="1215"/>
      <c r="O493" s="1206">
        <f t="shared" si="79"/>
        <v>0</v>
      </c>
      <c r="P493" s="1215"/>
      <c r="Q493" s="1215"/>
      <c r="R493" s="1215"/>
      <c r="S493" s="1215"/>
      <c r="T493" s="1215"/>
      <c r="U493" s="1215"/>
      <c r="V493" s="1215"/>
      <c r="W493" s="631" t="e">
        <f t="shared" si="78"/>
        <v>#DIV/0!</v>
      </c>
      <c r="X493" s="788"/>
      <c r="Y493" s="788"/>
    </row>
    <row r="494" spans="1:25" s="183" customFormat="1" ht="22.5" customHeight="1" thickTop="1" thickBot="1" x14ac:dyDescent="0.3">
      <c r="A494" s="1441">
        <v>1</v>
      </c>
      <c r="B494" s="1442" t="s">
        <v>1381</v>
      </c>
      <c r="C494" s="1442" t="s">
        <v>1394</v>
      </c>
      <c r="D494" s="1442" t="s">
        <v>1422</v>
      </c>
      <c r="E494" s="1442" t="s">
        <v>1381</v>
      </c>
      <c r="F494" s="1442" t="s">
        <v>1381</v>
      </c>
      <c r="G494" s="1442" t="s">
        <v>1478</v>
      </c>
      <c r="H494" s="1442"/>
      <c r="I494" s="1442"/>
      <c r="J494" s="1442"/>
      <c r="K494" s="771" t="s">
        <v>2562</v>
      </c>
      <c r="L494" s="1215"/>
      <c r="M494" s="1215"/>
      <c r="N494" s="1215"/>
      <c r="O494" s="1206">
        <f t="shared" si="79"/>
        <v>0</v>
      </c>
      <c r="P494" s="1215"/>
      <c r="Q494" s="1215"/>
      <c r="R494" s="1215"/>
      <c r="S494" s="1215"/>
      <c r="T494" s="1215"/>
      <c r="U494" s="1215"/>
      <c r="V494" s="1215"/>
      <c r="W494" s="631" t="e">
        <f t="shared" si="78"/>
        <v>#DIV/0!</v>
      </c>
      <c r="X494" s="788"/>
      <c r="Y494" s="788"/>
    </row>
    <row r="495" spans="1:25" s="183" customFormat="1" ht="22.5" customHeight="1" thickTop="1" thickBot="1" x14ac:dyDescent="0.3">
      <c r="A495" s="1441">
        <v>1</v>
      </c>
      <c r="B495" s="1442" t="s">
        <v>1381</v>
      </c>
      <c r="C495" s="1442" t="s">
        <v>1394</v>
      </c>
      <c r="D495" s="1442" t="s">
        <v>1422</v>
      </c>
      <c r="E495" s="1442" t="s">
        <v>1381</v>
      </c>
      <c r="F495" s="1442" t="s">
        <v>1381</v>
      </c>
      <c r="G495" s="1442" t="s">
        <v>1576</v>
      </c>
      <c r="H495" s="1442"/>
      <c r="I495" s="1442"/>
      <c r="J495" s="1442"/>
      <c r="K495" s="771" t="s">
        <v>2563</v>
      </c>
      <c r="L495" s="1215"/>
      <c r="M495" s="1215"/>
      <c r="N495" s="1215"/>
      <c r="O495" s="1206">
        <f t="shared" si="79"/>
        <v>0</v>
      </c>
      <c r="P495" s="1215"/>
      <c r="Q495" s="1215"/>
      <c r="R495" s="1215"/>
      <c r="S495" s="1215"/>
      <c r="T495" s="1215"/>
      <c r="U495" s="1215"/>
      <c r="V495" s="1215"/>
      <c r="W495" s="631" t="e">
        <f t="shared" si="78"/>
        <v>#DIV/0!</v>
      </c>
      <c r="X495" s="788"/>
      <c r="Y495" s="788"/>
    </row>
    <row r="496" spans="1:25" s="183" customFormat="1" ht="22.5" customHeight="1" thickTop="1" thickBot="1" x14ac:dyDescent="0.3">
      <c r="A496" s="1441">
        <v>1</v>
      </c>
      <c r="B496" s="1442" t="s">
        <v>1381</v>
      </c>
      <c r="C496" s="1442" t="s">
        <v>1394</v>
      </c>
      <c r="D496" s="1442" t="s">
        <v>1422</v>
      </c>
      <c r="E496" s="1442" t="s">
        <v>1381</v>
      </c>
      <c r="F496" s="1442" t="s">
        <v>1381</v>
      </c>
      <c r="G496" s="1442" t="s">
        <v>1577</v>
      </c>
      <c r="H496" s="1442"/>
      <c r="I496" s="1442"/>
      <c r="J496" s="1442"/>
      <c r="K496" s="771" t="s">
        <v>2564</v>
      </c>
      <c r="L496" s="1215"/>
      <c r="M496" s="1215"/>
      <c r="N496" s="1215"/>
      <c r="O496" s="1206">
        <f t="shared" si="79"/>
        <v>0</v>
      </c>
      <c r="P496" s="1215"/>
      <c r="Q496" s="1215"/>
      <c r="R496" s="1215"/>
      <c r="S496" s="1215"/>
      <c r="T496" s="1215"/>
      <c r="U496" s="1215"/>
      <c r="V496" s="1215"/>
      <c r="W496" s="631" t="e">
        <f t="shared" si="78"/>
        <v>#DIV/0!</v>
      </c>
      <c r="X496" s="788"/>
      <c r="Y496" s="788"/>
    </row>
    <row r="497" spans="1:25" s="183" customFormat="1" ht="22.5" customHeight="1" thickTop="1" thickBot="1" x14ac:dyDescent="0.3">
      <c r="A497" s="1441">
        <v>1</v>
      </c>
      <c r="B497" s="1442" t="s">
        <v>1381</v>
      </c>
      <c r="C497" s="1442" t="s">
        <v>1394</v>
      </c>
      <c r="D497" s="1442" t="s">
        <v>1422</v>
      </c>
      <c r="E497" s="1442" t="s">
        <v>1381</v>
      </c>
      <c r="F497" s="1442" t="s">
        <v>1381</v>
      </c>
      <c r="G497" s="1442" t="s">
        <v>1578</v>
      </c>
      <c r="H497" s="1442"/>
      <c r="I497" s="1442"/>
      <c r="J497" s="1442"/>
      <c r="K497" s="771" t="s">
        <v>2565</v>
      </c>
      <c r="L497" s="1215"/>
      <c r="M497" s="1215"/>
      <c r="N497" s="1215"/>
      <c r="O497" s="1206">
        <f t="shared" si="79"/>
        <v>0</v>
      </c>
      <c r="P497" s="1215"/>
      <c r="Q497" s="1215"/>
      <c r="R497" s="1215"/>
      <c r="S497" s="1215"/>
      <c r="T497" s="1215"/>
      <c r="U497" s="1215"/>
      <c r="V497" s="1215"/>
      <c r="W497" s="631" t="e">
        <f t="shared" si="78"/>
        <v>#DIV/0!</v>
      </c>
      <c r="X497" s="788"/>
      <c r="Y497" s="788"/>
    </row>
    <row r="498" spans="1:25" s="183" customFormat="1" ht="22.5" customHeight="1" thickTop="1" thickBot="1" x14ac:dyDescent="0.3">
      <c r="A498" s="1439">
        <v>1</v>
      </c>
      <c r="B498" s="1440" t="s">
        <v>1381</v>
      </c>
      <c r="C498" s="1440" t="s">
        <v>1394</v>
      </c>
      <c r="D498" s="1440" t="s">
        <v>1422</v>
      </c>
      <c r="E498" s="1440" t="s">
        <v>1381</v>
      </c>
      <c r="F498" s="1440" t="s">
        <v>1394</v>
      </c>
      <c r="G498" s="1440"/>
      <c r="H498" s="1440"/>
      <c r="I498" s="1440"/>
      <c r="J498" s="1440"/>
      <c r="K498" s="770" t="s">
        <v>2031</v>
      </c>
      <c r="L498" s="1215">
        <f>SUM(L499:L509)</f>
        <v>0</v>
      </c>
      <c r="M498" s="1215">
        <f t="shared" ref="M498:V498" si="85">SUM(M499:M509)</f>
        <v>0</v>
      </c>
      <c r="N498" s="1215">
        <f t="shared" si="85"/>
        <v>0</v>
      </c>
      <c r="O498" s="1206">
        <f t="shared" si="79"/>
        <v>0</v>
      </c>
      <c r="P498" s="1215">
        <f t="shared" si="85"/>
        <v>0</v>
      </c>
      <c r="Q498" s="1215">
        <f t="shared" si="85"/>
        <v>0</v>
      </c>
      <c r="R498" s="1215">
        <f t="shared" si="85"/>
        <v>0</v>
      </c>
      <c r="S498" s="1215"/>
      <c r="T498" s="1215">
        <f t="shared" si="85"/>
        <v>0</v>
      </c>
      <c r="U498" s="1215">
        <f t="shared" si="85"/>
        <v>0</v>
      </c>
      <c r="V498" s="1215">
        <f t="shared" si="85"/>
        <v>0</v>
      </c>
      <c r="W498" s="631" t="e">
        <f t="shared" si="78"/>
        <v>#DIV/0!</v>
      </c>
      <c r="X498" s="788" t="s">
        <v>1609</v>
      </c>
      <c r="Y498" s="788"/>
    </row>
    <row r="499" spans="1:25" ht="22.5" customHeight="1" thickTop="1" thickBot="1" x14ac:dyDescent="0.3">
      <c r="A499" s="1441">
        <v>1</v>
      </c>
      <c r="B499" s="1442" t="s">
        <v>1381</v>
      </c>
      <c r="C499" s="1442" t="s">
        <v>1394</v>
      </c>
      <c r="D499" s="1442" t="s">
        <v>1422</v>
      </c>
      <c r="E499" s="1442" t="s">
        <v>1381</v>
      </c>
      <c r="F499" s="1442" t="s">
        <v>1394</v>
      </c>
      <c r="G499" s="1442" t="s">
        <v>1381</v>
      </c>
      <c r="H499" s="1442"/>
      <c r="I499" s="1442"/>
      <c r="J499" s="1442"/>
      <c r="K499" s="771" t="s">
        <v>2566</v>
      </c>
      <c r="L499" s="1214"/>
      <c r="M499" s="1214"/>
      <c r="N499" s="1214"/>
      <c r="O499" s="1206">
        <f t="shared" si="79"/>
        <v>0</v>
      </c>
      <c r="P499" s="1214"/>
      <c r="Q499" s="1214"/>
      <c r="R499" s="1214"/>
      <c r="S499" s="1214"/>
      <c r="T499" s="1214"/>
      <c r="U499" s="1214"/>
      <c r="V499" s="1214"/>
      <c r="W499" s="637" t="e">
        <f t="shared" si="78"/>
        <v>#DIV/0!</v>
      </c>
      <c r="X499" s="788"/>
      <c r="Y499" s="788"/>
    </row>
    <row r="500" spans="1:25" ht="22.5" customHeight="1" thickTop="1" thickBot="1" x14ac:dyDescent="0.3">
      <c r="A500" s="1441">
        <v>1</v>
      </c>
      <c r="B500" s="1442" t="s">
        <v>1381</v>
      </c>
      <c r="C500" s="1442" t="s">
        <v>1394</v>
      </c>
      <c r="D500" s="1442" t="s">
        <v>1422</v>
      </c>
      <c r="E500" s="1442" t="s">
        <v>1381</v>
      </c>
      <c r="F500" s="1442" t="s">
        <v>1394</v>
      </c>
      <c r="G500" s="1442" t="s">
        <v>1394</v>
      </c>
      <c r="H500" s="1442"/>
      <c r="I500" s="1442"/>
      <c r="J500" s="1442"/>
      <c r="K500" s="771" t="s">
        <v>2567</v>
      </c>
      <c r="L500" s="1214"/>
      <c r="M500" s="1214"/>
      <c r="N500" s="1214"/>
      <c r="O500" s="1206">
        <f t="shared" si="79"/>
        <v>0</v>
      </c>
      <c r="P500" s="1214"/>
      <c r="Q500" s="1214"/>
      <c r="R500" s="1214"/>
      <c r="S500" s="1214"/>
      <c r="T500" s="1214"/>
      <c r="U500" s="1214"/>
      <c r="V500" s="1214"/>
      <c r="W500" s="637" t="e">
        <f t="shared" si="78"/>
        <v>#DIV/0!</v>
      </c>
      <c r="X500" s="788"/>
      <c r="Y500" s="788"/>
    </row>
    <row r="501" spans="1:25" ht="22.5" customHeight="1" thickTop="1" thickBot="1" x14ac:dyDescent="0.3">
      <c r="A501" s="1441">
        <v>1</v>
      </c>
      <c r="B501" s="1442" t="s">
        <v>1381</v>
      </c>
      <c r="C501" s="1442" t="s">
        <v>1394</v>
      </c>
      <c r="D501" s="1442" t="s">
        <v>1422</v>
      </c>
      <c r="E501" s="1442" t="s">
        <v>1381</v>
      </c>
      <c r="F501" s="1442" t="s">
        <v>1394</v>
      </c>
      <c r="G501" s="1442" t="s">
        <v>1418</v>
      </c>
      <c r="H501" s="1442"/>
      <c r="I501" s="1442"/>
      <c r="J501" s="1442"/>
      <c r="K501" s="771" t="s">
        <v>2568</v>
      </c>
      <c r="L501" s="1214"/>
      <c r="M501" s="1214"/>
      <c r="N501" s="1214"/>
      <c r="O501" s="1206">
        <f t="shared" si="79"/>
        <v>0</v>
      </c>
      <c r="P501" s="1214"/>
      <c r="Q501" s="1214"/>
      <c r="R501" s="1214"/>
      <c r="S501" s="1214"/>
      <c r="T501" s="1214"/>
      <c r="U501" s="1214"/>
      <c r="V501" s="1214"/>
      <c r="W501" s="637" t="e">
        <f t="shared" si="78"/>
        <v>#DIV/0!</v>
      </c>
      <c r="X501" s="788"/>
      <c r="Y501" s="788"/>
    </row>
    <row r="502" spans="1:25" ht="22.5" customHeight="1" thickTop="1" thickBot="1" x14ac:dyDescent="0.3">
      <c r="A502" s="1441">
        <v>1</v>
      </c>
      <c r="B502" s="1442" t="s">
        <v>1381</v>
      </c>
      <c r="C502" s="1442" t="s">
        <v>1394</v>
      </c>
      <c r="D502" s="1442" t="s">
        <v>1422</v>
      </c>
      <c r="E502" s="1442" t="s">
        <v>1381</v>
      </c>
      <c r="F502" s="1442" t="s">
        <v>1394</v>
      </c>
      <c r="G502" s="1442" t="s">
        <v>1422</v>
      </c>
      <c r="H502" s="1442"/>
      <c r="I502" s="1442"/>
      <c r="J502" s="1442"/>
      <c r="K502" s="771" t="s">
        <v>2569</v>
      </c>
      <c r="L502" s="1214"/>
      <c r="M502" s="1214"/>
      <c r="N502" s="1214"/>
      <c r="O502" s="1206">
        <f t="shared" si="79"/>
        <v>0</v>
      </c>
      <c r="P502" s="1214"/>
      <c r="Q502" s="1214"/>
      <c r="R502" s="1214"/>
      <c r="S502" s="1214"/>
      <c r="T502" s="1214"/>
      <c r="U502" s="1214"/>
      <c r="V502" s="1214"/>
      <c r="W502" s="637" t="e">
        <f t="shared" si="78"/>
        <v>#DIV/0!</v>
      </c>
      <c r="X502" s="788"/>
      <c r="Y502" s="788"/>
    </row>
    <row r="503" spans="1:25" ht="22.5" customHeight="1" thickTop="1" thickBot="1" x14ac:dyDescent="0.3">
      <c r="A503" s="1441">
        <v>1</v>
      </c>
      <c r="B503" s="1442" t="s">
        <v>1381</v>
      </c>
      <c r="C503" s="1442" t="s">
        <v>1394</v>
      </c>
      <c r="D503" s="1442" t="s">
        <v>1422</v>
      </c>
      <c r="E503" s="1442" t="s">
        <v>1381</v>
      </c>
      <c r="F503" s="1442" t="s">
        <v>1394</v>
      </c>
      <c r="G503" s="1442" t="s">
        <v>1447</v>
      </c>
      <c r="H503" s="1442"/>
      <c r="I503" s="1442"/>
      <c r="J503" s="1442"/>
      <c r="K503" s="771" t="s">
        <v>2570</v>
      </c>
      <c r="L503" s="1214"/>
      <c r="M503" s="1214"/>
      <c r="N503" s="1214"/>
      <c r="O503" s="1206">
        <f t="shared" si="79"/>
        <v>0</v>
      </c>
      <c r="P503" s="1214"/>
      <c r="Q503" s="1214"/>
      <c r="R503" s="1214"/>
      <c r="S503" s="1214"/>
      <c r="T503" s="1214"/>
      <c r="U503" s="1214"/>
      <c r="V503" s="1214"/>
      <c r="W503" s="637" t="e">
        <f t="shared" si="78"/>
        <v>#DIV/0!</v>
      </c>
      <c r="X503" s="788"/>
      <c r="Y503" s="788"/>
    </row>
    <row r="504" spans="1:25" ht="22.5" customHeight="1" thickTop="1" thickBot="1" x14ac:dyDescent="0.3">
      <c r="A504" s="1441">
        <v>1</v>
      </c>
      <c r="B504" s="1442" t="s">
        <v>1381</v>
      </c>
      <c r="C504" s="1442" t="s">
        <v>1394</v>
      </c>
      <c r="D504" s="1442" t="s">
        <v>1422</v>
      </c>
      <c r="E504" s="1442" t="s">
        <v>1381</v>
      </c>
      <c r="F504" s="1442" t="s">
        <v>1394</v>
      </c>
      <c r="G504" s="1442" t="s">
        <v>1470</v>
      </c>
      <c r="H504" s="1442"/>
      <c r="I504" s="1442"/>
      <c r="J504" s="1442"/>
      <c r="K504" s="771" t="s">
        <v>2571</v>
      </c>
      <c r="L504" s="1214"/>
      <c r="M504" s="1214"/>
      <c r="N504" s="1214"/>
      <c r="O504" s="1206">
        <f t="shared" si="79"/>
        <v>0</v>
      </c>
      <c r="P504" s="1214"/>
      <c r="Q504" s="1214"/>
      <c r="R504" s="1214"/>
      <c r="S504" s="1214"/>
      <c r="T504" s="1214"/>
      <c r="U504" s="1214"/>
      <c r="V504" s="1214"/>
      <c r="W504" s="637" t="e">
        <f t="shared" si="78"/>
        <v>#DIV/0!</v>
      </c>
      <c r="X504" s="788"/>
      <c r="Y504" s="788"/>
    </row>
    <row r="505" spans="1:25" ht="22.5" customHeight="1" thickTop="1" thickBot="1" x14ac:dyDescent="0.3">
      <c r="A505" s="1441">
        <v>1</v>
      </c>
      <c r="B505" s="1442" t="s">
        <v>1381</v>
      </c>
      <c r="C505" s="1442" t="s">
        <v>1394</v>
      </c>
      <c r="D505" s="1442" t="s">
        <v>1422</v>
      </c>
      <c r="E505" s="1442" t="s">
        <v>1381</v>
      </c>
      <c r="F505" s="1442" t="s">
        <v>1394</v>
      </c>
      <c r="G505" s="1442" t="s">
        <v>1474</v>
      </c>
      <c r="H505" s="1442"/>
      <c r="I505" s="1442"/>
      <c r="J505" s="1442"/>
      <c r="K505" s="771" t="s">
        <v>2572</v>
      </c>
      <c r="L505" s="1214"/>
      <c r="M505" s="1214"/>
      <c r="N505" s="1214"/>
      <c r="O505" s="1206">
        <f t="shared" si="79"/>
        <v>0</v>
      </c>
      <c r="P505" s="1214"/>
      <c r="Q505" s="1214"/>
      <c r="R505" s="1214"/>
      <c r="S505" s="1214"/>
      <c r="T505" s="1214"/>
      <c r="U505" s="1214"/>
      <c r="V505" s="1214"/>
      <c r="W505" s="637" t="e">
        <f t="shared" si="78"/>
        <v>#DIV/0!</v>
      </c>
      <c r="X505" s="788"/>
      <c r="Y505" s="788"/>
    </row>
    <row r="506" spans="1:25" ht="22.5" customHeight="1" thickTop="1" thickBot="1" x14ac:dyDescent="0.3">
      <c r="A506" s="1441">
        <v>1</v>
      </c>
      <c r="B506" s="1442" t="s">
        <v>1381</v>
      </c>
      <c r="C506" s="1442" t="s">
        <v>1394</v>
      </c>
      <c r="D506" s="1442" t="s">
        <v>1422</v>
      </c>
      <c r="E506" s="1442" t="s">
        <v>1381</v>
      </c>
      <c r="F506" s="1442" t="s">
        <v>1394</v>
      </c>
      <c r="G506" s="1442" t="s">
        <v>1478</v>
      </c>
      <c r="H506" s="1442"/>
      <c r="I506" s="1442"/>
      <c r="J506" s="1442"/>
      <c r="K506" s="771" t="s">
        <v>2573</v>
      </c>
      <c r="L506" s="1214"/>
      <c r="M506" s="1214"/>
      <c r="N506" s="1214"/>
      <c r="O506" s="1206">
        <f t="shared" si="79"/>
        <v>0</v>
      </c>
      <c r="P506" s="1214"/>
      <c r="Q506" s="1214"/>
      <c r="R506" s="1214"/>
      <c r="S506" s="1214"/>
      <c r="T506" s="1214"/>
      <c r="U506" s="1214"/>
      <c r="V506" s="1214"/>
      <c r="W506" s="637" t="e">
        <f t="shared" si="78"/>
        <v>#DIV/0!</v>
      </c>
      <c r="X506" s="788"/>
      <c r="Y506" s="788"/>
    </row>
    <row r="507" spans="1:25" ht="22.5" customHeight="1" thickTop="1" thickBot="1" x14ac:dyDescent="0.3">
      <c r="A507" s="1441">
        <v>1</v>
      </c>
      <c r="B507" s="1442" t="s">
        <v>1381</v>
      </c>
      <c r="C507" s="1442" t="s">
        <v>1394</v>
      </c>
      <c r="D507" s="1442" t="s">
        <v>1422</v>
      </c>
      <c r="E507" s="1442" t="s">
        <v>1381</v>
      </c>
      <c r="F507" s="1442" t="s">
        <v>1394</v>
      </c>
      <c r="G507" s="1442" t="s">
        <v>1576</v>
      </c>
      <c r="H507" s="1442"/>
      <c r="I507" s="1442"/>
      <c r="J507" s="1442"/>
      <c r="K507" s="771" t="s">
        <v>2574</v>
      </c>
      <c r="L507" s="1214"/>
      <c r="M507" s="1214"/>
      <c r="N507" s="1214"/>
      <c r="O507" s="1206">
        <f t="shared" si="79"/>
        <v>0</v>
      </c>
      <c r="P507" s="1214"/>
      <c r="Q507" s="1214"/>
      <c r="R507" s="1214"/>
      <c r="S507" s="1214"/>
      <c r="T507" s="1214"/>
      <c r="U507" s="1214"/>
      <c r="V507" s="1214"/>
      <c r="W507" s="637" t="e">
        <f t="shared" si="78"/>
        <v>#DIV/0!</v>
      </c>
      <c r="X507" s="788"/>
      <c r="Y507" s="788"/>
    </row>
    <row r="508" spans="1:25" ht="22.5" customHeight="1" thickTop="1" thickBot="1" x14ac:dyDescent="0.3">
      <c r="A508" s="1441">
        <v>1</v>
      </c>
      <c r="B508" s="1442" t="s">
        <v>1381</v>
      </c>
      <c r="C508" s="1442" t="s">
        <v>1394</v>
      </c>
      <c r="D508" s="1442" t="s">
        <v>1422</v>
      </c>
      <c r="E508" s="1442" t="s">
        <v>1381</v>
      </c>
      <c r="F508" s="1442" t="s">
        <v>1394</v>
      </c>
      <c r="G508" s="1442" t="s">
        <v>1577</v>
      </c>
      <c r="H508" s="1442"/>
      <c r="I508" s="1442"/>
      <c r="J508" s="1442"/>
      <c r="K508" s="771" t="s">
        <v>2575</v>
      </c>
      <c r="L508" s="1214"/>
      <c r="M508" s="1214"/>
      <c r="N508" s="1214"/>
      <c r="O508" s="1206">
        <f t="shared" si="79"/>
        <v>0</v>
      </c>
      <c r="P508" s="1214"/>
      <c r="Q508" s="1214"/>
      <c r="R508" s="1214"/>
      <c r="S508" s="1214"/>
      <c r="T508" s="1214"/>
      <c r="U508" s="1214"/>
      <c r="V508" s="1214"/>
      <c r="W508" s="637" t="e">
        <f t="shared" si="78"/>
        <v>#DIV/0!</v>
      </c>
      <c r="X508" s="788"/>
      <c r="Y508" s="788"/>
    </row>
    <row r="509" spans="1:25" ht="22.5" customHeight="1" thickTop="1" thickBot="1" x14ac:dyDescent="0.3">
      <c r="A509" s="1441">
        <v>1</v>
      </c>
      <c r="B509" s="1442" t="s">
        <v>1381</v>
      </c>
      <c r="C509" s="1442" t="s">
        <v>1394</v>
      </c>
      <c r="D509" s="1442" t="s">
        <v>1422</v>
      </c>
      <c r="E509" s="1442" t="s">
        <v>1381</v>
      </c>
      <c r="F509" s="1442" t="s">
        <v>1394</v>
      </c>
      <c r="G509" s="1442" t="s">
        <v>1578</v>
      </c>
      <c r="H509" s="1442"/>
      <c r="I509" s="1442"/>
      <c r="J509" s="1442"/>
      <c r="K509" s="771" t="s">
        <v>2576</v>
      </c>
      <c r="L509" s="1214"/>
      <c r="M509" s="1214"/>
      <c r="N509" s="1214"/>
      <c r="O509" s="1206">
        <f t="shared" si="79"/>
        <v>0</v>
      </c>
      <c r="P509" s="1214"/>
      <c r="Q509" s="1214"/>
      <c r="R509" s="1214"/>
      <c r="S509" s="1214"/>
      <c r="T509" s="1214"/>
      <c r="U509" s="1214"/>
      <c r="V509" s="1214"/>
      <c r="W509" s="637" t="e">
        <f t="shared" si="78"/>
        <v>#DIV/0!</v>
      </c>
      <c r="X509" s="788"/>
      <c r="Y509" s="788"/>
    </row>
    <row r="510" spans="1:25" s="183" customFormat="1" ht="22.5" customHeight="1" thickTop="1" thickBot="1" x14ac:dyDescent="0.3">
      <c r="A510" s="1439">
        <v>1</v>
      </c>
      <c r="B510" s="1440" t="s">
        <v>1381</v>
      </c>
      <c r="C510" s="1440" t="s">
        <v>1394</v>
      </c>
      <c r="D510" s="1440" t="s">
        <v>1422</v>
      </c>
      <c r="E510" s="1440" t="s">
        <v>1381</v>
      </c>
      <c r="F510" s="1440" t="s">
        <v>1418</v>
      </c>
      <c r="G510" s="1440"/>
      <c r="H510" s="1440"/>
      <c r="I510" s="1440"/>
      <c r="J510" s="1440"/>
      <c r="K510" s="770" t="s">
        <v>2032</v>
      </c>
      <c r="L510" s="1215">
        <f>SUM(L511:L521)</f>
        <v>0</v>
      </c>
      <c r="M510" s="1215">
        <f t="shared" ref="M510:V510" si="86">SUM(M511:M521)</f>
        <v>0</v>
      </c>
      <c r="N510" s="1215">
        <f t="shared" si="86"/>
        <v>0</v>
      </c>
      <c r="O510" s="1206">
        <f t="shared" si="79"/>
        <v>0</v>
      </c>
      <c r="P510" s="1215">
        <f t="shared" si="86"/>
        <v>0</v>
      </c>
      <c r="Q510" s="1215">
        <f t="shared" si="86"/>
        <v>0</v>
      </c>
      <c r="R510" s="1215">
        <f t="shared" si="86"/>
        <v>0</v>
      </c>
      <c r="S510" s="1215"/>
      <c r="T510" s="1215">
        <f t="shared" si="86"/>
        <v>0</v>
      </c>
      <c r="U510" s="1215">
        <f t="shared" si="86"/>
        <v>0</v>
      </c>
      <c r="V510" s="1215">
        <f t="shared" si="86"/>
        <v>0</v>
      </c>
      <c r="W510" s="631" t="e">
        <f t="shared" si="78"/>
        <v>#DIV/0!</v>
      </c>
      <c r="X510" s="788" t="s">
        <v>2050</v>
      </c>
      <c r="Y510" s="788"/>
    </row>
    <row r="511" spans="1:25" ht="22.5" customHeight="1" thickTop="1" thickBot="1" x14ac:dyDescent="0.3">
      <c r="A511" s="1441">
        <v>1</v>
      </c>
      <c r="B511" s="1442" t="s">
        <v>1381</v>
      </c>
      <c r="C511" s="1442" t="s">
        <v>1394</v>
      </c>
      <c r="D511" s="1442" t="s">
        <v>1422</v>
      </c>
      <c r="E511" s="1442" t="s">
        <v>1381</v>
      </c>
      <c r="F511" s="1442" t="s">
        <v>1418</v>
      </c>
      <c r="G511" s="1442" t="s">
        <v>1381</v>
      </c>
      <c r="H511" s="1442"/>
      <c r="I511" s="1442"/>
      <c r="J511" s="1442"/>
      <c r="K511" s="771" t="s">
        <v>2577</v>
      </c>
      <c r="L511" s="1214"/>
      <c r="M511" s="1214"/>
      <c r="N511" s="1214"/>
      <c r="O511" s="1206">
        <f t="shared" si="79"/>
        <v>0</v>
      </c>
      <c r="P511" s="1214"/>
      <c r="Q511" s="1214"/>
      <c r="R511" s="1214"/>
      <c r="S511" s="1214"/>
      <c r="T511" s="1214"/>
      <c r="U511" s="1214"/>
      <c r="V511" s="1214"/>
      <c r="W511" s="637" t="e">
        <f t="shared" si="78"/>
        <v>#DIV/0!</v>
      </c>
      <c r="X511" s="788"/>
      <c r="Y511" s="788"/>
    </row>
    <row r="512" spans="1:25" ht="22.5" customHeight="1" thickTop="1" thickBot="1" x14ac:dyDescent="0.3">
      <c r="A512" s="1441">
        <v>1</v>
      </c>
      <c r="B512" s="1442" t="s">
        <v>1381</v>
      </c>
      <c r="C512" s="1442" t="s">
        <v>1394</v>
      </c>
      <c r="D512" s="1442" t="s">
        <v>1422</v>
      </c>
      <c r="E512" s="1442" t="s">
        <v>1381</v>
      </c>
      <c r="F512" s="1442" t="s">
        <v>1418</v>
      </c>
      <c r="G512" s="1442" t="s">
        <v>1394</v>
      </c>
      <c r="H512" s="1442"/>
      <c r="I512" s="1442"/>
      <c r="J512" s="1442"/>
      <c r="K512" s="771" t="s">
        <v>2578</v>
      </c>
      <c r="L512" s="1214"/>
      <c r="M512" s="1214"/>
      <c r="N512" s="1214"/>
      <c r="O512" s="1206">
        <f t="shared" si="79"/>
        <v>0</v>
      </c>
      <c r="P512" s="1214"/>
      <c r="Q512" s="1214"/>
      <c r="R512" s="1214"/>
      <c r="S512" s="1214"/>
      <c r="T512" s="1214"/>
      <c r="U512" s="1214"/>
      <c r="V512" s="1214"/>
      <c r="W512" s="637" t="e">
        <f t="shared" si="78"/>
        <v>#DIV/0!</v>
      </c>
      <c r="X512" s="788"/>
      <c r="Y512" s="788"/>
    </row>
    <row r="513" spans="1:25" ht="22.5" customHeight="1" thickTop="1" thickBot="1" x14ac:dyDescent="0.3">
      <c r="A513" s="1441">
        <v>1</v>
      </c>
      <c r="B513" s="1442" t="s">
        <v>1381</v>
      </c>
      <c r="C513" s="1442" t="s">
        <v>1394</v>
      </c>
      <c r="D513" s="1442" t="s">
        <v>1422</v>
      </c>
      <c r="E513" s="1442" t="s">
        <v>1381</v>
      </c>
      <c r="F513" s="1442" t="s">
        <v>1418</v>
      </c>
      <c r="G513" s="1442" t="s">
        <v>1418</v>
      </c>
      <c r="H513" s="1442"/>
      <c r="I513" s="1442"/>
      <c r="J513" s="1442"/>
      <c r="K513" s="771" t="s">
        <v>2579</v>
      </c>
      <c r="L513" s="1214"/>
      <c r="M513" s="1214"/>
      <c r="N513" s="1214"/>
      <c r="O513" s="1206">
        <f t="shared" si="79"/>
        <v>0</v>
      </c>
      <c r="P513" s="1214"/>
      <c r="Q513" s="1214"/>
      <c r="R513" s="1214"/>
      <c r="S513" s="1214"/>
      <c r="T513" s="1214"/>
      <c r="U513" s="1214"/>
      <c r="V513" s="1214"/>
      <c r="W513" s="637" t="e">
        <f t="shared" si="78"/>
        <v>#DIV/0!</v>
      </c>
      <c r="X513" s="788"/>
      <c r="Y513" s="788"/>
    </row>
    <row r="514" spans="1:25" ht="22.5" customHeight="1" thickTop="1" thickBot="1" x14ac:dyDescent="0.3">
      <c r="A514" s="1441">
        <v>1</v>
      </c>
      <c r="B514" s="1442" t="s">
        <v>1381</v>
      </c>
      <c r="C514" s="1442" t="s">
        <v>1394</v>
      </c>
      <c r="D514" s="1442" t="s">
        <v>1422</v>
      </c>
      <c r="E514" s="1442" t="s">
        <v>1381</v>
      </c>
      <c r="F514" s="1442" t="s">
        <v>1418</v>
      </c>
      <c r="G514" s="1442" t="s">
        <v>1422</v>
      </c>
      <c r="H514" s="1442"/>
      <c r="I514" s="1442"/>
      <c r="J514" s="1442"/>
      <c r="K514" s="771" t="s">
        <v>2580</v>
      </c>
      <c r="L514" s="1214"/>
      <c r="M514" s="1214"/>
      <c r="N514" s="1214"/>
      <c r="O514" s="1206">
        <f t="shared" si="79"/>
        <v>0</v>
      </c>
      <c r="P514" s="1214"/>
      <c r="Q514" s="1214"/>
      <c r="R514" s="1214"/>
      <c r="S514" s="1214"/>
      <c r="T514" s="1214"/>
      <c r="U514" s="1214"/>
      <c r="V514" s="1214"/>
      <c r="W514" s="637" t="e">
        <f t="shared" si="78"/>
        <v>#DIV/0!</v>
      </c>
      <c r="X514" s="788"/>
      <c r="Y514" s="788"/>
    </row>
    <row r="515" spans="1:25" ht="22.5" customHeight="1" thickTop="1" thickBot="1" x14ac:dyDescent="0.3">
      <c r="A515" s="1441">
        <v>1</v>
      </c>
      <c r="B515" s="1442" t="s">
        <v>1381</v>
      </c>
      <c r="C515" s="1442" t="s">
        <v>1394</v>
      </c>
      <c r="D515" s="1442" t="s">
        <v>1422</v>
      </c>
      <c r="E515" s="1442" t="s">
        <v>1381</v>
      </c>
      <c r="F515" s="1442" t="s">
        <v>1418</v>
      </c>
      <c r="G515" s="1442" t="s">
        <v>1447</v>
      </c>
      <c r="H515" s="1442"/>
      <c r="I515" s="1442"/>
      <c r="J515" s="1442"/>
      <c r="K515" s="771" t="s">
        <v>2581</v>
      </c>
      <c r="L515" s="1214"/>
      <c r="M515" s="1214"/>
      <c r="N515" s="1214"/>
      <c r="O515" s="1206">
        <f t="shared" si="79"/>
        <v>0</v>
      </c>
      <c r="P515" s="1214"/>
      <c r="Q515" s="1214"/>
      <c r="R515" s="1214"/>
      <c r="S515" s="1214"/>
      <c r="T515" s="1214"/>
      <c r="U515" s="1214"/>
      <c r="V515" s="1214"/>
      <c r="W515" s="637" t="e">
        <f t="shared" si="78"/>
        <v>#DIV/0!</v>
      </c>
      <c r="X515" s="788"/>
      <c r="Y515" s="788"/>
    </row>
    <row r="516" spans="1:25" ht="22.5" customHeight="1" thickTop="1" thickBot="1" x14ac:dyDescent="0.3">
      <c r="A516" s="1441">
        <v>1</v>
      </c>
      <c r="B516" s="1442" t="s">
        <v>1381</v>
      </c>
      <c r="C516" s="1442" t="s">
        <v>1394</v>
      </c>
      <c r="D516" s="1442" t="s">
        <v>1422</v>
      </c>
      <c r="E516" s="1442" t="s">
        <v>1381</v>
      </c>
      <c r="F516" s="1442" t="s">
        <v>1418</v>
      </c>
      <c r="G516" s="1442" t="s">
        <v>1470</v>
      </c>
      <c r="H516" s="1442"/>
      <c r="I516" s="1442"/>
      <c r="J516" s="1442"/>
      <c r="K516" s="771" t="s">
        <v>2582</v>
      </c>
      <c r="L516" s="1214"/>
      <c r="M516" s="1214"/>
      <c r="N516" s="1214"/>
      <c r="O516" s="1206">
        <f t="shared" si="79"/>
        <v>0</v>
      </c>
      <c r="P516" s="1214"/>
      <c r="Q516" s="1214"/>
      <c r="R516" s="1214"/>
      <c r="S516" s="1214"/>
      <c r="T516" s="1214"/>
      <c r="U516" s="1214"/>
      <c r="V516" s="1214"/>
      <c r="W516" s="637" t="e">
        <f t="shared" si="78"/>
        <v>#DIV/0!</v>
      </c>
      <c r="X516" s="788"/>
      <c r="Y516" s="788"/>
    </row>
    <row r="517" spans="1:25" ht="22.5" customHeight="1" thickTop="1" thickBot="1" x14ac:dyDescent="0.3">
      <c r="A517" s="1441">
        <v>1</v>
      </c>
      <c r="B517" s="1442" t="s">
        <v>1381</v>
      </c>
      <c r="C517" s="1442" t="s">
        <v>1394</v>
      </c>
      <c r="D517" s="1442" t="s">
        <v>1422</v>
      </c>
      <c r="E517" s="1442" t="s">
        <v>1381</v>
      </c>
      <c r="F517" s="1442" t="s">
        <v>1418</v>
      </c>
      <c r="G517" s="1442" t="s">
        <v>1474</v>
      </c>
      <c r="H517" s="1442"/>
      <c r="I517" s="1442"/>
      <c r="J517" s="1442"/>
      <c r="K517" s="771" t="s">
        <v>2583</v>
      </c>
      <c r="L517" s="1214"/>
      <c r="M517" s="1214"/>
      <c r="N517" s="1214"/>
      <c r="O517" s="1206">
        <f t="shared" si="79"/>
        <v>0</v>
      </c>
      <c r="P517" s="1214"/>
      <c r="Q517" s="1214"/>
      <c r="R517" s="1214"/>
      <c r="S517" s="1214"/>
      <c r="T517" s="1214"/>
      <c r="U517" s="1214"/>
      <c r="V517" s="1214"/>
      <c r="W517" s="637" t="e">
        <f t="shared" si="78"/>
        <v>#DIV/0!</v>
      </c>
      <c r="X517" s="788"/>
      <c r="Y517" s="788"/>
    </row>
    <row r="518" spans="1:25" ht="22.5" customHeight="1" thickTop="1" thickBot="1" x14ac:dyDescent="0.3">
      <c r="A518" s="1441">
        <v>1</v>
      </c>
      <c r="B518" s="1442" t="s">
        <v>1381</v>
      </c>
      <c r="C518" s="1442" t="s">
        <v>1394</v>
      </c>
      <c r="D518" s="1442" t="s">
        <v>1422</v>
      </c>
      <c r="E518" s="1442" t="s">
        <v>1381</v>
      </c>
      <c r="F518" s="1442" t="s">
        <v>1418</v>
      </c>
      <c r="G518" s="1442" t="s">
        <v>1478</v>
      </c>
      <c r="H518" s="1442"/>
      <c r="I518" s="1442"/>
      <c r="J518" s="1442"/>
      <c r="K518" s="771" t="s">
        <v>2584</v>
      </c>
      <c r="L518" s="1214"/>
      <c r="M518" s="1214"/>
      <c r="N518" s="1214"/>
      <c r="O518" s="1206">
        <f t="shared" si="79"/>
        <v>0</v>
      </c>
      <c r="P518" s="1214"/>
      <c r="Q518" s="1214"/>
      <c r="R518" s="1214"/>
      <c r="S518" s="1214"/>
      <c r="T518" s="1214"/>
      <c r="U518" s="1214"/>
      <c r="V518" s="1214"/>
      <c r="W518" s="637" t="e">
        <f t="shared" si="78"/>
        <v>#DIV/0!</v>
      </c>
      <c r="X518" s="788"/>
      <c r="Y518" s="788"/>
    </row>
    <row r="519" spans="1:25" ht="22.5" customHeight="1" thickTop="1" thickBot="1" x14ac:dyDescent="0.3">
      <c r="A519" s="1441">
        <v>1</v>
      </c>
      <c r="B519" s="1442" t="s">
        <v>1381</v>
      </c>
      <c r="C519" s="1442" t="s">
        <v>1394</v>
      </c>
      <c r="D519" s="1442" t="s">
        <v>1422</v>
      </c>
      <c r="E519" s="1442" t="s">
        <v>1381</v>
      </c>
      <c r="F519" s="1442" t="s">
        <v>1418</v>
      </c>
      <c r="G519" s="1442" t="s">
        <v>1576</v>
      </c>
      <c r="H519" s="1442"/>
      <c r="I519" s="1442"/>
      <c r="J519" s="1442"/>
      <c r="K519" s="771" t="s">
        <v>2585</v>
      </c>
      <c r="L519" s="1214"/>
      <c r="M519" s="1214"/>
      <c r="N519" s="1214"/>
      <c r="O519" s="1206">
        <f t="shared" si="79"/>
        <v>0</v>
      </c>
      <c r="P519" s="1214"/>
      <c r="Q519" s="1214"/>
      <c r="R519" s="1214"/>
      <c r="S519" s="1214"/>
      <c r="T519" s="1214"/>
      <c r="U519" s="1214"/>
      <c r="V519" s="1214"/>
      <c r="W519" s="637" t="e">
        <f t="shared" ref="W519:W582" si="87">V519/O519</f>
        <v>#DIV/0!</v>
      </c>
      <c r="X519" s="788"/>
      <c r="Y519" s="788"/>
    </row>
    <row r="520" spans="1:25" ht="22.5" customHeight="1" thickTop="1" thickBot="1" x14ac:dyDescent="0.3">
      <c r="A520" s="1441">
        <v>1</v>
      </c>
      <c r="B520" s="1442" t="s">
        <v>1381</v>
      </c>
      <c r="C520" s="1442" t="s">
        <v>1394</v>
      </c>
      <c r="D520" s="1442" t="s">
        <v>1422</v>
      </c>
      <c r="E520" s="1442" t="s">
        <v>1381</v>
      </c>
      <c r="F520" s="1442" t="s">
        <v>1418</v>
      </c>
      <c r="G520" s="1442" t="s">
        <v>1577</v>
      </c>
      <c r="H520" s="1442"/>
      <c r="I520" s="1442"/>
      <c r="J520" s="1442"/>
      <c r="K520" s="771" t="s">
        <v>2586</v>
      </c>
      <c r="L520" s="1214"/>
      <c r="M520" s="1214"/>
      <c r="N520" s="1214"/>
      <c r="O520" s="1206">
        <f t="shared" ref="O520:O583" si="88">L520+M520-N520</f>
        <v>0</v>
      </c>
      <c r="P520" s="1214"/>
      <c r="Q520" s="1214"/>
      <c r="R520" s="1214"/>
      <c r="S520" s="1214"/>
      <c r="T520" s="1214"/>
      <c r="U520" s="1214"/>
      <c r="V520" s="1214"/>
      <c r="W520" s="637" t="e">
        <f t="shared" si="87"/>
        <v>#DIV/0!</v>
      </c>
      <c r="X520" s="788"/>
      <c r="Y520" s="788"/>
    </row>
    <row r="521" spans="1:25" ht="22.5" customHeight="1" thickTop="1" thickBot="1" x14ac:dyDescent="0.3">
      <c r="A521" s="1441">
        <v>1</v>
      </c>
      <c r="B521" s="1442" t="s">
        <v>1381</v>
      </c>
      <c r="C521" s="1442" t="s">
        <v>1394</v>
      </c>
      <c r="D521" s="1442" t="s">
        <v>1422</v>
      </c>
      <c r="E521" s="1442" t="s">
        <v>1381</v>
      </c>
      <c r="F521" s="1442" t="s">
        <v>1418</v>
      </c>
      <c r="G521" s="1442" t="s">
        <v>1578</v>
      </c>
      <c r="H521" s="1442"/>
      <c r="I521" s="1442"/>
      <c r="J521" s="1442"/>
      <c r="K521" s="771" t="s">
        <v>2587</v>
      </c>
      <c r="L521" s="1214"/>
      <c r="M521" s="1214"/>
      <c r="N521" s="1214"/>
      <c r="O521" s="1206">
        <f t="shared" si="88"/>
        <v>0</v>
      </c>
      <c r="P521" s="1214"/>
      <c r="Q521" s="1214"/>
      <c r="R521" s="1214"/>
      <c r="S521" s="1214"/>
      <c r="T521" s="1214"/>
      <c r="U521" s="1214"/>
      <c r="V521" s="1214"/>
      <c r="W521" s="637" t="e">
        <f t="shared" si="87"/>
        <v>#DIV/0!</v>
      </c>
      <c r="X521" s="788"/>
      <c r="Y521" s="788"/>
    </row>
    <row r="522" spans="1:25" s="183" customFormat="1" ht="22.5" customHeight="1" thickTop="1" thickBot="1" x14ac:dyDescent="0.3">
      <c r="A522" s="1441">
        <v>1</v>
      </c>
      <c r="B522" s="1442" t="s">
        <v>1381</v>
      </c>
      <c r="C522" s="1442" t="s">
        <v>1394</v>
      </c>
      <c r="D522" s="1442" t="s">
        <v>1422</v>
      </c>
      <c r="E522" s="1442" t="s">
        <v>1381</v>
      </c>
      <c r="F522" s="1442" t="s">
        <v>1422</v>
      </c>
      <c r="G522" s="1440"/>
      <c r="H522" s="1442"/>
      <c r="I522" s="1442"/>
      <c r="J522" s="1442"/>
      <c r="K522" s="771" t="s">
        <v>2033</v>
      </c>
      <c r="L522" s="1215">
        <f>SUM(L523:L533)</f>
        <v>0</v>
      </c>
      <c r="M522" s="1215">
        <f t="shared" ref="M522:V522" si="89">SUM(M523:M533)</f>
        <v>0</v>
      </c>
      <c r="N522" s="1215">
        <f t="shared" si="89"/>
        <v>0</v>
      </c>
      <c r="O522" s="1206">
        <f t="shared" si="88"/>
        <v>0</v>
      </c>
      <c r="P522" s="1215">
        <f t="shared" si="89"/>
        <v>0</v>
      </c>
      <c r="Q522" s="1215">
        <f t="shared" si="89"/>
        <v>0</v>
      </c>
      <c r="R522" s="1215">
        <f t="shared" si="89"/>
        <v>0</v>
      </c>
      <c r="S522" s="1215"/>
      <c r="T522" s="1215">
        <f t="shared" si="89"/>
        <v>0</v>
      </c>
      <c r="U522" s="1215">
        <f t="shared" si="89"/>
        <v>0</v>
      </c>
      <c r="V522" s="1215">
        <f t="shared" si="89"/>
        <v>0</v>
      </c>
      <c r="W522" s="631" t="e">
        <f t="shared" si="87"/>
        <v>#DIV/0!</v>
      </c>
      <c r="X522" s="788" t="s">
        <v>1615</v>
      </c>
      <c r="Y522" s="788"/>
    </row>
    <row r="523" spans="1:25" s="183" customFormat="1" ht="22.5" customHeight="1" thickTop="1" thickBot="1" x14ac:dyDescent="0.3">
      <c r="A523" s="1441">
        <v>1</v>
      </c>
      <c r="B523" s="1442" t="s">
        <v>1381</v>
      </c>
      <c r="C523" s="1442" t="s">
        <v>1394</v>
      </c>
      <c r="D523" s="1442" t="s">
        <v>1422</v>
      </c>
      <c r="E523" s="1442" t="s">
        <v>1381</v>
      </c>
      <c r="F523" s="1442" t="s">
        <v>1422</v>
      </c>
      <c r="G523" s="1442" t="s">
        <v>1381</v>
      </c>
      <c r="H523" s="1442"/>
      <c r="I523" s="1442"/>
      <c r="J523" s="1442"/>
      <c r="K523" s="771" t="s">
        <v>2588</v>
      </c>
      <c r="L523" s="1215"/>
      <c r="M523" s="1215"/>
      <c r="N523" s="1215"/>
      <c r="O523" s="1206">
        <f t="shared" si="88"/>
        <v>0</v>
      </c>
      <c r="P523" s="1215"/>
      <c r="Q523" s="1215"/>
      <c r="R523" s="1215"/>
      <c r="S523" s="1215"/>
      <c r="T523" s="1215"/>
      <c r="U523" s="1215"/>
      <c r="V523" s="1215"/>
      <c r="W523" s="631" t="e">
        <f t="shared" si="87"/>
        <v>#DIV/0!</v>
      </c>
      <c r="X523" s="788"/>
      <c r="Y523" s="788"/>
    </row>
    <row r="524" spans="1:25" s="183" customFormat="1" ht="22.5" customHeight="1" thickTop="1" thickBot="1" x14ac:dyDescent="0.3">
      <c r="A524" s="1441">
        <v>1</v>
      </c>
      <c r="B524" s="1442" t="s">
        <v>1381</v>
      </c>
      <c r="C524" s="1442" t="s">
        <v>1394</v>
      </c>
      <c r="D524" s="1442" t="s">
        <v>1422</v>
      </c>
      <c r="E524" s="1442" t="s">
        <v>1381</v>
      </c>
      <c r="F524" s="1442" t="s">
        <v>1422</v>
      </c>
      <c r="G524" s="1442" t="s">
        <v>1394</v>
      </c>
      <c r="H524" s="1442"/>
      <c r="I524" s="1442"/>
      <c r="J524" s="1442"/>
      <c r="K524" s="771" t="s">
        <v>2589</v>
      </c>
      <c r="L524" s="1215"/>
      <c r="M524" s="1215"/>
      <c r="N524" s="1215"/>
      <c r="O524" s="1206">
        <f t="shared" si="88"/>
        <v>0</v>
      </c>
      <c r="P524" s="1215"/>
      <c r="Q524" s="1215"/>
      <c r="R524" s="1215"/>
      <c r="S524" s="1215"/>
      <c r="T524" s="1215"/>
      <c r="U524" s="1215"/>
      <c r="V524" s="1215"/>
      <c r="W524" s="631" t="e">
        <f t="shared" si="87"/>
        <v>#DIV/0!</v>
      </c>
      <c r="X524" s="788"/>
      <c r="Y524" s="788"/>
    </row>
    <row r="525" spans="1:25" s="183" customFormat="1" ht="22.5" customHeight="1" thickTop="1" thickBot="1" x14ac:dyDescent="0.3">
      <c r="A525" s="1441">
        <v>1</v>
      </c>
      <c r="B525" s="1442" t="s">
        <v>1381</v>
      </c>
      <c r="C525" s="1442" t="s">
        <v>1394</v>
      </c>
      <c r="D525" s="1442" t="s">
        <v>1422</v>
      </c>
      <c r="E525" s="1442" t="s">
        <v>1381</v>
      </c>
      <c r="F525" s="1442" t="s">
        <v>1422</v>
      </c>
      <c r="G525" s="1442" t="s">
        <v>1418</v>
      </c>
      <c r="H525" s="1442"/>
      <c r="I525" s="1442"/>
      <c r="J525" s="1442"/>
      <c r="K525" s="771" t="s">
        <v>2590</v>
      </c>
      <c r="L525" s="1215"/>
      <c r="M525" s="1215"/>
      <c r="N525" s="1215"/>
      <c r="O525" s="1206">
        <f t="shared" si="88"/>
        <v>0</v>
      </c>
      <c r="P525" s="1215"/>
      <c r="Q525" s="1215"/>
      <c r="R525" s="1215"/>
      <c r="S525" s="1215"/>
      <c r="T525" s="1215"/>
      <c r="U525" s="1215"/>
      <c r="V525" s="1215"/>
      <c r="W525" s="631" t="e">
        <f t="shared" si="87"/>
        <v>#DIV/0!</v>
      </c>
      <c r="X525" s="788"/>
      <c r="Y525" s="788"/>
    </row>
    <row r="526" spans="1:25" s="183" customFormat="1" ht="22.5" customHeight="1" thickTop="1" thickBot="1" x14ac:dyDescent="0.3">
      <c r="A526" s="1441">
        <v>1</v>
      </c>
      <c r="B526" s="1442" t="s">
        <v>1381</v>
      </c>
      <c r="C526" s="1442" t="s">
        <v>1394</v>
      </c>
      <c r="D526" s="1442" t="s">
        <v>1422</v>
      </c>
      <c r="E526" s="1442" t="s">
        <v>1381</v>
      </c>
      <c r="F526" s="1442" t="s">
        <v>1422</v>
      </c>
      <c r="G526" s="1442" t="s">
        <v>1422</v>
      </c>
      <c r="H526" s="1442"/>
      <c r="I526" s="1442"/>
      <c r="J526" s="1442"/>
      <c r="K526" s="771" t="s">
        <v>2591</v>
      </c>
      <c r="L526" s="1215"/>
      <c r="M526" s="1215"/>
      <c r="N526" s="1215"/>
      <c r="O526" s="1206">
        <f t="shared" si="88"/>
        <v>0</v>
      </c>
      <c r="P526" s="1215"/>
      <c r="Q526" s="1215"/>
      <c r="R526" s="1215"/>
      <c r="S526" s="1215"/>
      <c r="T526" s="1215"/>
      <c r="U526" s="1215"/>
      <c r="V526" s="1215"/>
      <c r="W526" s="631" t="e">
        <f t="shared" si="87"/>
        <v>#DIV/0!</v>
      </c>
      <c r="X526" s="788"/>
      <c r="Y526" s="788"/>
    </row>
    <row r="527" spans="1:25" s="183" customFormat="1" ht="22.5" customHeight="1" thickTop="1" thickBot="1" x14ac:dyDescent="0.3">
      <c r="A527" s="1441">
        <v>1</v>
      </c>
      <c r="B527" s="1442" t="s">
        <v>1381</v>
      </c>
      <c r="C527" s="1442" t="s">
        <v>1394</v>
      </c>
      <c r="D527" s="1442" t="s">
        <v>1422</v>
      </c>
      <c r="E527" s="1442" t="s">
        <v>1381</v>
      </c>
      <c r="F527" s="1442" t="s">
        <v>1422</v>
      </c>
      <c r="G527" s="1442" t="s">
        <v>1447</v>
      </c>
      <c r="H527" s="1442"/>
      <c r="I527" s="1442"/>
      <c r="J527" s="1442"/>
      <c r="K527" s="771" t="s">
        <v>2592</v>
      </c>
      <c r="L527" s="1215"/>
      <c r="M527" s="1215"/>
      <c r="N527" s="1215"/>
      <c r="O527" s="1206">
        <f t="shared" si="88"/>
        <v>0</v>
      </c>
      <c r="P527" s="1215"/>
      <c r="Q527" s="1215"/>
      <c r="R527" s="1215"/>
      <c r="S527" s="1215"/>
      <c r="T527" s="1215"/>
      <c r="U527" s="1215"/>
      <c r="V527" s="1215"/>
      <c r="W527" s="631" t="e">
        <f t="shared" si="87"/>
        <v>#DIV/0!</v>
      </c>
      <c r="X527" s="788"/>
      <c r="Y527" s="788"/>
    </row>
    <row r="528" spans="1:25" s="183" customFormat="1" ht="22.5" customHeight="1" thickTop="1" thickBot="1" x14ac:dyDescent="0.3">
      <c r="A528" s="1441">
        <v>1</v>
      </c>
      <c r="B528" s="1442" t="s">
        <v>1381</v>
      </c>
      <c r="C528" s="1442" t="s">
        <v>1394</v>
      </c>
      <c r="D528" s="1442" t="s">
        <v>1422</v>
      </c>
      <c r="E528" s="1442" t="s">
        <v>1381</v>
      </c>
      <c r="F528" s="1442" t="s">
        <v>1422</v>
      </c>
      <c r="G528" s="1442" t="s">
        <v>1470</v>
      </c>
      <c r="H528" s="1442"/>
      <c r="I528" s="1442"/>
      <c r="J528" s="1442"/>
      <c r="K528" s="771" t="s">
        <v>2593</v>
      </c>
      <c r="L528" s="1215"/>
      <c r="M528" s="1215"/>
      <c r="N528" s="1215"/>
      <c r="O528" s="1206">
        <f t="shared" si="88"/>
        <v>0</v>
      </c>
      <c r="P528" s="1215"/>
      <c r="Q528" s="1215"/>
      <c r="R528" s="1215"/>
      <c r="S528" s="1215"/>
      <c r="T528" s="1215"/>
      <c r="U528" s="1215"/>
      <c r="V528" s="1215"/>
      <c r="W528" s="631" t="e">
        <f t="shared" si="87"/>
        <v>#DIV/0!</v>
      </c>
      <c r="X528" s="788"/>
      <c r="Y528" s="788"/>
    </row>
    <row r="529" spans="1:25" s="183" customFormat="1" ht="22.5" customHeight="1" thickTop="1" thickBot="1" x14ac:dyDescent="0.3">
      <c r="A529" s="1441">
        <v>1</v>
      </c>
      <c r="B529" s="1442" t="s">
        <v>1381</v>
      </c>
      <c r="C529" s="1442" t="s">
        <v>1394</v>
      </c>
      <c r="D529" s="1442" t="s">
        <v>1422</v>
      </c>
      <c r="E529" s="1442" t="s">
        <v>1381</v>
      </c>
      <c r="F529" s="1442" t="s">
        <v>1422</v>
      </c>
      <c r="G529" s="1442" t="s">
        <v>1474</v>
      </c>
      <c r="H529" s="1442"/>
      <c r="I529" s="1442"/>
      <c r="J529" s="1442"/>
      <c r="K529" s="771" t="s">
        <v>2594</v>
      </c>
      <c r="L529" s="1215"/>
      <c r="M529" s="1215"/>
      <c r="N529" s="1215"/>
      <c r="O529" s="1206">
        <f t="shared" si="88"/>
        <v>0</v>
      </c>
      <c r="P529" s="1215"/>
      <c r="Q529" s="1215"/>
      <c r="R529" s="1215"/>
      <c r="S529" s="1215"/>
      <c r="T529" s="1215"/>
      <c r="U529" s="1215"/>
      <c r="V529" s="1215"/>
      <c r="W529" s="631" t="e">
        <f t="shared" si="87"/>
        <v>#DIV/0!</v>
      </c>
      <c r="X529" s="788"/>
      <c r="Y529" s="788"/>
    </row>
    <row r="530" spans="1:25" s="183" customFormat="1" ht="22.5" customHeight="1" thickTop="1" thickBot="1" x14ac:dyDescent="0.3">
      <c r="A530" s="1441">
        <v>1</v>
      </c>
      <c r="B530" s="1442" t="s">
        <v>1381</v>
      </c>
      <c r="C530" s="1442" t="s">
        <v>1394</v>
      </c>
      <c r="D530" s="1442" t="s">
        <v>1422</v>
      </c>
      <c r="E530" s="1442" t="s">
        <v>1381</v>
      </c>
      <c r="F530" s="1442" t="s">
        <v>1422</v>
      </c>
      <c r="G530" s="1442" t="s">
        <v>1478</v>
      </c>
      <c r="H530" s="1442"/>
      <c r="I530" s="1442"/>
      <c r="J530" s="1442"/>
      <c r="K530" s="771" t="s">
        <v>2595</v>
      </c>
      <c r="L530" s="1215"/>
      <c r="M530" s="1215"/>
      <c r="N530" s="1215"/>
      <c r="O530" s="1206">
        <f t="shared" si="88"/>
        <v>0</v>
      </c>
      <c r="P530" s="1215"/>
      <c r="Q530" s="1215"/>
      <c r="R530" s="1215"/>
      <c r="S530" s="1215"/>
      <c r="T530" s="1215"/>
      <c r="U530" s="1215"/>
      <c r="V530" s="1215"/>
      <c r="W530" s="631" t="e">
        <f t="shared" si="87"/>
        <v>#DIV/0!</v>
      </c>
      <c r="X530" s="788"/>
      <c r="Y530" s="788"/>
    </row>
    <row r="531" spans="1:25" s="183" customFormat="1" ht="22.5" customHeight="1" thickTop="1" thickBot="1" x14ac:dyDescent="0.3">
      <c r="A531" s="1441">
        <v>1</v>
      </c>
      <c r="B531" s="1442" t="s">
        <v>1381</v>
      </c>
      <c r="C531" s="1442" t="s">
        <v>1394</v>
      </c>
      <c r="D531" s="1442" t="s">
        <v>1422</v>
      </c>
      <c r="E531" s="1442" t="s">
        <v>1381</v>
      </c>
      <c r="F531" s="1442" t="s">
        <v>1422</v>
      </c>
      <c r="G531" s="1442" t="s">
        <v>1576</v>
      </c>
      <c r="H531" s="1442"/>
      <c r="I531" s="1442"/>
      <c r="J531" s="1442"/>
      <c r="K531" s="771" t="s">
        <v>2596</v>
      </c>
      <c r="L531" s="1215"/>
      <c r="M531" s="1215"/>
      <c r="N531" s="1215"/>
      <c r="O531" s="1206">
        <f t="shared" si="88"/>
        <v>0</v>
      </c>
      <c r="P531" s="1215"/>
      <c r="Q531" s="1215"/>
      <c r="R531" s="1215"/>
      <c r="S531" s="1215"/>
      <c r="T531" s="1215"/>
      <c r="U531" s="1215"/>
      <c r="V531" s="1215"/>
      <c r="W531" s="631" t="e">
        <f t="shared" si="87"/>
        <v>#DIV/0!</v>
      </c>
      <c r="X531" s="788"/>
      <c r="Y531" s="788"/>
    </row>
    <row r="532" spans="1:25" s="183" customFormat="1" ht="22.5" customHeight="1" thickTop="1" thickBot="1" x14ac:dyDescent="0.3">
      <c r="A532" s="1441">
        <v>1</v>
      </c>
      <c r="B532" s="1442" t="s">
        <v>1381</v>
      </c>
      <c r="C532" s="1442" t="s">
        <v>1394</v>
      </c>
      <c r="D532" s="1442" t="s">
        <v>1422</v>
      </c>
      <c r="E532" s="1442" t="s">
        <v>1381</v>
      </c>
      <c r="F532" s="1442" t="s">
        <v>1422</v>
      </c>
      <c r="G532" s="1442" t="s">
        <v>1577</v>
      </c>
      <c r="H532" s="1442"/>
      <c r="I532" s="1442"/>
      <c r="J532" s="1442"/>
      <c r="K532" s="771" t="s">
        <v>2597</v>
      </c>
      <c r="L532" s="1215"/>
      <c r="M532" s="1215"/>
      <c r="N532" s="1215"/>
      <c r="O532" s="1206">
        <f t="shared" si="88"/>
        <v>0</v>
      </c>
      <c r="P532" s="1215"/>
      <c r="Q532" s="1215"/>
      <c r="R532" s="1215"/>
      <c r="S532" s="1215"/>
      <c r="T532" s="1215"/>
      <c r="U532" s="1215"/>
      <c r="V532" s="1215"/>
      <c r="W532" s="631" t="e">
        <f t="shared" si="87"/>
        <v>#DIV/0!</v>
      </c>
      <c r="X532" s="788"/>
      <c r="Y532" s="788"/>
    </row>
    <row r="533" spans="1:25" s="183" customFormat="1" ht="22.5" customHeight="1" thickTop="1" thickBot="1" x14ac:dyDescent="0.3">
      <c r="A533" s="1441">
        <v>1</v>
      </c>
      <c r="B533" s="1442" t="s">
        <v>1381</v>
      </c>
      <c r="C533" s="1442" t="s">
        <v>1394</v>
      </c>
      <c r="D533" s="1442" t="s">
        <v>1422</v>
      </c>
      <c r="E533" s="1442" t="s">
        <v>1381</v>
      </c>
      <c r="F533" s="1442" t="s">
        <v>1422</v>
      </c>
      <c r="G533" s="1442" t="s">
        <v>1578</v>
      </c>
      <c r="H533" s="1442"/>
      <c r="I533" s="1442"/>
      <c r="J533" s="1442"/>
      <c r="K533" s="771" t="s">
        <v>2598</v>
      </c>
      <c r="L533" s="1215"/>
      <c r="M533" s="1215"/>
      <c r="N533" s="1215"/>
      <c r="O533" s="1206">
        <f t="shared" si="88"/>
        <v>0</v>
      </c>
      <c r="P533" s="1215"/>
      <c r="Q533" s="1215"/>
      <c r="R533" s="1215"/>
      <c r="S533" s="1215"/>
      <c r="T533" s="1215"/>
      <c r="U533" s="1215"/>
      <c r="V533" s="1215"/>
      <c r="W533" s="631" t="e">
        <f t="shared" si="87"/>
        <v>#DIV/0!</v>
      </c>
      <c r="X533" s="788"/>
      <c r="Y533" s="788"/>
    </row>
    <row r="534" spans="1:25" ht="22.5" customHeight="1" thickTop="1" thickBot="1" x14ac:dyDescent="0.3">
      <c r="A534" s="1441">
        <v>1</v>
      </c>
      <c r="B534" s="1442" t="s">
        <v>1381</v>
      </c>
      <c r="C534" s="1442" t="s">
        <v>1394</v>
      </c>
      <c r="D534" s="1442" t="s">
        <v>1422</v>
      </c>
      <c r="E534" s="1442" t="s">
        <v>1381</v>
      </c>
      <c r="F534" s="1442" t="s">
        <v>1447</v>
      </c>
      <c r="G534" s="1442"/>
      <c r="H534" s="1442"/>
      <c r="I534" s="1442"/>
      <c r="J534" s="1442"/>
      <c r="K534" s="771" t="s">
        <v>1616</v>
      </c>
      <c r="L534" s="1214">
        <f>SUM(L535:L545)</f>
        <v>0</v>
      </c>
      <c r="M534" s="1214">
        <f t="shared" ref="M534:V534" si="90">SUM(M535:M545)</f>
        <v>0</v>
      </c>
      <c r="N534" s="1214">
        <f t="shared" si="90"/>
        <v>0</v>
      </c>
      <c r="O534" s="1206">
        <f t="shared" si="88"/>
        <v>0</v>
      </c>
      <c r="P534" s="1214">
        <f t="shared" si="90"/>
        <v>0</v>
      </c>
      <c r="Q534" s="1214">
        <f t="shared" si="90"/>
        <v>0</v>
      </c>
      <c r="R534" s="1214">
        <f t="shared" si="90"/>
        <v>0</v>
      </c>
      <c r="S534" s="1214"/>
      <c r="T534" s="1214">
        <f t="shared" si="90"/>
        <v>0</v>
      </c>
      <c r="U534" s="1214">
        <f t="shared" si="90"/>
        <v>0</v>
      </c>
      <c r="V534" s="1214">
        <f t="shared" si="90"/>
        <v>0</v>
      </c>
      <c r="W534" s="637" t="e">
        <f t="shared" si="87"/>
        <v>#DIV/0!</v>
      </c>
      <c r="X534" s="788" t="s">
        <v>1617</v>
      </c>
      <c r="Y534" s="788" t="s">
        <v>1618</v>
      </c>
    </row>
    <row r="535" spans="1:25" ht="22.5" customHeight="1" thickTop="1" thickBot="1" x14ac:dyDescent="0.3">
      <c r="A535" s="1441">
        <v>1</v>
      </c>
      <c r="B535" s="1442" t="s">
        <v>1381</v>
      </c>
      <c r="C535" s="1442" t="s">
        <v>1394</v>
      </c>
      <c r="D535" s="1442" t="s">
        <v>1422</v>
      </c>
      <c r="E535" s="1442" t="s">
        <v>1381</v>
      </c>
      <c r="F535" s="1442" t="s">
        <v>1447</v>
      </c>
      <c r="G535" s="1442" t="s">
        <v>1381</v>
      </c>
      <c r="H535" s="1442"/>
      <c r="I535" s="1442"/>
      <c r="J535" s="1442"/>
      <c r="K535" s="771" t="s">
        <v>2599</v>
      </c>
      <c r="L535" s="1214"/>
      <c r="M535" s="1214"/>
      <c r="N535" s="1214"/>
      <c r="O535" s="1206">
        <f t="shared" si="88"/>
        <v>0</v>
      </c>
      <c r="P535" s="1214"/>
      <c r="Q535" s="1214"/>
      <c r="R535" s="1214"/>
      <c r="S535" s="1214"/>
      <c r="T535" s="1214"/>
      <c r="U535" s="1214"/>
      <c r="V535" s="1214"/>
      <c r="W535" s="637" t="e">
        <f t="shared" si="87"/>
        <v>#DIV/0!</v>
      </c>
      <c r="X535" s="788"/>
      <c r="Y535" s="788"/>
    </row>
    <row r="536" spans="1:25" ht="22.5" customHeight="1" thickTop="1" thickBot="1" x14ac:dyDescent="0.3">
      <c r="A536" s="1441">
        <v>1</v>
      </c>
      <c r="B536" s="1442" t="s">
        <v>1381</v>
      </c>
      <c r="C536" s="1442" t="s">
        <v>1394</v>
      </c>
      <c r="D536" s="1442" t="s">
        <v>1422</v>
      </c>
      <c r="E536" s="1442" t="s">
        <v>1381</v>
      </c>
      <c r="F536" s="1442" t="s">
        <v>1447</v>
      </c>
      <c r="G536" s="1442" t="s">
        <v>1394</v>
      </c>
      <c r="H536" s="1442"/>
      <c r="I536" s="1442"/>
      <c r="J536" s="1442"/>
      <c r="K536" s="771" t="s">
        <v>2600</v>
      </c>
      <c r="L536" s="1214"/>
      <c r="M536" s="1214"/>
      <c r="N536" s="1214"/>
      <c r="O536" s="1206">
        <f t="shared" si="88"/>
        <v>0</v>
      </c>
      <c r="P536" s="1214"/>
      <c r="Q536" s="1214"/>
      <c r="R536" s="1214"/>
      <c r="S536" s="1214"/>
      <c r="T536" s="1214"/>
      <c r="U536" s="1214"/>
      <c r="V536" s="1214"/>
      <c r="W536" s="637" t="e">
        <f t="shared" si="87"/>
        <v>#DIV/0!</v>
      </c>
      <c r="X536" s="788"/>
      <c r="Y536" s="788"/>
    </row>
    <row r="537" spans="1:25" ht="22.5" customHeight="1" thickTop="1" thickBot="1" x14ac:dyDescent="0.3">
      <c r="A537" s="1441">
        <v>1</v>
      </c>
      <c r="B537" s="1442" t="s">
        <v>1381</v>
      </c>
      <c r="C537" s="1442" t="s">
        <v>1394</v>
      </c>
      <c r="D537" s="1442" t="s">
        <v>1422</v>
      </c>
      <c r="E537" s="1442" t="s">
        <v>1381</v>
      </c>
      <c r="F537" s="1442" t="s">
        <v>1447</v>
      </c>
      <c r="G537" s="1442" t="s">
        <v>1418</v>
      </c>
      <c r="H537" s="1442"/>
      <c r="I537" s="1442"/>
      <c r="J537" s="1442"/>
      <c r="K537" s="771" t="s">
        <v>2601</v>
      </c>
      <c r="L537" s="1214"/>
      <c r="M537" s="1214"/>
      <c r="N537" s="1214"/>
      <c r="O537" s="1206">
        <f t="shared" si="88"/>
        <v>0</v>
      </c>
      <c r="P537" s="1214"/>
      <c r="Q537" s="1214"/>
      <c r="R537" s="1214"/>
      <c r="S537" s="1214"/>
      <c r="T537" s="1214"/>
      <c r="U537" s="1214"/>
      <c r="V537" s="1214"/>
      <c r="W537" s="637" t="e">
        <f t="shared" si="87"/>
        <v>#DIV/0!</v>
      </c>
      <c r="X537" s="788"/>
      <c r="Y537" s="788"/>
    </row>
    <row r="538" spans="1:25" ht="22.5" customHeight="1" thickTop="1" thickBot="1" x14ac:dyDescent="0.3">
      <c r="A538" s="1441">
        <v>1</v>
      </c>
      <c r="B538" s="1442" t="s">
        <v>1381</v>
      </c>
      <c r="C538" s="1442" t="s">
        <v>1394</v>
      </c>
      <c r="D538" s="1442" t="s">
        <v>1422</v>
      </c>
      <c r="E538" s="1442" t="s">
        <v>1381</v>
      </c>
      <c r="F538" s="1442" t="s">
        <v>1447</v>
      </c>
      <c r="G538" s="1442" t="s">
        <v>1422</v>
      </c>
      <c r="H538" s="1442"/>
      <c r="I538" s="1442"/>
      <c r="J538" s="1442"/>
      <c r="K538" s="771" t="s">
        <v>2602</v>
      </c>
      <c r="L538" s="1214"/>
      <c r="M538" s="1214"/>
      <c r="N538" s="1214"/>
      <c r="O538" s="1206">
        <f t="shared" si="88"/>
        <v>0</v>
      </c>
      <c r="P538" s="1214"/>
      <c r="Q538" s="1214"/>
      <c r="R538" s="1214"/>
      <c r="S538" s="1214"/>
      <c r="T538" s="1214"/>
      <c r="U538" s="1214"/>
      <c r="V538" s="1214"/>
      <c r="W538" s="637" t="e">
        <f t="shared" si="87"/>
        <v>#DIV/0!</v>
      </c>
      <c r="X538" s="788"/>
      <c r="Y538" s="788"/>
    </row>
    <row r="539" spans="1:25" ht="22.5" customHeight="1" thickTop="1" thickBot="1" x14ac:dyDescent="0.3">
      <c r="A539" s="1441">
        <v>1</v>
      </c>
      <c r="B539" s="1442" t="s">
        <v>1381</v>
      </c>
      <c r="C539" s="1442" t="s">
        <v>1394</v>
      </c>
      <c r="D539" s="1442" t="s">
        <v>1422</v>
      </c>
      <c r="E539" s="1442" t="s">
        <v>1381</v>
      </c>
      <c r="F539" s="1442" t="s">
        <v>1447</v>
      </c>
      <c r="G539" s="1442" t="s">
        <v>1447</v>
      </c>
      <c r="H539" s="1442"/>
      <c r="I539" s="1442"/>
      <c r="J539" s="1442"/>
      <c r="K539" s="771" t="s">
        <v>2603</v>
      </c>
      <c r="L539" s="1214"/>
      <c r="M539" s="1214"/>
      <c r="N539" s="1214"/>
      <c r="O539" s="1206">
        <f t="shared" si="88"/>
        <v>0</v>
      </c>
      <c r="P539" s="1214"/>
      <c r="Q539" s="1214"/>
      <c r="R539" s="1214"/>
      <c r="S539" s="1214"/>
      <c r="T539" s="1214"/>
      <c r="U539" s="1214"/>
      <c r="V539" s="1214"/>
      <c r="W539" s="637" t="e">
        <f t="shared" si="87"/>
        <v>#DIV/0!</v>
      </c>
      <c r="X539" s="788"/>
      <c r="Y539" s="788"/>
    </row>
    <row r="540" spans="1:25" ht="22.5" customHeight="1" thickTop="1" thickBot="1" x14ac:dyDescent="0.3">
      <c r="A540" s="1441">
        <v>1</v>
      </c>
      <c r="B540" s="1442" t="s">
        <v>1381</v>
      </c>
      <c r="C540" s="1442" t="s">
        <v>1394</v>
      </c>
      <c r="D540" s="1442" t="s">
        <v>1422</v>
      </c>
      <c r="E540" s="1442" t="s">
        <v>1381</v>
      </c>
      <c r="F540" s="1442" t="s">
        <v>1447</v>
      </c>
      <c r="G540" s="1442" t="s">
        <v>1470</v>
      </c>
      <c r="H540" s="1442"/>
      <c r="I540" s="1442"/>
      <c r="J540" s="1442"/>
      <c r="K540" s="771" t="s">
        <v>2604</v>
      </c>
      <c r="L540" s="1214"/>
      <c r="M540" s="1214"/>
      <c r="N540" s="1214"/>
      <c r="O540" s="1206">
        <f t="shared" si="88"/>
        <v>0</v>
      </c>
      <c r="P540" s="1214"/>
      <c r="Q540" s="1214"/>
      <c r="R540" s="1214"/>
      <c r="S540" s="1214"/>
      <c r="T540" s="1214"/>
      <c r="U540" s="1214"/>
      <c r="V540" s="1214"/>
      <c r="W540" s="637" t="e">
        <f t="shared" si="87"/>
        <v>#DIV/0!</v>
      </c>
      <c r="X540" s="788"/>
      <c r="Y540" s="788"/>
    </row>
    <row r="541" spans="1:25" ht="22.5" customHeight="1" thickTop="1" thickBot="1" x14ac:dyDescent="0.3">
      <c r="A541" s="1441">
        <v>1</v>
      </c>
      <c r="B541" s="1442" t="s">
        <v>1381</v>
      </c>
      <c r="C541" s="1442" t="s">
        <v>1394</v>
      </c>
      <c r="D541" s="1442" t="s">
        <v>1422</v>
      </c>
      <c r="E541" s="1442" t="s">
        <v>1381</v>
      </c>
      <c r="F541" s="1442" t="s">
        <v>1447</v>
      </c>
      <c r="G541" s="1442" t="s">
        <v>1474</v>
      </c>
      <c r="H541" s="1442"/>
      <c r="I541" s="1442"/>
      <c r="J541" s="1442"/>
      <c r="K541" s="771" t="s">
        <v>2605</v>
      </c>
      <c r="L541" s="1214"/>
      <c r="M541" s="1214"/>
      <c r="N541" s="1214"/>
      <c r="O541" s="1206">
        <f t="shared" si="88"/>
        <v>0</v>
      </c>
      <c r="P541" s="1214"/>
      <c r="Q541" s="1214"/>
      <c r="R541" s="1214"/>
      <c r="S541" s="1214"/>
      <c r="T541" s="1214"/>
      <c r="U541" s="1214"/>
      <c r="V541" s="1214"/>
      <c r="W541" s="637" t="e">
        <f t="shared" si="87"/>
        <v>#DIV/0!</v>
      </c>
      <c r="X541" s="788"/>
      <c r="Y541" s="788"/>
    </row>
    <row r="542" spans="1:25" ht="22.5" customHeight="1" thickTop="1" thickBot="1" x14ac:dyDescent="0.3">
      <c r="A542" s="1441">
        <v>1</v>
      </c>
      <c r="B542" s="1442" t="s">
        <v>1381</v>
      </c>
      <c r="C542" s="1442" t="s">
        <v>1394</v>
      </c>
      <c r="D542" s="1442" t="s">
        <v>1422</v>
      </c>
      <c r="E542" s="1442" t="s">
        <v>1381</v>
      </c>
      <c r="F542" s="1442" t="s">
        <v>1447</v>
      </c>
      <c r="G542" s="1442" t="s">
        <v>1478</v>
      </c>
      <c r="H542" s="1442"/>
      <c r="I542" s="1442"/>
      <c r="J542" s="1442"/>
      <c r="K542" s="771" t="s">
        <v>2606</v>
      </c>
      <c r="L542" s="1214"/>
      <c r="M542" s="1214"/>
      <c r="N542" s="1214"/>
      <c r="O542" s="1206">
        <f t="shared" si="88"/>
        <v>0</v>
      </c>
      <c r="P542" s="1214"/>
      <c r="Q542" s="1214"/>
      <c r="R542" s="1214"/>
      <c r="S542" s="1214"/>
      <c r="T542" s="1214"/>
      <c r="U542" s="1214"/>
      <c r="V542" s="1214"/>
      <c r="W542" s="637" t="e">
        <f t="shared" si="87"/>
        <v>#DIV/0!</v>
      </c>
      <c r="X542" s="788"/>
      <c r="Y542" s="788"/>
    </row>
    <row r="543" spans="1:25" ht="22.5" customHeight="1" thickTop="1" thickBot="1" x14ac:dyDescent="0.3">
      <c r="A543" s="1441">
        <v>1</v>
      </c>
      <c r="B543" s="1442" t="s">
        <v>1381</v>
      </c>
      <c r="C543" s="1442" t="s">
        <v>1394</v>
      </c>
      <c r="D543" s="1442" t="s">
        <v>1422</v>
      </c>
      <c r="E543" s="1442" t="s">
        <v>1381</v>
      </c>
      <c r="F543" s="1442" t="s">
        <v>1447</v>
      </c>
      <c r="G543" s="1442" t="s">
        <v>1576</v>
      </c>
      <c r="H543" s="1442"/>
      <c r="I543" s="1442"/>
      <c r="J543" s="1442"/>
      <c r="K543" s="771" t="s">
        <v>2607</v>
      </c>
      <c r="L543" s="1214"/>
      <c r="M543" s="1214"/>
      <c r="N543" s="1214"/>
      <c r="O543" s="1206">
        <f t="shared" si="88"/>
        <v>0</v>
      </c>
      <c r="P543" s="1214"/>
      <c r="Q543" s="1214"/>
      <c r="R543" s="1214"/>
      <c r="S543" s="1214"/>
      <c r="T543" s="1214"/>
      <c r="U543" s="1214"/>
      <c r="V543" s="1214"/>
      <c r="W543" s="637" t="e">
        <f t="shared" si="87"/>
        <v>#DIV/0!</v>
      </c>
      <c r="X543" s="788"/>
      <c r="Y543" s="788"/>
    </row>
    <row r="544" spans="1:25" ht="22.5" customHeight="1" thickTop="1" thickBot="1" x14ac:dyDescent="0.3">
      <c r="A544" s="1441">
        <v>1</v>
      </c>
      <c r="B544" s="1442" t="s">
        <v>1381</v>
      </c>
      <c r="C544" s="1442" t="s">
        <v>1394</v>
      </c>
      <c r="D544" s="1442" t="s">
        <v>1422</v>
      </c>
      <c r="E544" s="1442" t="s">
        <v>1381</v>
      </c>
      <c r="F544" s="1442" t="s">
        <v>1447</v>
      </c>
      <c r="G544" s="1442" t="s">
        <v>1577</v>
      </c>
      <c r="H544" s="1442"/>
      <c r="I544" s="1442"/>
      <c r="J544" s="1442"/>
      <c r="K544" s="771" t="s">
        <v>2608</v>
      </c>
      <c r="L544" s="1214"/>
      <c r="M544" s="1214"/>
      <c r="N544" s="1214"/>
      <c r="O544" s="1206">
        <f t="shared" si="88"/>
        <v>0</v>
      </c>
      <c r="P544" s="1214"/>
      <c r="Q544" s="1214"/>
      <c r="R544" s="1214"/>
      <c r="S544" s="1214"/>
      <c r="T544" s="1214"/>
      <c r="U544" s="1214"/>
      <c r="V544" s="1214"/>
      <c r="W544" s="637" t="e">
        <f t="shared" si="87"/>
        <v>#DIV/0!</v>
      </c>
      <c r="X544" s="788"/>
      <c r="Y544" s="788"/>
    </row>
    <row r="545" spans="1:25" ht="22.5" customHeight="1" thickTop="1" thickBot="1" x14ac:dyDescent="0.3">
      <c r="A545" s="1441">
        <v>1</v>
      </c>
      <c r="B545" s="1442" t="s">
        <v>1381</v>
      </c>
      <c r="C545" s="1442" t="s">
        <v>1394</v>
      </c>
      <c r="D545" s="1442" t="s">
        <v>1422</v>
      </c>
      <c r="E545" s="1442" t="s">
        <v>1381</v>
      </c>
      <c r="F545" s="1442" t="s">
        <v>1447</v>
      </c>
      <c r="G545" s="1442" t="s">
        <v>1578</v>
      </c>
      <c r="H545" s="1442"/>
      <c r="I545" s="1442"/>
      <c r="J545" s="1442"/>
      <c r="K545" s="771" t="s">
        <v>2609</v>
      </c>
      <c r="L545" s="1214"/>
      <c r="M545" s="1214"/>
      <c r="N545" s="1214"/>
      <c r="O545" s="1206">
        <f t="shared" si="88"/>
        <v>0</v>
      </c>
      <c r="P545" s="1214"/>
      <c r="Q545" s="1214"/>
      <c r="R545" s="1214"/>
      <c r="S545" s="1214"/>
      <c r="T545" s="1214"/>
      <c r="U545" s="1214"/>
      <c r="V545" s="1214"/>
      <c r="W545" s="637" t="e">
        <f t="shared" si="87"/>
        <v>#DIV/0!</v>
      </c>
      <c r="X545" s="788"/>
      <c r="Y545" s="788"/>
    </row>
    <row r="546" spans="1:25" ht="22.5" customHeight="1" thickTop="1" thickBot="1" x14ac:dyDescent="0.3">
      <c r="A546" s="1441">
        <v>1</v>
      </c>
      <c r="B546" s="1442" t="s">
        <v>1381</v>
      </c>
      <c r="C546" s="1442" t="s">
        <v>1394</v>
      </c>
      <c r="D546" s="1442" t="s">
        <v>1422</v>
      </c>
      <c r="E546" s="1442" t="s">
        <v>1381</v>
      </c>
      <c r="F546" s="1442" t="s">
        <v>1470</v>
      </c>
      <c r="G546" s="1442"/>
      <c r="H546" s="1442"/>
      <c r="I546" s="1442"/>
      <c r="J546" s="1442"/>
      <c r="K546" s="771" t="s">
        <v>2034</v>
      </c>
      <c r="L546" s="1214">
        <f>SUM(L547:L557)</f>
        <v>0</v>
      </c>
      <c r="M546" s="1214">
        <f t="shared" ref="M546:V546" si="91">SUM(M547:M557)</f>
        <v>0</v>
      </c>
      <c r="N546" s="1214">
        <f t="shared" si="91"/>
        <v>0</v>
      </c>
      <c r="O546" s="1206">
        <f t="shared" si="88"/>
        <v>0</v>
      </c>
      <c r="P546" s="1214">
        <f t="shared" si="91"/>
        <v>0</v>
      </c>
      <c r="Q546" s="1214">
        <f t="shared" si="91"/>
        <v>0</v>
      </c>
      <c r="R546" s="1214">
        <f t="shared" si="91"/>
        <v>0</v>
      </c>
      <c r="S546" s="1214"/>
      <c r="T546" s="1214">
        <f t="shared" si="91"/>
        <v>0</v>
      </c>
      <c r="U546" s="1214">
        <f t="shared" si="91"/>
        <v>0</v>
      </c>
      <c r="V546" s="1214">
        <f t="shared" si="91"/>
        <v>0</v>
      </c>
      <c r="W546" s="637" t="e">
        <f t="shared" si="87"/>
        <v>#DIV/0!</v>
      </c>
      <c r="X546" s="788" t="s">
        <v>1620</v>
      </c>
      <c r="Y546" s="788"/>
    </row>
    <row r="547" spans="1:25" ht="22.5" customHeight="1" thickTop="1" thickBot="1" x14ac:dyDescent="0.3">
      <c r="A547" s="1441">
        <v>1</v>
      </c>
      <c r="B547" s="1442" t="s">
        <v>1381</v>
      </c>
      <c r="C547" s="1442" t="s">
        <v>1394</v>
      </c>
      <c r="D547" s="1442" t="s">
        <v>1422</v>
      </c>
      <c r="E547" s="1442" t="s">
        <v>1381</v>
      </c>
      <c r="F547" s="1442" t="s">
        <v>1470</v>
      </c>
      <c r="G547" s="1442" t="s">
        <v>1381</v>
      </c>
      <c r="H547" s="1442"/>
      <c r="I547" s="1442"/>
      <c r="J547" s="1442"/>
      <c r="K547" s="771" t="s">
        <v>2520</v>
      </c>
      <c r="L547" s="1214"/>
      <c r="M547" s="1214"/>
      <c r="N547" s="1214"/>
      <c r="O547" s="1206">
        <f t="shared" si="88"/>
        <v>0</v>
      </c>
      <c r="P547" s="1214"/>
      <c r="Q547" s="1214"/>
      <c r="R547" s="1214"/>
      <c r="S547" s="1214"/>
      <c r="T547" s="1214"/>
      <c r="U547" s="1214"/>
      <c r="V547" s="1214"/>
      <c r="W547" s="637" t="e">
        <f t="shared" si="87"/>
        <v>#DIV/0!</v>
      </c>
      <c r="X547" s="788"/>
      <c r="Y547" s="788"/>
    </row>
    <row r="548" spans="1:25" ht="22.5" customHeight="1" thickTop="1" thickBot="1" x14ac:dyDescent="0.3">
      <c r="A548" s="1441">
        <v>1</v>
      </c>
      <c r="B548" s="1442" t="s">
        <v>1381</v>
      </c>
      <c r="C548" s="1442" t="s">
        <v>1394</v>
      </c>
      <c r="D548" s="1442" t="s">
        <v>1422</v>
      </c>
      <c r="E548" s="1442" t="s">
        <v>1381</v>
      </c>
      <c r="F548" s="1442" t="s">
        <v>1470</v>
      </c>
      <c r="G548" s="1442" t="s">
        <v>1394</v>
      </c>
      <c r="H548" s="1442"/>
      <c r="I548" s="1442"/>
      <c r="J548" s="1442"/>
      <c r="K548" s="771" t="s">
        <v>2521</v>
      </c>
      <c r="L548" s="1214"/>
      <c r="M548" s="1214"/>
      <c r="N548" s="1214"/>
      <c r="O548" s="1206">
        <f t="shared" si="88"/>
        <v>0</v>
      </c>
      <c r="P548" s="1214"/>
      <c r="Q548" s="1214"/>
      <c r="R548" s="1214"/>
      <c r="S548" s="1214"/>
      <c r="T548" s="1214"/>
      <c r="U548" s="1214"/>
      <c r="V548" s="1214"/>
      <c r="W548" s="637" t="e">
        <f t="shared" si="87"/>
        <v>#DIV/0!</v>
      </c>
      <c r="X548" s="788"/>
      <c r="Y548" s="788"/>
    </row>
    <row r="549" spans="1:25" ht="22.5" customHeight="1" thickTop="1" thickBot="1" x14ac:dyDescent="0.3">
      <c r="A549" s="1441">
        <v>1</v>
      </c>
      <c r="B549" s="1442" t="s">
        <v>1381</v>
      </c>
      <c r="C549" s="1442" t="s">
        <v>1394</v>
      </c>
      <c r="D549" s="1442" t="s">
        <v>1422</v>
      </c>
      <c r="E549" s="1442" t="s">
        <v>1381</v>
      </c>
      <c r="F549" s="1442" t="s">
        <v>1470</v>
      </c>
      <c r="G549" s="1442" t="s">
        <v>1418</v>
      </c>
      <c r="H549" s="1442"/>
      <c r="I549" s="1442"/>
      <c r="J549" s="1442"/>
      <c r="K549" s="771" t="s">
        <v>2522</v>
      </c>
      <c r="L549" s="1214"/>
      <c r="M549" s="1214"/>
      <c r="N549" s="1214"/>
      <c r="O549" s="1206">
        <f t="shared" si="88"/>
        <v>0</v>
      </c>
      <c r="P549" s="1214"/>
      <c r="Q549" s="1214"/>
      <c r="R549" s="1214"/>
      <c r="S549" s="1214"/>
      <c r="T549" s="1214"/>
      <c r="U549" s="1214"/>
      <c r="V549" s="1214"/>
      <c r="W549" s="637" t="e">
        <f t="shared" si="87"/>
        <v>#DIV/0!</v>
      </c>
      <c r="X549" s="788"/>
      <c r="Y549" s="788"/>
    </row>
    <row r="550" spans="1:25" ht="22.5" customHeight="1" thickTop="1" thickBot="1" x14ac:dyDescent="0.3">
      <c r="A550" s="1441">
        <v>1</v>
      </c>
      <c r="B550" s="1442" t="s">
        <v>1381</v>
      </c>
      <c r="C550" s="1442" t="s">
        <v>1394</v>
      </c>
      <c r="D550" s="1442" t="s">
        <v>1422</v>
      </c>
      <c r="E550" s="1442" t="s">
        <v>1381</v>
      </c>
      <c r="F550" s="1442" t="s">
        <v>1470</v>
      </c>
      <c r="G550" s="1442" t="s">
        <v>1422</v>
      </c>
      <c r="H550" s="1442"/>
      <c r="I550" s="1442"/>
      <c r="J550" s="1442"/>
      <c r="K550" s="771" t="s">
        <v>2523</v>
      </c>
      <c r="L550" s="1214"/>
      <c r="M550" s="1214"/>
      <c r="N550" s="1214"/>
      <c r="O550" s="1206">
        <f t="shared" si="88"/>
        <v>0</v>
      </c>
      <c r="P550" s="1214"/>
      <c r="Q550" s="1214"/>
      <c r="R550" s="1214"/>
      <c r="S550" s="1214"/>
      <c r="T550" s="1214"/>
      <c r="U550" s="1214"/>
      <c r="V550" s="1214"/>
      <c r="W550" s="637" t="e">
        <f t="shared" si="87"/>
        <v>#DIV/0!</v>
      </c>
      <c r="X550" s="788"/>
      <c r="Y550" s="788"/>
    </row>
    <row r="551" spans="1:25" ht="22.5" customHeight="1" thickTop="1" thickBot="1" x14ac:dyDescent="0.3">
      <c r="A551" s="1441">
        <v>1</v>
      </c>
      <c r="B551" s="1442" t="s">
        <v>1381</v>
      </c>
      <c r="C551" s="1442" t="s">
        <v>1394</v>
      </c>
      <c r="D551" s="1442" t="s">
        <v>1422</v>
      </c>
      <c r="E551" s="1442" t="s">
        <v>1381</v>
      </c>
      <c r="F551" s="1442" t="s">
        <v>1470</v>
      </c>
      <c r="G551" s="1442" t="s">
        <v>1447</v>
      </c>
      <c r="H551" s="1442"/>
      <c r="I551" s="1442"/>
      <c r="J551" s="1442"/>
      <c r="K551" s="771" t="s">
        <v>2524</v>
      </c>
      <c r="L551" s="1214"/>
      <c r="M551" s="1214"/>
      <c r="N551" s="1214"/>
      <c r="O551" s="1206">
        <f t="shared" si="88"/>
        <v>0</v>
      </c>
      <c r="P551" s="1214"/>
      <c r="Q551" s="1214"/>
      <c r="R551" s="1214"/>
      <c r="S551" s="1214"/>
      <c r="T551" s="1214"/>
      <c r="U551" s="1214"/>
      <c r="V551" s="1214"/>
      <c r="W551" s="637" t="e">
        <f t="shared" si="87"/>
        <v>#DIV/0!</v>
      </c>
      <c r="X551" s="788"/>
      <c r="Y551" s="788"/>
    </row>
    <row r="552" spans="1:25" ht="22.5" customHeight="1" thickTop="1" thickBot="1" x14ac:dyDescent="0.3">
      <c r="A552" s="1441">
        <v>1</v>
      </c>
      <c r="B552" s="1442" t="s">
        <v>1381</v>
      </c>
      <c r="C552" s="1442" t="s">
        <v>1394</v>
      </c>
      <c r="D552" s="1442" t="s">
        <v>1422</v>
      </c>
      <c r="E552" s="1442" t="s">
        <v>1381</v>
      </c>
      <c r="F552" s="1442" t="s">
        <v>1470</v>
      </c>
      <c r="G552" s="1442" t="s">
        <v>1470</v>
      </c>
      <c r="H552" s="1442"/>
      <c r="I552" s="1442"/>
      <c r="J552" s="1442"/>
      <c r="K552" s="771" t="s">
        <v>2525</v>
      </c>
      <c r="L552" s="1214"/>
      <c r="M552" s="1214"/>
      <c r="N552" s="1214"/>
      <c r="O552" s="1206">
        <f t="shared" si="88"/>
        <v>0</v>
      </c>
      <c r="P552" s="1214"/>
      <c r="Q552" s="1214"/>
      <c r="R552" s="1214"/>
      <c r="S552" s="1214"/>
      <c r="T552" s="1214"/>
      <c r="U552" s="1214"/>
      <c r="V552" s="1214"/>
      <c r="W552" s="637" t="e">
        <f t="shared" si="87"/>
        <v>#DIV/0!</v>
      </c>
      <c r="X552" s="788"/>
      <c r="Y552" s="788"/>
    </row>
    <row r="553" spans="1:25" ht="22.5" customHeight="1" thickTop="1" thickBot="1" x14ac:dyDescent="0.3">
      <c r="A553" s="1441">
        <v>1</v>
      </c>
      <c r="B553" s="1442" t="s">
        <v>1381</v>
      </c>
      <c r="C553" s="1442" t="s">
        <v>1394</v>
      </c>
      <c r="D553" s="1442" t="s">
        <v>1422</v>
      </c>
      <c r="E553" s="1442" t="s">
        <v>1381</v>
      </c>
      <c r="F553" s="1442" t="s">
        <v>1470</v>
      </c>
      <c r="G553" s="1442" t="s">
        <v>1474</v>
      </c>
      <c r="H553" s="1442"/>
      <c r="I553" s="1442"/>
      <c r="J553" s="1442"/>
      <c r="K553" s="771" t="s">
        <v>2526</v>
      </c>
      <c r="L553" s="1214"/>
      <c r="M553" s="1214"/>
      <c r="N553" s="1214"/>
      <c r="O553" s="1206">
        <f t="shared" si="88"/>
        <v>0</v>
      </c>
      <c r="P553" s="1214"/>
      <c r="Q553" s="1214"/>
      <c r="R553" s="1214"/>
      <c r="S553" s="1214"/>
      <c r="T553" s="1214"/>
      <c r="U553" s="1214"/>
      <c r="V553" s="1214"/>
      <c r="W553" s="637" t="e">
        <f t="shared" si="87"/>
        <v>#DIV/0!</v>
      </c>
      <c r="X553" s="788"/>
      <c r="Y553" s="788"/>
    </row>
    <row r="554" spans="1:25" ht="22.5" customHeight="1" thickTop="1" thickBot="1" x14ac:dyDescent="0.3">
      <c r="A554" s="1441">
        <v>1</v>
      </c>
      <c r="B554" s="1442" t="s">
        <v>1381</v>
      </c>
      <c r="C554" s="1442" t="s">
        <v>1394</v>
      </c>
      <c r="D554" s="1442" t="s">
        <v>1422</v>
      </c>
      <c r="E554" s="1442" t="s">
        <v>1381</v>
      </c>
      <c r="F554" s="1442" t="s">
        <v>1470</v>
      </c>
      <c r="G554" s="1442" t="s">
        <v>1478</v>
      </c>
      <c r="H554" s="1442"/>
      <c r="I554" s="1442"/>
      <c r="J554" s="1442"/>
      <c r="K554" s="771" t="s">
        <v>2527</v>
      </c>
      <c r="L554" s="1214"/>
      <c r="M554" s="1214"/>
      <c r="N554" s="1214"/>
      <c r="O554" s="1206">
        <f t="shared" si="88"/>
        <v>0</v>
      </c>
      <c r="P554" s="1214"/>
      <c r="Q554" s="1214"/>
      <c r="R554" s="1214"/>
      <c r="S554" s="1214"/>
      <c r="T554" s="1214"/>
      <c r="U554" s="1214"/>
      <c r="V554" s="1214"/>
      <c r="W554" s="637" t="e">
        <f t="shared" si="87"/>
        <v>#DIV/0!</v>
      </c>
      <c r="X554" s="788"/>
      <c r="Y554" s="788"/>
    </row>
    <row r="555" spans="1:25" ht="22.5" customHeight="1" thickTop="1" thickBot="1" x14ac:dyDescent="0.3">
      <c r="A555" s="1441">
        <v>1</v>
      </c>
      <c r="B555" s="1442" t="s">
        <v>1381</v>
      </c>
      <c r="C555" s="1442" t="s">
        <v>1394</v>
      </c>
      <c r="D555" s="1442" t="s">
        <v>1422</v>
      </c>
      <c r="E555" s="1442" t="s">
        <v>1381</v>
      </c>
      <c r="F555" s="1442" t="s">
        <v>1470</v>
      </c>
      <c r="G555" s="1442" t="s">
        <v>1576</v>
      </c>
      <c r="H555" s="1442"/>
      <c r="I555" s="1442"/>
      <c r="J555" s="1442"/>
      <c r="K555" s="771" t="s">
        <v>2528</v>
      </c>
      <c r="L555" s="1214"/>
      <c r="M555" s="1214"/>
      <c r="N555" s="1214"/>
      <c r="O555" s="1206">
        <f t="shared" si="88"/>
        <v>0</v>
      </c>
      <c r="P555" s="1214"/>
      <c r="Q555" s="1214"/>
      <c r="R555" s="1214"/>
      <c r="S555" s="1214"/>
      <c r="T555" s="1214"/>
      <c r="U555" s="1214"/>
      <c r="V555" s="1214"/>
      <c r="W555" s="637" t="e">
        <f t="shared" si="87"/>
        <v>#DIV/0!</v>
      </c>
      <c r="X555" s="788"/>
      <c r="Y555" s="788"/>
    </row>
    <row r="556" spans="1:25" ht="22.5" customHeight="1" thickTop="1" thickBot="1" x14ac:dyDescent="0.3">
      <c r="A556" s="1441">
        <v>1</v>
      </c>
      <c r="B556" s="1442" t="s">
        <v>1381</v>
      </c>
      <c r="C556" s="1442" t="s">
        <v>1394</v>
      </c>
      <c r="D556" s="1442" t="s">
        <v>1422</v>
      </c>
      <c r="E556" s="1442" t="s">
        <v>1381</v>
      </c>
      <c r="F556" s="1442" t="s">
        <v>1470</v>
      </c>
      <c r="G556" s="1442" t="s">
        <v>1577</v>
      </c>
      <c r="H556" s="1442"/>
      <c r="I556" s="1442"/>
      <c r="J556" s="1442"/>
      <c r="K556" s="771" t="s">
        <v>2529</v>
      </c>
      <c r="L556" s="1214"/>
      <c r="M556" s="1214"/>
      <c r="N556" s="1214"/>
      <c r="O556" s="1206">
        <f t="shared" si="88"/>
        <v>0</v>
      </c>
      <c r="P556" s="1214"/>
      <c r="Q556" s="1214"/>
      <c r="R556" s="1214"/>
      <c r="S556" s="1214"/>
      <c r="T556" s="1214"/>
      <c r="U556" s="1214"/>
      <c r="V556" s="1214"/>
      <c r="W556" s="637" t="e">
        <f t="shared" si="87"/>
        <v>#DIV/0!</v>
      </c>
      <c r="X556" s="788"/>
      <c r="Y556" s="788"/>
    </row>
    <row r="557" spans="1:25" ht="22.5" customHeight="1" thickTop="1" thickBot="1" x14ac:dyDescent="0.3">
      <c r="A557" s="1441">
        <v>1</v>
      </c>
      <c r="B557" s="1442" t="s">
        <v>1381</v>
      </c>
      <c r="C557" s="1442" t="s">
        <v>1394</v>
      </c>
      <c r="D557" s="1442" t="s">
        <v>1422</v>
      </c>
      <c r="E557" s="1442" t="s">
        <v>1381</v>
      </c>
      <c r="F557" s="1442" t="s">
        <v>1470</v>
      </c>
      <c r="G557" s="1442" t="s">
        <v>1578</v>
      </c>
      <c r="H557" s="1442"/>
      <c r="I557" s="1442"/>
      <c r="J557" s="1442"/>
      <c r="K557" s="771" t="s">
        <v>2530</v>
      </c>
      <c r="L557" s="1214"/>
      <c r="M557" s="1214"/>
      <c r="N557" s="1214"/>
      <c r="O557" s="1206">
        <f t="shared" si="88"/>
        <v>0</v>
      </c>
      <c r="P557" s="1214"/>
      <c r="Q557" s="1214"/>
      <c r="R557" s="1214"/>
      <c r="S557" s="1214"/>
      <c r="T557" s="1214"/>
      <c r="U557" s="1214"/>
      <c r="V557" s="1214"/>
      <c r="W557" s="637" t="e">
        <f t="shared" si="87"/>
        <v>#DIV/0!</v>
      </c>
      <c r="X557" s="788"/>
      <c r="Y557" s="788"/>
    </row>
    <row r="558" spans="1:25" ht="22.5" customHeight="1" thickTop="1" thickBot="1" x14ac:dyDescent="0.3">
      <c r="A558" s="1441">
        <v>1</v>
      </c>
      <c r="B558" s="1442" t="s">
        <v>1381</v>
      </c>
      <c r="C558" s="1442" t="s">
        <v>1394</v>
      </c>
      <c r="D558" s="1442" t="s">
        <v>1422</v>
      </c>
      <c r="E558" s="1442" t="s">
        <v>1381</v>
      </c>
      <c r="F558" s="1442" t="s">
        <v>1474</v>
      </c>
      <c r="G558" s="1442"/>
      <c r="H558" s="1442"/>
      <c r="I558" s="1442"/>
      <c r="J558" s="1442"/>
      <c r="K558" s="771" t="s">
        <v>2035</v>
      </c>
      <c r="L558" s="1214">
        <f>SUM(L559:L569)</f>
        <v>0</v>
      </c>
      <c r="M558" s="1214">
        <f t="shared" ref="M558:V558" si="92">SUM(M559:M569)</f>
        <v>0</v>
      </c>
      <c r="N558" s="1214">
        <f t="shared" si="92"/>
        <v>0</v>
      </c>
      <c r="O558" s="1206">
        <f t="shared" si="88"/>
        <v>0</v>
      </c>
      <c r="P558" s="1214">
        <f t="shared" si="92"/>
        <v>0</v>
      </c>
      <c r="Q558" s="1214">
        <f t="shared" si="92"/>
        <v>0</v>
      </c>
      <c r="R558" s="1214">
        <f t="shared" si="92"/>
        <v>0</v>
      </c>
      <c r="S558" s="1214"/>
      <c r="T558" s="1214">
        <f t="shared" si="92"/>
        <v>0</v>
      </c>
      <c r="U558" s="1214">
        <f t="shared" si="92"/>
        <v>0</v>
      </c>
      <c r="V558" s="1214">
        <f t="shared" si="92"/>
        <v>0</v>
      </c>
      <c r="W558" s="637" t="e">
        <f t="shared" si="87"/>
        <v>#DIV/0!</v>
      </c>
      <c r="X558" s="788"/>
      <c r="Y558" s="788"/>
    </row>
    <row r="559" spans="1:25" ht="22.5" customHeight="1" thickTop="1" thickBot="1" x14ac:dyDescent="0.3">
      <c r="A559" s="1441">
        <v>1</v>
      </c>
      <c r="B559" s="1442" t="s">
        <v>1381</v>
      </c>
      <c r="C559" s="1442" t="s">
        <v>1394</v>
      </c>
      <c r="D559" s="1442" t="s">
        <v>1422</v>
      </c>
      <c r="E559" s="1442" t="s">
        <v>1381</v>
      </c>
      <c r="F559" s="1442" t="s">
        <v>1474</v>
      </c>
      <c r="G559" s="1442" t="s">
        <v>1381</v>
      </c>
      <c r="H559" s="1442"/>
      <c r="I559" s="1442"/>
      <c r="J559" s="1442"/>
      <c r="K559" s="771" t="s">
        <v>2610</v>
      </c>
      <c r="L559" s="1214"/>
      <c r="M559" s="1214"/>
      <c r="N559" s="1214"/>
      <c r="O559" s="1206">
        <f t="shared" si="88"/>
        <v>0</v>
      </c>
      <c r="P559" s="1214"/>
      <c r="Q559" s="1214"/>
      <c r="R559" s="1214"/>
      <c r="S559" s="1214"/>
      <c r="T559" s="1214"/>
      <c r="U559" s="1214"/>
      <c r="V559" s="1214"/>
      <c r="W559" s="637" t="e">
        <f t="shared" si="87"/>
        <v>#DIV/0!</v>
      </c>
      <c r="X559" s="788"/>
      <c r="Y559" s="788"/>
    </row>
    <row r="560" spans="1:25" ht="22.5" customHeight="1" thickTop="1" thickBot="1" x14ac:dyDescent="0.3">
      <c r="A560" s="1441">
        <v>1</v>
      </c>
      <c r="B560" s="1442" t="s">
        <v>1381</v>
      </c>
      <c r="C560" s="1442" t="s">
        <v>1394</v>
      </c>
      <c r="D560" s="1442" t="s">
        <v>1422</v>
      </c>
      <c r="E560" s="1442" t="s">
        <v>1381</v>
      </c>
      <c r="F560" s="1442" t="s">
        <v>1474</v>
      </c>
      <c r="G560" s="1442" t="s">
        <v>1394</v>
      </c>
      <c r="H560" s="1442"/>
      <c r="I560" s="1442"/>
      <c r="J560" s="1442"/>
      <c r="K560" s="771" t="s">
        <v>2611</v>
      </c>
      <c r="L560" s="1214"/>
      <c r="M560" s="1214"/>
      <c r="N560" s="1214"/>
      <c r="O560" s="1206">
        <f t="shared" si="88"/>
        <v>0</v>
      </c>
      <c r="P560" s="1214"/>
      <c r="Q560" s="1214"/>
      <c r="R560" s="1214"/>
      <c r="S560" s="1214"/>
      <c r="T560" s="1214"/>
      <c r="U560" s="1214"/>
      <c r="V560" s="1214"/>
      <c r="W560" s="637" t="e">
        <f t="shared" si="87"/>
        <v>#DIV/0!</v>
      </c>
      <c r="X560" s="788"/>
      <c r="Y560" s="788"/>
    </row>
    <row r="561" spans="1:25" ht="22.5" customHeight="1" thickTop="1" thickBot="1" x14ac:dyDescent="0.3">
      <c r="A561" s="1441">
        <v>1</v>
      </c>
      <c r="B561" s="1442" t="s">
        <v>1381</v>
      </c>
      <c r="C561" s="1442" t="s">
        <v>1394</v>
      </c>
      <c r="D561" s="1442" t="s">
        <v>1422</v>
      </c>
      <c r="E561" s="1442" t="s">
        <v>1381</v>
      </c>
      <c r="F561" s="1442" t="s">
        <v>1474</v>
      </c>
      <c r="G561" s="1442" t="s">
        <v>1418</v>
      </c>
      <c r="H561" s="1442"/>
      <c r="I561" s="1442"/>
      <c r="J561" s="1442"/>
      <c r="K561" s="771" t="s">
        <v>2612</v>
      </c>
      <c r="L561" s="1214"/>
      <c r="M561" s="1214"/>
      <c r="N561" s="1214"/>
      <c r="O561" s="1206">
        <f t="shared" si="88"/>
        <v>0</v>
      </c>
      <c r="P561" s="1214"/>
      <c r="Q561" s="1214"/>
      <c r="R561" s="1214"/>
      <c r="S561" s="1214"/>
      <c r="T561" s="1214"/>
      <c r="U561" s="1214"/>
      <c r="V561" s="1214"/>
      <c r="W561" s="637" t="e">
        <f t="shared" si="87"/>
        <v>#DIV/0!</v>
      </c>
      <c r="X561" s="788"/>
      <c r="Y561" s="788"/>
    </row>
    <row r="562" spans="1:25" ht="22.5" customHeight="1" thickTop="1" thickBot="1" x14ac:dyDescent="0.3">
      <c r="A562" s="1441">
        <v>1</v>
      </c>
      <c r="B562" s="1442" t="s">
        <v>1381</v>
      </c>
      <c r="C562" s="1442" t="s">
        <v>1394</v>
      </c>
      <c r="D562" s="1442" t="s">
        <v>1422</v>
      </c>
      <c r="E562" s="1442" t="s">
        <v>1381</v>
      </c>
      <c r="F562" s="1442" t="s">
        <v>1474</v>
      </c>
      <c r="G562" s="1442" t="s">
        <v>1422</v>
      </c>
      <c r="H562" s="1442"/>
      <c r="I562" s="1442"/>
      <c r="J562" s="1442"/>
      <c r="K562" s="771" t="s">
        <v>2613</v>
      </c>
      <c r="L562" s="1214"/>
      <c r="M562" s="1214"/>
      <c r="N562" s="1214"/>
      <c r="O562" s="1206">
        <f t="shared" si="88"/>
        <v>0</v>
      </c>
      <c r="P562" s="1214"/>
      <c r="Q562" s="1214"/>
      <c r="R562" s="1214"/>
      <c r="S562" s="1214"/>
      <c r="T562" s="1214"/>
      <c r="U562" s="1214"/>
      <c r="V562" s="1214"/>
      <c r="W562" s="637" t="e">
        <f t="shared" si="87"/>
        <v>#DIV/0!</v>
      </c>
      <c r="X562" s="788"/>
      <c r="Y562" s="788"/>
    </row>
    <row r="563" spans="1:25" ht="22.5" customHeight="1" thickTop="1" thickBot="1" x14ac:dyDescent="0.3">
      <c r="A563" s="1441">
        <v>1</v>
      </c>
      <c r="B563" s="1442" t="s">
        <v>1381</v>
      </c>
      <c r="C563" s="1442" t="s">
        <v>1394</v>
      </c>
      <c r="D563" s="1442" t="s">
        <v>1422</v>
      </c>
      <c r="E563" s="1442" t="s">
        <v>1381</v>
      </c>
      <c r="F563" s="1442" t="s">
        <v>1474</v>
      </c>
      <c r="G563" s="1442" t="s">
        <v>1447</v>
      </c>
      <c r="H563" s="1442"/>
      <c r="I563" s="1442"/>
      <c r="J563" s="1442"/>
      <c r="K563" s="771" t="s">
        <v>2614</v>
      </c>
      <c r="L563" s="1214"/>
      <c r="M563" s="1214"/>
      <c r="N563" s="1214"/>
      <c r="O563" s="1206">
        <f t="shared" si="88"/>
        <v>0</v>
      </c>
      <c r="P563" s="1214"/>
      <c r="Q563" s="1214"/>
      <c r="R563" s="1214"/>
      <c r="S563" s="1214"/>
      <c r="T563" s="1214"/>
      <c r="U563" s="1214"/>
      <c r="V563" s="1214"/>
      <c r="W563" s="637" t="e">
        <f t="shared" si="87"/>
        <v>#DIV/0!</v>
      </c>
      <c r="X563" s="788"/>
      <c r="Y563" s="788"/>
    </row>
    <row r="564" spans="1:25" ht="22.5" customHeight="1" thickTop="1" thickBot="1" x14ac:dyDescent="0.3">
      <c r="A564" s="1441">
        <v>1</v>
      </c>
      <c r="B564" s="1442" t="s">
        <v>1381</v>
      </c>
      <c r="C564" s="1442" t="s">
        <v>1394</v>
      </c>
      <c r="D564" s="1442" t="s">
        <v>1422</v>
      </c>
      <c r="E564" s="1442" t="s">
        <v>1381</v>
      </c>
      <c r="F564" s="1442" t="s">
        <v>1474</v>
      </c>
      <c r="G564" s="1442" t="s">
        <v>1470</v>
      </c>
      <c r="H564" s="1442"/>
      <c r="I564" s="1442"/>
      <c r="J564" s="1442"/>
      <c r="K564" s="771" t="s">
        <v>2615</v>
      </c>
      <c r="L564" s="1214"/>
      <c r="M564" s="1214"/>
      <c r="N564" s="1214"/>
      <c r="O564" s="1206">
        <f t="shared" si="88"/>
        <v>0</v>
      </c>
      <c r="P564" s="1214"/>
      <c r="Q564" s="1214"/>
      <c r="R564" s="1214"/>
      <c r="S564" s="1214"/>
      <c r="T564" s="1214"/>
      <c r="U564" s="1214"/>
      <c r="V564" s="1214"/>
      <c r="W564" s="637" t="e">
        <f t="shared" si="87"/>
        <v>#DIV/0!</v>
      </c>
      <c r="X564" s="788"/>
      <c r="Y564" s="788"/>
    </row>
    <row r="565" spans="1:25" ht="22.5" customHeight="1" thickTop="1" thickBot="1" x14ac:dyDescent="0.3">
      <c r="A565" s="1441">
        <v>1</v>
      </c>
      <c r="B565" s="1442" t="s">
        <v>1381</v>
      </c>
      <c r="C565" s="1442" t="s">
        <v>1394</v>
      </c>
      <c r="D565" s="1442" t="s">
        <v>1422</v>
      </c>
      <c r="E565" s="1442" t="s">
        <v>1381</v>
      </c>
      <c r="F565" s="1442" t="s">
        <v>1474</v>
      </c>
      <c r="G565" s="1442" t="s">
        <v>1474</v>
      </c>
      <c r="H565" s="1442"/>
      <c r="I565" s="1442"/>
      <c r="J565" s="1442"/>
      <c r="K565" s="771" t="s">
        <v>2616</v>
      </c>
      <c r="L565" s="1214"/>
      <c r="M565" s="1214"/>
      <c r="N565" s="1214"/>
      <c r="O565" s="1206">
        <f t="shared" si="88"/>
        <v>0</v>
      </c>
      <c r="P565" s="1214"/>
      <c r="Q565" s="1214"/>
      <c r="R565" s="1214"/>
      <c r="S565" s="1214"/>
      <c r="T565" s="1214"/>
      <c r="U565" s="1214"/>
      <c r="V565" s="1214"/>
      <c r="W565" s="637" t="e">
        <f t="shared" si="87"/>
        <v>#DIV/0!</v>
      </c>
      <c r="X565" s="788"/>
      <c r="Y565" s="788"/>
    </row>
    <row r="566" spans="1:25" ht="22.5" customHeight="1" thickTop="1" thickBot="1" x14ac:dyDescent="0.3">
      <c r="A566" s="1441">
        <v>1</v>
      </c>
      <c r="B566" s="1442" t="s">
        <v>1381</v>
      </c>
      <c r="C566" s="1442" t="s">
        <v>1394</v>
      </c>
      <c r="D566" s="1442" t="s">
        <v>1422</v>
      </c>
      <c r="E566" s="1442" t="s">
        <v>1381</v>
      </c>
      <c r="F566" s="1442" t="s">
        <v>1474</v>
      </c>
      <c r="G566" s="1442" t="s">
        <v>1478</v>
      </c>
      <c r="H566" s="1442"/>
      <c r="I566" s="1442"/>
      <c r="J566" s="1442"/>
      <c r="K566" s="771" t="s">
        <v>2617</v>
      </c>
      <c r="L566" s="1214"/>
      <c r="M566" s="1214"/>
      <c r="N566" s="1214"/>
      <c r="O566" s="1206">
        <f t="shared" si="88"/>
        <v>0</v>
      </c>
      <c r="P566" s="1214"/>
      <c r="Q566" s="1214"/>
      <c r="R566" s="1214"/>
      <c r="S566" s="1214"/>
      <c r="T566" s="1214"/>
      <c r="U566" s="1214"/>
      <c r="V566" s="1214"/>
      <c r="W566" s="637" t="e">
        <f t="shared" si="87"/>
        <v>#DIV/0!</v>
      </c>
      <c r="X566" s="788"/>
      <c r="Y566" s="788"/>
    </row>
    <row r="567" spans="1:25" ht="22.5" customHeight="1" thickTop="1" thickBot="1" x14ac:dyDescent="0.3">
      <c r="A567" s="1441">
        <v>1</v>
      </c>
      <c r="B567" s="1442" t="s">
        <v>1381</v>
      </c>
      <c r="C567" s="1442" t="s">
        <v>1394</v>
      </c>
      <c r="D567" s="1442" t="s">
        <v>1422</v>
      </c>
      <c r="E567" s="1442" t="s">
        <v>1381</v>
      </c>
      <c r="F567" s="1442" t="s">
        <v>1474</v>
      </c>
      <c r="G567" s="1442" t="s">
        <v>1576</v>
      </c>
      <c r="H567" s="1442"/>
      <c r="I567" s="1442"/>
      <c r="J567" s="1442"/>
      <c r="K567" s="771" t="s">
        <v>2618</v>
      </c>
      <c r="L567" s="1214"/>
      <c r="M567" s="1214"/>
      <c r="N567" s="1214"/>
      <c r="O567" s="1206">
        <f t="shared" si="88"/>
        <v>0</v>
      </c>
      <c r="P567" s="1214"/>
      <c r="Q567" s="1214"/>
      <c r="R567" s="1214"/>
      <c r="S567" s="1214"/>
      <c r="T567" s="1214"/>
      <c r="U567" s="1214"/>
      <c r="V567" s="1214"/>
      <c r="W567" s="637" t="e">
        <f t="shared" si="87"/>
        <v>#DIV/0!</v>
      </c>
      <c r="X567" s="788"/>
      <c r="Y567" s="788"/>
    </row>
    <row r="568" spans="1:25" ht="22.5" customHeight="1" thickTop="1" thickBot="1" x14ac:dyDescent="0.3">
      <c r="A568" s="1441">
        <v>1</v>
      </c>
      <c r="B568" s="1442" t="s">
        <v>1381</v>
      </c>
      <c r="C568" s="1442" t="s">
        <v>1394</v>
      </c>
      <c r="D568" s="1442" t="s">
        <v>1422</v>
      </c>
      <c r="E568" s="1442" t="s">
        <v>1381</v>
      </c>
      <c r="F568" s="1442" t="s">
        <v>1474</v>
      </c>
      <c r="G568" s="1442" t="s">
        <v>1577</v>
      </c>
      <c r="H568" s="1442"/>
      <c r="I568" s="1442"/>
      <c r="J568" s="1442"/>
      <c r="K568" s="771" t="s">
        <v>2619</v>
      </c>
      <c r="L568" s="1214"/>
      <c r="M568" s="1214"/>
      <c r="N568" s="1214"/>
      <c r="O568" s="1206">
        <f t="shared" si="88"/>
        <v>0</v>
      </c>
      <c r="P568" s="1214"/>
      <c r="Q568" s="1214"/>
      <c r="R568" s="1214"/>
      <c r="S568" s="1214"/>
      <c r="T568" s="1214"/>
      <c r="U568" s="1214"/>
      <c r="V568" s="1214"/>
      <c r="W568" s="637" t="e">
        <f t="shared" si="87"/>
        <v>#DIV/0!</v>
      </c>
      <c r="X568" s="788"/>
      <c r="Y568" s="788"/>
    </row>
    <row r="569" spans="1:25" ht="22.5" customHeight="1" thickTop="1" thickBot="1" x14ac:dyDescent="0.3">
      <c r="A569" s="1441">
        <v>1</v>
      </c>
      <c r="B569" s="1442" t="s">
        <v>1381</v>
      </c>
      <c r="C569" s="1442" t="s">
        <v>1394</v>
      </c>
      <c r="D569" s="1442" t="s">
        <v>1422</v>
      </c>
      <c r="E569" s="1442" t="s">
        <v>1381</v>
      </c>
      <c r="F569" s="1442" t="s">
        <v>1474</v>
      </c>
      <c r="G569" s="1442" t="s">
        <v>1578</v>
      </c>
      <c r="H569" s="1442"/>
      <c r="I569" s="1442"/>
      <c r="J569" s="1442"/>
      <c r="K569" s="771" t="s">
        <v>2620</v>
      </c>
      <c r="L569" s="1214"/>
      <c r="M569" s="1214"/>
      <c r="N569" s="1214"/>
      <c r="O569" s="1206">
        <f t="shared" si="88"/>
        <v>0</v>
      </c>
      <c r="P569" s="1214"/>
      <c r="Q569" s="1214"/>
      <c r="R569" s="1214"/>
      <c r="S569" s="1214"/>
      <c r="T569" s="1214"/>
      <c r="U569" s="1214"/>
      <c r="V569" s="1214"/>
      <c r="W569" s="637" t="e">
        <f t="shared" si="87"/>
        <v>#DIV/0!</v>
      </c>
      <c r="X569" s="788"/>
      <c r="Y569" s="788"/>
    </row>
    <row r="570" spans="1:25" s="183" customFormat="1" ht="22.5" customHeight="1" thickTop="1" thickBot="1" x14ac:dyDescent="0.3">
      <c r="A570" s="1433">
        <v>1</v>
      </c>
      <c r="B570" s="1434" t="s">
        <v>1381</v>
      </c>
      <c r="C570" s="1434" t="s">
        <v>1394</v>
      </c>
      <c r="D570" s="1434" t="s">
        <v>1447</v>
      </c>
      <c r="E570" s="1434"/>
      <c r="F570" s="1434"/>
      <c r="G570" s="1434"/>
      <c r="H570" s="1434"/>
      <c r="I570" s="1434"/>
      <c r="J570" s="1434"/>
      <c r="K570" s="660" t="s">
        <v>1635</v>
      </c>
      <c r="L570" s="1221">
        <f>+L571+L659</f>
        <v>0</v>
      </c>
      <c r="M570" s="1221">
        <f t="shared" ref="M570:V570" si="93">+M571+M659</f>
        <v>0</v>
      </c>
      <c r="N570" s="1221">
        <f t="shared" si="93"/>
        <v>0</v>
      </c>
      <c r="O570" s="1206">
        <f t="shared" si="88"/>
        <v>0</v>
      </c>
      <c r="P570" s="1221">
        <f t="shared" si="93"/>
        <v>0</v>
      </c>
      <c r="Q570" s="1221">
        <f t="shared" si="93"/>
        <v>0</v>
      </c>
      <c r="R570" s="1221">
        <f t="shared" si="93"/>
        <v>0</v>
      </c>
      <c r="S570" s="1221"/>
      <c r="T570" s="1221">
        <f t="shared" si="93"/>
        <v>0</v>
      </c>
      <c r="U570" s="1221">
        <f t="shared" si="93"/>
        <v>0</v>
      </c>
      <c r="V570" s="1221">
        <f t="shared" si="93"/>
        <v>0</v>
      </c>
      <c r="W570" s="659" t="e">
        <f t="shared" si="87"/>
        <v>#DIV/0!</v>
      </c>
      <c r="X570" s="788" t="s">
        <v>2051</v>
      </c>
      <c r="Y570" s="788"/>
    </row>
    <row r="571" spans="1:25" s="183" customFormat="1" ht="22.5" customHeight="1" thickTop="1" thickBot="1" x14ac:dyDescent="0.3">
      <c r="A571" s="1439">
        <v>1</v>
      </c>
      <c r="B571" s="1440" t="s">
        <v>1381</v>
      </c>
      <c r="C571" s="1440" t="s">
        <v>1394</v>
      </c>
      <c r="D571" s="1440" t="s">
        <v>1447</v>
      </c>
      <c r="E571" s="1440" t="s">
        <v>1381</v>
      </c>
      <c r="F571" s="1440"/>
      <c r="G571" s="1440"/>
      <c r="H571" s="1440"/>
      <c r="I571" s="1440"/>
      <c r="J571" s="1440"/>
      <c r="K571" s="770" t="s">
        <v>1300</v>
      </c>
      <c r="L571" s="1222">
        <f>+L572+L597+L622</f>
        <v>0</v>
      </c>
      <c r="M571" s="1222">
        <f t="shared" ref="M571:V571" si="94">+M572+M597+M622</f>
        <v>0</v>
      </c>
      <c r="N571" s="1222">
        <f t="shared" si="94"/>
        <v>0</v>
      </c>
      <c r="O571" s="1206">
        <f t="shared" si="88"/>
        <v>0</v>
      </c>
      <c r="P571" s="1222">
        <f t="shared" si="94"/>
        <v>0</v>
      </c>
      <c r="Q571" s="1222">
        <f t="shared" si="94"/>
        <v>0</v>
      </c>
      <c r="R571" s="1222">
        <f t="shared" si="94"/>
        <v>0</v>
      </c>
      <c r="S571" s="1222"/>
      <c r="T571" s="1222">
        <f t="shared" si="94"/>
        <v>0</v>
      </c>
      <c r="U571" s="1222">
        <f t="shared" si="94"/>
        <v>0</v>
      </c>
      <c r="V571" s="1222">
        <f t="shared" si="94"/>
        <v>0</v>
      </c>
      <c r="W571" s="786" t="e">
        <f t="shared" si="87"/>
        <v>#DIV/0!</v>
      </c>
      <c r="X571" s="788" t="s">
        <v>1653</v>
      </c>
      <c r="Y571" s="788"/>
    </row>
    <row r="572" spans="1:25" s="183" customFormat="1" ht="22.5" customHeight="1" thickTop="1" thickBot="1" x14ac:dyDescent="0.3">
      <c r="A572" s="1439">
        <v>1</v>
      </c>
      <c r="B572" s="1440" t="s">
        <v>1381</v>
      </c>
      <c r="C572" s="1440" t="s">
        <v>1394</v>
      </c>
      <c r="D572" s="1440" t="s">
        <v>1447</v>
      </c>
      <c r="E572" s="1440" t="s">
        <v>1381</v>
      </c>
      <c r="F572" s="1440" t="s">
        <v>1381</v>
      </c>
      <c r="G572" s="1440"/>
      <c r="H572" s="1440"/>
      <c r="I572" s="1440"/>
      <c r="J572" s="1440"/>
      <c r="K572" s="770" t="s">
        <v>2036</v>
      </c>
      <c r="L572" s="1222">
        <f>+L573+L585</f>
        <v>0</v>
      </c>
      <c r="M572" s="1222">
        <f t="shared" ref="M572:V572" si="95">+M573+M585</f>
        <v>0</v>
      </c>
      <c r="N572" s="1222">
        <f t="shared" si="95"/>
        <v>0</v>
      </c>
      <c r="O572" s="1206">
        <f t="shared" si="88"/>
        <v>0</v>
      </c>
      <c r="P572" s="1222">
        <f t="shared" si="95"/>
        <v>0</v>
      </c>
      <c r="Q572" s="1222">
        <f t="shared" si="95"/>
        <v>0</v>
      </c>
      <c r="R572" s="1222">
        <f t="shared" si="95"/>
        <v>0</v>
      </c>
      <c r="S572" s="1222"/>
      <c r="T572" s="1222">
        <f t="shared" si="95"/>
        <v>0</v>
      </c>
      <c r="U572" s="1222">
        <f t="shared" si="95"/>
        <v>0</v>
      </c>
      <c r="V572" s="1222">
        <f t="shared" si="95"/>
        <v>0</v>
      </c>
      <c r="W572" s="786" t="e">
        <f t="shared" si="87"/>
        <v>#DIV/0!</v>
      </c>
      <c r="X572" s="788" t="s">
        <v>1655</v>
      </c>
      <c r="Y572" s="788"/>
    </row>
    <row r="573" spans="1:25" s="183" customFormat="1" ht="22.5" customHeight="1" thickTop="1" thickBot="1" x14ac:dyDescent="0.3">
      <c r="A573" s="1441">
        <v>1</v>
      </c>
      <c r="B573" s="1442" t="s">
        <v>1381</v>
      </c>
      <c r="C573" s="1442" t="s">
        <v>1394</v>
      </c>
      <c r="D573" s="1442" t="s">
        <v>1447</v>
      </c>
      <c r="E573" s="1442" t="s">
        <v>1381</v>
      </c>
      <c r="F573" s="1442" t="s">
        <v>1381</v>
      </c>
      <c r="G573" s="1442" t="s">
        <v>1381</v>
      </c>
      <c r="H573" s="1442"/>
      <c r="I573" s="1442"/>
      <c r="J573" s="1442"/>
      <c r="K573" s="771" t="s">
        <v>2310</v>
      </c>
      <c r="L573" s="1223">
        <f>SUM(L574:L584)</f>
        <v>0</v>
      </c>
      <c r="M573" s="1223">
        <f t="shared" ref="M573:V573" si="96">SUM(M574:M584)</f>
        <v>0</v>
      </c>
      <c r="N573" s="1223">
        <f t="shared" si="96"/>
        <v>0</v>
      </c>
      <c r="O573" s="1206">
        <f t="shared" si="88"/>
        <v>0</v>
      </c>
      <c r="P573" s="1223">
        <f t="shared" si="96"/>
        <v>0</v>
      </c>
      <c r="Q573" s="1223">
        <f t="shared" si="96"/>
        <v>0</v>
      </c>
      <c r="R573" s="1223">
        <f t="shared" si="96"/>
        <v>0</v>
      </c>
      <c r="S573" s="1223"/>
      <c r="T573" s="1223">
        <f t="shared" si="96"/>
        <v>0</v>
      </c>
      <c r="U573" s="1223">
        <f t="shared" si="96"/>
        <v>0</v>
      </c>
      <c r="V573" s="1223">
        <f t="shared" si="96"/>
        <v>0</v>
      </c>
      <c r="W573" s="784" t="e">
        <f t="shared" si="87"/>
        <v>#DIV/0!</v>
      </c>
      <c r="X573" s="788" t="s">
        <v>2055</v>
      </c>
      <c r="Y573" s="788"/>
    </row>
    <row r="574" spans="1:25" s="183" customFormat="1" ht="22.5" customHeight="1" thickTop="1" thickBot="1" x14ac:dyDescent="0.3">
      <c r="A574" s="1441">
        <v>1</v>
      </c>
      <c r="B574" s="1442" t="s">
        <v>1381</v>
      </c>
      <c r="C574" s="1442" t="s">
        <v>1394</v>
      </c>
      <c r="D574" s="1442" t="s">
        <v>1447</v>
      </c>
      <c r="E574" s="1442" t="s">
        <v>1381</v>
      </c>
      <c r="F574" s="1442" t="s">
        <v>1381</v>
      </c>
      <c r="G574" s="1442" t="s">
        <v>1381</v>
      </c>
      <c r="H574" s="1442" t="s">
        <v>1381</v>
      </c>
      <c r="I574" s="1442"/>
      <c r="J574" s="1442"/>
      <c r="K574" s="771" t="s">
        <v>2531</v>
      </c>
      <c r="L574" s="1223"/>
      <c r="M574" s="1223"/>
      <c r="N574" s="1223"/>
      <c r="O574" s="1206">
        <f t="shared" si="88"/>
        <v>0</v>
      </c>
      <c r="P574" s="1223"/>
      <c r="Q574" s="1223"/>
      <c r="R574" s="1223"/>
      <c r="S574" s="1223"/>
      <c r="T574" s="1223"/>
      <c r="U574" s="1223"/>
      <c r="V574" s="1223"/>
      <c r="W574" s="784" t="e">
        <f t="shared" si="87"/>
        <v>#DIV/0!</v>
      </c>
      <c r="X574" s="788"/>
      <c r="Y574" s="788"/>
    </row>
    <row r="575" spans="1:25" s="183" customFormat="1" ht="22.5" customHeight="1" thickTop="1" thickBot="1" x14ac:dyDescent="0.3">
      <c r="A575" s="1441">
        <v>1</v>
      </c>
      <c r="B575" s="1442" t="s">
        <v>1381</v>
      </c>
      <c r="C575" s="1442" t="s">
        <v>1394</v>
      </c>
      <c r="D575" s="1442" t="s">
        <v>1447</v>
      </c>
      <c r="E575" s="1442" t="s">
        <v>1381</v>
      </c>
      <c r="F575" s="1442" t="s">
        <v>1381</v>
      </c>
      <c r="G575" s="1442" t="s">
        <v>1381</v>
      </c>
      <c r="H575" s="1442" t="s">
        <v>1394</v>
      </c>
      <c r="I575" s="1442"/>
      <c r="J575" s="1442"/>
      <c r="K575" s="771" t="s">
        <v>2532</v>
      </c>
      <c r="L575" s="1223"/>
      <c r="M575" s="1223"/>
      <c r="N575" s="1223"/>
      <c r="O575" s="1206">
        <f t="shared" si="88"/>
        <v>0</v>
      </c>
      <c r="P575" s="1223"/>
      <c r="Q575" s="1223"/>
      <c r="R575" s="1223"/>
      <c r="S575" s="1223"/>
      <c r="T575" s="1223"/>
      <c r="U575" s="1223"/>
      <c r="V575" s="1223"/>
      <c r="W575" s="784" t="e">
        <f t="shared" si="87"/>
        <v>#DIV/0!</v>
      </c>
      <c r="X575" s="788"/>
      <c r="Y575" s="788"/>
    </row>
    <row r="576" spans="1:25" s="183" customFormat="1" ht="22.5" customHeight="1" thickTop="1" thickBot="1" x14ac:dyDescent="0.3">
      <c r="A576" s="1441">
        <v>1</v>
      </c>
      <c r="B576" s="1442" t="s">
        <v>1381</v>
      </c>
      <c r="C576" s="1442" t="s">
        <v>1394</v>
      </c>
      <c r="D576" s="1442" t="s">
        <v>1447</v>
      </c>
      <c r="E576" s="1442" t="s">
        <v>1381</v>
      </c>
      <c r="F576" s="1442" t="s">
        <v>1381</v>
      </c>
      <c r="G576" s="1442" t="s">
        <v>1381</v>
      </c>
      <c r="H576" s="1442" t="s">
        <v>1418</v>
      </c>
      <c r="I576" s="1442"/>
      <c r="J576" s="1442"/>
      <c r="K576" s="771" t="s">
        <v>2533</v>
      </c>
      <c r="L576" s="1223"/>
      <c r="M576" s="1223"/>
      <c r="N576" s="1223"/>
      <c r="O576" s="1206">
        <f t="shared" si="88"/>
        <v>0</v>
      </c>
      <c r="P576" s="1223"/>
      <c r="Q576" s="1223"/>
      <c r="R576" s="1223"/>
      <c r="S576" s="1223"/>
      <c r="T576" s="1223"/>
      <c r="U576" s="1223"/>
      <c r="V576" s="1223"/>
      <c r="W576" s="784" t="e">
        <f t="shared" si="87"/>
        <v>#DIV/0!</v>
      </c>
      <c r="X576" s="788"/>
      <c r="Y576" s="788"/>
    </row>
    <row r="577" spans="1:25" s="183" customFormat="1" ht="22.5" customHeight="1" thickTop="1" thickBot="1" x14ac:dyDescent="0.3">
      <c r="A577" s="1441">
        <v>1</v>
      </c>
      <c r="B577" s="1442" t="s">
        <v>1381</v>
      </c>
      <c r="C577" s="1442" t="s">
        <v>1394</v>
      </c>
      <c r="D577" s="1442" t="s">
        <v>1447</v>
      </c>
      <c r="E577" s="1442" t="s">
        <v>1381</v>
      </c>
      <c r="F577" s="1442" t="s">
        <v>1381</v>
      </c>
      <c r="G577" s="1442" t="s">
        <v>1381</v>
      </c>
      <c r="H577" s="1442" t="s">
        <v>1422</v>
      </c>
      <c r="I577" s="1442"/>
      <c r="J577" s="1442"/>
      <c r="K577" s="771" t="s">
        <v>2534</v>
      </c>
      <c r="L577" s="1223"/>
      <c r="M577" s="1223"/>
      <c r="N577" s="1223"/>
      <c r="O577" s="1206">
        <f t="shared" si="88"/>
        <v>0</v>
      </c>
      <c r="P577" s="1223"/>
      <c r="Q577" s="1223"/>
      <c r="R577" s="1223"/>
      <c r="S577" s="1223"/>
      <c r="T577" s="1223"/>
      <c r="U577" s="1223"/>
      <c r="V577" s="1223"/>
      <c r="W577" s="784" t="e">
        <f t="shared" si="87"/>
        <v>#DIV/0!</v>
      </c>
      <c r="X577" s="788"/>
      <c r="Y577" s="788"/>
    </row>
    <row r="578" spans="1:25" s="183" customFormat="1" ht="22.5" customHeight="1" thickTop="1" thickBot="1" x14ac:dyDescent="0.3">
      <c r="A578" s="1441">
        <v>1</v>
      </c>
      <c r="B578" s="1442" t="s">
        <v>1381</v>
      </c>
      <c r="C578" s="1442" t="s">
        <v>1394</v>
      </c>
      <c r="D578" s="1442" t="s">
        <v>1447</v>
      </c>
      <c r="E578" s="1442" t="s">
        <v>1381</v>
      </c>
      <c r="F578" s="1442" t="s">
        <v>1381</v>
      </c>
      <c r="G578" s="1442" t="s">
        <v>1381</v>
      </c>
      <c r="H578" s="1442" t="s">
        <v>1447</v>
      </c>
      <c r="I578" s="1442"/>
      <c r="J578" s="1442"/>
      <c r="K578" s="771" t="s">
        <v>2535</v>
      </c>
      <c r="L578" s="1223"/>
      <c r="M578" s="1223"/>
      <c r="N578" s="1223"/>
      <c r="O578" s="1206">
        <f t="shared" si="88"/>
        <v>0</v>
      </c>
      <c r="P578" s="1223"/>
      <c r="Q578" s="1223"/>
      <c r="R578" s="1223"/>
      <c r="S578" s="1223"/>
      <c r="T578" s="1223"/>
      <c r="U578" s="1223"/>
      <c r="V578" s="1223"/>
      <c r="W578" s="784" t="e">
        <f t="shared" si="87"/>
        <v>#DIV/0!</v>
      </c>
      <c r="X578" s="788"/>
      <c r="Y578" s="788"/>
    </row>
    <row r="579" spans="1:25" s="183" customFormat="1" ht="22.5" customHeight="1" thickTop="1" thickBot="1" x14ac:dyDescent="0.3">
      <c r="A579" s="1441">
        <v>1</v>
      </c>
      <c r="B579" s="1442" t="s">
        <v>1381</v>
      </c>
      <c r="C579" s="1442" t="s">
        <v>1394</v>
      </c>
      <c r="D579" s="1442" t="s">
        <v>1447</v>
      </c>
      <c r="E579" s="1442" t="s">
        <v>1381</v>
      </c>
      <c r="F579" s="1442" t="s">
        <v>1381</v>
      </c>
      <c r="G579" s="1442" t="s">
        <v>1381</v>
      </c>
      <c r="H579" s="1442" t="s">
        <v>1470</v>
      </c>
      <c r="I579" s="1442"/>
      <c r="J579" s="1442"/>
      <c r="K579" s="771" t="s">
        <v>2536</v>
      </c>
      <c r="L579" s="1223"/>
      <c r="M579" s="1223"/>
      <c r="N579" s="1223"/>
      <c r="O579" s="1206">
        <f t="shared" si="88"/>
        <v>0</v>
      </c>
      <c r="P579" s="1223"/>
      <c r="Q579" s="1223"/>
      <c r="R579" s="1223"/>
      <c r="S579" s="1223"/>
      <c r="T579" s="1223"/>
      <c r="U579" s="1223"/>
      <c r="V579" s="1223"/>
      <c r="W579" s="784" t="e">
        <f t="shared" si="87"/>
        <v>#DIV/0!</v>
      </c>
      <c r="X579" s="788"/>
      <c r="Y579" s="788"/>
    </row>
    <row r="580" spans="1:25" s="183" customFormat="1" ht="22.5" customHeight="1" thickTop="1" thickBot="1" x14ac:dyDescent="0.3">
      <c r="A580" s="1441">
        <v>1</v>
      </c>
      <c r="B580" s="1442" t="s">
        <v>1381</v>
      </c>
      <c r="C580" s="1442" t="s">
        <v>1394</v>
      </c>
      <c r="D580" s="1442" t="s">
        <v>1447</v>
      </c>
      <c r="E580" s="1442" t="s">
        <v>1381</v>
      </c>
      <c r="F580" s="1442" t="s">
        <v>1381</v>
      </c>
      <c r="G580" s="1442" t="s">
        <v>1381</v>
      </c>
      <c r="H580" s="1442" t="s">
        <v>1474</v>
      </c>
      <c r="I580" s="1442"/>
      <c r="J580" s="1442"/>
      <c r="K580" s="771" t="s">
        <v>2537</v>
      </c>
      <c r="L580" s="1223"/>
      <c r="M580" s="1223"/>
      <c r="N580" s="1223"/>
      <c r="O580" s="1206">
        <f t="shared" si="88"/>
        <v>0</v>
      </c>
      <c r="P580" s="1223"/>
      <c r="Q580" s="1223"/>
      <c r="R580" s="1223"/>
      <c r="S580" s="1223"/>
      <c r="T580" s="1223"/>
      <c r="U580" s="1223"/>
      <c r="V580" s="1223"/>
      <c r="W580" s="784" t="e">
        <f t="shared" si="87"/>
        <v>#DIV/0!</v>
      </c>
      <c r="X580" s="788"/>
      <c r="Y580" s="788"/>
    </row>
    <row r="581" spans="1:25" s="183" customFormat="1" ht="22.5" customHeight="1" thickTop="1" thickBot="1" x14ac:dyDescent="0.3">
      <c r="A581" s="1441">
        <v>1</v>
      </c>
      <c r="B581" s="1442" t="s">
        <v>1381</v>
      </c>
      <c r="C581" s="1442" t="s">
        <v>1394</v>
      </c>
      <c r="D581" s="1442" t="s">
        <v>1447</v>
      </c>
      <c r="E581" s="1442" t="s">
        <v>1381</v>
      </c>
      <c r="F581" s="1442" t="s">
        <v>1381</v>
      </c>
      <c r="G581" s="1442" t="s">
        <v>1381</v>
      </c>
      <c r="H581" s="1442" t="s">
        <v>1478</v>
      </c>
      <c r="I581" s="1442"/>
      <c r="J581" s="1442"/>
      <c r="K581" s="771" t="s">
        <v>2538</v>
      </c>
      <c r="L581" s="1223"/>
      <c r="M581" s="1223"/>
      <c r="N581" s="1223"/>
      <c r="O581" s="1206">
        <f t="shared" si="88"/>
        <v>0</v>
      </c>
      <c r="P581" s="1223"/>
      <c r="Q581" s="1223"/>
      <c r="R581" s="1223"/>
      <c r="S581" s="1223"/>
      <c r="T581" s="1223"/>
      <c r="U581" s="1223"/>
      <c r="V581" s="1223"/>
      <c r="W581" s="784" t="e">
        <f t="shared" si="87"/>
        <v>#DIV/0!</v>
      </c>
      <c r="X581" s="788"/>
      <c r="Y581" s="788"/>
    </row>
    <row r="582" spans="1:25" s="183" customFormat="1" ht="22.5" customHeight="1" thickTop="1" thickBot="1" x14ac:dyDescent="0.3">
      <c r="A582" s="1441">
        <v>1</v>
      </c>
      <c r="B582" s="1442" t="s">
        <v>1381</v>
      </c>
      <c r="C582" s="1442" t="s">
        <v>1394</v>
      </c>
      <c r="D582" s="1442" t="s">
        <v>1447</v>
      </c>
      <c r="E582" s="1442" t="s">
        <v>1381</v>
      </c>
      <c r="F582" s="1442" t="s">
        <v>1381</v>
      </c>
      <c r="G582" s="1442" t="s">
        <v>1381</v>
      </c>
      <c r="H582" s="1442" t="s">
        <v>1576</v>
      </c>
      <c r="I582" s="1442"/>
      <c r="J582" s="1442"/>
      <c r="K582" s="771" t="s">
        <v>2539</v>
      </c>
      <c r="L582" s="1223"/>
      <c r="M582" s="1223"/>
      <c r="N582" s="1223"/>
      <c r="O582" s="1206">
        <f t="shared" si="88"/>
        <v>0</v>
      </c>
      <c r="P582" s="1223"/>
      <c r="Q582" s="1223"/>
      <c r="R582" s="1223"/>
      <c r="S582" s="1223"/>
      <c r="T582" s="1223"/>
      <c r="U582" s="1223"/>
      <c r="V582" s="1223"/>
      <c r="W582" s="784" t="e">
        <f t="shared" si="87"/>
        <v>#DIV/0!</v>
      </c>
      <c r="X582" s="788"/>
      <c r="Y582" s="788"/>
    </row>
    <row r="583" spans="1:25" s="183" customFormat="1" ht="22.5" customHeight="1" thickTop="1" thickBot="1" x14ac:dyDescent="0.3">
      <c r="A583" s="1441">
        <v>1</v>
      </c>
      <c r="B583" s="1442" t="s">
        <v>1381</v>
      </c>
      <c r="C583" s="1442" t="s">
        <v>1394</v>
      </c>
      <c r="D583" s="1442" t="s">
        <v>1447</v>
      </c>
      <c r="E583" s="1442" t="s">
        <v>1381</v>
      </c>
      <c r="F583" s="1442" t="s">
        <v>1381</v>
      </c>
      <c r="G583" s="1442" t="s">
        <v>1381</v>
      </c>
      <c r="H583" s="1442" t="s">
        <v>1577</v>
      </c>
      <c r="I583" s="1442"/>
      <c r="J583" s="1442"/>
      <c r="K583" s="771" t="s">
        <v>2540</v>
      </c>
      <c r="L583" s="1223"/>
      <c r="M583" s="1223"/>
      <c r="N583" s="1223"/>
      <c r="O583" s="1206">
        <f t="shared" si="88"/>
        <v>0</v>
      </c>
      <c r="P583" s="1223"/>
      <c r="Q583" s="1223"/>
      <c r="R583" s="1223"/>
      <c r="S583" s="1223"/>
      <c r="T583" s="1223"/>
      <c r="U583" s="1223"/>
      <c r="V583" s="1223"/>
      <c r="W583" s="784" t="e">
        <f t="shared" ref="W583:W646" si="97">V583/O583</f>
        <v>#DIV/0!</v>
      </c>
      <c r="X583" s="788"/>
      <c r="Y583" s="788"/>
    </row>
    <row r="584" spans="1:25" s="183" customFormat="1" ht="22.5" customHeight="1" thickTop="1" thickBot="1" x14ac:dyDescent="0.3">
      <c r="A584" s="1441">
        <v>1</v>
      </c>
      <c r="B584" s="1442" t="s">
        <v>1381</v>
      </c>
      <c r="C584" s="1442" t="s">
        <v>1394</v>
      </c>
      <c r="D584" s="1442" t="s">
        <v>1447</v>
      </c>
      <c r="E584" s="1442" t="s">
        <v>1381</v>
      </c>
      <c r="F584" s="1442" t="s">
        <v>1381</v>
      </c>
      <c r="G584" s="1442" t="s">
        <v>1381</v>
      </c>
      <c r="H584" s="1442" t="s">
        <v>1578</v>
      </c>
      <c r="I584" s="1442"/>
      <c r="J584" s="1442"/>
      <c r="K584" s="771" t="s">
        <v>2541</v>
      </c>
      <c r="L584" s="1223"/>
      <c r="M584" s="1223"/>
      <c r="N584" s="1223"/>
      <c r="O584" s="1206">
        <f t="shared" ref="O584:O647" si="98">L584+M584-N584</f>
        <v>0</v>
      </c>
      <c r="P584" s="1223"/>
      <c r="Q584" s="1223"/>
      <c r="R584" s="1223"/>
      <c r="S584" s="1223"/>
      <c r="T584" s="1223"/>
      <c r="U584" s="1223"/>
      <c r="V584" s="1223"/>
      <c r="W584" s="784" t="e">
        <f t="shared" si="97"/>
        <v>#DIV/0!</v>
      </c>
      <c r="X584" s="788"/>
      <c r="Y584" s="788"/>
    </row>
    <row r="585" spans="1:25" s="183" customFormat="1" ht="22.5" customHeight="1" thickTop="1" thickBot="1" x14ac:dyDescent="0.3">
      <c r="A585" s="1441">
        <v>1</v>
      </c>
      <c r="B585" s="1442" t="s">
        <v>1381</v>
      </c>
      <c r="C585" s="1442" t="s">
        <v>1394</v>
      </c>
      <c r="D585" s="1442" t="s">
        <v>1447</v>
      </c>
      <c r="E585" s="1442" t="s">
        <v>1381</v>
      </c>
      <c r="F585" s="1442" t="s">
        <v>1381</v>
      </c>
      <c r="G585" s="1442" t="s">
        <v>1394</v>
      </c>
      <c r="H585" s="1442"/>
      <c r="I585" s="1442"/>
      <c r="J585" s="1442"/>
      <c r="K585" s="771" t="s">
        <v>2311</v>
      </c>
      <c r="L585" s="1223">
        <f>SUM(L586:L596)</f>
        <v>0</v>
      </c>
      <c r="M585" s="1223">
        <f t="shared" ref="M585:V585" si="99">SUM(M586:M596)</f>
        <v>0</v>
      </c>
      <c r="N585" s="1223">
        <f t="shared" si="99"/>
        <v>0</v>
      </c>
      <c r="O585" s="1206">
        <f t="shared" si="98"/>
        <v>0</v>
      </c>
      <c r="P585" s="1223">
        <f t="shared" si="99"/>
        <v>0</v>
      </c>
      <c r="Q585" s="1223">
        <f t="shared" si="99"/>
        <v>0</v>
      </c>
      <c r="R585" s="1223">
        <f t="shared" si="99"/>
        <v>0</v>
      </c>
      <c r="S585" s="1223"/>
      <c r="T585" s="1223">
        <f t="shared" si="99"/>
        <v>0</v>
      </c>
      <c r="U585" s="1223">
        <f t="shared" si="99"/>
        <v>0</v>
      </c>
      <c r="V585" s="1223">
        <f t="shared" si="99"/>
        <v>0</v>
      </c>
      <c r="W585" s="784" t="e">
        <f t="shared" si="97"/>
        <v>#DIV/0!</v>
      </c>
      <c r="X585" s="788" t="s">
        <v>2056</v>
      </c>
      <c r="Y585" s="788"/>
    </row>
    <row r="586" spans="1:25" s="183" customFormat="1" ht="22.5" customHeight="1" thickTop="1" thickBot="1" x14ac:dyDescent="0.3">
      <c r="A586" s="1441">
        <v>1</v>
      </c>
      <c r="B586" s="1442" t="s">
        <v>1381</v>
      </c>
      <c r="C586" s="1442" t="s">
        <v>1394</v>
      </c>
      <c r="D586" s="1442" t="s">
        <v>1447</v>
      </c>
      <c r="E586" s="1442" t="s">
        <v>1381</v>
      </c>
      <c r="F586" s="1442" t="s">
        <v>1381</v>
      </c>
      <c r="G586" s="1442" t="s">
        <v>1394</v>
      </c>
      <c r="H586" s="1442" t="s">
        <v>1381</v>
      </c>
      <c r="I586" s="1442"/>
      <c r="J586" s="1442"/>
      <c r="K586" s="771" t="s">
        <v>2300</v>
      </c>
      <c r="L586" s="1223"/>
      <c r="M586" s="1223"/>
      <c r="N586" s="1223"/>
      <c r="O586" s="1206">
        <f t="shared" si="98"/>
        <v>0</v>
      </c>
      <c r="P586" s="1223"/>
      <c r="Q586" s="1223"/>
      <c r="R586" s="1223"/>
      <c r="S586" s="1223"/>
      <c r="T586" s="1223"/>
      <c r="U586" s="1223"/>
      <c r="V586" s="1223"/>
      <c r="W586" s="784" t="e">
        <f t="shared" si="97"/>
        <v>#DIV/0!</v>
      </c>
      <c r="X586" s="788"/>
      <c r="Y586" s="788"/>
    </row>
    <row r="587" spans="1:25" s="183" customFormat="1" ht="22.5" customHeight="1" thickTop="1" thickBot="1" x14ac:dyDescent="0.3">
      <c r="A587" s="1441">
        <v>1</v>
      </c>
      <c r="B587" s="1442" t="s">
        <v>1381</v>
      </c>
      <c r="C587" s="1442" t="s">
        <v>1394</v>
      </c>
      <c r="D587" s="1442" t="s">
        <v>1447</v>
      </c>
      <c r="E587" s="1442" t="s">
        <v>1381</v>
      </c>
      <c r="F587" s="1442" t="s">
        <v>1381</v>
      </c>
      <c r="G587" s="1442" t="s">
        <v>1394</v>
      </c>
      <c r="H587" s="1442" t="s">
        <v>1394</v>
      </c>
      <c r="I587" s="1442"/>
      <c r="J587" s="1442"/>
      <c r="K587" s="771" t="s">
        <v>2301</v>
      </c>
      <c r="L587" s="1223"/>
      <c r="M587" s="1223"/>
      <c r="N587" s="1223"/>
      <c r="O587" s="1206">
        <f t="shared" si="98"/>
        <v>0</v>
      </c>
      <c r="P587" s="1223"/>
      <c r="Q587" s="1223"/>
      <c r="R587" s="1223"/>
      <c r="S587" s="1223"/>
      <c r="T587" s="1223"/>
      <c r="U587" s="1223"/>
      <c r="V587" s="1223"/>
      <c r="W587" s="784" t="e">
        <f t="shared" si="97"/>
        <v>#DIV/0!</v>
      </c>
      <c r="X587" s="788"/>
      <c r="Y587" s="788"/>
    </row>
    <row r="588" spans="1:25" s="183" customFormat="1" ht="22.5" customHeight="1" thickTop="1" thickBot="1" x14ac:dyDescent="0.3">
      <c r="A588" s="1441">
        <v>1</v>
      </c>
      <c r="B588" s="1442" t="s">
        <v>1381</v>
      </c>
      <c r="C588" s="1442" t="s">
        <v>1394</v>
      </c>
      <c r="D588" s="1442" t="s">
        <v>1447</v>
      </c>
      <c r="E588" s="1442" t="s">
        <v>1381</v>
      </c>
      <c r="F588" s="1442" t="s">
        <v>1381</v>
      </c>
      <c r="G588" s="1442" t="s">
        <v>1394</v>
      </c>
      <c r="H588" s="1442" t="s">
        <v>1418</v>
      </c>
      <c r="I588" s="1442"/>
      <c r="J588" s="1442"/>
      <c r="K588" s="771" t="s">
        <v>2302</v>
      </c>
      <c r="L588" s="1223"/>
      <c r="M588" s="1223"/>
      <c r="N588" s="1223"/>
      <c r="O588" s="1206">
        <f t="shared" si="98"/>
        <v>0</v>
      </c>
      <c r="P588" s="1223"/>
      <c r="Q588" s="1223"/>
      <c r="R588" s="1223"/>
      <c r="S588" s="1223"/>
      <c r="T588" s="1223"/>
      <c r="U588" s="1223"/>
      <c r="V588" s="1223"/>
      <c r="W588" s="784" t="e">
        <f t="shared" si="97"/>
        <v>#DIV/0!</v>
      </c>
      <c r="X588" s="788"/>
      <c r="Y588" s="788"/>
    </row>
    <row r="589" spans="1:25" s="183" customFormat="1" ht="22.5" customHeight="1" thickTop="1" thickBot="1" x14ac:dyDescent="0.3">
      <c r="A589" s="1441">
        <v>1</v>
      </c>
      <c r="B589" s="1442" t="s">
        <v>1381</v>
      </c>
      <c r="C589" s="1442" t="s">
        <v>1394</v>
      </c>
      <c r="D589" s="1442" t="s">
        <v>1447</v>
      </c>
      <c r="E589" s="1442" t="s">
        <v>1381</v>
      </c>
      <c r="F589" s="1442" t="s">
        <v>1381</v>
      </c>
      <c r="G589" s="1442" t="s">
        <v>1394</v>
      </c>
      <c r="H589" s="1442" t="s">
        <v>1422</v>
      </c>
      <c r="I589" s="1442"/>
      <c r="J589" s="1442"/>
      <c r="K589" s="771" t="s">
        <v>2542</v>
      </c>
      <c r="L589" s="1223"/>
      <c r="M589" s="1223"/>
      <c r="N589" s="1223"/>
      <c r="O589" s="1206">
        <f t="shared" si="98"/>
        <v>0</v>
      </c>
      <c r="P589" s="1223"/>
      <c r="Q589" s="1223"/>
      <c r="R589" s="1223"/>
      <c r="S589" s="1223"/>
      <c r="T589" s="1223"/>
      <c r="U589" s="1223"/>
      <c r="V589" s="1223"/>
      <c r="W589" s="784" t="e">
        <f t="shared" si="97"/>
        <v>#DIV/0!</v>
      </c>
      <c r="X589" s="788"/>
      <c r="Y589" s="788"/>
    </row>
    <row r="590" spans="1:25" s="183" customFormat="1" ht="22.5" customHeight="1" thickTop="1" thickBot="1" x14ac:dyDescent="0.3">
      <c r="A590" s="1441">
        <v>1</v>
      </c>
      <c r="B590" s="1442" t="s">
        <v>1381</v>
      </c>
      <c r="C590" s="1442" t="s">
        <v>1394</v>
      </c>
      <c r="D590" s="1442" t="s">
        <v>1447</v>
      </c>
      <c r="E590" s="1442" t="s">
        <v>1381</v>
      </c>
      <c r="F590" s="1442" t="s">
        <v>1381</v>
      </c>
      <c r="G590" s="1442" t="s">
        <v>1394</v>
      </c>
      <c r="H590" s="1442" t="s">
        <v>1447</v>
      </c>
      <c r="I590" s="1442"/>
      <c r="J590" s="1442"/>
      <c r="K590" s="771" t="s">
        <v>2303</v>
      </c>
      <c r="L590" s="1223"/>
      <c r="M590" s="1223"/>
      <c r="N590" s="1223"/>
      <c r="O590" s="1206">
        <f t="shared" si="98"/>
        <v>0</v>
      </c>
      <c r="P590" s="1223"/>
      <c r="Q590" s="1223"/>
      <c r="R590" s="1223"/>
      <c r="S590" s="1223"/>
      <c r="T590" s="1223"/>
      <c r="U590" s="1223"/>
      <c r="V590" s="1223"/>
      <c r="W590" s="784" t="e">
        <f t="shared" si="97"/>
        <v>#DIV/0!</v>
      </c>
      <c r="X590" s="788"/>
      <c r="Y590" s="788"/>
    </row>
    <row r="591" spans="1:25" s="183" customFormat="1" ht="22.5" customHeight="1" thickTop="1" thickBot="1" x14ac:dyDescent="0.3">
      <c r="A591" s="1441">
        <v>1</v>
      </c>
      <c r="B591" s="1442" t="s">
        <v>1381</v>
      </c>
      <c r="C591" s="1442" t="s">
        <v>1394</v>
      </c>
      <c r="D591" s="1442" t="s">
        <v>1447</v>
      </c>
      <c r="E591" s="1442" t="s">
        <v>1381</v>
      </c>
      <c r="F591" s="1442" t="s">
        <v>1381</v>
      </c>
      <c r="G591" s="1442" t="s">
        <v>1394</v>
      </c>
      <c r="H591" s="1442" t="s">
        <v>1470</v>
      </c>
      <c r="I591" s="1442"/>
      <c r="J591" s="1442"/>
      <c r="K591" s="771" t="s">
        <v>2304</v>
      </c>
      <c r="L591" s="1223"/>
      <c r="M591" s="1223"/>
      <c r="N591" s="1223"/>
      <c r="O591" s="1206">
        <f t="shared" si="98"/>
        <v>0</v>
      </c>
      <c r="P591" s="1223"/>
      <c r="Q591" s="1223"/>
      <c r="R591" s="1223"/>
      <c r="S591" s="1223"/>
      <c r="T591" s="1223"/>
      <c r="U591" s="1223"/>
      <c r="V591" s="1223"/>
      <c r="W591" s="784" t="e">
        <f t="shared" si="97"/>
        <v>#DIV/0!</v>
      </c>
      <c r="X591" s="788"/>
      <c r="Y591" s="788"/>
    </row>
    <row r="592" spans="1:25" s="183" customFormat="1" ht="22.5" customHeight="1" thickTop="1" thickBot="1" x14ac:dyDescent="0.3">
      <c r="A592" s="1441">
        <v>1</v>
      </c>
      <c r="B592" s="1442" t="s">
        <v>1381</v>
      </c>
      <c r="C592" s="1442" t="s">
        <v>1394</v>
      </c>
      <c r="D592" s="1442" t="s">
        <v>1447</v>
      </c>
      <c r="E592" s="1442" t="s">
        <v>1381</v>
      </c>
      <c r="F592" s="1442" t="s">
        <v>1381</v>
      </c>
      <c r="G592" s="1442" t="s">
        <v>1394</v>
      </c>
      <c r="H592" s="1442" t="s">
        <v>1474</v>
      </c>
      <c r="I592" s="1442"/>
      <c r="J592" s="1442"/>
      <c r="K592" s="771" t="s">
        <v>2305</v>
      </c>
      <c r="L592" s="1223"/>
      <c r="M592" s="1223"/>
      <c r="N592" s="1223"/>
      <c r="O592" s="1206">
        <f t="shared" si="98"/>
        <v>0</v>
      </c>
      <c r="P592" s="1223"/>
      <c r="Q592" s="1223"/>
      <c r="R592" s="1223"/>
      <c r="S592" s="1223"/>
      <c r="T592" s="1223"/>
      <c r="U592" s="1223"/>
      <c r="V592" s="1223"/>
      <c r="W592" s="784" t="e">
        <f t="shared" si="97"/>
        <v>#DIV/0!</v>
      </c>
      <c r="X592" s="788"/>
      <c r="Y592" s="788"/>
    </row>
    <row r="593" spans="1:25" s="183" customFormat="1" ht="22.5" customHeight="1" thickTop="1" thickBot="1" x14ac:dyDescent="0.3">
      <c r="A593" s="1441">
        <v>1</v>
      </c>
      <c r="B593" s="1442" t="s">
        <v>1381</v>
      </c>
      <c r="C593" s="1442" t="s">
        <v>1394</v>
      </c>
      <c r="D593" s="1442" t="s">
        <v>1447</v>
      </c>
      <c r="E593" s="1442" t="s">
        <v>1381</v>
      </c>
      <c r="F593" s="1442" t="s">
        <v>1381</v>
      </c>
      <c r="G593" s="1442" t="s">
        <v>1394</v>
      </c>
      <c r="H593" s="1442" t="s">
        <v>1478</v>
      </c>
      <c r="I593" s="1442"/>
      <c r="J593" s="1442"/>
      <c r="K593" s="771" t="s">
        <v>2306</v>
      </c>
      <c r="L593" s="1223"/>
      <c r="M593" s="1223"/>
      <c r="N593" s="1223"/>
      <c r="O593" s="1206">
        <f t="shared" si="98"/>
        <v>0</v>
      </c>
      <c r="P593" s="1223"/>
      <c r="Q593" s="1223"/>
      <c r="R593" s="1223"/>
      <c r="S593" s="1223"/>
      <c r="T593" s="1223"/>
      <c r="U593" s="1223"/>
      <c r="V593" s="1223"/>
      <c r="W593" s="784" t="e">
        <f t="shared" si="97"/>
        <v>#DIV/0!</v>
      </c>
      <c r="X593" s="788"/>
      <c r="Y593" s="788"/>
    </row>
    <row r="594" spans="1:25" s="183" customFormat="1" ht="22.5" customHeight="1" thickTop="1" thickBot="1" x14ac:dyDescent="0.3">
      <c r="A594" s="1441">
        <v>1</v>
      </c>
      <c r="B594" s="1442" t="s">
        <v>1381</v>
      </c>
      <c r="C594" s="1442" t="s">
        <v>1394</v>
      </c>
      <c r="D594" s="1442" t="s">
        <v>1447</v>
      </c>
      <c r="E594" s="1442" t="s">
        <v>1381</v>
      </c>
      <c r="F594" s="1442" t="s">
        <v>1381</v>
      </c>
      <c r="G594" s="1442" t="s">
        <v>1394</v>
      </c>
      <c r="H594" s="1442" t="s">
        <v>1576</v>
      </c>
      <c r="I594" s="1442"/>
      <c r="J594" s="1442"/>
      <c r="K594" s="771" t="s">
        <v>2307</v>
      </c>
      <c r="L594" s="1223"/>
      <c r="M594" s="1223"/>
      <c r="N594" s="1223"/>
      <c r="O594" s="1206">
        <f t="shared" si="98"/>
        <v>0</v>
      </c>
      <c r="P594" s="1223"/>
      <c r="Q594" s="1223"/>
      <c r="R594" s="1223"/>
      <c r="S594" s="1223"/>
      <c r="T594" s="1223"/>
      <c r="U594" s="1223"/>
      <c r="V594" s="1223"/>
      <c r="W594" s="784" t="e">
        <f t="shared" si="97"/>
        <v>#DIV/0!</v>
      </c>
      <c r="X594" s="788"/>
      <c r="Y594" s="788"/>
    </row>
    <row r="595" spans="1:25" s="183" customFormat="1" ht="22.5" customHeight="1" thickTop="1" thickBot="1" x14ac:dyDescent="0.3">
      <c r="A595" s="1441">
        <v>1</v>
      </c>
      <c r="B595" s="1442" t="s">
        <v>1381</v>
      </c>
      <c r="C595" s="1442" t="s">
        <v>1394</v>
      </c>
      <c r="D595" s="1442" t="s">
        <v>1447</v>
      </c>
      <c r="E595" s="1442" t="s">
        <v>1381</v>
      </c>
      <c r="F595" s="1442" t="s">
        <v>1381</v>
      </c>
      <c r="G595" s="1442" t="s">
        <v>1394</v>
      </c>
      <c r="H595" s="1442" t="s">
        <v>1577</v>
      </c>
      <c r="I595" s="1442"/>
      <c r="J595" s="1442"/>
      <c r="K595" s="771" t="s">
        <v>2308</v>
      </c>
      <c r="L595" s="1223"/>
      <c r="M595" s="1223"/>
      <c r="N595" s="1223"/>
      <c r="O595" s="1206">
        <f t="shared" si="98"/>
        <v>0</v>
      </c>
      <c r="P595" s="1223"/>
      <c r="Q595" s="1223"/>
      <c r="R595" s="1223"/>
      <c r="S595" s="1223"/>
      <c r="T595" s="1223"/>
      <c r="U595" s="1223"/>
      <c r="V595" s="1223"/>
      <c r="W595" s="784" t="e">
        <f t="shared" si="97"/>
        <v>#DIV/0!</v>
      </c>
      <c r="X595" s="788"/>
      <c r="Y595" s="788"/>
    </row>
    <row r="596" spans="1:25" s="183" customFormat="1" ht="22.5" customHeight="1" thickTop="1" thickBot="1" x14ac:dyDescent="0.3">
      <c r="A596" s="1441">
        <v>1</v>
      </c>
      <c r="B596" s="1442" t="s">
        <v>1381</v>
      </c>
      <c r="C596" s="1442" t="s">
        <v>1394</v>
      </c>
      <c r="D596" s="1442" t="s">
        <v>1447</v>
      </c>
      <c r="E596" s="1442" t="s">
        <v>1381</v>
      </c>
      <c r="F596" s="1442" t="s">
        <v>1381</v>
      </c>
      <c r="G596" s="1442" t="s">
        <v>1394</v>
      </c>
      <c r="H596" s="1442" t="s">
        <v>1578</v>
      </c>
      <c r="I596" s="1442"/>
      <c r="J596" s="1442"/>
      <c r="K596" s="771" t="s">
        <v>2309</v>
      </c>
      <c r="L596" s="1223"/>
      <c r="M596" s="1223"/>
      <c r="N596" s="1223"/>
      <c r="O596" s="1206">
        <f t="shared" si="98"/>
        <v>0</v>
      </c>
      <c r="P596" s="1223"/>
      <c r="Q596" s="1223"/>
      <c r="R596" s="1223"/>
      <c r="S596" s="1223"/>
      <c r="T596" s="1223"/>
      <c r="U596" s="1223"/>
      <c r="V596" s="1223"/>
      <c r="W596" s="784" t="e">
        <f t="shared" si="97"/>
        <v>#DIV/0!</v>
      </c>
      <c r="X596" s="788"/>
      <c r="Y596" s="788"/>
    </row>
    <row r="597" spans="1:25" s="183" customFormat="1" ht="22.5" customHeight="1" thickTop="1" thickBot="1" x14ac:dyDescent="0.3">
      <c r="A597" s="1439">
        <v>1</v>
      </c>
      <c r="B597" s="1440" t="s">
        <v>1381</v>
      </c>
      <c r="C597" s="1440" t="s">
        <v>1394</v>
      </c>
      <c r="D597" s="1440" t="s">
        <v>1447</v>
      </c>
      <c r="E597" s="1440" t="s">
        <v>1381</v>
      </c>
      <c r="F597" s="1440" t="s">
        <v>1394</v>
      </c>
      <c r="G597" s="1440"/>
      <c r="H597" s="1440"/>
      <c r="I597" s="1440"/>
      <c r="J597" s="1440"/>
      <c r="K597" s="770" t="s">
        <v>2037</v>
      </c>
      <c r="L597" s="1222">
        <f>+L598+L610</f>
        <v>0</v>
      </c>
      <c r="M597" s="1222">
        <f t="shared" ref="M597:V597" si="100">+M598+M610</f>
        <v>0</v>
      </c>
      <c r="N597" s="1222">
        <f t="shared" si="100"/>
        <v>0</v>
      </c>
      <c r="O597" s="1206">
        <f t="shared" si="98"/>
        <v>0</v>
      </c>
      <c r="P597" s="1222">
        <f t="shared" si="100"/>
        <v>0</v>
      </c>
      <c r="Q597" s="1222">
        <f t="shared" si="100"/>
        <v>0</v>
      </c>
      <c r="R597" s="1222">
        <f t="shared" si="100"/>
        <v>0</v>
      </c>
      <c r="S597" s="1222"/>
      <c r="T597" s="1222">
        <f t="shared" si="100"/>
        <v>0</v>
      </c>
      <c r="U597" s="1222">
        <f t="shared" si="100"/>
        <v>0</v>
      </c>
      <c r="V597" s="1222">
        <f t="shared" si="100"/>
        <v>0</v>
      </c>
      <c r="W597" s="786" t="e">
        <f t="shared" si="97"/>
        <v>#DIV/0!</v>
      </c>
      <c r="X597" s="788" t="s">
        <v>1657</v>
      </c>
      <c r="Y597" s="788"/>
    </row>
    <row r="598" spans="1:25" s="183" customFormat="1" ht="22.5" customHeight="1" thickTop="1" thickBot="1" x14ac:dyDescent="0.3">
      <c r="A598" s="1441">
        <v>1</v>
      </c>
      <c r="B598" s="1442" t="s">
        <v>1381</v>
      </c>
      <c r="C598" s="1442" t="s">
        <v>1394</v>
      </c>
      <c r="D598" s="1442" t="s">
        <v>1447</v>
      </c>
      <c r="E598" s="1442" t="s">
        <v>1381</v>
      </c>
      <c r="F598" s="1442" t="s">
        <v>1394</v>
      </c>
      <c r="G598" s="1442" t="s">
        <v>1381</v>
      </c>
      <c r="H598" s="1442"/>
      <c r="I598" s="1442"/>
      <c r="J598" s="1442"/>
      <c r="K598" s="771" t="s">
        <v>2310</v>
      </c>
      <c r="L598" s="1223">
        <f>SUM(L599:L609)</f>
        <v>0</v>
      </c>
      <c r="M598" s="1223">
        <f t="shared" ref="M598:V598" si="101">SUM(M599:M609)</f>
        <v>0</v>
      </c>
      <c r="N598" s="1223">
        <f t="shared" si="101"/>
        <v>0</v>
      </c>
      <c r="O598" s="1206">
        <f t="shared" si="98"/>
        <v>0</v>
      </c>
      <c r="P598" s="1223">
        <f t="shared" si="101"/>
        <v>0</v>
      </c>
      <c r="Q598" s="1223">
        <f t="shared" si="101"/>
        <v>0</v>
      </c>
      <c r="R598" s="1223">
        <f t="shared" si="101"/>
        <v>0</v>
      </c>
      <c r="S598" s="1223"/>
      <c r="T598" s="1223">
        <f t="shared" si="101"/>
        <v>0</v>
      </c>
      <c r="U598" s="1223">
        <f t="shared" si="101"/>
        <v>0</v>
      </c>
      <c r="V598" s="1223">
        <f t="shared" si="101"/>
        <v>0</v>
      </c>
      <c r="W598" s="784" t="e">
        <f t="shared" si="97"/>
        <v>#DIV/0!</v>
      </c>
      <c r="X598" s="788" t="s">
        <v>2057</v>
      </c>
      <c r="Y598" s="788"/>
    </row>
    <row r="599" spans="1:25" s="183" customFormat="1" ht="22.5" customHeight="1" thickTop="1" thickBot="1" x14ac:dyDescent="0.3">
      <c r="A599" s="1441">
        <v>1</v>
      </c>
      <c r="B599" s="1442" t="s">
        <v>1381</v>
      </c>
      <c r="C599" s="1442" t="s">
        <v>1394</v>
      </c>
      <c r="D599" s="1442" t="s">
        <v>1447</v>
      </c>
      <c r="E599" s="1442" t="s">
        <v>1381</v>
      </c>
      <c r="F599" s="1442" t="s">
        <v>1394</v>
      </c>
      <c r="G599" s="1442" t="s">
        <v>1381</v>
      </c>
      <c r="H599" s="1442" t="s">
        <v>1381</v>
      </c>
      <c r="I599" s="1442"/>
      <c r="J599" s="1442"/>
      <c r="K599" s="771" t="s">
        <v>2312</v>
      </c>
      <c r="L599" s="1223"/>
      <c r="M599" s="1223"/>
      <c r="N599" s="1223"/>
      <c r="O599" s="1206">
        <f t="shared" si="98"/>
        <v>0</v>
      </c>
      <c r="P599" s="1223"/>
      <c r="Q599" s="1223"/>
      <c r="R599" s="1223"/>
      <c r="S599" s="1223"/>
      <c r="T599" s="1223"/>
      <c r="U599" s="1223"/>
      <c r="V599" s="1223"/>
      <c r="W599" s="784" t="e">
        <f t="shared" si="97"/>
        <v>#DIV/0!</v>
      </c>
      <c r="X599" s="788"/>
      <c r="Y599" s="788"/>
    </row>
    <row r="600" spans="1:25" s="183" customFormat="1" ht="22.5" customHeight="1" thickTop="1" thickBot="1" x14ac:dyDescent="0.3">
      <c r="A600" s="1441">
        <v>1</v>
      </c>
      <c r="B600" s="1442" t="s">
        <v>1381</v>
      </c>
      <c r="C600" s="1442" t="s">
        <v>1394</v>
      </c>
      <c r="D600" s="1442" t="s">
        <v>1447</v>
      </c>
      <c r="E600" s="1442" t="s">
        <v>1381</v>
      </c>
      <c r="F600" s="1442" t="s">
        <v>1394</v>
      </c>
      <c r="G600" s="1442" t="s">
        <v>1381</v>
      </c>
      <c r="H600" s="1442" t="s">
        <v>1394</v>
      </c>
      <c r="I600" s="1442"/>
      <c r="J600" s="1442"/>
      <c r="K600" s="771" t="s">
        <v>2313</v>
      </c>
      <c r="L600" s="1223"/>
      <c r="M600" s="1223"/>
      <c r="N600" s="1223"/>
      <c r="O600" s="1206">
        <f t="shared" si="98"/>
        <v>0</v>
      </c>
      <c r="P600" s="1223"/>
      <c r="Q600" s="1223"/>
      <c r="R600" s="1223"/>
      <c r="S600" s="1223"/>
      <c r="T600" s="1223"/>
      <c r="U600" s="1223"/>
      <c r="V600" s="1223"/>
      <c r="W600" s="784" t="e">
        <f t="shared" si="97"/>
        <v>#DIV/0!</v>
      </c>
      <c r="X600" s="788"/>
      <c r="Y600" s="788"/>
    </row>
    <row r="601" spans="1:25" s="183" customFormat="1" ht="22.5" customHeight="1" thickTop="1" thickBot="1" x14ac:dyDescent="0.3">
      <c r="A601" s="1441">
        <v>1</v>
      </c>
      <c r="B601" s="1442" t="s">
        <v>1381</v>
      </c>
      <c r="C601" s="1442" t="s">
        <v>1394</v>
      </c>
      <c r="D601" s="1442" t="s">
        <v>1447</v>
      </c>
      <c r="E601" s="1442" t="s">
        <v>1381</v>
      </c>
      <c r="F601" s="1442" t="s">
        <v>1394</v>
      </c>
      <c r="G601" s="1442" t="s">
        <v>1381</v>
      </c>
      <c r="H601" s="1442" t="s">
        <v>1418</v>
      </c>
      <c r="I601" s="1442"/>
      <c r="J601" s="1442"/>
      <c r="K601" s="771" t="s">
        <v>2314</v>
      </c>
      <c r="L601" s="1223"/>
      <c r="M601" s="1223"/>
      <c r="N601" s="1223"/>
      <c r="O601" s="1206">
        <f t="shared" si="98"/>
        <v>0</v>
      </c>
      <c r="P601" s="1223"/>
      <c r="Q601" s="1223"/>
      <c r="R601" s="1223"/>
      <c r="S601" s="1223"/>
      <c r="T601" s="1223"/>
      <c r="U601" s="1223"/>
      <c r="V601" s="1223"/>
      <c r="W601" s="784" t="e">
        <f t="shared" si="97"/>
        <v>#DIV/0!</v>
      </c>
      <c r="X601" s="788"/>
      <c r="Y601" s="788"/>
    </row>
    <row r="602" spans="1:25" s="183" customFormat="1" ht="22.5" customHeight="1" thickTop="1" thickBot="1" x14ac:dyDescent="0.3">
      <c r="A602" s="1441">
        <v>1</v>
      </c>
      <c r="B602" s="1442" t="s">
        <v>1381</v>
      </c>
      <c r="C602" s="1442" t="s">
        <v>1394</v>
      </c>
      <c r="D602" s="1442" t="s">
        <v>1447</v>
      </c>
      <c r="E602" s="1442" t="s">
        <v>1381</v>
      </c>
      <c r="F602" s="1442" t="s">
        <v>1394</v>
      </c>
      <c r="G602" s="1442" t="s">
        <v>1381</v>
      </c>
      <c r="H602" s="1442" t="s">
        <v>1422</v>
      </c>
      <c r="I602" s="1442"/>
      <c r="J602" s="1442"/>
      <c r="K602" s="771" t="s">
        <v>2543</v>
      </c>
      <c r="L602" s="1223"/>
      <c r="M602" s="1223"/>
      <c r="N602" s="1223"/>
      <c r="O602" s="1206">
        <f t="shared" si="98"/>
        <v>0</v>
      </c>
      <c r="P602" s="1223"/>
      <c r="Q602" s="1223"/>
      <c r="R602" s="1223"/>
      <c r="S602" s="1223"/>
      <c r="T602" s="1223"/>
      <c r="U602" s="1223"/>
      <c r="V602" s="1223"/>
      <c r="W602" s="784" t="e">
        <f t="shared" si="97"/>
        <v>#DIV/0!</v>
      </c>
      <c r="X602" s="788"/>
      <c r="Y602" s="788"/>
    </row>
    <row r="603" spans="1:25" s="183" customFormat="1" ht="22.5" customHeight="1" thickTop="1" thickBot="1" x14ac:dyDescent="0.3">
      <c r="A603" s="1441">
        <v>1</v>
      </c>
      <c r="B603" s="1442" t="s">
        <v>1381</v>
      </c>
      <c r="C603" s="1442" t="s">
        <v>1394</v>
      </c>
      <c r="D603" s="1442" t="s">
        <v>1447</v>
      </c>
      <c r="E603" s="1442" t="s">
        <v>1381</v>
      </c>
      <c r="F603" s="1442" t="s">
        <v>1394</v>
      </c>
      <c r="G603" s="1442" t="s">
        <v>1381</v>
      </c>
      <c r="H603" s="1442" t="s">
        <v>1447</v>
      </c>
      <c r="I603" s="1442"/>
      <c r="J603" s="1442"/>
      <c r="K603" s="771" t="s">
        <v>2316</v>
      </c>
      <c r="L603" s="1223"/>
      <c r="M603" s="1223"/>
      <c r="N603" s="1223"/>
      <c r="O603" s="1206">
        <f t="shared" si="98"/>
        <v>0</v>
      </c>
      <c r="P603" s="1223"/>
      <c r="Q603" s="1223"/>
      <c r="R603" s="1223"/>
      <c r="S603" s="1223"/>
      <c r="T603" s="1223"/>
      <c r="U603" s="1223"/>
      <c r="V603" s="1223"/>
      <c r="W603" s="784" t="e">
        <f t="shared" si="97"/>
        <v>#DIV/0!</v>
      </c>
      <c r="X603" s="788"/>
      <c r="Y603" s="788"/>
    </row>
    <row r="604" spans="1:25" s="183" customFormat="1" ht="22.5" customHeight="1" thickTop="1" thickBot="1" x14ac:dyDescent="0.3">
      <c r="A604" s="1441">
        <v>1</v>
      </c>
      <c r="B604" s="1442" t="s">
        <v>1381</v>
      </c>
      <c r="C604" s="1442" t="s">
        <v>1394</v>
      </c>
      <c r="D604" s="1442" t="s">
        <v>1447</v>
      </c>
      <c r="E604" s="1442" t="s">
        <v>1381</v>
      </c>
      <c r="F604" s="1442" t="s">
        <v>1394</v>
      </c>
      <c r="G604" s="1442" t="s">
        <v>1381</v>
      </c>
      <c r="H604" s="1442" t="s">
        <v>1470</v>
      </c>
      <c r="I604" s="1442"/>
      <c r="J604" s="1442"/>
      <c r="K604" s="771" t="s">
        <v>2317</v>
      </c>
      <c r="L604" s="1223"/>
      <c r="M604" s="1223"/>
      <c r="N604" s="1223"/>
      <c r="O604" s="1206">
        <f t="shared" si="98"/>
        <v>0</v>
      </c>
      <c r="P604" s="1223"/>
      <c r="Q604" s="1223"/>
      <c r="R604" s="1223"/>
      <c r="S604" s="1223"/>
      <c r="T604" s="1223"/>
      <c r="U604" s="1223"/>
      <c r="V604" s="1223"/>
      <c r="W604" s="784" t="e">
        <f t="shared" si="97"/>
        <v>#DIV/0!</v>
      </c>
      <c r="X604" s="788"/>
      <c r="Y604" s="788"/>
    </row>
    <row r="605" spans="1:25" s="183" customFormat="1" ht="22.5" customHeight="1" thickTop="1" thickBot="1" x14ac:dyDescent="0.3">
      <c r="A605" s="1441">
        <v>1</v>
      </c>
      <c r="B605" s="1442" t="s">
        <v>1381</v>
      </c>
      <c r="C605" s="1442" t="s">
        <v>1394</v>
      </c>
      <c r="D605" s="1442" t="s">
        <v>1447</v>
      </c>
      <c r="E605" s="1442" t="s">
        <v>1381</v>
      </c>
      <c r="F605" s="1442" t="s">
        <v>1394</v>
      </c>
      <c r="G605" s="1442" t="s">
        <v>1381</v>
      </c>
      <c r="H605" s="1442" t="s">
        <v>1474</v>
      </c>
      <c r="I605" s="1442"/>
      <c r="J605" s="1442"/>
      <c r="K605" s="771" t="s">
        <v>2318</v>
      </c>
      <c r="L605" s="1223"/>
      <c r="M605" s="1223"/>
      <c r="N605" s="1223"/>
      <c r="O605" s="1206">
        <f t="shared" si="98"/>
        <v>0</v>
      </c>
      <c r="P605" s="1223"/>
      <c r="Q605" s="1223"/>
      <c r="R605" s="1223"/>
      <c r="S605" s="1223"/>
      <c r="T605" s="1223"/>
      <c r="U605" s="1223"/>
      <c r="V605" s="1223"/>
      <c r="W605" s="784" t="e">
        <f t="shared" si="97"/>
        <v>#DIV/0!</v>
      </c>
      <c r="X605" s="788"/>
      <c r="Y605" s="788"/>
    </row>
    <row r="606" spans="1:25" s="183" customFormat="1" ht="22.5" customHeight="1" thickTop="1" thickBot="1" x14ac:dyDescent="0.3">
      <c r="A606" s="1441">
        <v>1</v>
      </c>
      <c r="B606" s="1442" t="s">
        <v>1381</v>
      </c>
      <c r="C606" s="1442" t="s">
        <v>1394</v>
      </c>
      <c r="D606" s="1442" t="s">
        <v>1447</v>
      </c>
      <c r="E606" s="1442" t="s">
        <v>1381</v>
      </c>
      <c r="F606" s="1442" t="s">
        <v>1394</v>
      </c>
      <c r="G606" s="1442" t="s">
        <v>1381</v>
      </c>
      <c r="H606" s="1442" t="s">
        <v>1478</v>
      </c>
      <c r="I606" s="1442"/>
      <c r="J606" s="1442"/>
      <c r="K606" s="771" t="s">
        <v>2319</v>
      </c>
      <c r="L606" s="1223"/>
      <c r="M606" s="1223"/>
      <c r="N606" s="1223"/>
      <c r="O606" s="1206">
        <f t="shared" si="98"/>
        <v>0</v>
      </c>
      <c r="P606" s="1223"/>
      <c r="Q606" s="1223"/>
      <c r="R606" s="1223"/>
      <c r="S606" s="1223"/>
      <c r="T606" s="1223"/>
      <c r="U606" s="1223"/>
      <c r="V606" s="1223"/>
      <c r="W606" s="784" t="e">
        <f t="shared" si="97"/>
        <v>#DIV/0!</v>
      </c>
      <c r="X606" s="788"/>
      <c r="Y606" s="788"/>
    </row>
    <row r="607" spans="1:25" s="183" customFormat="1" ht="22.5" customHeight="1" thickTop="1" thickBot="1" x14ac:dyDescent="0.3">
      <c r="A607" s="1441">
        <v>1</v>
      </c>
      <c r="B607" s="1442" t="s">
        <v>1381</v>
      </c>
      <c r="C607" s="1442" t="s">
        <v>1394</v>
      </c>
      <c r="D607" s="1442" t="s">
        <v>1447</v>
      </c>
      <c r="E607" s="1442" t="s">
        <v>1381</v>
      </c>
      <c r="F607" s="1442" t="s">
        <v>1394</v>
      </c>
      <c r="G607" s="1442" t="s">
        <v>1381</v>
      </c>
      <c r="H607" s="1442" t="s">
        <v>1576</v>
      </c>
      <c r="I607" s="1442"/>
      <c r="J607" s="1442"/>
      <c r="K607" s="771" t="s">
        <v>2320</v>
      </c>
      <c r="L607" s="1223"/>
      <c r="M607" s="1223"/>
      <c r="N607" s="1223"/>
      <c r="O607" s="1206">
        <f t="shared" si="98"/>
        <v>0</v>
      </c>
      <c r="P607" s="1223"/>
      <c r="Q607" s="1223"/>
      <c r="R607" s="1223"/>
      <c r="S607" s="1223"/>
      <c r="T607" s="1223"/>
      <c r="U607" s="1223"/>
      <c r="V607" s="1223"/>
      <c r="W607" s="784" t="e">
        <f t="shared" si="97"/>
        <v>#DIV/0!</v>
      </c>
      <c r="X607" s="788"/>
      <c r="Y607" s="788"/>
    </row>
    <row r="608" spans="1:25" s="183" customFormat="1" ht="22.5" customHeight="1" thickTop="1" thickBot="1" x14ac:dyDescent="0.3">
      <c r="A608" s="1441">
        <v>1</v>
      </c>
      <c r="B608" s="1442" t="s">
        <v>1381</v>
      </c>
      <c r="C608" s="1442" t="s">
        <v>1394</v>
      </c>
      <c r="D608" s="1442" t="s">
        <v>1447</v>
      </c>
      <c r="E608" s="1442" t="s">
        <v>1381</v>
      </c>
      <c r="F608" s="1442" t="s">
        <v>1394</v>
      </c>
      <c r="G608" s="1442" t="s">
        <v>1381</v>
      </c>
      <c r="H608" s="1442" t="s">
        <v>1577</v>
      </c>
      <c r="I608" s="1442"/>
      <c r="J608" s="1442"/>
      <c r="K608" s="771" t="s">
        <v>2321</v>
      </c>
      <c r="L608" s="1223"/>
      <c r="M608" s="1223"/>
      <c r="N608" s="1223"/>
      <c r="O608" s="1206">
        <f t="shared" si="98"/>
        <v>0</v>
      </c>
      <c r="P608" s="1223"/>
      <c r="Q608" s="1223"/>
      <c r="R608" s="1223"/>
      <c r="S608" s="1223"/>
      <c r="T608" s="1223"/>
      <c r="U608" s="1223"/>
      <c r="V608" s="1223"/>
      <c r="W608" s="784" t="e">
        <f t="shared" si="97"/>
        <v>#DIV/0!</v>
      </c>
      <c r="X608" s="788"/>
      <c r="Y608" s="788"/>
    </row>
    <row r="609" spans="1:25" s="183" customFormat="1" ht="22.5" customHeight="1" thickTop="1" thickBot="1" x14ac:dyDescent="0.3">
      <c r="A609" s="1441">
        <v>1</v>
      </c>
      <c r="B609" s="1442" t="s">
        <v>1381</v>
      </c>
      <c r="C609" s="1442" t="s">
        <v>1394</v>
      </c>
      <c r="D609" s="1442" t="s">
        <v>1447</v>
      </c>
      <c r="E609" s="1442" t="s">
        <v>1381</v>
      </c>
      <c r="F609" s="1442" t="s">
        <v>1394</v>
      </c>
      <c r="G609" s="1442" t="s">
        <v>1381</v>
      </c>
      <c r="H609" s="1442" t="s">
        <v>1578</v>
      </c>
      <c r="I609" s="1442"/>
      <c r="J609" s="1442"/>
      <c r="K609" s="771" t="s">
        <v>2322</v>
      </c>
      <c r="L609" s="1223"/>
      <c r="M609" s="1223"/>
      <c r="N609" s="1223"/>
      <c r="O609" s="1206">
        <f t="shared" si="98"/>
        <v>0</v>
      </c>
      <c r="P609" s="1223"/>
      <c r="Q609" s="1223"/>
      <c r="R609" s="1223"/>
      <c r="S609" s="1223"/>
      <c r="T609" s="1223"/>
      <c r="U609" s="1223"/>
      <c r="V609" s="1223"/>
      <c r="W609" s="784" t="e">
        <f t="shared" si="97"/>
        <v>#DIV/0!</v>
      </c>
      <c r="X609" s="788"/>
      <c r="Y609" s="788"/>
    </row>
    <row r="610" spans="1:25" s="183" customFormat="1" ht="22.5" customHeight="1" thickTop="1" thickBot="1" x14ac:dyDescent="0.3">
      <c r="A610" s="1441">
        <v>1</v>
      </c>
      <c r="B610" s="1442" t="s">
        <v>1381</v>
      </c>
      <c r="C610" s="1442" t="s">
        <v>1394</v>
      </c>
      <c r="D610" s="1442" t="s">
        <v>1447</v>
      </c>
      <c r="E610" s="1442" t="s">
        <v>1381</v>
      </c>
      <c r="F610" s="1442" t="s">
        <v>1394</v>
      </c>
      <c r="G610" s="1442" t="s">
        <v>1394</v>
      </c>
      <c r="H610" s="1442"/>
      <c r="I610" s="1442"/>
      <c r="J610" s="1442"/>
      <c r="K610" s="771" t="s">
        <v>2311</v>
      </c>
      <c r="L610" s="1223">
        <f>SUM(L611:L621)</f>
        <v>0</v>
      </c>
      <c r="M610" s="1223">
        <f t="shared" ref="M610:V610" si="102">SUM(M611:M621)</f>
        <v>0</v>
      </c>
      <c r="N610" s="1223">
        <f t="shared" si="102"/>
        <v>0</v>
      </c>
      <c r="O610" s="1206">
        <f t="shared" si="98"/>
        <v>0</v>
      </c>
      <c r="P610" s="1223">
        <f t="shared" si="102"/>
        <v>0</v>
      </c>
      <c r="Q610" s="1223">
        <f t="shared" si="102"/>
        <v>0</v>
      </c>
      <c r="R610" s="1223">
        <f t="shared" si="102"/>
        <v>0</v>
      </c>
      <c r="S610" s="1223"/>
      <c r="T610" s="1223">
        <f t="shared" si="102"/>
        <v>0</v>
      </c>
      <c r="U610" s="1223">
        <f t="shared" si="102"/>
        <v>0</v>
      </c>
      <c r="V610" s="1223">
        <f t="shared" si="102"/>
        <v>0</v>
      </c>
      <c r="W610" s="784" t="e">
        <f t="shared" si="97"/>
        <v>#DIV/0!</v>
      </c>
      <c r="X610" s="788" t="s">
        <v>2058</v>
      </c>
      <c r="Y610" s="788"/>
    </row>
    <row r="611" spans="1:25" s="183" customFormat="1" ht="22.5" customHeight="1" thickTop="1" thickBot="1" x14ac:dyDescent="0.3">
      <c r="A611" s="1441">
        <v>1</v>
      </c>
      <c r="B611" s="1442" t="s">
        <v>1381</v>
      </c>
      <c r="C611" s="1442" t="s">
        <v>1394</v>
      </c>
      <c r="D611" s="1442" t="s">
        <v>1447</v>
      </c>
      <c r="E611" s="1442" t="s">
        <v>1381</v>
      </c>
      <c r="F611" s="1442" t="s">
        <v>1394</v>
      </c>
      <c r="G611" s="1442" t="s">
        <v>1394</v>
      </c>
      <c r="H611" s="1442" t="s">
        <v>1381</v>
      </c>
      <c r="I611" s="1442"/>
      <c r="J611" s="1442"/>
      <c r="K611" s="771" t="s">
        <v>2544</v>
      </c>
      <c r="L611" s="1223"/>
      <c r="M611" s="1223"/>
      <c r="N611" s="1223"/>
      <c r="O611" s="1206">
        <f t="shared" si="98"/>
        <v>0</v>
      </c>
      <c r="P611" s="1223"/>
      <c r="Q611" s="1223"/>
      <c r="R611" s="1223"/>
      <c r="S611" s="1223"/>
      <c r="T611" s="1223"/>
      <c r="U611" s="1223"/>
      <c r="V611" s="1223"/>
      <c r="W611" s="784" t="e">
        <f t="shared" si="97"/>
        <v>#DIV/0!</v>
      </c>
      <c r="X611" s="788"/>
      <c r="Y611" s="788"/>
    </row>
    <row r="612" spans="1:25" s="183" customFormat="1" ht="22.5" customHeight="1" thickTop="1" thickBot="1" x14ac:dyDescent="0.3">
      <c r="A612" s="1441">
        <v>1</v>
      </c>
      <c r="B612" s="1442" t="s">
        <v>1381</v>
      </c>
      <c r="C612" s="1442" t="s">
        <v>1394</v>
      </c>
      <c r="D612" s="1442" t="s">
        <v>1447</v>
      </c>
      <c r="E612" s="1442" t="s">
        <v>1381</v>
      </c>
      <c r="F612" s="1442" t="s">
        <v>1394</v>
      </c>
      <c r="G612" s="1442" t="s">
        <v>1394</v>
      </c>
      <c r="H612" s="1442" t="s">
        <v>1394</v>
      </c>
      <c r="I612" s="1442"/>
      <c r="J612" s="1442"/>
      <c r="K612" s="771" t="s">
        <v>2545</v>
      </c>
      <c r="L612" s="1223"/>
      <c r="M612" s="1223"/>
      <c r="N612" s="1223"/>
      <c r="O612" s="1206">
        <f t="shared" si="98"/>
        <v>0</v>
      </c>
      <c r="P612" s="1223"/>
      <c r="Q612" s="1223"/>
      <c r="R612" s="1223"/>
      <c r="S612" s="1223"/>
      <c r="T612" s="1223"/>
      <c r="U612" s="1223"/>
      <c r="V612" s="1223"/>
      <c r="W612" s="784" t="e">
        <f t="shared" si="97"/>
        <v>#DIV/0!</v>
      </c>
      <c r="X612" s="788"/>
      <c r="Y612" s="788"/>
    </row>
    <row r="613" spans="1:25" s="183" customFormat="1" ht="22.5" customHeight="1" thickTop="1" thickBot="1" x14ac:dyDescent="0.3">
      <c r="A613" s="1441">
        <v>1</v>
      </c>
      <c r="B613" s="1442" t="s">
        <v>1381</v>
      </c>
      <c r="C613" s="1442" t="s">
        <v>1394</v>
      </c>
      <c r="D613" s="1442" t="s">
        <v>1447</v>
      </c>
      <c r="E613" s="1442" t="s">
        <v>1381</v>
      </c>
      <c r="F613" s="1442" t="s">
        <v>1394</v>
      </c>
      <c r="G613" s="1442" t="s">
        <v>1394</v>
      </c>
      <c r="H613" s="1442" t="s">
        <v>1418</v>
      </c>
      <c r="I613" s="1442"/>
      <c r="J613" s="1442"/>
      <c r="K613" s="771" t="s">
        <v>2546</v>
      </c>
      <c r="L613" s="1223"/>
      <c r="M613" s="1223"/>
      <c r="N613" s="1223"/>
      <c r="O613" s="1206">
        <f t="shared" si="98"/>
        <v>0</v>
      </c>
      <c r="P613" s="1223"/>
      <c r="Q613" s="1223"/>
      <c r="R613" s="1223"/>
      <c r="S613" s="1223"/>
      <c r="T613" s="1223"/>
      <c r="U613" s="1223"/>
      <c r="V613" s="1223"/>
      <c r="W613" s="784" t="e">
        <f t="shared" si="97"/>
        <v>#DIV/0!</v>
      </c>
      <c r="X613" s="788"/>
      <c r="Y613" s="788"/>
    </row>
    <row r="614" spans="1:25" s="183" customFormat="1" ht="22.5" customHeight="1" thickTop="1" thickBot="1" x14ac:dyDescent="0.3">
      <c r="A614" s="1441">
        <v>1</v>
      </c>
      <c r="B614" s="1442" t="s">
        <v>1381</v>
      </c>
      <c r="C614" s="1442" t="s">
        <v>1394</v>
      </c>
      <c r="D614" s="1442" t="s">
        <v>1447</v>
      </c>
      <c r="E614" s="1442" t="s">
        <v>1381</v>
      </c>
      <c r="F614" s="1442" t="s">
        <v>1394</v>
      </c>
      <c r="G614" s="1442" t="s">
        <v>1394</v>
      </c>
      <c r="H614" s="1442" t="s">
        <v>1422</v>
      </c>
      <c r="I614" s="1442"/>
      <c r="J614" s="1442"/>
      <c r="K614" s="771" t="s">
        <v>2547</v>
      </c>
      <c r="L614" s="1223"/>
      <c r="M614" s="1223"/>
      <c r="N614" s="1223"/>
      <c r="O614" s="1206">
        <f t="shared" si="98"/>
        <v>0</v>
      </c>
      <c r="P614" s="1223"/>
      <c r="Q614" s="1223"/>
      <c r="R614" s="1223"/>
      <c r="S614" s="1223"/>
      <c r="T614" s="1223"/>
      <c r="U614" s="1223"/>
      <c r="V614" s="1223"/>
      <c r="W614" s="784" t="e">
        <f t="shared" si="97"/>
        <v>#DIV/0!</v>
      </c>
      <c r="X614" s="788"/>
      <c r="Y614" s="788"/>
    </row>
    <row r="615" spans="1:25" s="183" customFormat="1" ht="22.5" customHeight="1" thickTop="1" thickBot="1" x14ac:dyDescent="0.3">
      <c r="A615" s="1441">
        <v>1</v>
      </c>
      <c r="B615" s="1442" t="s">
        <v>1381</v>
      </c>
      <c r="C615" s="1442" t="s">
        <v>1394</v>
      </c>
      <c r="D615" s="1442" t="s">
        <v>1447</v>
      </c>
      <c r="E615" s="1442" t="s">
        <v>1381</v>
      </c>
      <c r="F615" s="1442" t="s">
        <v>1394</v>
      </c>
      <c r="G615" s="1442" t="s">
        <v>1394</v>
      </c>
      <c r="H615" s="1442" t="s">
        <v>1447</v>
      </c>
      <c r="I615" s="1442"/>
      <c r="J615" s="1442"/>
      <c r="K615" s="771" t="s">
        <v>2548</v>
      </c>
      <c r="L615" s="1223"/>
      <c r="M615" s="1223"/>
      <c r="N615" s="1223"/>
      <c r="O615" s="1206">
        <f t="shared" si="98"/>
        <v>0</v>
      </c>
      <c r="P615" s="1223"/>
      <c r="Q615" s="1223"/>
      <c r="R615" s="1223"/>
      <c r="S615" s="1223"/>
      <c r="T615" s="1223"/>
      <c r="U615" s="1223"/>
      <c r="V615" s="1223"/>
      <c r="W615" s="784" t="e">
        <f t="shared" si="97"/>
        <v>#DIV/0!</v>
      </c>
      <c r="X615" s="788"/>
      <c r="Y615" s="788"/>
    </row>
    <row r="616" spans="1:25" s="183" customFormat="1" ht="22.5" customHeight="1" thickTop="1" thickBot="1" x14ac:dyDescent="0.3">
      <c r="A616" s="1441">
        <v>1</v>
      </c>
      <c r="B616" s="1442" t="s">
        <v>1381</v>
      </c>
      <c r="C616" s="1442" t="s">
        <v>1394</v>
      </c>
      <c r="D616" s="1442" t="s">
        <v>1447</v>
      </c>
      <c r="E616" s="1442" t="s">
        <v>1381</v>
      </c>
      <c r="F616" s="1442" t="s">
        <v>1394</v>
      </c>
      <c r="G616" s="1442" t="s">
        <v>1394</v>
      </c>
      <c r="H616" s="1442" t="s">
        <v>1470</v>
      </c>
      <c r="I616" s="1442"/>
      <c r="J616" s="1442"/>
      <c r="K616" s="771" t="s">
        <v>2549</v>
      </c>
      <c r="L616" s="1223"/>
      <c r="M616" s="1223"/>
      <c r="N616" s="1223"/>
      <c r="O616" s="1206">
        <f t="shared" si="98"/>
        <v>0</v>
      </c>
      <c r="P616" s="1223"/>
      <c r="Q616" s="1223"/>
      <c r="R616" s="1223"/>
      <c r="S616" s="1223"/>
      <c r="T616" s="1223"/>
      <c r="U616" s="1223"/>
      <c r="V616" s="1223"/>
      <c r="W616" s="784" t="e">
        <f t="shared" si="97"/>
        <v>#DIV/0!</v>
      </c>
      <c r="X616" s="788"/>
      <c r="Y616" s="788"/>
    </row>
    <row r="617" spans="1:25" s="183" customFormat="1" ht="22.5" customHeight="1" thickTop="1" thickBot="1" x14ac:dyDescent="0.3">
      <c r="A617" s="1441">
        <v>1</v>
      </c>
      <c r="B617" s="1442" t="s">
        <v>1381</v>
      </c>
      <c r="C617" s="1442" t="s">
        <v>1394</v>
      </c>
      <c r="D617" s="1442" t="s">
        <v>1447</v>
      </c>
      <c r="E617" s="1442" t="s">
        <v>1381</v>
      </c>
      <c r="F617" s="1442" t="s">
        <v>1394</v>
      </c>
      <c r="G617" s="1442" t="s">
        <v>1394</v>
      </c>
      <c r="H617" s="1442" t="s">
        <v>1474</v>
      </c>
      <c r="I617" s="1442"/>
      <c r="J617" s="1442"/>
      <c r="K617" s="771" t="s">
        <v>2550</v>
      </c>
      <c r="L617" s="1223"/>
      <c r="M617" s="1223"/>
      <c r="N617" s="1223"/>
      <c r="O617" s="1206">
        <f t="shared" si="98"/>
        <v>0</v>
      </c>
      <c r="P617" s="1223"/>
      <c r="Q617" s="1223"/>
      <c r="R617" s="1223"/>
      <c r="S617" s="1223"/>
      <c r="T617" s="1223"/>
      <c r="U617" s="1223"/>
      <c r="V617" s="1223"/>
      <c r="W617" s="784" t="e">
        <f t="shared" si="97"/>
        <v>#DIV/0!</v>
      </c>
      <c r="X617" s="788"/>
      <c r="Y617" s="788"/>
    </row>
    <row r="618" spans="1:25" s="183" customFormat="1" ht="22.5" customHeight="1" thickTop="1" thickBot="1" x14ac:dyDescent="0.3">
      <c r="A618" s="1441">
        <v>1</v>
      </c>
      <c r="B618" s="1442" t="s">
        <v>1381</v>
      </c>
      <c r="C618" s="1442" t="s">
        <v>1394</v>
      </c>
      <c r="D618" s="1442" t="s">
        <v>1447</v>
      </c>
      <c r="E618" s="1442" t="s">
        <v>1381</v>
      </c>
      <c r="F618" s="1442" t="s">
        <v>1394</v>
      </c>
      <c r="G618" s="1442" t="s">
        <v>1394</v>
      </c>
      <c r="H618" s="1442" t="s">
        <v>1478</v>
      </c>
      <c r="I618" s="1442"/>
      <c r="J618" s="1442"/>
      <c r="K618" s="771" t="s">
        <v>2551</v>
      </c>
      <c r="L618" s="1223"/>
      <c r="M618" s="1223"/>
      <c r="N618" s="1223"/>
      <c r="O618" s="1206">
        <f t="shared" si="98"/>
        <v>0</v>
      </c>
      <c r="P618" s="1223"/>
      <c r="Q618" s="1223"/>
      <c r="R618" s="1223"/>
      <c r="S618" s="1223"/>
      <c r="T618" s="1223"/>
      <c r="U618" s="1223"/>
      <c r="V618" s="1223"/>
      <c r="W618" s="784" t="e">
        <f t="shared" si="97"/>
        <v>#DIV/0!</v>
      </c>
      <c r="X618" s="788"/>
      <c r="Y618" s="788"/>
    </row>
    <row r="619" spans="1:25" s="183" customFormat="1" ht="22.5" customHeight="1" thickTop="1" thickBot="1" x14ac:dyDescent="0.3">
      <c r="A619" s="1441">
        <v>1</v>
      </c>
      <c r="B619" s="1442" t="s">
        <v>1381</v>
      </c>
      <c r="C619" s="1442" t="s">
        <v>1394</v>
      </c>
      <c r="D619" s="1442" t="s">
        <v>1447</v>
      </c>
      <c r="E619" s="1442" t="s">
        <v>1381</v>
      </c>
      <c r="F619" s="1442" t="s">
        <v>1394</v>
      </c>
      <c r="G619" s="1442" t="s">
        <v>1394</v>
      </c>
      <c r="H619" s="1442" t="s">
        <v>1576</v>
      </c>
      <c r="I619" s="1442"/>
      <c r="J619" s="1442"/>
      <c r="K619" s="771" t="s">
        <v>2552</v>
      </c>
      <c r="L619" s="1223"/>
      <c r="M619" s="1223"/>
      <c r="N619" s="1223"/>
      <c r="O619" s="1206">
        <f t="shared" si="98"/>
        <v>0</v>
      </c>
      <c r="P619" s="1223"/>
      <c r="Q619" s="1223"/>
      <c r="R619" s="1223"/>
      <c r="S619" s="1223"/>
      <c r="T619" s="1223"/>
      <c r="U619" s="1223"/>
      <c r="V619" s="1223"/>
      <c r="W619" s="784" t="e">
        <f t="shared" si="97"/>
        <v>#DIV/0!</v>
      </c>
      <c r="X619" s="788"/>
      <c r="Y619" s="788"/>
    </row>
    <row r="620" spans="1:25" s="183" customFormat="1" ht="22.5" customHeight="1" thickTop="1" thickBot="1" x14ac:dyDescent="0.3">
      <c r="A620" s="1441">
        <v>1</v>
      </c>
      <c r="B620" s="1442" t="s">
        <v>1381</v>
      </c>
      <c r="C620" s="1442" t="s">
        <v>1394</v>
      </c>
      <c r="D620" s="1442" t="s">
        <v>1447</v>
      </c>
      <c r="E620" s="1442" t="s">
        <v>1381</v>
      </c>
      <c r="F620" s="1442" t="s">
        <v>1394</v>
      </c>
      <c r="G620" s="1442" t="s">
        <v>1394</v>
      </c>
      <c r="H620" s="1442" t="s">
        <v>1577</v>
      </c>
      <c r="I620" s="1442"/>
      <c r="J620" s="1442"/>
      <c r="K620" s="771" t="s">
        <v>2553</v>
      </c>
      <c r="L620" s="1223"/>
      <c r="M620" s="1223"/>
      <c r="N620" s="1223"/>
      <c r="O620" s="1206">
        <f t="shared" si="98"/>
        <v>0</v>
      </c>
      <c r="P620" s="1223"/>
      <c r="Q620" s="1223"/>
      <c r="R620" s="1223"/>
      <c r="S620" s="1223"/>
      <c r="T620" s="1223"/>
      <c r="U620" s="1223"/>
      <c r="V620" s="1223"/>
      <c r="W620" s="784" t="e">
        <f t="shared" si="97"/>
        <v>#DIV/0!</v>
      </c>
      <c r="X620" s="788"/>
      <c r="Y620" s="788"/>
    </row>
    <row r="621" spans="1:25" s="183" customFormat="1" ht="22.5" customHeight="1" thickTop="1" thickBot="1" x14ac:dyDescent="0.3">
      <c r="A621" s="1441">
        <v>1</v>
      </c>
      <c r="B621" s="1442" t="s">
        <v>1381</v>
      </c>
      <c r="C621" s="1442" t="s">
        <v>1394</v>
      </c>
      <c r="D621" s="1442" t="s">
        <v>1447</v>
      </c>
      <c r="E621" s="1442" t="s">
        <v>1381</v>
      </c>
      <c r="F621" s="1442" t="s">
        <v>1394</v>
      </c>
      <c r="G621" s="1442" t="s">
        <v>1394</v>
      </c>
      <c r="H621" s="1442" t="s">
        <v>1578</v>
      </c>
      <c r="I621" s="1442"/>
      <c r="J621" s="1442"/>
      <c r="K621" s="771" t="s">
        <v>2554</v>
      </c>
      <c r="L621" s="1223"/>
      <c r="M621" s="1223"/>
      <c r="N621" s="1223"/>
      <c r="O621" s="1206">
        <f t="shared" si="98"/>
        <v>0</v>
      </c>
      <c r="P621" s="1223"/>
      <c r="Q621" s="1223"/>
      <c r="R621" s="1223"/>
      <c r="S621" s="1223"/>
      <c r="T621" s="1223"/>
      <c r="U621" s="1223"/>
      <c r="V621" s="1223"/>
      <c r="W621" s="784" t="e">
        <f t="shared" si="97"/>
        <v>#DIV/0!</v>
      </c>
      <c r="X621" s="788"/>
      <c r="Y621" s="788"/>
    </row>
    <row r="622" spans="1:25" s="183" customFormat="1" ht="22.5" customHeight="1" thickTop="1" thickBot="1" x14ac:dyDescent="0.3">
      <c r="A622" s="1439">
        <v>1</v>
      </c>
      <c r="B622" s="1440" t="s">
        <v>1381</v>
      </c>
      <c r="C622" s="1440" t="s">
        <v>1394</v>
      </c>
      <c r="D622" s="1440" t="s">
        <v>1447</v>
      </c>
      <c r="E622" s="1440" t="s">
        <v>1381</v>
      </c>
      <c r="F622" s="1440" t="s">
        <v>1418</v>
      </c>
      <c r="G622" s="1440"/>
      <c r="H622" s="1440"/>
      <c r="I622" s="1440"/>
      <c r="J622" s="1440"/>
      <c r="K622" s="770" t="s">
        <v>2038</v>
      </c>
      <c r="L622" s="1222">
        <f>+L623+L635+L647</f>
        <v>0</v>
      </c>
      <c r="M622" s="1222">
        <f t="shared" ref="M622:V622" si="103">+M623+M635+M647</f>
        <v>0</v>
      </c>
      <c r="N622" s="1222">
        <f t="shared" si="103"/>
        <v>0</v>
      </c>
      <c r="O622" s="1206">
        <f t="shared" si="98"/>
        <v>0</v>
      </c>
      <c r="P622" s="1222">
        <f t="shared" si="103"/>
        <v>0</v>
      </c>
      <c r="Q622" s="1222">
        <f t="shared" si="103"/>
        <v>0</v>
      </c>
      <c r="R622" s="1222">
        <f t="shared" si="103"/>
        <v>0</v>
      </c>
      <c r="S622" s="1222"/>
      <c r="T622" s="1222">
        <f t="shared" si="103"/>
        <v>0</v>
      </c>
      <c r="U622" s="1222">
        <f t="shared" si="103"/>
        <v>0</v>
      </c>
      <c r="V622" s="1222">
        <f t="shared" si="103"/>
        <v>0</v>
      </c>
      <c r="W622" s="786" t="e">
        <f t="shared" si="97"/>
        <v>#DIV/0!</v>
      </c>
      <c r="X622" s="788" t="s">
        <v>2059</v>
      </c>
      <c r="Y622" s="788"/>
    </row>
    <row r="623" spans="1:25" s="183" customFormat="1" ht="22.5" customHeight="1" thickTop="1" thickBot="1" x14ac:dyDescent="0.3">
      <c r="A623" s="1441">
        <v>1</v>
      </c>
      <c r="B623" s="1442" t="s">
        <v>1381</v>
      </c>
      <c r="C623" s="1442" t="s">
        <v>1394</v>
      </c>
      <c r="D623" s="1442" t="s">
        <v>1447</v>
      </c>
      <c r="E623" s="1442" t="s">
        <v>1381</v>
      </c>
      <c r="F623" s="1442" t="s">
        <v>1418</v>
      </c>
      <c r="G623" s="1442" t="s">
        <v>1381</v>
      </c>
      <c r="H623" s="1442"/>
      <c r="I623" s="1442"/>
      <c r="J623" s="1442"/>
      <c r="K623" s="771" t="s">
        <v>2310</v>
      </c>
      <c r="L623" s="1223">
        <f>SUM(L624:L634)</f>
        <v>0</v>
      </c>
      <c r="M623" s="1223">
        <f t="shared" ref="M623:V623" si="104">SUM(M624:M634)</f>
        <v>0</v>
      </c>
      <c r="N623" s="1223">
        <f t="shared" si="104"/>
        <v>0</v>
      </c>
      <c r="O623" s="1206">
        <f t="shared" si="98"/>
        <v>0</v>
      </c>
      <c r="P623" s="1223">
        <f t="shared" si="104"/>
        <v>0</v>
      </c>
      <c r="Q623" s="1223">
        <f t="shared" si="104"/>
        <v>0</v>
      </c>
      <c r="R623" s="1223">
        <f t="shared" si="104"/>
        <v>0</v>
      </c>
      <c r="S623" s="1223"/>
      <c r="T623" s="1223">
        <f t="shared" si="104"/>
        <v>0</v>
      </c>
      <c r="U623" s="1223">
        <f t="shared" si="104"/>
        <v>0</v>
      </c>
      <c r="V623" s="1223">
        <f t="shared" si="104"/>
        <v>0</v>
      </c>
      <c r="W623" s="784" t="e">
        <f t="shared" si="97"/>
        <v>#DIV/0!</v>
      </c>
      <c r="X623" s="788" t="s">
        <v>2060</v>
      </c>
      <c r="Y623" s="788"/>
    </row>
    <row r="624" spans="1:25" s="183" customFormat="1" ht="22.5" customHeight="1" thickTop="1" thickBot="1" x14ac:dyDescent="0.3">
      <c r="A624" s="1441">
        <v>1</v>
      </c>
      <c r="B624" s="1442" t="s">
        <v>1381</v>
      </c>
      <c r="C624" s="1442" t="s">
        <v>1394</v>
      </c>
      <c r="D624" s="1442" t="s">
        <v>1447</v>
      </c>
      <c r="E624" s="1442" t="s">
        <v>1381</v>
      </c>
      <c r="F624" s="1442" t="s">
        <v>1418</v>
      </c>
      <c r="G624" s="1442" t="s">
        <v>1381</v>
      </c>
      <c r="H624" s="1442" t="s">
        <v>1381</v>
      </c>
      <c r="I624" s="1442"/>
      <c r="J624" s="1442"/>
      <c r="K624" s="771" t="s">
        <v>2312</v>
      </c>
      <c r="L624" s="1223"/>
      <c r="M624" s="1223"/>
      <c r="N624" s="1223"/>
      <c r="O624" s="1206">
        <f t="shared" si="98"/>
        <v>0</v>
      </c>
      <c r="P624" s="1223"/>
      <c r="Q624" s="1223"/>
      <c r="R624" s="1223"/>
      <c r="S624" s="1223"/>
      <c r="T624" s="1223"/>
      <c r="U624" s="1223"/>
      <c r="V624" s="1223"/>
      <c r="W624" s="784" t="e">
        <f t="shared" si="97"/>
        <v>#DIV/0!</v>
      </c>
      <c r="X624" s="788"/>
      <c r="Y624" s="788"/>
    </row>
    <row r="625" spans="1:25" s="183" customFormat="1" ht="22.5" customHeight="1" thickTop="1" thickBot="1" x14ac:dyDescent="0.3">
      <c r="A625" s="1441">
        <v>1</v>
      </c>
      <c r="B625" s="1442" t="s">
        <v>1381</v>
      </c>
      <c r="C625" s="1442" t="s">
        <v>1394</v>
      </c>
      <c r="D625" s="1442" t="s">
        <v>1447</v>
      </c>
      <c r="E625" s="1442" t="s">
        <v>1381</v>
      </c>
      <c r="F625" s="1442" t="s">
        <v>1418</v>
      </c>
      <c r="G625" s="1442" t="s">
        <v>1381</v>
      </c>
      <c r="H625" s="1442" t="s">
        <v>1394</v>
      </c>
      <c r="I625" s="1442"/>
      <c r="J625" s="1442"/>
      <c r="K625" s="771" t="s">
        <v>2313</v>
      </c>
      <c r="L625" s="1223"/>
      <c r="M625" s="1223"/>
      <c r="N625" s="1223"/>
      <c r="O625" s="1206">
        <f t="shared" si="98"/>
        <v>0</v>
      </c>
      <c r="P625" s="1223"/>
      <c r="Q625" s="1223"/>
      <c r="R625" s="1223"/>
      <c r="S625" s="1223"/>
      <c r="T625" s="1223"/>
      <c r="U625" s="1223"/>
      <c r="V625" s="1223"/>
      <c r="W625" s="784" t="e">
        <f t="shared" si="97"/>
        <v>#DIV/0!</v>
      </c>
      <c r="X625" s="788"/>
      <c r="Y625" s="788"/>
    </row>
    <row r="626" spans="1:25" s="183" customFormat="1" ht="22.5" customHeight="1" thickTop="1" thickBot="1" x14ac:dyDescent="0.3">
      <c r="A626" s="1441">
        <v>1</v>
      </c>
      <c r="B626" s="1442" t="s">
        <v>1381</v>
      </c>
      <c r="C626" s="1442" t="s">
        <v>1394</v>
      </c>
      <c r="D626" s="1442" t="s">
        <v>1447</v>
      </c>
      <c r="E626" s="1442" t="s">
        <v>1381</v>
      </c>
      <c r="F626" s="1442" t="s">
        <v>1418</v>
      </c>
      <c r="G626" s="1442" t="s">
        <v>1381</v>
      </c>
      <c r="H626" s="1442" t="s">
        <v>1418</v>
      </c>
      <c r="I626" s="1442"/>
      <c r="J626" s="1442"/>
      <c r="K626" s="771" t="s">
        <v>2314</v>
      </c>
      <c r="L626" s="1223"/>
      <c r="M626" s="1223"/>
      <c r="N626" s="1223"/>
      <c r="O626" s="1206">
        <f t="shared" si="98"/>
        <v>0</v>
      </c>
      <c r="P626" s="1223"/>
      <c r="Q626" s="1223"/>
      <c r="R626" s="1223"/>
      <c r="S626" s="1223"/>
      <c r="T626" s="1223"/>
      <c r="U626" s="1223"/>
      <c r="V626" s="1223"/>
      <c r="W626" s="784" t="e">
        <f t="shared" si="97"/>
        <v>#DIV/0!</v>
      </c>
      <c r="X626" s="788"/>
      <c r="Y626" s="788"/>
    </row>
    <row r="627" spans="1:25" s="183" customFormat="1" ht="22.5" customHeight="1" thickTop="1" thickBot="1" x14ac:dyDescent="0.3">
      <c r="A627" s="1441">
        <v>1</v>
      </c>
      <c r="B627" s="1442" t="s">
        <v>1381</v>
      </c>
      <c r="C627" s="1442" t="s">
        <v>1394</v>
      </c>
      <c r="D627" s="1442" t="s">
        <v>1447</v>
      </c>
      <c r="E627" s="1442" t="s">
        <v>1381</v>
      </c>
      <c r="F627" s="1442" t="s">
        <v>1418</v>
      </c>
      <c r="G627" s="1442" t="s">
        <v>1381</v>
      </c>
      <c r="H627" s="1442" t="s">
        <v>1422</v>
      </c>
      <c r="I627" s="1442"/>
      <c r="J627" s="1442"/>
      <c r="K627" s="771" t="s">
        <v>2315</v>
      </c>
      <c r="L627" s="1223"/>
      <c r="M627" s="1223"/>
      <c r="N627" s="1223"/>
      <c r="O627" s="1206">
        <f t="shared" si="98"/>
        <v>0</v>
      </c>
      <c r="P627" s="1223"/>
      <c r="Q627" s="1223"/>
      <c r="R627" s="1223"/>
      <c r="S627" s="1223"/>
      <c r="T627" s="1223"/>
      <c r="U627" s="1223"/>
      <c r="V627" s="1223"/>
      <c r="W627" s="784" t="e">
        <f t="shared" si="97"/>
        <v>#DIV/0!</v>
      </c>
      <c r="X627" s="788"/>
      <c r="Y627" s="788"/>
    </row>
    <row r="628" spans="1:25" s="183" customFormat="1" ht="22.5" customHeight="1" thickTop="1" thickBot="1" x14ac:dyDescent="0.3">
      <c r="A628" s="1441">
        <v>1</v>
      </c>
      <c r="B628" s="1442" t="s">
        <v>1381</v>
      </c>
      <c r="C628" s="1442" t="s">
        <v>1394</v>
      </c>
      <c r="D628" s="1442" t="s">
        <v>1447</v>
      </c>
      <c r="E628" s="1442" t="s">
        <v>1381</v>
      </c>
      <c r="F628" s="1442" t="s">
        <v>1418</v>
      </c>
      <c r="G628" s="1442" t="s">
        <v>1381</v>
      </c>
      <c r="H628" s="1442" t="s">
        <v>1447</v>
      </c>
      <c r="I628" s="1442"/>
      <c r="J628" s="1442"/>
      <c r="K628" s="771" t="s">
        <v>2316</v>
      </c>
      <c r="L628" s="1223"/>
      <c r="M628" s="1223"/>
      <c r="N628" s="1223"/>
      <c r="O628" s="1206">
        <f t="shared" si="98"/>
        <v>0</v>
      </c>
      <c r="P628" s="1223"/>
      <c r="Q628" s="1223"/>
      <c r="R628" s="1223"/>
      <c r="S628" s="1223"/>
      <c r="T628" s="1223"/>
      <c r="U628" s="1223"/>
      <c r="V628" s="1223"/>
      <c r="W628" s="784" t="e">
        <f t="shared" si="97"/>
        <v>#DIV/0!</v>
      </c>
      <c r="X628" s="788"/>
      <c r="Y628" s="788"/>
    </row>
    <row r="629" spans="1:25" s="183" customFormat="1" ht="22.5" customHeight="1" thickTop="1" thickBot="1" x14ac:dyDescent="0.3">
      <c r="A629" s="1441">
        <v>1</v>
      </c>
      <c r="B629" s="1442" t="s">
        <v>1381</v>
      </c>
      <c r="C629" s="1442" t="s">
        <v>1394</v>
      </c>
      <c r="D629" s="1442" t="s">
        <v>1447</v>
      </c>
      <c r="E629" s="1442" t="s">
        <v>1381</v>
      </c>
      <c r="F629" s="1442" t="s">
        <v>1418</v>
      </c>
      <c r="G629" s="1442" t="s">
        <v>1381</v>
      </c>
      <c r="H629" s="1442" t="s">
        <v>1470</v>
      </c>
      <c r="I629" s="1442"/>
      <c r="J629" s="1442"/>
      <c r="K629" s="771" t="s">
        <v>2317</v>
      </c>
      <c r="L629" s="1223"/>
      <c r="M629" s="1223"/>
      <c r="N629" s="1223"/>
      <c r="O629" s="1206">
        <f t="shared" si="98"/>
        <v>0</v>
      </c>
      <c r="P629" s="1223"/>
      <c r="Q629" s="1223"/>
      <c r="R629" s="1223"/>
      <c r="S629" s="1223"/>
      <c r="T629" s="1223"/>
      <c r="U629" s="1223"/>
      <c r="V629" s="1223"/>
      <c r="W629" s="784" t="e">
        <f t="shared" si="97"/>
        <v>#DIV/0!</v>
      </c>
      <c r="X629" s="788"/>
      <c r="Y629" s="788"/>
    </row>
    <row r="630" spans="1:25" s="183" customFormat="1" ht="22.5" customHeight="1" thickTop="1" thickBot="1" x14ac:dyDescent="0.3">
      <c r="A630" s="1441">
        <v>1</v>
      </c>
      <c r="B630" s="1442" t="s">
        <v>1381</v>
      </c>
      <c r="C630" s="1442" t="s">
        <v>1394</v>
      </c>
      <c r="D630" s="1442" t="s">
        <v>1447</v>
      </c>
      <c r="E630" s="1442" t="s">
        <v>1381</v>
      </c>
      <c r="F630" s="1442" t="s">
        <v>1418</v>
      </c>
      <c r="G630" s="1442" t="s">
        <v>1381</v>
      </c>
      <c r="H630" s="1442" t="s">
        <v>1474</v>
      </c>
      <c r="I630" s="1442"/>
      <c r="J630" s="1442"/>
      <c r="K630" s="771" t="s">
        <v>2318</v>
      </c>
      <c r="L630" s="1223"/>
      <c r="M630" s="1223"/>
      <c r="N630" s="1223"/>
      <c r="O630" s="1206">
        <f t="shared" si="98"/>
        <v>0</v>
      </c>
      <c r="P630" s="1223"/>
      <c r="Q630" s="1223"/>
      <c r="R630" s="1223"/>
      <c r="S630" s="1223"/>
      <c r="T630" s="1223"/>
      <c r="U630" s="1223"/>
      <c r="V630" s="1223"/>
      <c r="W630" s="784" t="e">
        <f t="shared" si="97"/>
        <v>#DIV/0!</v>
      </c>
      <c r="X630" s="788"/>
      <c r="Y630" s="788"/>
    </row>
    <row r="631" spans="1:25" s="183" customFormat="1" ht="22.5" customHeight="1" thickTop="1" thickBot="1" x14ac:dyDescent="0.3">
      <c r="A631" s="1441">
        <v>1</v>
      </c>
      <c r="B631" s="1442" t="s">
        <v>1381</v>
      </c>
      <c r="C631" s="1442" t="s">
        <v>1394</v>
      </c>
      <c r="D631" s="1442" t="s">
        <v>1447</v>
      </c>
      <c r="E631" s="1442" t="s">
        <v>1381</v>
      </c>
      <c r="F631" s="1442" t="s">
        <v>1418</v>
      </c>
      <c r="G631" s="1442" t="s">
        <v>1381</v>
      </c>
      <c r="H631" s="1442" t="s">
        <v>1478</v>
      </c>
      <c r="I631" s="1442"/>
      <c r="J631" s="1442"/>
      <c r="K631" s="771" t="s">
        <v>2319</v>
      </c>
      <c r="L631" s="1223"/>
      <c r="M631" s="1223"/>
      <c r="N631" s="1223"/>
      <c r="O631" s="1206">
        <f t="shared" si="98"/>
        <v>0</v>
      </c>
      <c r="P631" s="1223"/>
      <c r="Q631" s="1223"/>
      <c r="R631" s="1223"/>
      <c r="S631" s="1223"/>
      <c r="T631" s="1223"/>
      <c r="U631" s="1223"/>
      <c r="V631" s="1223"/>
      <c r="W631" s="784" t="e">
        <f t="shared" si="97"/>
        <v>#DIV/0!</v>
      </c>
      <c r="X631" s="788"/>
      <c r="Y631" s="788"/>
    </row>
    <row r="632" spans="1:25" s="183" customFormat="1" ht="22.5" customHeight="1" thickTop="1" thickBot="1" x14ac:dyDescent="0.3">
      <c r="A632" s="1441">
        <v>1</v>
      </c>
      <c r="B632" s="1442" t="s">
        <v>1381</v>
      </c>
      <c r="C632" s="1442" t="s">
        <v>1394</v>
      </c>
      <c r="D632" s="1442" t="s">
        <v>1447</v>
      </c>
      <c r="E632" s="1442" t="s">
        <v>1381</v>
      </c>
      <c r="F632" s="1442" t="s">
        <v>1418</v>
      </c>
      <c r="G632" s="1442" t="s">
        <v>1381</v>
      </c>
      <c r="H632" s="1442" t="s">
        <v>1576</v>
      </c>
      <c r="I632" s="1442"/>
      <c r="J632" s="1442"/>
      <c r="K632" s="771" t="s">
        <v>2320</v>
      </c>
      <c r="L632" s="1223"/>
      <c r="M632" s="1223"/>
      <c r="N632" s="1223"/>
      <c r="O632" s="1206">
        <f t="shared" si="98"/>
        <v>0</v>
      </c>
      <c r="P632" s="1223"/>
      <c r="Q632" s="1223"/>
      <c r="R632" s="1223"/>
      <c r="S632" s="1223"/>
      <c r="T632" s="1223"/>
      <c r="U632" s="1223"/>
      <c r="V632" s="1223"/>
      <c r="W632" s="784" t="e">
        <f t="shared" si="97"/>
        <v>#DIV/0!</v>
      </c>
      <c r="X632" s="788"/>
      <c r="Y632" s="788"/>
    </row>
    <row r="633" spans="1:25" s="183" customFormat="1" ht="22.5" customHeight="1" thickTop="1" thickBot="1" x14ac:dyDescent="0.3">
      <c r="A633" s="1441">
        <v>1</v>
      </c>
      <c r="B633" s="1442" t="s">
        <v>1381</v>
      </c>
      <c r="C633" s="1442" t="s">
        <v>1394</v>
      </c>
      <c r="D633" s="1442" t="s">
        <v>1447</v>
      </c>
      <c r="E633" s="1442" t="s">
        <v>1381</v>
      </c>
      <c r="F633" s="1442" t="s">
        <v>1418</v>
      </c>
      <c r="G633" s="1442" t="s">
        <v>1381</v>
      </c>
      <c r="H633" s="1442" t="s">
        <v>1577</v>
      </c>
      <c r="I633" s="1442"/>
      <c r="J633" s="1442"/>
      <c r="K633" s="771" t="s">
        <v>2321</v>
      </c>
      <c r="L633" s="1223"/>
      <c r="M633" s="1223"/>
      <c r="N633" s="1223"/>
      <c r="O633" s="1206">
        <f t="shared" si="98"/>
        <v>0</v>
      </c>
      <c r="P633" s="1223"/>
      <c r="Q633" s="1223"/>
      <c r="R633" s="1223"/>
      <c r="S633" s="1223"/>
      <c r="T633" s="1223"/>
      <c r="U633" s="1223"/>
      <c r="V633" s="1223"/>
      <c r="W633" s="784" t="e">
        <f t="shared" si="97"/>
        <v>#DIV/0!</v>
      </c>
      <c r="X633" s="788"/>
      <c r="Y633" s="788"/>
    </row>
    <row r="634" spans="1:25" s="183" customFormat="1" ht="22.5" customHeight="1" thickTop="1" thickBot="1" x14ac:dyDescent="0.3">
      <c r="A634" s="1441">
        <v>1</v>
      </c>
      <c r="B634" s="1442" t="s">
        <v>1381</v>
      </c>
      <c r="C634" s="1442" t="s">
        <v>1394</v>
      </c>
      <c r="D634" s="1442" t="s">
        <v>1447</v>
      </c>
      <c r="E634" s="1442" t="s">
        <v>1381</v>
      </c>
      <c r="F634" s="1442" t="s">
        <v>1418</v>
      </c>
      <c r="G634" s="1442" t="s">
        <v>1381</v>
      </c>
      <c r="H634" s="1442" t="s">
        <v>1578</v>
      </c>
      <c r="I634" s="1442"/>
      <c r="J634" s="1442"/>
      <c r="K634" s="771" t="s">
        <v>2322</v>
      </c>
      <c r="L634" s="1223"/>
      <c r="M634" s="1223"/>
      <c r="N634" s="1223"/>
      <c r="O634" s="1206">
        <f t="shared" si="98"/>
        <v>0</v>
      </c>
      <c r="P634" s="1223"/>
      <c r="Q634" s="1223"/>
      <c r="R634" s="1223"/>
      <c r="S634" s="1223"/>
      <c r="T634" s="1223"/>
      <c r="U634" s="1223"/>
      <c r="V634" s="1223"/>
      <c r="W634" s="784" t="e">
        <f t="shared" si="97"/>
        <v>#DIV/0!</v>
      </c>
      <c r="X634" s="788"/>
      <c r="Y634" s="788"/>
    </row>
    <row r="635" spans="1:25" s="183" customFormat="1" ht="22.5" customHeight="1" thickTop="1" thickBot="1" x14ac:dyDescent="0.3">
      <c r="A635" s="1441">
        <v>1</v>
      </c>
      <c r="B635" s="1442" t="s">
        <v>1381</v>
      </c>
      <c r="C635" s="1442" t="s">
        <v>1394</v>
      </c>
      <c r="D635" s="1442" t="s">
        <v>1447</v>
      </c>
      <c r="E635" s="1442" t="s">
        <v>1381</v>
      </c>
      <c r="F635" s="1442" t="s">
        <v>1418</v>
      </c>
      <c r="G635" s="1442" t="s">
        <v>1394</v>
      </c>
      <c r="H635" s="1442"/>
      <c r="I635" s="1442"/>
      <c r="J635" s="1442"/>
      <c r="K635" s="771" t="s">
        <v>2311</v>
      </c>
      <c r="L635" s="1223">
        <f>SUM(L636:L646)</f>
        <v>0</v>
      </c>
      <c r="M635" s="1223">
        <f t="shared" ref="M635:V635" si="105">SUM(M636:M646)</f>
        <v>0</v>
      </c>
      <c r="N635" s="1223">
        <f t="shared" si="105"/>
        <v>0</v>
      </c>
      <c r="O635" s="1206">
        <f t="shared" si="98"/>
        <v>0</v>
      </c>
      <c r="P635" s="1223">
        <f t="shared" si="105"/>
        <v>0</v>
      </c>
      <c r="Q635" s="1223">
        <f t="shared" si="105"/>
        <v>0</v>
      </c>
      <c r="R635" s="1223">
        <f t="shared" si="105"/>
        <v>0</v>
      </c>
      <c r="S635" s="1223"/>
      <c r="T635" s="1223">
        <f t="shared" si="105"/>
        <v>0</v>
      </c>
      <c r="U635" s="1223">
        <f t="shared" si="105"/>
        <v>0</v>
      </c>
      <c r="V635" s="1223">
        <f t="shared" si="105"/>
        <v>0</v>
      </c>
      <c r="W635" s="784" t="e">
        <f t="shared" si="97"/>
        <v>#DIV/0!</v>
      </c>
      <c r="X635" s="788" t="s">
        <v>2061</v>
      </c>
      <c r="Y635" s="788"/>
    </row>
    <row r="636" spans="1:25" s="183" customFormat="1" ht="22.5" customHeight="1" thickTop="1" thickBot="1" x14ac:dyDescent="0.3">
      <c r="A636" s="1441">
        <v>1</v>
      </c>
      <c r="B636" s="1442" t="s">
        <v>1381</v>
      </c>
      <c r="C636" s="1442" t="s">
        <v>1394</v>
      </c>
      <c r="D636" s="1442" t="s">
        <v>1447</v>
      </c>
      <c r="E636" s="1442" t="s">
        <v>1381</v>
      </c>
      <c r="F636" s="1442" t="s">
        <v>1418</v>
      </c>
      <c r="G636" s="1442" t="s">
        <v>1394</v>
      </c>
      <c r="H636" s="1442" t="s">
        <v>1381</v>
      </c>
      <c r="I636" s="1442"/>
      <c r="J636" s="1442"/>
      <c r="K636" s="771" t="s">
        <v>2323</v>
      </c>
      <c r="L636" s="1223"/>
      <c r="M636" s="1223"/>
      <c r="N636" s="1223"/>
      <c r="O636" s="1206">
        <f t="shared" si="98"/>
        <v>0</v>
      </c>
      <c r="P636" s="1223"/>
      <c r="Q636" s="1223"/>
      <c r="R636" s="1223"/>
      <c r="S636" s="1223"/>
      <c r="T636" s="1223"/>
      <c r="U636" s="1223"/>
      <c r="V636" s="1223"/>
      <c r="W636" s="784" t="e">
        <f t="shared" si="97"/>
        <v>#DIV/0!</v>
      </c>
      <c r="X636" s="788"/>
      <c r="Y636" s="788"/>
    </row>
    <row r="637" spans="1:25" s="183" customFormat="1" ht="22.5" customHeight="1" thickTop="1" thickBot="1" x14ac:dyDescent="0.3">
      <c r="A637" s="1441">
        <v>1</v>
      </c>
      <c r="B637" s="1442" t="s">
        <v>1381</v>
      </c>
      <c r="C637" s="1442" t="s">
        <v>1394</v>
      </c>
      <c r="D637" s="1442" t="s">
        <v>1447</v>
      </c>
      <c r="E637" s="1442" t="s">
        <v>1381</v>
      </c>
      <c r="F637" s="1442" t="s">
        <v>1418</v>
      </c>
      <c r="G637" s="1442" t="s">
        <v>1394</v>
      </c>
      <c r="H637" s="1442" t="s">
        <v>1394</v>
      </c>
      <c r="I637" s="1442"/>
      <c r="J637" s="1442"/>
      <c r="K637" s="771" t="s">
        <v>2324</v>
      </c>
      <c r="L637" s="1223"/>
      <c r="M637" s="1223"/>
      <c r="N637" s="1223"/>
      <c r="O637" s="1206">
        <f t="shared" si="98"/>
        <v>0</v>
      </c>
      <c r="P637" s="1223"/>
      <c r="Q637" s="1223"/>
      <c r="R637" s="1223"/>
      <c r="S637" s="1223"/>
      <c r="T637" s="1223"/>
      <c r="U637" s="1223"/>
      <c r="V637" s="1223"/>
      <c r="W637" s="784" t="e">
        <f t="shared" si="97"/>
        <v>#DIV/0!</v>
      </c>
      <c r="X637" s="788"/>
      <c r="Y637" s="788"/>
    </row>
    <row r="638" spans="1:25" s="183" customFormat="1" ht="22.5" customHeight="1" thickTop="1" thickBot="1" x14ac:dyDescent="0.3">
      <c r="A638" s="1441">
        <v>1</v>
      </c>
      <c r="B638" s="1442" t="s">
        <v>1381</v>
      </c>
      <c r="C638" s="1442" t="s">
        <v>1394</v>
      </c>
      <c r="D638" s="1442" t="s">
        <v>1447</v>
      </c>
      <c r="E638" s="1442" t="s">
        <v>1381</v>
      </c>
      <c r="F638" s="1442" t="s">
        <v>1418</v>
      </c>
      <c r="G638" s="1442" t="s">
        <v>1394</v>
      </c>
      <c r="H638" s="1442" t="s">
        <v>1418</v>
      </c>
      <c r="I638" s="1442"/>
      <c r="J638" s="1442"/>
      <c r="K638" s="771" t="s">
        <v>2325</v>
      </c>
      <c r="L638" s="1223"/>
      <c r="M638" s="1223"/>
      <c r="N638" s="1223"/>
      <c r="O638" s="1206">
        <f t="shared" si="98"/>
        <v>0</v>
      </c>
      <c r="P638" s="1223"/>
      <c r="Q638" s="1223"/>
      <c r="R638" s="1223"/>
      <c r="S638" s="1223"/>
      <c r="T638" s="1223"/>
      <c r="U638" s="1223"/>
      <c r="V638" s="1223"/>
      <c r="W638" s="784" t="e">
        <f t="shared" si="97"/>
        <v>#DIV/0!</v>
      </c>
      <c r="X638" s="788"/>
      <c r="Y638" s="788"/>
    </row>
    <row r="639" spans="1:25" s="183" customFormat="1" ht="22.5" customHeight="1" thickTop="1" thickBot="1" x14ac:dyDescent="0.3">
      <c r="A639" s="1441">
        <v>1</v>
      </c>
      <c r="B639" s="1442" t="s">
        <v>1381</v>
      </c>
      <c r="C639" s="1442" t="s">
        <v>1394</v>
      </c>
      <c r="D639" s="1442" t="s">
        <v>1447</v>
      </c>
      <c r="E639" s="1442" t="s">
        <v>1381</v>
      </c>
      <c r="F639" s="1442" t="s">
        <v>1418</v>
      </c>
      <c r="G639" s="1442" t="s">
        <v>1394</v>
      </c>
      <c r="H639" s="1442" t="s">
        <v>1422</v>
      </c>
      <c r="I639" s="1442"/>
      <c r="J639" s="1442"/>
      <c r="K639" s="771" t="s">
        <v>2326</v>
      </c>
      <c r="L639" s="1223"/>
      <c r="M639" s="1223"/>
      <c r="N639" s="1223"/>
      <c r="O639" s="1206">
        <f t="shared" si="98"/>
        <v>0</v>
      </c>
      <c r="P639" s="1223"/>
      <c r="Q639" s="1223"/>
      <c r="R639" s="1223"/>
      <c r="S639" s="1223"/>
      <c r="T639" s="1223"/>
      <c r="U639" s="1223"/>
      <c r="V639" s="1223"/>
      <c r="W639" s="784" t="e">
        <f t="shared" si="97"/>
        <v>#DIV/0!</v>
      </c>
      <c r="X639" s="788"/>
      <c r="Y639" s="788"/>
    </row>
    <row r="640" spans="1:25" s="183" customFormat="1" ht="22.5" customHeight="1" thickTop="1" thickBot="1" x14ac:dyDescent="0.3">
      <c r="A640" s="1441">
        <v>1</v>
      </c>
      <c r="B640" s="1442" t="s">
        <v>1381</v>
      </c>
      <c r="C640" s="1442" t="s">
        <v>1394</v>
      </c>
      <c r="D640" s="1442" t="s">
        <v>1447</v>
      </c>
      <c r="E640" s="1442" t="s">
        <v>1381</v>
      </c>
      <c r="F640" s="1442" t="s">
        <v>1418</v>
      </c>
      <c r="G640" s="1442" t="s">
        <v>1394</v>
      </c>
      <c r="H640" s="1442" t="s">
        <v>1447</v>
      </c>
      <c r="I640" s="1442"/>
      <c r="J640" s="1442"/>
      <c r="K640" s="771" t="s">
        <v>2327</v>
      </c>
      <c r="L640" s="1223"/>
      <c r="M640" s="1223"/>
      <c r="N640" s="1223"/>
      <c r="O640" s="1206">
        <f t="shared" si="98"/>
        <v>0</v>
      </c>
      <c r="P640" s="1223"/>
      <c r="Q640" s="1223"/>
      <c r="R640" s="1223"/>
      <c r="S640" s="1223"/>
      <c r="T640" s="1223"/>
      <c r="U640" s="1223"/>
      <c r="V640" s="1223"/>
      <c r="W640" s="784" t="e">
        <f t="shared" si="97"/>
        <v>#DIV/0!</v>
      </c>
      <c r="X640" s="788"/>
      <c r="Y640" s="788"/>
    </row>
    <row r="641" spans="1:25" s="183" customFormat="1" ht="22.5" customHeight="1" thickTop="1" thickBot="1" x14ac:dyDescent="0.3">
      <c r="A641" s="1441">
        <v>1</v>
      </c>
      <c r="B641" s="1442" t="s">
        <v>1381</v>
      </c>
      <c r="C641" s="1442" t="s">
        <v>1394</v>
      </c>
      <c r="D641" s="1442" t="s">
        <v>1447</v>
      </c>
      <c r="E641" s="1442" t="s">
        <v>1381</v>
      </c>
      <c r="F641" s="1442" t="s">
        <v>1418</v>
      </c>
      <c r="G641" s="1442" t="s">
        <v>1394</v>
      </c>
      <c r="H641" s="1442" t="s">
        <v>1470</v>
      </c>
      <c r="I641" s="1442"/>
      <c r="J641" s="1442"/>
      <c r="K641" s="771" t="s">
        <v>2328</v>
      </c>
      <c r="L641" s="1223"/>
      <c r="M641" s="1223"/>
      <c r="N641" s="1223"/>
      <c r="O641" s="1206">
        <f t="shared" si="98"/>
        <v>0</v>
      </c>
      <c r="P641" s="1223"/>
      <c r="Q641" s="1223"/>
      <c r="R641" s="1223"/>
      <c r="S641" s="1223"/>
      <c r="T641" s="1223"/>
      <c r="U641" s="1223"/>
      <c r="V641" s="1223"/>
      <c r="W641" s="784" t="e">
        <f t="shared" si="97"/>
        <v>#DIV/0!</v>
      </c>
      <c r="X641" s="788"/>
      <c r="Y641" s="788"/>
    </row>
    <row r="642" spans="1:25" s="183" customFormat="1" ht="22.5" customHeight="1" thickTop="1" thickBot="1" x14ac:dyDescent="0.3">
      <c r="A642" s="1441">
        <v>1</v>
      </c>
      <c r="B642" s="1442" t="s">
        <v>1381</v>
      </c>
      <c r="C642" s="1442" t="s">
        <v>1394</v>
      </c>
      <c r="D642" s="1442" t="s">
        <v>1447</v>
      </c>
      <c r="E642" s="1442" t="s">
        <v>1381</v>
      </c>
      <c r="F642" s="1442" t="s">
        <v>1418</v>
      </c>
      <c r="G642" s="1442" t="s">
        <v>1394</v>
      </c>
      <c r="H642" s="1442" t="s">
        <v>1474</v>
      </c>
      <c r="I642" s="1442"/>
      <c r="J642" s="1442"/>
      <c r="K642" s="771" t="s">
        <v>2329</v>
      </c>
      <c r="L642" s="1223"/>
      <c r="M642" s="1223"/>
      <c r="N642" s="1223"/>
      <c r="O642" s="1206">
        <f t="shared" si="98"/>
        <v>0</v>
      </c>
      <c r="P642" s="1223"/>
      <c r="Q642" s="1223"/>
      <c r="R642" s="1223"/>
      <c r="S642" s="1223"/>
      <c r="T642" s="1223"/>
      <c r="U642" s="1223"/>
      <c r="V642" s="1223"/>
      <c r="W642" s="784" t="e">
        <f t="shared" si="97"/>
        <v>#DIV/0!</v>
      </c>
      <c r="X642" s="788"/>
      <c r="Y642" s="788"/>
    </row>
    <row r="643" spans="1:25" s="183" customFormat="1" ht="22.5" customHeight="1" thickTop="1" thickBot="1" x14ac:dyDescent="0.3">
      <c r="A643" s="1441">
        <v>1</v>
      </c>
      <c r="B643" s="1442" t="s">
        <v>1381</v>
      </c>
      <c r="C643" s="1442" t="s">
        <v>1394</v>
      </c>
      <c r="D643" s="1442" t="s">
        <v>1447</v>
      </c>
      <c r="E643" s="1442" t="s">
        <v>1381</v>
      </c>
      <c r="F643" s="1442" t="s">
        <v>1418</v>
      </c>
      <c r="G643" s="1442" t="s">
        <v>1394</v>
      </c>
      <c r="H643" s="1442" t="s">
        <v>1478</v>
      </c>
      <c r="I643" s="1442"/>
      <c r="J643" s="1442"/>
      <c r="K643" s="771" t="s">
        <v>2330</v>
      </c>
      <c r="L643" s="1223"/>
      <c r="M643" s="1223"/>
      <c r="N643" s="1223"/>
      <c r="O643" s="1206">
        <f t="shared" si="98"/>
        <v>0</v>
      </c>
      <c r="P643" s="1223"/>
      <c r="Q643" s="1223"/>
      <c r="R643" s="1223"/>
      <c r="S643" s="1223"/>
      <c r="T643" s="1223"/>
      <c r="U643" s="1223"/>
      <c r="V643" s="1223"/>
      <c r="W643" s="784" t="e">
        <f t="shared" si="97"/>
        <v>#DIV/0!</v>
      </c>
      <c r="X643" s="788"/>
      <c r="Y643" s="788"/>
    </row>
    <row r="644" spans="1:25" s="183" customFormat="1" ht="22.5" customHeight="1" thickTop="1" thickBot="1" x14ac:dyDescent="0.3">
      <c r="A644" s="1441">
        <v>1</v>
      </c>
      <c r="B644" s="1442" t="s">
        <v>1381</v>
      </c>
      <c r="C644" s="1442" t="s">
        <v>1394</v>
      </c>
      <c r="D644" s="1442" t="s">
        <v>1447</v>
      </c>
      <c r="E644" s="1442" t="s">
        <v>1381</v>
      </c>
      <c r="F644" s="1442" t="s">
        <v>1418</v>
      </c>
      <c r="G644" s="1442" t="s">
        <v>1394</v>
      </c>
      <c r="H644" s="1442" t="s">
        <v>1576</v>
      </c>
      <c r="I644" s="1442"/>
      <c r="J644" s="1442"/>
      <c r="K644" s="771" t="s">
        <v>2331</v>
      </c>
      <c r="L644" s="1223"/>
      <c r="M644" s="1223"/>
      <c r="N644" s="1223"/>
      <c r="O644" s="1206">
        <f t="shared" si="98"/>
        <v>0</v>
      </c>
      <c r="P644" s="1223"/>
      <c r="Q644" s="1223"/>
      <c r="R644" s="1223"/>
      <c r="S644" s="1223"/>
      <c r="T644" s="1223"/>
      <c r="U644" s="1223"/>
      <c r="V644" s="1223"/>
      <c r="W644" s="784" t="e">
        <f t="shared" si="97"/>
        <v>#DIV/0!</v>
      </c>
      <c r="X644" s="788"/>
      <c r="Y644" s="788"/>
    </row>
    <row r="645" spans="1:25" s="183" customFormat="1" ht="22.5" customHeight="1" thickTop="1" thickBot="1" x14ac:dyDescent="0.3">
      <c r="A645" s="1441">
        <v>1</v>
      </c>
      <c r="B645" s="1442" t="s">
        <v>1381</v>
      </c>
      <c r="C645" s="1442" t="s">
        <v>1394</v>
      </c>
      <c r="D645" s="1442" t="s">
        <v>1447</v>
      </c>
      <c r="E645" s="1442" t="s">
        <v>1381</v>
      </c>
      <c r="F645" s="1442" t="s">
        <v>1418</v>
      </c>
      <c r="G645" s="1442" t="s">
        <v>1394</v>
      </c>
      <c r="H645" s="1442" t="s">
        <v>1577</v>
      </c>
      <c r="I645" s="1442"/>
      <c r="J645" s="1442"/>
      <c r="K645" s="771" t="s">
        <v>2332</v>
      </c>
      <c r="L645" s="1223"/>
      <c r="M645" s="1223"/>
      <c r="N645" s="1223"/>
      <c r="O645" s="1206">
        <f t="shared" si="98"/>
        <v>0</v>
      </c>
      <c r="P645" s="1223"/>
      <c r="Q645" s="1223"/>
      <c r="R645" s="1223"/>
      <c r="S645" s="1223"/>
      <c r="T645" s="1223"/>
      <c r="U645" s="1223"/>
      <c r="V645" s="1223"/>
      <c r="W645" s="784" t="e">
        <f t="shared" si="97"/>
        <v>#DIV/0!</v>
      </c>
      <c r="X645" s="788"/>
      <c r="Y645" s="788"/>
    </row>
    <row r="646" spans="1:25" s="183" customFormat="1" ht="22.5" customHeight="1" thickTop="1" thickBot="1" x14ac:dyDescent="0.3">
      <c r="A646" s="1441">
        <v>1</v>
      </c>
      <c r="B646" s="1442" t="s">
        <v>1381</v>
      </c>
      <c r="C646" s="1442" t="s">
        <v>1394</v>
      </c>
      <c r="D646" s="1442" t="s">
        <v>1447</v>
      </c>
      <c r="E646" s="1442" t="s">
        <v>1381</v>
      </c>
      <c r="F646" s="1442" t="s">
        <v>1418</v>
      </c>
      <c r="G646" s="1442" t="s">
        <v>1394</v>
      </c>
      <c r="H646" s="1442" t="s">
        <v>1578</v>
      </c>
      <c r="I646" s="1442"/>
      <c r="J646" s="1442"/>
      <c r="K646" s="771" t="s">
        <v>2333</v>
      </c>
      <c r="L646" s="1223"/>
      <c r="M646" s="1223"/>
      <c r="N646" s="1223"/>
      <c r="O646" s="1206">
        <f t="shared" si="98"/>
        <v>0</v>
      </c>
      <c r="P646" s="1223"/>
      <c r="Q646" s="1223"/>
      <c r="R646" s="1223"/>
      <c r="S646" s="1223"/>
      <c r="T646" s="1223"/>
      <c r="U646" s="1223"/>
      <c r="V646" s="1223"/>
      <c r="W646" s="784" t="e">
        <f t="shared" si="97"/>
        <v>#DIV/0!</v>
      </c>
      <c r="X646" s="788"/>
      <c r="Y646" s="788"/>
    </row>
    <row r="647" spans="1:25" s="183" customFormat="1" ht="22.5" customHeight="1" thickTop="1" thickBot="1" x14ac:dyDescent="0.3">
      <c r="A647" s="1441">
        <v>1</v>
      </c>
      <c r="B647" s="1442" t="s">
        <v>1381</v>
      </c>
      <c r="C647" s="1442" t="s">
        <v>1394</v>
      </c>
      <c r="D647" s="1442" t="s">
        <v>1447</v>
      </c>
      <c r="E647" s="1442" t="s">
        <v>1381</v>
      </c>
      <c r="F647" s="1442" t="s">
        <v>1418</v>
      </c>
      <c r="G647" s="1442" t="s">
        <v>1418</v>
      </c>
      <c r="H647" s="1442"/>
      <c r="I647" s="1442"/>
      <c r="J647" s="1442"/>
      <c r="K647" s="771" t="s">
        <v>1651</v>
      </c>
      <c r="L647" s="1223">
        <f>SUM(L648:L658)</f>
        <v>0</v>
      </c>
      <c r="M647" s="1223">
        <f t="shared" ref="M647:V647" si="106">SUM(M648:M658)</f>
        <v>0</v>
      </c>
      <c r="N647" s="1223">
        <f t="shared" si="106"/>
        <v>0</v>
      </c>
      <c r="O647" s="1206">
        <f t="shared" si="98"/>
        <v>0</v>
      </c>
      <c r="P647" s="1223">
        <f t="shared" si="106"/>
        <v>0</v>
      </c>
      <c r="Q647" s="1223">
        <f t="shared" si="106"/>
        <v>0</v>
      </c>
      <c r="R647" s="1223">
        <f t="shared" si="106"/>
        <v>0</v>
      </c>
      <c r="S647" s="1223"/>
      <c r="T647" s="1223">
        <f t="shared" si="106"/>
        <v>0</v>
      </c>
      <c r="U647" s="1223">
        <f t="shared" si="106"/>
        <v>0</v>
      </c>
      <c r="V647" s="1223">
        <f t="shared" si="106"/>
        <v>0</v>
      </c>
      <c r="W647" s="784" t="e">
        <f t="shared" ref="W647:W710" si="107">V647/O647</f>
        <v>#DIV/0!</v>
      </c>
      <c r="X647" s="788" t="s">
        <v>2062</v>
      </c>
      <c r="Y647" s="788"/>
    </row>
    <row r="648" spans="1:25" s="183" customFormat="1" ht="22.5" customHeight="1" thickTop="1" thickBot="1" x14ac:dyDescent="0.3">
      <c r="A648" s="1441">
        <v>1</v>
      </c>
      <c r="B648" s="1442" t="s">
        <v>1381</v>
      </c>
      <c r="C648" s="1442" t="s">
        <v>1394</v>
      </c>
      <c r="D648" s="1442" t="s">
        <v>1447</v>
      </c>
      <c r="E648" s="1442" t="s">
        <v>1381</v>
      </c>
      <c r="F648" s="1442" t="s">
        <v>1418</v>
      </c>
      <c r="G648" s="1442" t="s">
        <v>1418</v>
      </c>
      <c r="H648" s="1442" t="s">
        <v>1381</v>
      </c>
      <c r="I648" s="1442"/>
      <c r="J648" s="1442"/>
      <c r="K648" s="771" t="s">
        <v>2334</v>
      </c>
      <c r="L648" s="1223"/>
      <c r="M648" s="1223"/>
      <c r="N648" s="1223"/>
      <c r="O648" s="1206">
        <f t="shared" ref="O648:O711" si="108">L648+M648-N648</f>
        <v>0</v>
      </c>
      <c r="P648" s="1223"/>
      <c r="Q648" s="1223"/>
      <c r="R648" s="1223"/>
      <c r="S648" s="1223"/>
      <c r="T648" s="1223"/>
      <c r="U648" s="1223"/>
      <c r="V648" s="1223"/>
      <c r="W648" s="784" t="e">
        <f t="shared" si="107"/>
        <v>#DIV/0!</v>
      </c>
      <c r="X648" s="788"/>
      <c r="Y648" s="788"/>
    </row>
    <row r="649" spans="1:25" s="183" customFormat="1" ht="22.5" customHeight="1" thickTop="1" thickBot="1" x14ac:dyDescent="0.3">
      <c r="A649" s="1441">
        <v>1</v>
      </c>
      <c r="B649" s="1442" t="s">
        <v>1381</v>
      </c>
      <c r="C649" s="1442" t="s">
        <v>1394</v>
      </c>
      <c r="D649" s="1442" t="s">
        <v>1447</v>
      </c>
      <c r="E649" s="1442" t="s">
        <v>1381</v>
      </c>
      <c r="F649" s="1442" t="s">
        <v>1418</v>
      </c>
      <c r="G649" s="1442" t="s">
        <v>1418</v>
      </c>
      <c r="H649" s="1442" t="s">
        <v>1394</v>
      </c>
      <c r="I649" s="1442"/>
      <c r="J649" s="1442"/>
      <c r="K649" s="771" t="s">
        <v>2335</v>
      </c>
      <c r="L649" s="1223"/>
      <c r="M649" s="1223"/>
      <c r="N649" s="1223"/>
      <c r="O649" s="1206">
        <f t="shared" si="108"/>
        <v>0</v>
      </c>
      <c r="P649" s="1223"/>
      <c r="Q649" s="1223"/>
      <c r="R649" s="1223"/>
      <c r="S649" s="1223"/>
      <c r="T649" s="1223"/>
      <c r="U649" s="1223"/>
      <c r="V649" s="1223"/>
      <c r="W649" s="784" t="e">
        <f t="shared" si="107"/>
        <v>#DIV/0!</v>
      </c>
      <c r="X649" s="788"/>
      <c r="Y649" s="788"/>
    </row>
    <row r="650" spans="1:25" s="183" customFormat="1" ht="22.5" customHeight="1" thickTop="1" thickBot="1" x14ac:dyDescent="0.3">
      <c r="A650" s="1441">
        <v>1</v>
      </c>
      <c r="B650" s="1442" t="s">
        <v>1381</v>
      </c>
      <c r="C650" s="1442" t="s">
        <v>1394</v>
      </c>
      <c r="D650" s="1442" t="s">
        <v>1447</v>
      </c>
      <c r="E650" s="1442" t="s">
        <v>1381</v>
      </c>
      <c r="F650" s="1442" t="s">
        <v>1418</v>
      </c>
      <c r="G650" s="1442" t="s">
        <v>1418</v>
      </c>
      <c r="H650" s="1442" t="s">
        <v>1418</v>
      </c>
      <c r="I650" s="1442"/>
      <c r="J650" s="1442"/>
      <c r="K650" s="771" t="s">
        <v>2336</v>
      </c>
      <c r="L650" s="1223"/>
      <c r="M650" s="1223"/>
      <c r="N650" s="1223"/>
      <c r="O650" s="1206">
        <f t="shared" si="108"/>
        <v>0</v>
      </c>
      <c r="P650" s="1223"/>
      <c r="Q650" s="1223"/>
      <c r="R650" s="1223"/>
      <c r="S650" s="1223"/>
      <c r="T650" s="1223"/>
      <c r="U650" s="1223"/>
      <c r="V650" s="1223"/>
      <c r="W650" s="784" t="e">
        <f t="shared" si="107"/>
        <v>#DIV/0!</v>
      </c>
      <c r="X650" s="788"/>
      <c r="Y650" s="788"/>
    </row>
    <row r="651" spans="1:25" s="183" customFormat="1" ht="22.5" customHeight="1" thickTop="1" thickBot="1" x14ac:dyDescent="0.3">
      <c r="A651" s="1441">
        <v>1</v>
      </c>
      <c r="B651" s="1442" t="s">
        <v>1381</v>
      </c>
      <c r="C651" s="1442" t="s">
        <v>1394</v>
      </c>
      <c r="D651" s="1442" t="s">
        <v>1447</v>
      </c>
      <c r="E651" s="1442" t="s">
        <v>1381</v>
      </c>
      <c r="F651" s="1442" t="s">
        <v>1418</v>
      </c>
      <c r="G651" s="1442" t="s">
        <v>1418</v>
      </c>
      <c r="H651" s="1442" t="s">
        <v>1422</v>
      </c>
      <c r="I651" s="1442"/>
      <c r="J651" s="1442"/>
      <c r="K651" s="771" t="s">
        <v>2337</v>
      </c>
      <c r="L651" s="1223"/>
      <c r="M651" s="1223"/>
      <c r="N651" s="1223"/>
      <c r="O651" s="1206">
        <f t="shared" si="108"/>
        <v>0</v>
      </c>
      <c r="P651" s="1223"/>
      <c r="Q651" s="1223"/>
      <c r="R651" s="1223"/>
      <c r="S651" s="1223"/>
      <c r="T651" s="1223"/>
      <c r="U651" s="1223"/>
      <c r="V651" s="1223"/>
      <c r="W651" s="784" t="e">
        <f t="shared" si="107"/>
        <v>#DIV/0!</v>
      </c>
      <c r="X651" s="788"/>
      <c r="Y651" s="788"/>
    </row>
    <row r="652" spans="1:25" s="183" customFormat="1" ht="22.5" customHeight="1" thickTop="1" thickBot="1" x14ac:dyDescent="0.3">
      <c r="A652" s="1441">
        <v>1</v>
      </c>
      <c r="B652" s="1442" t="s">
        <v>1381</v>
      </c>
      <c r="C652" s="1442" t="s">
        <v>1394</v>
      </c>
      <c r="D652" s="1442" t="s">
        <v>1447</v>
      </c>
      <c r="E652" s="1442" t="s">
        <v>1381</v>
      </c>
      <c r="F652" s="1442" t="s">
        <v>1418</v>
      </c>
      <c r="G652" s="1442" t="s">
        <v>1418</v>
      </c>
      <c r="H652" s="1442" t="s">
        <v>1447</v>
      </c>
      <c r="I652" s="1442"/>
      <c r="J652" s="1442"/>
      <c r="K652" s="771" t="s">
        <v>2338</v>
      </c>
      <c r="L652" s="1223"/>
      <c r="M652" s="1223"/>
      <c r="N652" s="1223"/>
      <c r="O652" s="1206">
        <f t="shared" si="108"/>
        <v>0</v>
      </c>
      <c r="P652" s="1223"/>
      <c r="Q652" s="1223"/>
      <c r="R652" s="1223"/>
      <c r="S652" s="1223"/>
      <c r="T652" s="1223"/>
      <c r="U652" s="1223"/>
      <c r="V652" s="1223"/>
      <c r="W652" s="784" t="e">
        <f t="shared" si="107"/>
        <v>#DIV/0!</v>
      </c>
      <c r="X652" s="788"/>
      <c r="Y652" s="788"/>
    </row>
    <row r="653" spans="1:25" s="183" customFormat="1" ht="22.5" customHeight="1" thickTop="1" thickBot="1" x14ac:dyDescent="0.3">
      <c r="A653" s="1441">
        <v>1</v>
      </c>
      <c r="B653" s="1442" t="s">
        <v>1381</v>
      </c>
      <c r="C653" s="1442" t="s">
        <v>1394</v>
      </c>
      <c r="D653" s="1442" t="s">
        <v>1447</v>
      </c>
      <c r="E653" s="1442" t="s">
        <v>1381</v>
      </c>
      <c r="F653" s="1442" t="s">
        <v>1418</v>
      </c>
      <c r="G653" s="1442" t="s">
        <v>1418</v>
      </c>
      <c r="H653" s="1442" t="s">
        <v>1470</v>
      </c>
      <c r="I653" s="1442"/>
      <c r="J653" s="1442"/>
      <c r="K653" s="771" t="s">
        <v>2339</v>
      </c>
      <c r="L653" s="1223"/>
      <c r="M653" s="1223"/>
      <c r="N653" s="1223"/>
      <c r="O653" s="1206">
        <f t="shared" si="108"/>
        <v>0</v>
      </c>
      <c r="P653" s="1223"/>
      <c r="Q653" s="1223"/>
      <c r="R653" s="1223"/>
      <c r="S653" s="1223"/>
      <c r="T653" s="1223"/>
      <c r="U653" s="1223"/>
      <c r="V653" s="1223"/>
      <c r="W653" s="784" t="e">
        <f t="shared" si="107"/>
        <v>#DIV/0!</v>
      </c>
      <c r="X653" s="788"/>
      <c r="Y653" s="788"/>
    </row>
    <row r="654" spans="1:25" s="183" customFormat="1" ht="22.5" customHeight="1" thickTop="1" thickBot="1" x14ac:dyDescent="0.3">
      <c r="A654" s="1441">
        <v>1</v>
      </c>
      <c r="B654" s="1442" t="s">
        <v>1381</v>
      </c>
      <c r="C654" s="1442" t="s">
        <v>1394</v>
      </c>
      <c r="D654" s="1442" t="s">
        <v>1447</v>
      </c>
      <c r="E654" s="1442" t="s">
        <v>1381</v>
      </c>
      <c r="F654" s="1442" t="s">
        <v>1418</v>
      </c>
      <c r="G654" s="1442" t="s">
        <v>1418</v>
      </c>
      <c r="H654" s="1442" t="s">
        <v>1474</v>
      </c>
      <c r="I654" s="1442"/>
      <c r="J654" s="1442"/>
      <c r="K654" s="771" t="s">
        <v>2340</v>
      </c>
      <c r="L654" s="1223"/>
      <c r="M654" s="1223"/>
      <c r="N654" s="1223"/>
      <c r="O654" s="1206">
        <f t="shared" si="108"/>
        <v>0</v>
      </c>
      <c r="P654" s="1223"/>
      <c r="Q654" s="1223"/>
      <c r="R654" s="1223"/>
      <c r="S654" s="1223"/>
      <c r="T654" s="1223"/>
      <c r="U654" s="1223"/>
      <c r="V654" s="1223"/>
      <c r="W654" s="784" t="e">
        <f t="shared" si="107"/>
        <v>#DIV/0!</v>
      </c>
      <c r="X654" s="788"/>
      <c r="Y654" s="788"/>
    </row>
    <row r="655" spans="1:25" s="183" customFormat="1" ht="22.5" customHeight="1" thickTop="1" thickBot="1" x14ac:dyDescent="0.3">
      <c r="A655" s="1441">
        <v>1</v>
      </c>
      <c r="B655" s="1442" t="s">
        <v>1381</v>
      </c>
      <c r="C655" s="1442" t="s">
        <v>1394</v>
      </c>
      <c r="D655" s="1442" t="s">
        <v>1447</v>
      </c>
      <c r="E655" s="1442" t="s">
        <v>1381</v>
      </c>
      <c r="F655" s="1442" t="s">
        <v>1418</v>
      </c>
      <c r="G655" s="1442" t="s">
        <v>1418</v>
      </c>
      <c r="H655" s="1442" t="s">
        <v>1478</v>
      </c>
      <c r="I655" s="1442"/>
      <c r="J655" s="1442"/>
      <c r="K655" s="771" t="s">
        <v>2341</v>
      </c>
      <c r="L655" s="1223"/>
      <c r="M655" s="1223"/>
      <c r="N655" s="1223"/>
      <c r="O655" s="1206">
        <f t="shared" si="108"/>
        <v>0</v>
      </c>
      <c r="P655" s="1223"/>
      <c r="Q655" s="1223"/>
      <c r="R655" s="1223"/>
      <c r="S655" s="1223"/>
      <c r="T655" s="1223"/>
      <c r="U655" s="1223"/>
      <c r="V655" s="1223"/>
      <c r="W655" s="784" t="e">
        <f t="shared" si="107"/>
        <v>#DIV/0!</v>
      </c>
      <c r="X655" s="788"/>
      <c r="Y655" s="788"/>
    </row>
    <row r="656" spans="1:25" s="183" customFormat="1" ht="22.5" customHeight="1" thickTop="1" thickBot="1" x14ac:dyDescent="0.3">
      <c r="A656" s="1441">
        <v>1</v>
      </c>
      <c r="B656" s="1442" t="s">
        <v>1381</v>
      </c>
      <c r="C656" s="1442" t="s">
        <v>1394</v>
      </c>
      <c r="D656" s="1442" t="s">
        <v>1447</v>
      </c>
      <c r="E656" s="1442" t="s">
        <v>1381</v>
      </c>
      <c r="F656" s="1442" t="s">
        <v>1418</v>
      </c>
      <c r="G656" s="1442" t="s">
        <v>1418</v>
      </c>
      <c r="H656" s="1442" t="s">
        <v>1576</v>
      </c>
      <c r="I656" s="1442"/>
      <c r="J656" s="1442"/>
      <c r="K656" s="771" t="s">
        <v>2342</v>
      </c>
      <c r="L656" s="1223"/>
      <c r="M656" s="1223"/>
      <c r="N656" s="1223"/>
      <c r="O656" s="1206">
        <f t="shared" si="108"/>
        <v>0</v>
      </c>
      <c r="P656" s="1223"/>
      <c r="Q656" s="1223"/>
      <c r="R656" s="1223"/>
      <c r="S656" s="1223"/>
      <c r="T656" s="1223"/>
      <c r="U656" s="1223"/>
      <c r="V656" s="1223"/>
      <c r="W656" s="784" t="e">
        <f t="shared" si="107"/>
        <v>#DIV/0!</v>
      </c>
      <c r="X656" s="788"/>
      <c r="Y656" s="788"/>
    </row>
    <row r="657" spans="1:25" s="183" customFormat="1" ht="22.5" customHeight="1" thickTop="1" thickBot="1" x14ac:dyDescent="0.3">
      <c r="A657" s="1441">
        <v>1</v>
      </c>
      <c r="B657" s="1442" t="s">
        <v>1381</v>
      </c>
      <c r="C657" s="1442" t="s">
        <v>1394</v>
      </c>
      <c r="D657" s="1442" t="s">
        <v>1447</v>
      </c>
      <c r="E657" s="1442" t="s">
        <v>1381</v>
      </c>
      <c r="F657" s="1442" t="s">
        <v>1418</v>
      </c>
      <c r="G657" s="1442" t="s">
        <v>1418</v>
      </c>
      <c r="H657" s="1442" t="s">
        <v>1577</v>
      </c>
      <c r="I657" s="1442"/>
      <c r="J657" s="1442"/>
      <c r="K657" s="771" t="s">
        <v>2343</v>
      </c>
      <c r="L657" s="1223"/>
      <c r="M657" s="1223"/>
      <c r="N657" s="1223"/>
      <c r="O657" s="1206">
        <f t="shared" si="108"/>
        <v>0</v>
      </c>
      <c r="P657" s="1223"/>
      <c r="Q657" s="1223"/>
      <c r="R657" s="1223"/>
      <c r="S657" s="1223"/>
      <c r="T657" s="1223"/>
      <c r="U657" s="1223"/>
      <c r="V657" s="1223"/>
      <c r="W657" s="784" t="e">
        <f t="shared" si="107"/>
        <v>#DIV/0!</v>
      </c>
      <c r="X657" s="788"/>
      <c r="Y657" s="788"/>
    </row>
    <row r="658" spans="1:25" s="183" customFormat="1" ht="22.5" customHeight="1" thickTop="1" thickBot="1" x14ac:dyDescent="0.3">
      <c r="A658" s="1441">
        <v>1</v>
      </c>
      <c r="B658" s="1442" t="s">
        <v>1381</v>
      </c>
      <c r="C658" s="1442" t="s">
        <v>1394</v>
      </c>
      <c r="D658" s="1442" t="s">
        <v>1447</v>
      </c>
      <c r="E658" s="1442" t="s">
        <v>1381</v>
      </c>
      <c r="F658" s="1442" t="s">
        <v>1418</v>
      </c>
      <c r="G658" s="1442" t="s">
        <v>1418</v>
      </c>
      <c r="H658" s="1442" t="s">
        <v>1578</v>
      </c>
      <c r="I658" s="1442"/>
      <c r="J658" s="1442"/>
      <c r="K658" s="771" t="s">
        <v>2344</v>
      </c>
      <c r="L658" s="1223"/>
      <c r="M658" s="1223"/>
      <c r="N658" s="1223"/>
      <c r="O658" s="1206">
        <f t="shared" si="108"/>
        <v>0</v>
      </c>
      <c r="P658" s="1223"/>
      <c r="Q658" s="1223"/>
      <c r="R658" s="1223"/>
      <c r="S658" s="1223"/>
      <c r="T658" s="1223"/>
      <c r="U658" s="1223"/>
      <c r="V658" s="1223"/>
      <c r="W658" s="784" t="e">
        <f t="shared" si="107"/>
        <v>#DIV/0!</v>
      </c>
      <c r="X658" s="788"/>
      <c r="Y658" s="788"/>
    </row>
    <row r="659" spans="1:25" s="183" customFormat="1" ht="22.5" customHeight="1" thickTop="1" thickBot="1" x14ac:dyDescent="0.3">
      <c r="A659" s="1439">
        <v>1</v>
      </c>
      <c r="B659" s="1440" t="s">
        <v>1381</v>
      </c>
      <c r="C659" s="1440" t="s">
        <v>1394</v>
      </c>
      <c r="D659" s="1440" t="s">
        <v>1447</v>
      </c>
      <c r="E659" s="1440" t="s">
        <v>1394</v>
      </c>
      <c r="F659" s="1440"/>
      <c r="G659" s="1440"/>
      <c r="H659" s="1440"/>
      <c r="I659" s="1440"/>
      <c r="J659" s="1440"/>
      <c r="K659" s="770" t="s">
        <v>2052</v>
      </c>
      <c r="L659" s="1222">
        <f>+L660+L672</f>
        <v>0</v>
      </c>
      <c r="M659" s="1222">
        <f t="shared" ref="M659:V659" si="109">+M660+M672</f>
        <v>0</v>
      </c>
      <c r="N659" s="1222">
        <f t="shared" si="109"/>
        <v>0</v>
      </c>
      <c r="O659" s="1206">
        <f t="shared" si="108"/>
        <v>0</v>
      </c>
      <c r="P659" s="1222">
        <f t="shared" si="109"/>
        <v>0</v>
      </c>
      <c r="Q659" s="1222">
        <f t="shared" si="109"/>
        <v>0</v>
      </c>
      <c r="R659" s="1222">
        <f t="shared" si="109"/>
        <v>0</v>
      </c>
      <c r="S659" s="1222"/>
      <c r="T659" s="1222">
        <f t="shared" si="109"/>
        <v>0</v>
      </c>
      <c r="U659" s="1222">
        <f t="shared" si="109"/>
        <v>0</v>
      </c>
      <c r="V659" s="1222">
        <f t="shared" si="109"/>
        <v>0</v>
      </c>
      <c r="W659" s="786" t="e">
        <f t="shared" si="107"/>
        <v>#DIV/0!</v>
      </c>
      <c r="X659" s="788" t="s">
        <v>1662</v>
      </c>
      <c r="Y659" s="788"/>
    </row>
    <row r="660" spans="1:25" s="183" customFormat="1" ht="22.5" customHeight="1" thickTop="1" thickBot="1" x14ac:dyDescent="0.3">
      <c r="A660" s="1439">
        <v>1</v>
      </c>
      <c r="B660" s="1440" t="s">
        <v>1381</v>
      </c>
      <c r="C660" s="1440" t="s">
        <v>1394</v>
      </c>
      <c r="D660" s="1440" t="s">
        <v>1447</v>
      </c>
      <c r="E660" s="1440" t="s">
        <v>1394</v>
      </c>
      <c r="F660" s="1440" t="s">
        <v>1381</v>
      </c>
      <c r="G660" s="1440"/>
      <c r="H660" s="1440"/>
      <c r="I660" s="1440"/>
      <c r="J660" s="1440"/>
      <c r="K660" s="770" t="s">
        <v>2053</v>
      </c>
      <c r="L660" s="1222">
        <f>SUM(L661:L671)</f>
        <v>0</v>
      </c>
      <c r="M660" s="1222">
        <f t="shared" ref="M660:V660" si="110">SUM(M661:M671)</f>
        <v>0</v>
      </c>
      <c r="N660" s="1222">
        <f t="shared" si="110"/>
        <v>0</v>
      </c>
      <c r="O660" s="1206">
        <f t="shared" si="108"/>
        <v>0</v>
      </c>
      <c r="P660" s="1222">
        <f t="shared" si="110"/>
        <v>0</v>
      </c>
      <c r="Q660" s="1222">
        <f t="shared" si="110"/>
        <v>0</v>
      </c>
      <c r="R660" s="1222">
        <f t="shared" si="110"/>
        <v>0</v>
      </c>
      <c r="S660" s="1222"/>
      <c r="T660" s="1222">
        <f t="shared" si="110"/>
        <v>0</v>
      </c>
      <c r="U660" s="1222">
        <f t="shared" si="110"/>
        <v>0</v>
      </c>
      <c r="V660" s="1222">
        <f t="shared" si="110"/>
        <v>0</v>
      </c>
      <c r="W660" s="786" t="e">
        <f t="shared" si="107"/>
        <v>#DIV/0!</v>
      </c>
      <c r="X660" s="788" t="s">
        <v>2063</v>
      </c>
      <c r="Y660" s="788"/>
    </row>
    <row r="661" spans="1:25" s="183" customFormat="1" ht="22.5" customHeight="1" thickTop="1" thickBot="1" x14ac:dyDescent="0.3">
      <c r="A661" s="1441">
        <v>1</v>
      </c>
      <c r="B661" s="1442" t="s">
        <v>1381</v>
      </c>
      <c r="C661" s="1442" t="s">
        <v>1394</v>
      </c>
      <c r="D661" s="1442" t="s">
        <v>1447</v>
      </c>
      <c r="E661" s="1442" t="s">
        <v>1394</v>
      </c>
      <c r="F661" s="1442" t="s">
        <v>1381</v>
      </c>
      <c r="G661" s="1442" t="s">
        <v>1381</v>
      </c>
      <c r="H661" s="1442"/>
      <c r="I661" s="1442"/>
      <c r="J661" s="1442"/>
      <c r="K661" s="771" t="s">
        <v>2345</v>
      </c>
      <c r="L661" s="1223"/>
      <c r="M661" s="1223"/>
      <c r="N661" s="1223"/>
      <c r="O661" s="1206">
        <f t="shared" si="108"/>
        <v>0</v>
      </c>
      <c r="P661" s="1223"/>
      <c r="Q661" s="1223"/>
      <c r="R661" s="1223"/>
      <c r="S661" s="1223"/>
      <c r="T661" s="1223"/>
      <c r="U661" s="1223"/>
      <c r="V661" s="1223"/>
      <c r="W661" s="784" t="e">
        <f t="shared" si="107"/>
        <v>#DIV/0!</v>
      </c>
      <c r="X661" s="788"/>
      <c r="Y661" s="788"/>
    </row>
    <row r="662" spans="1:25" s="183" customFormat="1" ht="22.5" customHeight="1" thickTop="1" thickBot="1" x14ac:dyDescent="0.3">
      <c r="A662" s="1441">
        <v>1</v>
      </c>
      <c r="B662" s="1442" t="s">
        <v>1381</v>
      </c>
      <c r="C662" s="1442" t="s">
        <v>1394</v>
      </c>
      <c r="D662" s="1442" t="s">
        <v>1447</v>
      </c>
      <c r="E662" s="1442" t="s">
        <v>1394</v>
      </c>
      <c r="F662" s="1442" t="s">
        <v>1381</v>
      </c>
      <c r="G662" s="1442" t="s">
        <v>1394</v>
      </c>
      <c r="H662" s="1442"/>
      <c r="I662" s="1442"/>
      <c r="J662" s="1442"/>
      <c r="K662" s="771" t="s">
        <v>2346</v>
      </c>
      <c r="L662" s="1223"/>
      <c r="M662" s="1223"/>
      <c r="N662" s="1223"/>
      <c r="O662" s="1206">
        <f t="shared" si="108"/>
        <v>0</v>
      </c>
      <c r="P662" s="1223"/>
      <c r="Q662" s="1223"/>
      <c r="R662" s="1223"/>
      <c r="S662" s="1223"/>
      <c r="T662" s="1223"/>
      <c r="U662" s="1223"/>
      <c r="V662" s="1223"/>
      <c r="W662" s="784" t="e">
        <f t="shared" si="107"/>
        <v>#DIV/0!</v>
      </c>
      <c r="X662" s="788"/>
      <c r="Y662" s="788"/>
    </row>
    <row r="663" spans="1:25" s="183" customFormat="1" ht="22.5" customHeight="1" thickTop="1" thickBot="1" x14ac:dyDescent="0.3">
      <c r="A663" s="1441">
        <v>1</v>
      </c>
      <c r="B663" s="1442" t="s">
        <v>1381</v>
      </c>
      <c r="C663" s="1442" t="s">
        <v>1394</v>
      </c>
      <c r="D663" s="1442" t="s">
        <v>1447</v>
      </c>
      <c r="E663" s="1442" t="s">
        <v>1394</v>
      </c>
      <c r="F663" s="1442" t="s">
        <v>1381</v>
      </c>
      <c r="G663" s="1442" t="s">
        <v>1418</v>
      </c>
      <c r="H663" s="1442"/>
      <c r="I663" s="1442"/>
      <c r="J663" s="1442"/>
      <c r="K663" s="771" t="s">
        <v>2347</v>
      </c>
      <c r="L663" s="1223"/>
      <c r="M663" s="1223"/>
      <c r="N663" s="1223"/>
      <c r="O663" s="1206">
        <f t="shared" si="108"/>
        <v>0</v>
      </c>
      <c r="P663" s="1223"/>
      <c r="Q663" s="1223"/>
      <c r="R663" s="1223"/>
      <c r="S663" s="1223"/>
      <c r="T663" s="1223"/>
      <c r="U663" s="1223"/>
      <c r="V663" s="1223"/>
      <c r="W663" s="784" t="e">
        <f t="shared" si="107"/>
        <v>#DIV/0!</v>
      </c>
      <c r="X663" s="788"/>
      <c r="Y663" s="788"/>
    </row>
    <row r="664" spans="1:25" s="183" customFormat="1" ht="22.5" customHeight="1" thickTop="1" thickBot="1" x14ac:dyDescent="0.3">
      <c r="A664" s="1441">
        <v>1</v>
      </c>
      <c r="B664" s="1442" t="s">
        <v>1381</v>
      </c>
      <c r="C664" s="1442" t="s">
        <v>1394</v>
      </c>
      <c r="D664" s="1442" t="s">
        <v>1447</v>
      </c>
      <c r="E664" s="1442" t="s">
        <v>1394</v>
      </c>
      <c r="F664" s="1442" t="s">
        <v>1381</v>
      </c>
      <c r="G664" s="1442" t="s">
        <v>1422</v>
      </c>
      <c r="H664" s="1442"/>
      <c r="I664" s="1442"/>
      <c r="J664" s="1442"/>
      <c r="K664" s="771" t="s">
        <v>2348</v>
      </c>
      <c r="L664" s="1223"/>
      <c r="M664" s="1223"/>
      <c r="N664" s="1223"/>
      <c r="O664" s="1206">
        <f t="shared" si="108"/>
        <v>0</v>
      </c>
      <c r="P664" s="1223"/>
      <c r="Q664" s="1223"/>
      <c r="R664" s="1223"/>
      <c r="S664" s="1223"/>
      <c r="T664" s="1223"/>
      <c r="U664" s="1223"/>
      <c r="V664" s="1223"/>
      <c r="W664" s="784" t="e">
        <f t="shared" si="107"/>
        <v>#DIV/0!</v>
      </c>
      <c r="X664" s="788"/>
      <c r="Y664" s="788"/>
    </row>
    <row r="665" spans="1:25" s="183" customFormat="1" ht="22.5" customHeight="1" thickTop="1" thickBot="1" x14ac:dyDescent="0.3">
      <c r="A665" s="1441">
        <v>1</v>
      </c>
      <c r="B665" s="1442" t="s">
        <v>1381</v>
      </c>
      <c r="C665" s="1442" t="s">
        <v>1394</v>
      </c>
      <c r="D665" s="1442" t="s">
        <v>1447</v>
      </c>
      <c r="E665" s="1442" t="s">
        <v>1394</v>
      </c>
      <c r="F665" s="1442" t="s">
        <v>1381</v>
      </c>
      <c r="G665" s="1442" t="s">
        <v>1447</v>
      </c>
      <c r="H665" s="1442"/>
      <c r="I665" s="1442"/>
      <c r="J665" s="1442"/>
      <c r="K665" s="771" t="s">
        <v>2349</v>
      </c>
      <c r="L665" s="1223"/>
      <c r="M665" s="1223"/>
      <c r="N665" s="1223"/>
      <c r="O665" s="1206">
        <f t="shared" si="108"/>
        <v>0</v>
      </c>
      <c r="P665" s="1223"/>
      <c r="Q665" s="1223"/>
      <c r="R665" s="1223"/>
      <c r="S665" s="1223"/>
      <c r="T665" s="1223"/>
      <c r="U665" s="1223"/>
      <c r="V665" s="1223"/>
      <c r="W665" s="784" t="e">
        <f t="shared" si="107"/>
        <v>#DIV/0!</v>
      </c>
      <c r="X665" s="788"/>
      <c r="Y665" s="788"/>
    </row>
    <row r="666" spans="1:25" s="183" customFormat="1" ht="22.5" customHeight="1" thickTop="1" thickBot="1" x14ac:dyDescent="0.3">
      <c r="A666" s="1441">
        <v>1</v>
      </c>
      <c r="B666" s="1442" t="s">
        <v>1381</v>
      </c>
      <c r="C666" s="1442" t="s">
        <v>1394</v>
      </c>
      <c r="D666" s="1442" t="s">
        <v>1447</v>
      </c>
      <c r="E666" s="1442" t="s">
        <v>1394</v>
      </c>
      <c r="F666" s="1442" t="s">
        <v>1381</v>
      </c>
      <c r="G666" s="1442" t="s">
        <v>1470</v>
      </c>
      <c r="H666" s="1442"/>
      <c r="I666" s="1442"/>
      <c r="J666" s="1442"/>
      <c r="K666" s="771" t="s">
        <v>2350</v>
      </c>
      <c r="L666" s="1223"/>
      <c r="M666" s="1223"/>
      <c r="N666" s="1223"/>
      <c r="O666" s="1206">
        <f t="shared" si="108"/>
        <v>0</v>
      </c>
      <c r="P666" s="1223"/>
      <c r="Q666" s="1223"/>
      <c r="R666" s="1223"/>
      <c r="S666" s="1223"/>
      <c r="T666" s="1223"/>
      <c r="U666" s="1223"/>
      <c r="V666" s="1223"/>
      <c r="W666" s="784" t="e">
        <f t="shared" si="107"/>
        <v>#DIV/0!</v>
      </c>
      <c r="X666" s="788"/>
      <c r="Y666" s="788"/>
    </row>
    <row r="667" spans="1:25" s="183" customFormat="1" ht="22.5" customHeight="1" thickTop="1" thickBot="1" x14ac:dyDescent="0.3">
      <c r="A667" s="1441">
        <v>1</v>
      </c>
      <c r="B667" s="1442" t="s">
        <v>1381</v>
      </c>
      <c r="C667" s="1442" t="s">
        <v>1394</v>
      </c>
      <c r="D667" s="1442" t="s">
        <v>1447</v>
      </c>
      <c r="E667" s="1442" t="s">
        <v>1394</v>
      </c>
      <c r="F667" s="1442" t="s">
        <v>1381</v>
      </c>
      <c r="G667" s="1442" t="s">
        <v>1474</v>
      </c>
      <c r="H667" s="1442"/>
      <c r="I667" s="1442"/>
      <c r="J667" s="1442"/>
      <c r="K667" s="771" t="s">
        <v>2351</v>
      </c>
      <c r="L667" s="1223"/>
      <c r="M667" s="1223"/>
      <c r="N667" s="1223"/>
      <c r="O667" s="1206">
        <f t="shared" si="108"/>
        <v>0</v>
      </c>
      <c r="P667" s="1223"/>
      <c r="Q667" s="1223"/>
      <c r="R667" s="1223"/>
      <c r="S667" s="1223"/>
      <c r="T667" s="1223"/>
      <c r="U667" s="1223"/>
      <c r="V667" s="1223"/>
      <c r="W667" s="784" t="e">
        <f t="shared" si="107"/>
        <v>#DIV/0!</v>
      </c>
      <c r="X667" s="788"/>
      <c r="Y667" s="788"/>
    </row>
    <row r="668" spans="1:25" s="183" customFormat="1" ht="22.5" customHeight="1" thickTop="1" thickBot="1" x14ac:dyDescent="0.3">
      <c r="A668" s="1441">
        <v>1</v>
      </c>
      <c r="B668" s="1442" t="s">
        <v>1381</v>
      </c>
      <c r="C668" s="1442" t="s">
        <v>1394</v>
      </c>
      <c r="D668" s="1442" t="s">
        <v>1447</v>
      </c>
      <c r="E668" s="1442" t="s">
        <v>1394</v>
      </c>
      <c r="F668" s="1442" t="s">
        <v>1381</v>
      </c>
      <c r="G668" s="1442" t="s">
        <v>1478</v>
      </c>
      <c r="H668" s="1442"/>
      <c r="I668" s="1442"/>
      <c r="J668" s="1442"/>
      <c r="K668" s="771" t="s">
        <v>2352</v>
      </c>
      <c r="L668" s="1223"/>
      <c r="M668" s="1223"/>
      <c r="N668" s="1223"/>
      <c r="O668" s="1206">
        <f t="shared" si="108"/>
        <v>0</v>
      </c>
      <c r="P668" s="1223"/>
      <c r="Q668" s="1223"/>
      <c r="R668" s="1223"/>
      <c r="S668" s="1223"/>
      <c r="T668" s="1223"/>
      <c r="U668" s="1223"/>
      <c r="V668" s="1223"/>
      <c r="W668" s="784" t="e">
        <f t="shared" si="107"/>
        <v>#DIV/0!</v>
      </c>
      <c r="X668" s="788"/>
      <c r="Y668" s="788"/>
    </row>
    <row r="669" spans="1:25" s="183" customFormat="1" ht="22.5" customHeight="1" thickTop="1" thickBot="1" x14ac:dyDescent="0.3">
      <c r="A669" s="1441">
        <v>1</v>
      </c>
      <c r="B669" s="1442" t="s">
        <v>1381</v>
      </c>
      <c r="C669" s="1442" t="s">
        <v>1394</v>
      </c>
      <c r="D669" s="1442" t="s">
        <v>1447</v>
      </c>
      <c r="E669" s="1442" t="s">
        <v>1394</v>
      </c>
      <c r="F669" s="1442" t="s">
        <v>1381</v>
      </c>
      <c r="G669" s="1442" t="s">
        <v>1576</v>
      </c>
      <c r="H669" s="1442"/>
      <c r="I669" s="1442"/>
      <c r="J669" s="1442"/>
      <c r="K669" s="771" t="s">
        <v>2353</v>
      </c>
      <c r="L669" s="1223"/>
      <c r="M669" s="1223"/>
      <c r="N669" s="1223"/>
      <c r="O669" s="1206">
        <f t="shared" si="108"/>
        <v>0</v>
      </c>
      <c r="P669" s="1223"/>
      <c r="Q669" s="1223"/>
      <c r="R669" s="1223"/>
      <c r="S669" s="1223"/>
      <c r="T669" s="1223"/>
      <c r="U669" s="1223"/>
      <c r="V669" s="1223"/>
      <c r="W669" s="784" t="e">
        <f t="shared" si="107"/>
        <v>#DIV/0!</v>
      </c>
      <c r="X669" s="788"/>
      <c r="Y669" s="788"/>
    </row>
    <row r="670" spans="1:25" s="183" customFormat="1" ht="22.5" customHeight="1" thickTop="1" thickBot="1" x14ac:dyDescent="0.3">
      <c r="A670" s="1441">
        <v>1</v>
      </c>
      <c r="B670" s="1442" t="s">
        <v>1381</v>
      </c>
      <c r="C670" s="1442" t="s">
        <v>1394</v>
      </c>
      <c r="D670" s="1442" t="s">
        <v>1447</v>
      </c>
      <c r="E670" s="1442" t="s">
        <v>1394</v>
      </c>
      <c r="F670" s="1442" t="s">
        <v>1381</v>
      </c>
      <c r="G670" s="1442" t="s">
        <v>1577</v>
      </c>
      <c r="H670" s="1442"/>
      <c r="I670" s="1442"/>
      <c r="J670" s="1442"/>
      <c r="K670" s="771" t="s">
        <v>2354</v>
      </c>
      <c r="L670" s="1223"/>
      <c r="M670" s="1223"/>
      <c r="N670" s="1223"/>
      <c r="O670" s="1206">
        <f t="shared" si="108"/>
        <v>0</v>
      </c>
      <c r="P670" s="1223"/>
      <c r="Q670" s="1223"/>
      <c r="R670" s="1223"/>
      <c r="S670" s="1223"/>
      <c r="T670" s="1223"/>
      <c r="U670" s="1223"/>
      <c r="V670" s="1223"/>
      <c r="W670" s="784" t="e">
        <f t="shared" si="107"/>
        <v>#DIV/0!</v>
      </c>
      <c r="X670" s="788"/>
      <c r="Y670" s="788"/>
    </row>
    <row r="671" spans="1:25" s="183" customFormat="1" ht="22.5" customHeight="1" thickTop="1" thickBot="1" x14ac:dyDescent="0.3">
      <c r="A671" s="1441">
        <v>1</v>
      </c>
      <c r="B671" s="1442" t="s">
        <v>1381</v>
      </c>
      <c r="C671" s="1442" t="s">
        <v>1394</v>
      </c>
      <c r="D671" s="1442" t="s">
        <v>1447</v>
      </c>
      <c r="E671" s="1442" t="s">
        <v>1394</v>
      </c>
      <c r="F671" s="1442" t="s">
        <v>1381</v>
      </c>
      <c r="G671" s="1442" t="s">
        <v>1578</v>
      </c>
      <c r="H671" s="1442"/>
      <c r="I671" s="1442"/>
      <c r="J671" s="1442"/>
      <c r="K671" s="771" t="s">
        <v>2355</v>
      </c>
      <c r="L671" s="1223"/>
      <c r="M671" s="1223"/>
      <c r="N671" s="1223"/>
      <c r="O671" s="1206">
        <f t="shared" si="108"/>
        <v>0</v>
      </c>
      <c r="P671" s="1223"/>
      <c r="Q671" s="1223"/>
      <c r="R671" s="1223"/>
      <c r="S671" s="1223"/>
      <c r="T671" s="1223"/>
      <c r="U671" s="1223"/>
      <c r="V671" s="1223"/>
      <c r="W671" s="784" t="e">
        <f t="shared" si="107"/>
        <v>#DIV/0!</v>
      </c>
      <c r="X671" s="788"/>
      <c r="Y671" s="788"/>
    </row>
    <row r="672" spans="1:25" s="183" customFormat="1" ht="22.5" customHeight="1" thickTop="1" thickBot="1" x14ac:dyDescent="0.3">
      <c r="A672" s="1439">
        <v>1</v>
      </c>
      <c r="B672" s="1440" t="s">
        <v>1381</v>
      </c>
      <c r="C672" s="1440" t="s">
        <v>1394</v>
      </c>
      <c r="D672" s="1440" t="s">
        <v>1447</v>
      </c>
      <c r="E672" s="1440" t="s">
        <v>1394</v>
      </c>
      <c r="F672" s="1440" t="s">
        <v>1394</v>
      </c>
      <c r="G672" s="1440"/>
      <c r="H672" s="1440"/>
      <c r="I672" s="1440"/>
      <c r="J672" s="1440"/>
      <c r="K672" s="770" t="s">
        <v>2054</v>
      </c>
      <c r="L672" s="1222">
        <f>SUM(L673:L683)</f>
        <v>0</v>
      </c>
      <c r="M672" s="1222">
        <f t="shared" ref="M672:V672" si="111">SUM(M673:M683)</f>
        <v>0</v>
      </c>
      <c r="N672" s="1222">
        <f t="shared" si="111"/>
        <v>0</v>
      </c>
      <c r="O672" s="1206">
        <f t="shared" si="108"/>
        <v>0</v>
      </c>
      <c r="P672" s="1222">
        <f t="shared" si="111"/>
        <v>0</v>
      </c>
      <c r="Q672" s="1222">
        <f t="shared" si="111"/>
        <v>0</v>
      </c>
      <c r="R672" s="1222">
        <f t="shared" si="111"/>
        <v>0</v>
      </c>
      <c r="S672" s="1222"/>
      <c r="T672" s="1222">
        <f t="shared" si="111"/>
        <v>0</v>
      </c>
      <c r="U672" s="1222">
        <f t="shared" si="111"/>
        <v>0</v>
      </c>
      <c r="V672" s="1222">
        <f t="shared" si="111"/>
        <v>0</v>
      </c>
      <c r="W672" s="786" t="e">
        <f t="shared" si="107"/>
        <v>#DIV/0!</v>
      </c>
      <c r="X672" s="788" t="s">
        <v>2064</v>
      </c>
      <c r="Y672" s="788"/>
    </row>
    <row r="673" spans="1:25" s="183" customFormat="1" ht="22.5" customHeight="1" thickTop="1" thickBot="1" x14ac:dyDescent="0.3">
      <c r="A673" s="1441">
        <v>1</v>
      </c>
      <c r="B673" s="1442" t="s">
        <v>1381</v>
      </c>
      <c r="C673" s="1442" t="s">
        <v>1394</v>
      </c>
      <c r="D673" s="1442" t="s">
        <v>1447</v>
      </c>
      <c r="E673" s="1442" t="s">
        <v>1394</v>
      </c>
      <c r="F673" s="1442" t="s">
        <v>1394</v>
      </c>
      <c r="G673" s="1442" t="s">
        <v>1381</v>
      </c>
      <c r="H673" s="1442"/>
      <c r="I673" s="1442"/>
      <c r="J673" s="1442"/>
      <c r="K673" s="771" t="s">
        <v>2356</v>
      </c>
      <c r="L673" s="1223"/>
      <c r="M673" s="1223"/>
      <c r="N673" s="1223"/>
      <c r="O673" s="1206">
        <f t="shared" si="108"/>
        <v>0</v>
      </c>
      <c r="P673" s="1223"/>
      <c r="Q673" s="1223"/>
      <c r="R673" s="1223"/>
      <c r="S673" s="1223"/>
      <c r="T673" s="1223"/>
      <c r="U673" s="1223"/>
      <c r="V673" s="1223"/>
      <c r="W673" s="784" t="e">
        <f t="shared" si="107"/>
        <v>#DIV/0!</v>
      </c>
      <c r="X673" s="788"/>
      <c r="Y673" s="788"/>
    </row>
    <row r="674" spans="1:25" s="183" customFormat="1" ht="22.5" customHeight="1" thickTop="1" thickBot="1" x14ac:dyDescent="0.3">
      <c r="A674" s="1441">
        <v>1</v>
      </c>
      <c r="B674" s="1442" t="s">
        <v>1381</v>
      </c>
      <c r="C674" s="1442" t="s">
        <v>1394</v>
      </c>
      <c r="D674" s="1442" t="s">
        <v>1447</v>
      </c>
      <c r="E674" s="1442" t="s">
        <v>1394</v>
      </c>
      <c r="F674" s="1442" t="s">
        <v>1394</v>
      </c>
      <c r="G674" s="1442" t="s">
        <v>1394</v>
      </c>
      <c r="H674" s="1442"/>
      <c r="I674" s="1442"/>
      <c r="J674" s="1442"/>
      <c r="K674" s="771" t="s">
        <v>2357</v>
      </c>
      <c r="L674" s="1223"/>
      <c r="M674" s="1223"/>
      <c r="N674" s="1223"/>
      <c r="O674" s="1206">
        <f t="shared" si="108"/>
        <v>0</v>
      </c>
      <c r="P674" s="1223"/>
      <c r="Q674" s="1223"/>
      <c r="R674" s="1223"/>
      <c r="S674" s="1223"/>
      <c r="T674" s="1223"/>
      <c r="U674" s="1223"/>
      <c r="V674" s="1223"/>
      <c r="W674" s="784" t="e">
        <f t="shared" si="107"/>
        <v>#DIV/0!</v>
      </c>
      <c r="X674" s="788"/>
      <c r="Y674" s="788"/>
    </row>
    <row r="675" spans="1:25" s="183" customFormat="1" ht="22.5" customHeight="1" thickTop="1" thickBot="1" x14ac:dyDescent="0.3">
      <c r="A675" s="1441">
        <v>1</v>
      </c>
      <c r="B675" s="1442" t="s">
        <v>1381</v>
      </c>
      <c r="C675" s="1442" t="s">
        <v>1394</v>
      </c>
      <c r="D675" s="1442" t="s">
        <v>1447</v>
      </c>
      <c r="E675" s="1442" t="s">
        <v>1394</v>
      </c>
      <c r="F675" s="1442" t="s">
        <v>1394</v>
      </c>
      <c r="G675" s="1442" t="s">
        <v>1418</v>
      </c>
      <c r="H675" s="1442"/>
      <c r="I675" s="1442"/>
      <c r="J675" s="1442"/>
      <c r="K675" s="771" t="s">
        <v>2358</v>
      </c>
      <c r="L675" s="1223"/>
      <c r="M675" s="1223"/>
      <c r="N675" s="1223"/>
      <c r="O675" s="1206">
        <f t="shared" si="108"/>
        <v>0</v>
      </c>
      <c r="P675" s="1223"/>
      <c r="Q675" s="1223"/>
      <c r="R675" s="1223"/>
      <c r="S675" s="1223"/>
      <c r="T675" s="1223"/>
      <c r="U675" s="1223"/>
      <c r="V675" s="1223"/>
      <c r="W675" s="784" t="e">
        <f t="shared" si="107"/>
        <v>#DIV/0!</v>
      </c>
      <c r="X675" s="788"/>
      <c r="Y675" s="788"/>
    </row>
    <row r="676" spans="1:25" s="183" customFormat="1" ht="22.5" customHeight="1" thickTop="1" thickBot="1" x14ac:dyDescent="0.3">
      <c r="A676" s="1441">
        <v>1</v>
      </c>
      <c r="B676" s="1442" t="s">
        <v>1381</v>
      </c>
      <c r="C676" s="1442" t="s">
        <v>1394</v>
      </c>
      <c r="D676" s="1442" t="s">
        <v>1447</v>
      </c>
      <c r="E676" s="1442" t="s">
        <v>1394</v>
      </c>
      <c r="F676" s="1442" t="s">
        <v>1394</v>
      </c>
      <c r="G676" s="1442" t="s">
        <v>1422</v>
      </c>
      <c r="H676" s="1442"/>
      <c r="I676" s="1442"/>
      <c r="J676" s="1442"/>
      <c r="K676" s="771" t="s">
        <v>2359</v>
      </c>
      <c r="L676" s="1223"/>
      <c r="M676" s="1223"/>
      <c r="N676" s="1223"/>
      <c r="O676" s="1206">
        <f t="shared" si="108"/>
        <v>0</v>
      </c>
      <c r="P676" s="1223"/>
      <c r="Q676" s="1223"/>
      <c r="R676" s="1223"/>
      <c r="S676" s="1223"/>
      <c r="T676" s="1223"/>
      <c r="U676" s="1223"/>
      <c r="V676" s="1223"/>
      <c r="W676" s="784" t="e">
        <f t="shared" si="107"/>
        <v>#DIV/0!</v>
      </c>
      <c r="X676" s="788"/>
      <c r="Y676" s="788"/>
    </row>
    <row r="677" spans="1:25" s="183" customFormat="1" ht="22.5" customHeight="1" thickTop="1" thickBot="1" x14ac:dyDescent="0.3">
      <c r="A677" s="1441">
        <v>1</v>
      </c>
      <c r="B677" s="1442" t="s">
        <v>1381</v>
      </c>
      <c r="C677" s="1442" t="s">
        <v>1394</v>
      </c>
      <c r="D677" s="1442" t="s">
        <v>1447</v>
      </c>
      <c r="E677" s="1442" t="s">
        <v>1394</v>
      </c>
      <c r="F677" s="1442" t="s">
        <v>1394</v>
      </c>
      <c r="G677" s="1442" t="s">
        <v>1447</v>
      </c>
      <c r="H677" s="1442"/>
      <c r="I677" s="1442"/>
      <c r="J677" s="1442"/>
      <c r="K677" s="771" t="s">
        <v>2360</v>
      </c>
      <c r="L677" s="1223"/>
      <c r="M677" s="1223"/>
      <c r="N677" s="1223"/>
      <c r="O677" s="1206">
        <f t="shared" si="108"/>
        <v>0</v>
      </c>
      <c r="P677" s="1223"/>
      <c r="Q677" s="1223"/>
      <c r="R677" s="1223"/>
      <c r="S677" s="1223"/>
      <c r="T677" s="1223"/>
      <c r="U677" s="1223"/>
      <c r="V677" s="1223"/>
      <c r="W677" s="784" t="e">
        <f t="shared" si="107"/>
        <v>#DIV/0!</v>
      </c>
      <c r="X677" s="788"/>
      <c r="Y677" s="788"/>
    </row>
    <row r="678" spans="1:25" s="183" customFormat="1" ht="22.5" customHeight="1" thickTop="1" thickBot="1" x14ac:dyDescent="0.3">
      <c r="A678" s="1441">
        <v>1</v>
      </c>
      <c r="B678" s="1442" t="s">
        <v>1381</v>
      </c>
      <c r="C678" s="1442" t="s">
        <v>1394</v>
      </c>
      <c r="D678" s="1442" t="s">
        <v>1447</v>
      </c>
      <c r="E678" s="1442" t="s">
        <v>1394</v>
      </c>
      <c r="F678" s="1442" t="s">
        <v>1394</v>
      </c>
      <c r="G678" s="1442" t="s">
        <v>1470</v>
      </c>
      <c r="H678" s="1442"/>
      <c r="I678" s="1442"/>
      <c r="J678" s="1442"/>
      <c r="K678" s="771" t="s">
        <v>2361</v>
      </c>
      <c r="L678" s="1223"/>
      <c r="M678" s="1223"/>
      <c r="N678" s="1223"/>
      <c r="O678" s="1206">
        <f t="shared" si="108"/>
        <v>0</v>
      </c>
      <c r="P678" s="1223"/>
      <c r="Q678" s="1223"/>
      <c r="R678" s="1223"/>
      <c r="S678" s="1223"/>
      <c r="T678" s="1223"/>
      <c r="U678" s="1223"/>
      <c r="V678" s="1223"/>
      <c r="W678" s="784" t="e">
        <f t="shared" si="107"/>
        <v>#DIV/0!</v>
      </c>
      <c r="X678" s="788"/>
      <c r="Y678" s="788"/>
    </row>
    <row r="679" spans="1:25" s="183" customFormat="1" ht="22.5" customHeight="1" thickTop="1" thickBot="1" x14ac:dyDescent="0.3">
      <c r="A679" s="1441">
        <v>1</v>
      </c>
      <c r="B679" s="1442" t="s">
        <v>1381</v>
      </c>
      <c r="C679" s="1442" t="s">
        <v>1394</v>
      </c>
      <c r="D679" s="1442" t="s">
        <v>1447</v>
      </c>
      <c r="E679" s="1442" t="s">
        <v>1394</v>
      </c>
      <c r="F679" s="1442" t="s">
        <v>1394</v>
      </c>
      <c r="G679" s="1442" t="s">
        <v>1474</v>
      </c>
      <c r="H679" s="1442"/>
      <c r="I679" s="1442"/>
      <c r="J679" s="1442"/>
      <c r="K679" s="771" t="s">
        <v>2362</v>
      </c>
      <c r="L679" s="1223"/>
      <c r="M679" s="1223"/>
      <c r="N679" s="1223"/>
      <c r="O679" s="1206">
        <f t="shared" si="108"/>
        <v>0</v>
      </c>
      <c r="P679" s="1223"/>
      <c r="Q679" s="1223"/>
      <c r="R679" s="1223"/>
      <c r="S679" s="1223"/>
      <c r="T679" s="1223"/>
      <c r="U679" s="1223"/>
      <c r="V679" s="1223"/>
      <c r="W679" s="784" t="e">
        <f t="shared" si="107"/>
        <v>#DIV/0!</v>
      </c>
      <c r="X679" s="788"/>
      <c r="Y679" s="788"/>
    </row>
    <row r="680" spans="1:25" s="183" customFormat="1" ht="22.5" customHeight="1" thickTop="1" thickBot="1" x14ac:dyDescent="0.3">
      <c r="A680" s="1441">
        <v>1</v>
      </c>
      <c r="B680" s="1442" t="s">
        <v>1381</v>
      </c>
      <c r="C680" s="1442" t="s">
        <v>1394</v>
      </c>
      <c r="D680" s="1442" t="s">
        <v>1447</v>
      </c>
      <c r="E680" s="1442" t="s">
        <v>1394</v>
      </c>
      <c r="F680" s="1442" t="s">
        <v>1394</v>
      </c>
      <c r="G680" s="1442" t="s">
        <v>1478</v>
      </c>
      <c r="H680" s="1442"/>
      <c r="I680" s="1442"/>
      <c r="J680" s="1442"/>
      <c r="K680" s="771" t="s">
        <v>2363</v>
      </c>
      <c r="L680" s="1223"/>
      <c r="M680" s="1223"/>
      <c r="N680" s="1223"/>
      <c r="O680" s="1206">
        <f t="shared" si="108"/>
        <v>0</v>
      </c>
      <c r="P680" s="1223"/>
      <c r="Q680" s="1223"/>
      <c r="R680" s="1223"/>
      <c r="S680" s="1223"/>
      <c r="T680" s="1223"/>
      <c r="U680" s="1223"/>
      <c r="V680" s="1223"/>
      <c r="W680" s="784" t="e">
        <f t="shared" si="107"/>
        <v>#DIV/0!</v>
      </c>
      <c r="X680" s="788"/>
      <c r="Y680" s="788"/>
    </row>
    <row r="681" spans="1:25" s="183" customFormat="1" ht="22.5" customHeight="1" thickTop="1" thickBot="1" x14ac:dyDescent="0.3">
      <c r="A681" s="1441">
        <v>1</v>
      </c>
      <c r="B681" s="1442" t="s">
        <v>1381</v>
      </c>
      <c r="C681" s="1442" t="s">
        <v>1394</v>
      </c>
      <c r="D681" s="1442" t="s">
        <v>1447</v>
      </c>
      <c r="E681" s="1442" t="s">
        <v>1394</v>
      </c>
      <c r="F681" s="1442" t="s">
        <v>1394</v>
      </c>
      <c r="G681" s="1442" t="s">
        <v>1576</v>
      </c>
      <c r="H681" s="1442"/>
      <c r="I681" s="1442"/>
      <c r="J681" s="1442"/>
      <c r="K681" s="771" t="s">
        <v>2364</v>
      </c>
      <c r="L681" s="1223"/>
      <c r="M681" s="1223"/>
      <c r="N681" s="1223"/>
      <c r="O681" s="1206">
        <f t="shared" si="108"/>
        <v>0</v>
      </c>
      <c r="P681" s="1223"/>
      <c r="Q681" s="1223"/>
      <c r="R681" s="1223"/>
      <c r="S681" s="1223"/>
      <c r="T681" s="1223"/>
      <c r="U681" s="1223"/>
      <c r="V681" s="1223"/>
      <c r="W681" s="784" t="e">
        <f t="shared" si="107"/>
        <v>#DIV/0!</v>
      </c>
      <c r="X681" s="788"/>
      <c r="Y681" s="788"/>
    </row>
    <row r="682" spans="1:25" s="183" customFormat="1" ht="22.5" customHeight="1" thickTop="1" thickBot="1" x14ac:dyDescent="0.3">
      <c r="A682" s="1441">
        <v>1</v>
      </c>
      <c r="B682" s="1442" t="s">
        <v>1381</v>
      </c>
      <c r="C682" s="1442" t="s">
        <v>1394</v>
      </c>
      <c r="D682" s="1442" t="s">
        <v>1447</v>
      </c>
      <c r="E682" s="1442" t="s">
        <v>1394</v>
      </c>
      <c r="F682" s="1442" t="s">
        <v>1394</v>
      </c>
      <c r="G682" s="1442" t="s">
        <v>1577</v>
      </c>
      <c r="H682" s="1442"/>
      <c r="I682" s="1442"/>
      <c r="J682" s="1442"/>
      <c r="K682" s="771" t="s">
        <v>2365</v>
      </c>
      <c r="L682" s="1223"/>
      <c r="M682" s="1223"/>
      <c r="N682" s="1223"/>
      <c r="O682" s="1206">
        <f t="shared" si="108"/>
        <v>0</v>
      </c>
      <c r="P682" s="1223"/>
      <c r="Q682" s="1223"/>
      <c r="R682" s="1223"/>
      <c r="S682" s="1223"/>
      <c r="T682" s="1223"/>
      <c r="U682" s="1223"/>
      <c r="V682" s="1223"/>
      <c r="W682" s="784" t="e">
        <f t="shared" si="107"/>
        <v>#DIV/0!</v>
      </c>
      <c r="X682" s="788"/>
      <c r="Y682" s="788"/>
    </row>
    <row r="683" spans="1:25" s="183" customFormat="1" ht="22.5" customHeight="1" thickTop="1" thickBot="1" x14ac:dyDescent="0.3">
      <c r="A683" s="1441">
        <v>1</v>
      </c>
      <c r="B683" s="1442" t="s">
        <v>1381</v>
      </c>
      <c r="C683" s="1442" t="s">
        <v>1394</v>
      </c>
      <c r="D683" s="1442" t="s">
        <v>1447</v>
      </c>
      <c r="E683" s="1442" t="s">
        <v>1394</v>
      </c>
      <c r="F683" s="1442" t="s">
        <v>1394</v>
      </c>
      <c r="G683" s="1442" t="s">
        <v>1578</v>
      </c>
      <c r="H683" s="1442"/>
      <c r="I683" s="1442"/>
      <c r="J683" s="1442"/>
      <c r="K683" s="771" t="s">
        <v>2366</v>
      </c>
      <c r="L683" s="1223"/>
      <c r="M683" s="1223"/>
      <c r="N683" s="1223"/>
      <c r="O683" s="1206">
        <f t="shared" si="108"/>
        <v>0</v>
      </c>
      <c r="P683" s="1223"/>
      <c r="Q683" s="1223"/>
      <c r="R683" s="1223"/>
      <c r="S683" s="1223"/>
      <c r="T683" s="1223"/>
      <c r="U683" s="1223"/>
      <c r="V683" s="1223"/>
      <c r="W683" s="784" t="e">
        <f t="shared" si="107"/>
        <v>#DIV/0!</v>
      </c>
      <c r="X683" s="788"/>
      <c r="Y683" s="788"/>
    </row>
    <row r="684" spans="1:25" s="183" customFormat="1" ht="22.5" customHeight="1" thickTop="1" thickBot="1" x14ac:dyDescent="0.3">
      <c r="A684" s="1441">
        <v>1</v>
      </c>
      <c r="B684" s="1442" t="s">
        <v>1381</v>
      </c>
      <c r="C684" s="1442" t="s">
        <v>1394</v>
      </c>
      <c r="D684" s="1442" t="s">
        <v>1470</v>
      </c>
      <c r="E684" s="1442"/>
      <c r="F684" s="1442"/>
      <c r="G684" s="1442"/>
      <c r="H684" s="1442"/>
      <c r="I684" s="1442"/>
      <c r="J684" s="1442"/>
      <c r="K684" s="771" t="s">
        <v>2630</v>
      </c>
      <c r="L684" s="1223">
        <f>+L685</f>
        <v>0</v>
      </c>
      <c r="M684" s="1223">
        <f t="shared" ref="M684:V684" si="112">+M685</f>
        <v>0</v>
      </c>
      <c r="N684" s="1223">
        <f t="shared" si="112"/>
        <v>0</v>
      </c>
      <c r="O684" s="1206">
        <f t="shared" si="108"/>
        <v>0</v>
      </c>
      <c r="P684" s="1223">
        <f t="shared" si="112"/>
        <v>0</v>
      </c>
      <c r="Q684" s="1223">
        <f t="shared" si="112"/>
        <v>0</v>
      </c>
      <c r="R684" s="1223">
        <f t="shared" si="112"/>
        <v>0</v>
      </c>
      <c r="S684" s="1223"/>
      <c r="T684" s="1223">
        <f t="shared" si="112"/>
        <v>0</v>
      </c>
      <c r="U684" s="1223">
        <f t="shared" si="112"/>
        <v>0</v>
      </c>
      <c r="V684" s="1223">
        <f t="shared" si="112"/>
        <v>0</v>
      </c>
      <c r="W684" s="784" t="e">
        <f t="shared" si="107"/>
        <v>#DIV/0!</v>
      </c>
      <c r="X684" s="788" t="s">
        <v>2633</v>
      </c>
      <c r="Y684" s="788"/>
    </row>
    <row r="685" spans="1:25" s="183" customFormat="1" ht="22.5" customHeight="1" thickTop="1" thickBot="1" x14ac:dyDescent="0.3">
      <c r="A685" s="1441">
        <v>1</v>
      </c>
      <c r="B685" s="1442" t="s">
        <v>1381</v>
      </c>
      <c r="C685" s="1442" t="s">
        <v>1394</v>
      </c>
      <c r="D685" s="1442" t="s">
        <v>1470</v>
      </c>
      <c r="E685" s="1442" t="s">
        <v>1381</v>
      </c>
      <c r="F685" s="1442"/>
      <c r="G685" s="1442"/>
      <c r="H685" s="1442"/>
      <c r="I685" s="1442"/>
      <c r="J685" s="1442"/>
      <c r="K685" s="771" t="s">
        <v>2631</v>
      </c>
      <c r="L685" s="1223">
        <f>SUM(L686:L696)</f>
        <v>0</v>
      </c>
      <c r="M685" s="1223">
        <f t="shared" ref="M685:V685" si="113">SUM(M686:M696)</f>
        <v>0</v>
      </c>
      <c r="N685" s="1223">
        <f t="shared" si="113"/>
        <v>0</v>
      </c>
      <c r="O685" s="1206">
        <f t="shared" si="108"/>
        <v>0</v>
      </c>
      <c r="P685" s="1223">
        <f t="shared" si="113"/>
        <v>0</v>
      </c>
      <c r="Q685" s="1223">
        <f t="shared" si="113"/>
        <v>0</v>
      </c>
      <c r="R685" s="1223">
        <f t="shared" si="113"/>
        <v>0</v>
      </c>
      <c r="S685" s="1223"/>
      <c r="T685" s="1223">
        <f t="shared" si="113"/>
        <v>0</v>
      </c>
      <c r="U685" s="1223">
        <f t="shared" si="113"/>
        <v>0</v>
      </c>
      <c r="V685" s="1223">
        <f t="shared" si="113"/>
        <v>0</v>
      </c>
      <c r="W685" s="784" t="e">
        <f t="shared" si="107"/>
        <v>#DIV/0!</v>
      </c>
      <c r="X685" s="788" t="s">
        <v>2632</v>
      </c>
      <c r="Y685" s="788"/>
    </row>
    <row r="686" spans="1:25" s="183" customFormat="1" ht="22.5" customHeight="1" thickTop="1" thickBot="1" x14ac:dyDescent="0.3">
      <c r="A686" s="1441">
        <v>1</v>
      </c>
      <c r="B686" s="1442" t="s">
        <v>1381</v>
      </c>
      <c r="C686" s="1442" t="s">
        <v>1394</v>
      </c>
      <c r="D686" s="1442" t="s">
        <v>1470</v>
      </c>
      <c r="E686" s="1442" t="s">
        <v>1381</v>
      </c>
      <c r="F686" s="1442" t="s">
        <v>1381</v>
      </c>
      <c r="G686" s="1442"/>
      <c r="H686" s="1442"/>
      <c r="I686" s="1442"/>
      <c r="J686" s="1442"/>
      <c r="K686" s="771" t="s">
        <v>2634</v>
      </c>
      <c r="L686" s="1223"/>
      <c r="M686" s="1223"/>
      <c r="N686" s="1223"/>
      <c r="O686" s="1206">
        <f t="shared" si="108"/>
        <v>0</v>
      </c>
      <c r="P686" s="1223"/>
      <c r="Q686" s="1223"/>
      <c r="R686" s="1223"/>
      <c r="S686" s="1223"/>
      <c r="T686" s="1223"/>
      <c r="U686" s="1223"/>
      <c r="V686" s="1223"/>
      <c r="W686" s="784" t="e">
        <f t="shared" si="107"/>
        <v>#DIV/0!</v>
      </c>
      <c r="X686" s="788"/>
      <c r="Y686" s="788"/>
    </row>
    <row r="687" spans="1:25" s="183" customFormat="1" ht="22.5" customHeight="1" thickTop="1" thickBot="1" x14ac:dyDescent="0.3">
      <c r="A687" s="1441">
        <v>2</v>
      </c>
      <c r="B687" s="1442" t="s">
        <v>1381</v>
      </c>
      <c r="C687" s="1442" t="s">
        <v>1394</v>
      </c>
      <c r="D687" s="1442" t="s">
        <v>1470</v>
      </c>
      <c r="E687" s="1442" t="s">
        <v>1381</v>
      </c>
      <c r="F687" s="1442" t="s">
        <v>1394</v>
      </c>
      <c r="G687" s="1442"/>
      <c r="H687" s="1442"/>
      <c r="I687" s="1442"/>
      <c r="J687" s="1442"/>
      <c r="K687" s="771" t="s">
        <v>2635</v>
      </c>
      <c r="L687" s="1223"/>
      <c r="M687" s="1223"/>
      <c r="N687" s="1223"/>
      <c r="O687" s="1206">
        <f t="shared" si="108"/>
        <v>0</v>
      </c>
      <c r="P687" s="1223"/>
      <c r="Q687" s="1223"/>
      <c r="R687" s="1223"/>
      <c r="S687" s="1223"/>
      <c r="T687" s="1223"/>
      <c r="U687" s="1223"/>
      <c r="V687" s="1223"/>
      <c r="W687" s="784" t="e">
        <f t="shared" si="107"/>
        <v>#DIV/0!</v>
      </c>
      <c r="X687" s="788"/>
      <c r="Y687" s="788"/>
    </row>
    <row r="688" spans="1:25" s="183" customFormat="1" ht="22.5" customHeight="1" thickTop="1" thickBot="1" x14ac:dyDescent="0.3">
      <c r="A688" s="1441">
        <v>3</v>
      </c>
      <c r="B688" s="1442" t="s">
        <v>1381</v>
      </c>
      <c r="C688" s="1442" t="s">
        <v>1394</v>
      </c>
      <c r="D688" s="1442" t="s">
        <v>1470</v>
      </c>
      <c r="E688" s="1442" t="s">
        <v>1381</v>
      </c>
      <c r="F688" s="1442" t="s">
        <v>1418</v>
      </c>
      <c r="G688" s="1442"/>
      <c r="H688" s="1442"/>
      <c r="I688" s="1442"/>
      <c r="J688" s="1442"/>
      <c r="K688" s="771" t="s">
        <v>2636</v>
      </c>
      <c r="L688" s="1223"/>
      <c r="M688" s="1223"/>
      <c r="N688" s="1223"/>
      <c r="O688" s="1206">
        <f t="shared" si="108"/>
        <v>0</v>
      </c>
      <c r="P688" s="1223"/>
      <c r="Q688" s="1223"/>
      <c r="R688" s="1223"/>
      <c r="S688" s="1223"/>
      <c r="T688" s="1223"/>
      <c r="U688" s="1223"/>
      <c r="V688" s="1223"/>
      <c r="W688" s="784" t="e">
        <f t="shared" si="107"/>
        <v>#DIV/0!</v>
      </c>
      <c r="X688" s="788"/>
      <c r="Y688" s="788"/>
    </row>
    <row r="689" spans="1:25" s="183" customFormat="1" ht="22.5" customHeight="1" thickTop="1" thickBot="1" x14ac:dyDescent="0.3">
      <c r="A689" s="1441">
        <v>4</v>
      </c>
      <c r="B689" s="1442" t="s">
        <v>1381</v>
      </c>
      <c r="C689" s="1442" t="s">
        <v>1394</v>
      </c>
      <c r="D689" s="1442" t="s">
        <v>1470</v>
      </c>
      <c r="E689" s="1442" t="s">
        <v>1381</v>
      </c>
      <c r="F689" s="1442" t="s">
        <v>1422</v>
      </c>
      <c r="G689" s="1442"/>
      <c r="H689" s="1442"/>
      <c r="I689" s="1442"/>
      <c r="J689" s="1442"/>
      <c r="K689" s="771" t="s">
        <v>2637</v>
      </c>
      <c r="L689" s="1223"/>
      <c r="M689" s="1223"/>
      <c r="N689" s="1223"/>
      <c r="O689" s="1206">
        <f t="shared" si="108"/>
        <v>0</v>
      </c>
      <c r="P689" s="1223"/>
      <c r="Q689" s="1223"/>
      <c r="R689" s="1223"/>
      <c r="S689" s="1223"/>
      <c r="T689" s="1223"/>
      <c r="U689" s="1223"/>
      <c r="V689" s="1223"/>
      <c r="W689" s="784" t="e">
        <f t="shared" si="107"/>
        <v>#DIV/0!</v>
      </c>
      <c r="X689" s="788"/>
      <c r="Y689" s="788"/>
    </row>
    <row r="690" spans="1:25" s="183" customFormat="1" ht="22.5" customHeight="1" thickTop="1" thickBot="1" x14ac:dyDescent="0.3">
      <c r="A690" s="1441">
        <v>5</v>
      </c>
      <c r="B690" s="1442" t="s">
        <v>1381</v>
      </c>
      <c r="C690" s="1442" t="s">
        <v>1394</v>
      </c>
      <c r="D690" s="1442" t="s">
        <v>1470</v>
      </c>
      <c r="E690" s="1442" t="s">
        <v>1381</v>
      </c>
      <c r="F690" s="1442" t="s">
        <v>1447</v>
      </c>
      <c r="G690" s="1442"/>
      <c r="H690" s="1442"/>
      <c r="I690" s="1442"/>
      <c r="J690" s="1442"/>
      <c r="K690" s="771" t="s">
        <v>2638</v>
      </c>
      <c r="L690" s="1223"/>
      <c r="M690" s="1223"/>
      <c r="N690" s="1223"/>
      <c r="O690" s="1206">
        <f t="shared" si="108"/>
        <v>0</v>
      </c>
      <c r="P690" s="1223"/>
      <c r="Q690" s="1223"/>
      <c r="R690" s="1223"/>
      <c r="S690" s="1223"/>
      <c r="T690" s="1223"/>
      <c r="U690" s="1223"/>
      <c r="V690" s="1223"/>
      <c r="W690" s="784" t="e">
        <f t="shared" si="107"/>
        <v>#DIV/0!</v>
      </c>
      <c r="X690" s="788"/>
      <c r="Y690" s="788"/>
    </row>
    <row r="691" spans="1:25" s="183" customFormat="1" ht="22.5" customHeight="1" thickTop="1" thickBot="1" x14ac:dyDescent="0.3">
      <c r="A691" s="1441">
        <v>6</v>
      </c>
      <c r="B691" s="1442" t="s">
        <v>1381</v>
      </c>
      <c r="C691" s="1442" t="s">
        <v>1394</v>
      </c>
      <c r="D691" s="1442" t="s">
        <v>1470</v>
      </c>
      <c r="E691" s="1442" t="s">
        <v>1381</v>
      </c>
      <c r="F691" s="1442" t="s">
        <v>1470</v>
      </c>
      <c r="G691" s="1442"/>
      <c r="H691" s="1442"/>
      <c r="I691" s="1442"/>
      <c r="J691" s="1442"/>
      <c r="K691" s="771" t="s">
        <v>2639</v>
      </c>
      <c r="L691" s="1223"/>
      <c r="M691" s="1223"/>
      <c r="N691" s="1223"/>
      <c r="O691" s="1206">
        <f t="shared" si="108"/>
        <v>0</v>
      </c>
      <c r="P691" s="1223"/>
      <c r="Q691" s="1223"/>
      <c r="R691" s="1223"/>
      <c r="S691" s="1223"/>
      <c r="T691" s="1223"/>
      <c r="U691" s="1223"/>
      <c r="V691" s="1223"/>
      <c r="W691" s="784" t="e">
        <f t="shared" si="107"/>
        <v>#DIV/0!</v>
      </c>
      <c r="X691" s="788"/>
      <c r="Y691" s="788"/>
    </row>
    <row r="692" spans="1:25" s="183" customFormat="1" ht="22.5" customHeight="1" thickTop="1" thickBot="1" x14ac:dyDescent="0.3">
      <c r="A692" s="1441">
        <v>7</v>
      </c>
      <c r="B692" s="1442" t="s">
        <v>1381</v>
      </c>
      <c r="C692" s="1442" t="s">
        <v>1394</v>
      </c>
      <c r="D692" s="1442" t="s">
        <v>1470</v>
      </c>
      <c r="E692" s="1442" t="s">
        <v>1381</v>
      </c>
      <c r="F692" s="1442" t="s">
        <v>1474</v>
      </c>
      <c r="G692" s="1442"/>
      <c r="H692" s="1442"/>
      <c r="I692" s="1442"/>
      <c r="J692" s="1442"/>
      <c r="K692" s="771" t="s">
        <v>2640</v>
      </c>
      <c r="L692" s="1223"/>
      <c r="M692" s="1223"/>
      <c r="N692" s="1223"/>
      <c r="O692" s="1206">
        <f t="shared" si="108"/>
        <v>0</v>
      </c>
      <c r="P692" s="1223"/>
      <c r="Q692" s="1223"/>
      <c r="R692" s="1223"/>
      <c r="S692" s="1223"/>
      <c r="T692" s="1223"/>
      <c r="U692" s="1223"/>
      <c r="V692" s="1223"/>
      <c r="W692" s="784" t="e">
        <f t="shared" si="107"/>
        <v>#DIV/0!</v>
      </c>
      <c r="X692" s="788"/>
      <c r="Y692" s="788"/>
    </row>
    <row r="693" spans="1:25" s="183" customFormat="1" ht="22.5" customHeight="1" thickTop="1" thickBot="1" x14ac:dyDescent="0.3">
      <c r="A693" s="1441">
        <v>8</v>
      </c>
      <c r="B693" s="1442" t="s">
        <v>1381</v>
      </c>
      <c r="C693" s="1442" t="s">
        <v>1394</v>
      </c>
      <c r="D693" s="1442" t="s">
        <v>1470</v>
      </c>
      <c r="E693" s="1442" t="s">
        <v>1381</v>
      </c>
      <c r="F693" s="1442" t="s">
        <v>1478</v>
      </c>
      <c r="G693" s="1442"/>
      <c r="H693" s="1442"/>
      <c r="I693" s="1442"/>
      <c r="J693" s="1442"/>
      <c r="K693" s="771" t="s">
        <v>2641</v>
      </c>
      <c r="L693" s="1223"/>
      <c r="M693" s="1223"/>
      <c r="N693" s="1223"/>
      <c r="O693" s="1206">
        <f t="shared" si="108"/>
        <v>0</v>
      </c>
      <c r="P693" s="1223"/>
      <c r="Q693" s="1223"/>
      <c r="R693" s="1223"/>
      <c r="S693" s="1223"/>
      <c r="T693" s="1223"/>
      <c r="U693" s="1223"/>
      <c r="V693" s="1223"/>
      <c r="W693" s="784" t="e">
        <f t="shared" si="107"/>
        <v>#DIV/0!</v>
      </c>
      <c r="X693" s="788"/>
      <c r="Y693" s="788"/>
    </row>
    <row r="694" spans="1:25" s="183" customFormat="1" ht="22.5" customHeight="1" thickTop="1" thickBot="1" x14ac:dyDescent="0.3">
      <c r="A694" s="1441">
        <v>9</v>
      </c>
      <c r="B694" s="1442" t="s">
        <v>1381</v>
      </c>
      <c r="C694" s="1442" t="s">
        <v>1394</v>
      </c>
      <c r="D694" s="1442" t="s">
        <v>1470</v>
      </c>
      <c r="E694" s="1442" t="s">
        <v>1381</v>
      </c>
      <c r="F694" s="1442" t="s">
        <v>1576</v>
      </c>
      <c r="G694" s="1442"/>
      <c r="H694" s="1442"/>
      <c r="I694" s="1442"/>
      <c r="J694" s="1442"/>
      <c r="K694" s="771" t="s">
        <v>2642</v>
      </c>
      <c r="L694" s="1223"/>
      <c r="M694" s="1223"/>
      <c r="N694" s="1223"/>
      <c r="O694" s="1206">
        <f t="shared" si="108"/>
        <v>0</v>
      </c>
      <c r="P694" s="1223"/>
      <c r="Q694" s="1223"/>
      <c r="R694" s="1223"/>
      <c r="S694" s="1223"/>
      <c r="T694" s="1223"/>
      <c r="U694" s="1223"/>
      <c r="V694" s="1223"/>
      <c r="W694" s="784" t="e">
        <f t="shared" si="107"/>
        <v>#DIV/0!</v>
      </c>
      <c r="X694" s="788"/>
      <c r="Y694" s="788"/>
    </row>
    <row r="695" spans="1:25" s="183" customFormat="1" ht="22.5" customHeight="1" thickTop="1" thickBot="1" x14ac:dyDescent="0.3">
      <c r="A695" s="1441">
        <v>10</v>
      </c>
      <c r="B695" s="1442" t="s">
        <v>1381</v>
      </c>
      <c r="C695" s="1442" t="s">
        <v>1394</v>
      </c>
      <c r="D695" s="1442" t="s">
        <v>1470</v>
      </c>
      <c r="E695" s="1442" t="s">
        <v>1381</v>
      </c>
      <c r="F695" s="1442" t="s">
        <v>1577</v>
      </c>
      <c r="G695" s="1442"/>
      <c r="H695" s="1442"/>
      <c r="I695" s="1442"/>
      <c r="J695" s="1442"/>
      <c r="K695" s="771" t="s">
        <v>2643</v>
      </c>
      <c r="L695" s="1223"/>
      <c r="M695" s="1223"/>
      <c r="N695" s="1223"/>
      <c r="O695" s="1206">
        <f t="shared" si="108"/>
        <v>0</v>
      </c>
      <c r="P695" s="1223"/>
      <c r="Q695" s="1223"/>
      <c r="R695" s="1223"/>
      <c r="S695" s="1223"/>
      <c r="T695" s="1223"/>
      <c r="U695" s="1223"/>
      <c r="V695" s="1223"/>
      <c r="W695" s="784" t="e">
        <f t="shared" si="107"/>
        <v>#DIV/0!</v>
      </c>
      <c r="X695" s="788"/>
      <c r="Y695" s="788"/>
    </row>
    <row r="696" spans="1:25" s="183" customFormat="1" ht="22.5" customHeight="1" thickTop="1" thickBot="1" x14ac:dyDescent="0.3">
      <c r="A696" s="1441">
        <v>11</v>
      </c>
      <c r="B696" s="1442" t="s">
        <v>1381</v>
      </c>
      <c r="C696" s="1442" t="s">
        <v>1394</v>
      </c>
      <c r="D696" s="1442" t="s">
        <v>1470</v>
      </c>
      <c r="E696" s="1442" t="s">
        <v>1381</v>
      </c>
      <c r="F696" s="1442" t="s">
        <v>1578</v>
      </c>
      <c r="G696" s="1442"/>
      <c r="H696" s="1442"/>
      <c r="I696" s="1442"/>
      <c r="J696" s="1442"/>
      <c r="K696" s="771" t="s">
        <v>2644</v>
      </c>
      <c r="L696" s="1223"/>
      <c r="M696" s="1223"/>
      <c r="N696" s="1223"/>
      <c r="O696" s="1206">
        <f t="shared" si="108"/>
        <v>0</v>
      </c>
      <c r="P696" s="1223"/>
      <c r="Q696" s="1223"/>
      <c r="R696" s="1223"/>
      <c r="S696" s="1223"/>
      <c r="T696" s="1223"/>
      <c r="U696" s="1223"/>
      <c r="V696" s="1223"/>
      <c r="W696" s="784" t="e">
        <f t="shared" si="107"/>
        <v>#DIV/0!</v>
      </c>
      <c r="X696" s="788"/>
      <c r="Y696" s="788"/>
    </row>
    <row r="697" spans="1:25" s="1394" customFormat="1" ht="36" customHeight="1" thickTop="1" thickBot="1" x14ac:dyDescent="0.3">
      <c r="A697" s="1428" t="s">
        <v>1377</v>
      </c>
      <c r="B697" s="1428" t="s">
        <v>1394</v>
      </c>
      <c r="C697" s="1428"/>
      <c r="D697" s="1428"/>
      <c r="E697" s="1428"/>
      <c r="F697" s="1447"/>
      <c r="G697" s="1447"/>
      <c r="H697" s="1447"/>
      <c r="I697" s="1448"/>
      <c r="J697" s="1448"/>
      <c r="K697" s="601" t="s">
        <v>1962</v>
      </c>
      <c r="L697" s="1224">
        <f>+L698+L702</f>
        <v>3657862000</v>
      </c>
      <c r="M697" s="1224">
        <f t="shared" ref="M697:V697" si="114">+M698+M702</f>
        <v>0</v>
      </c>
      <c r="N697" s="1224">
        <f t="shared" si="114"/>
        <v>0</v>
      </c>
      <c r="O697" s="1206">
        <f t="shared" si="108"/>
        <v>3657862000</v>
      </c>
      <c r="P697" s="1224">
        <f t="shared" si="114"/>
        <v>3657862000</v>
      </c>
      <c r="Q697" s="1224">
        <f t="shared" si="114"/>
        <v>0</v>
      </c>
      <c r="R697" s="1224">
        <f t="shared" si="114"/>
        <v>0</v>
      </c>
      <c r="S697" s="1224"/>
      <c r="T697" s="1224">
        <f t="shared" si="114"/>
        <v>0</v>
      </c>
      <c r="U697" s="1224">
        <f t="shared" si="114"/>
        <v>0</v>
      </c>
      <c r="V697" s="1224">
        <f t="shared" si="114"/>
        <v>2011179686</v>
      </c>
      <c r="W697" s="785">
        <f t="shared" si="107"/>
        <v>0.54982382768950822</v>
      </c>
      <c r="X697" s="788"/>
      <c r="Y697" s="788"/>
    </row>
    <row r="698" spans="1:25" s="1394" customFormat="1" ht="18.75" customHeight="1" thickTop="1" thickBot="1" x14ac:dyDescent="0.3">
      <c r="A698" s="1441">
        <v>1</v>
      </c>
      <c r="B698" s="1440" t="s">
        <v>1394</v>
      </c>
      <c r="C698" s="1442" t="s">
        <v>1381</v>
      </c>
      <c r="D698" s="1442"/>
      <c r="E698" s="1441"/>
      <c r="F698" s="1442"/>
      <c r="G698" s="1442"/>
      <c r="H698" s="1442"/>
      <c r="I698" s="1442"/>
      <c r="J698" s="1442"/>
      <c r="K698" s="770" t="s">
        <v>1963</v>
      </c>
      <c r="L698" s="1223">
        <f>SUM(L699:L701)</f>
        <v>3657862000</v>
      </c>
      <c r="M698" s="1223">
        <f t="shared" ref="M698:V698" si="115">SUM(M699:M701)</f>
        <v>0</v>
      </c>
      <c r="N698" s="1223">
        <f t="shared" si="115"/>
        <v>0</v>
      </c>
      <c r="O698" s="1206">
        <f t="shared" si="108"/>
        <v>3657862000</v>
      </c>
      <c r="P698" s="1223">
        <v>3657862000</v>
      </c>
      <c r="Q698" s="1223">
        <f t="shared" si="115"/>
        <v>0</v>
      </c>
      <c r="R698" s="1223">
        <f t="shared" si="115"/>
        <v>0</v>
      </c>
      <c r="S698" s="1223"/>
      <c r="T698" s="1223">
        <f t="shared" si="115"/>
        <v>0</v>
      </c>
      <c r="U698" s="1223">
        <f t="shared" si="115"/>
        <v>0</v>
      </c>
      <c r="V698" s="1223">
        <f t="shared" si="115"/>
        <v>2011179686</v>
      </c>
      <c r="W698" s="784">
        <f t="shared" si="107"/>
        <v>0.54982382768950822</v>
      </c>
      <c r="X698" s="788"/>
      <c r="Y698" s="788"/>
    </row>
    <row r="699" spans="1:25" s="1394" customFormat="1" ht="18.75" customHeight="1" thickTop="1" thickBot="1" x14ac:dyDescent="0.3">
      <c r="A699" s="1441">
        <v>1</v>
      </c>
      <c r="B699" s="1440" t="s">
        <v>1394</v>
      </c>
      <c r="C699" s="1442" t="s">
        <v>1381</v>
      </c>
      <c r="D699" s="1442" t="s">
        <v>1381</v>
      </c>
      <c r="E699" s="1442"/>
      <c r="F699" s="1442"/>
      <c r="G699" s="1442"/>
      <c r="H699" s="1442"/>
      <c r="I699" s="1442"/>
      <c r="J699" s="1442"/>
      <c r="K699" s="771" t="s">
        <v>1541</v>
      </c>
      <c r="L699" s="1225">
        <v>3318432000</v>
      </c>
      <c r="M699" s="1223"/>
      <c r="N699" s="1223"/>
      <c r="O699" s="1206">
        <f t="shared" si="108"/>
        <v>3318432000</v>
      </c>
      <c r="P699" s="1223"/>
      <c r="Q699" s="1223"/>
      <c r="R699" s="1223"/>
      <c r="S699" s="1223"/>
      <c r="T699" s="1223"/>
      <c r="U699" s="1223"/>
      <c r="V699" s="1214">
        <v>2011179686</v>
      </c>
      <c r="W699" s="784">
        <f t="shared" si="107"/>
        <v>0.60606325095707847</v>
      </c>
      <c r="X699" s="788"/>
      <c r="Y699" s="788"/>
    </row>
    <row r="700" spans="1:25" s="1394" customFormat="1" ht="18.75" customHeight="1" thickTop="1" thickBot="1" x14ac:dyDescent="0.3">
      <c r="A700" s="1441">
        <v>1</v>
      </c>
      <c r="B700" s="1440" t="s">
        <v>1394</v>
      </c>
      <c r="C700" s="1442" t="s">
        <v>1381</v>
      </c>
      <c r="D700" s="1442" t="s">
        <v>1394</v>
      </c>
      <c r="E700" s="1442"/>
      <c r="F700" s="1442"/>
      <c r="G700" s="1442"/>
      <c r="H700" s="1442"/>
      <c r="I700" s="1442"/>
      <c r="J700" s="1442"/>
      <c r="K700" s="771" t="s">
        <v>1542</v>
      </c>
      <c r="L700" s="1225">
        <v>339430000</v>
      </c>
      <c r="M700" s="1223"/>
      <c r="N700" s="1223"/>
      <c r="O700" s="1206">
        <f t="shared" si="108"/>
        <v>339430000</v>
      </c>
      <c r="P700" s="1223"/>
      <c r="Q700" s="1223"/>
      <c r="R700" s="1223"/>
      <c r="S700" s="1223"/>
      <c r="T700" s="1223"/>
      <c r="U700" s="1223"/>
      <c r="V700" s="1223"/>
      <c r="W700" s="784">
        <f t="shared" si="107"/>
        <v>0</v>
      </c>
      <c r="X700" s="788"/>
      <c r="Y700" s="788"/>
    </row>
    <row r="701" spans="1:25" s="1394" customFormat="1" ht="18.75" customHeight="1" thickTop="1" thickBot="1" x14ac:dyDescent="0.3">
      <c r="A701" s="1441">
        <v>1</v>
      </c>
      <c r="B701" s="1440" t="s">
        <v>1394</v>
      </c>
      <c r="C701" s="1442" t="s">
        <v>1381</v>
      </c>
      <c r="D701" s="1442" t="s">
        <v>1418</v>
      </c>
      <c r="E701" s="1442"/>
      <c r="F701" s="1442"/>
      <c r="G701" s="1442"/>
      <c r="H701" s="1442"/>
      <c r="I701" s="1442"/>
      <c r="J701" s="1442"/>
      <c r="K701" s="771" t="s">
        <v>1543</v>
      </c>
      <c r="L701" s="1223"/>
      <c r="M701" s="1223"/>
      <c r="N701" s="1223"/>
      <c r="O701" s="1206">
        <f t="shared" si="108"/>
        <v>0</v>
      </c>
      <c r="P701" s="1223"/>
      <c r="Q701" s="1223"/>
      <c r="R701" s="1223"/>
      <c r="S701" s="1223"/>
      <c r="T701" s="1223"/>
      <c r="U701" s="1223"/>
      <c r="V701" s="1223"/>
      <c r="W701" s="784" t="e">
        <f t="shared" si="107"/>
        <v>#DIV/0!</v>
      </c>
      <c r="X701" s="788"/>
      <c r="Y701" s="788"/>
    </row>
    <row r="702" spans="1:25" s="1394" customFormat="1" ht="18.75" customHeight="1" thickTop="1" thickBot="1" x14ac:dyDescent="0.3">
      <c r="A702" s="1441">
        <v>1</v>
      </c>
      <c r="B702" s="1440" t="s">
        <v>1394</v>
      </c>
      <c r="C702" s="1442" t="s">
        <v>1394</v>
      </c>
      <c r="D702" s="1442"/>
      <c r="E702" s="1441"/>
      <c r="F702" s="1442"/>
      <c r="G702" s="1442"/>
      <c r="H702" s="1442"/>
      <c r="I702" s="1442"/>
      <c r="J702" s="1442"/>
      <c r="K702" s="770" t="s">
        <v>1964</v>
      </c>
      <c r="L702" s="1223"/>
      <c r="M702" s="1223"/>
      <c r="N702" s="1223"/>
      <c r="O702" s="1206">
        <f t="shared" si="108"/>
        <v>0</v>
      </c>
      <c r="P702" s="1223"/>
      <c r="Q702" s="1223"/>
      <c r="R702" s="1223"/>
      <c r="S702" s="1223"/>
      <c r="T702" s="1223"/>
      <c r="U702" s="1223"/>
      <c r="V702" s="1223"/>
      <c r="W702" s="784" t="e">
        <f t="shared" si="107"/>
        <v>#DIV/0!</v>
      </c>
      <c r="X702" s="788"/>
      <c r="Y702" s="788"/>
    </row>
    <row r="703" spans="1:25" s="1394" customFormat="1" ht="36" customHeight="1" thickTop="1" thickBot="1" x14ac:dyDescent="0.3">
      <c r="A703" s="1428">
        <v>1</v>
      </c>
      <c r="B703" s="1428" t="s">
        <v>1418</v>
      </c>
      <c r="C703" s="1428"/>
      <c r="D703" s="1428"/>
      <c r="E703" s="1428"/>
      <c r="F703" s="1447"/>
      <c r="G703" s="1447"/>
      <c r="H703" s="1447"/>
      <c r="I703" s="1448"/>
      <c r="J703" s="1448"/>
      <c r="K703" s="785" t="s">
        <v>2621</v>
      </c>
      <c r="L703" s="1224">
        <f>+L704+L708</f>
        <v>730317457</v>
      </c>
      <c r="M703" s="1224">
        <f t="shared" ref="M703:V703" si="116">+M704+M708</f>
        <v>0</v>
      </c>
      <c r="N703" s="1224">
        <f t="shared" si="116"/>
        <v>0</v>
      </c>
      <c r="O703" s="1206">
        <f t="shared" si="108"/>
        <v>730317457</v>
      </c>
      <c r="P703" s="1224">
        <f t="shared" si="116"/>
        <v>730317457</v>
      </c>
      <c r="Q703" s="1224">
        <f t="shared" si="116"/>
        <v>0</v>
      </c>
      <c r="R703" s="1224">
        <f t="shared" si="116"/>
        <v>0</v>
      </c>
      <c r="S703" s="1224"/>
      <c r="T703" s="1224">
        <f t="shared" si="116"/>
        <v>0</v>
      </c>
      <c r="U703" s="1224">
        <f t="shared" si="116"/>
        <v>0</v>
      </c>
      <c r="V703" s="1224">
        <f t="shared" si="116"/>
        <v>0</v>
      </c>
      <c r="W703" s="785">
        <f t="shared" si="107"/>
        <v>0</v>
      </c>
      <c r="X703" s="788"/>
      <c r="Y703" s="788"/>
    </row>
    <row r="704" spans="1:25" s="1394" customFormat="1" ht="18.75" customHeight="1" thickTop="1" thickBot="1" x14ac:dyDescent="0.3">
      <c r="A704" s="1441">
        <v>1</v>
      </c>
      <c r="B704" s="1440" t="s">
        <v>1418</v>
      </c>
      <c r="C704" s="1442" t="s">
        <v>1381</v>
      </c>
      <c r="D704" s="1442"/>
      <c r="E704" s="1441"/>
      <c r="F704" s="1442"/>
      <c r="G704" s="1442"/>
      <c r="H704" s="1442"/>
      <c r="I704" s="1442"/>
      <c r="J704" s="1442"/>
      <c r="K704" s="770" t="s">
        <v>1544</v>
      </c>
      <c r="L704" s="1223">
        <f>SUM(L705:L707)</f>
        <v>0</v>
      </c>
      <c r="M704" s="1223">
        <f t="shared" ref="M704:V704" si="117">SUM(M705:M707)</f>
        <v>0</v>
      </c>
      <c r="N704" s="1223">
        <f t="shared" si="117"/>
        <v>0</v>
      </c>
      <c r="O704" s="1206">
        <f t="shared" si="108"/>
        <v>0</v>
      </c>
      <c r="P704" s="1223">
        <f t="shared" si="117"/>
        <v>0</v>
      </c>
      <c r="Q704" s="1223">
        <f t="shared" si="117"/>
        <v>0</v>
      </c>
      <c r="R704" s="1223">
        <f t="shared" si="117"/>
        <v>0</v>
      </c>
      <c r="S704" s="1223"/>
      <c r="T704" s="1223">
        <f t="shared" si="117"/>
        <v>0</v>
      </c>
      <c r="U704" s="1223">
        <f t="shared" si="117"/>
        <v>0</v>
      </c>
      <c r="V704" s="1223">
        <f t="shared" si="117"/>
        <v>0</v>
      </c>
      <c r="W704" s="784" t="e">
        <f t="shared" si="107"/>
        <v>#DIV/0!</v>
      </c>
      <c r="X704" s="788"/>
      <c r="Y704" s="788"/>
    </row>
    <row r="705" spans="1:25" s="1394" customFormat="1" ht="18.75" customHeight="1" thickTop="1" thickBot="1" x14ac:dyDescent="0.3">
      <c r="A705" s="1441">
        <v>1</v>
      </c>
      <c r="B705" s="1440" t="s">
        <v>1418</v>
      </c>
      <c r="C705" s="1442" t="s">
        <v>1381</v>
      </c>
      <c r="D705" s="1442" t="s">
        <v>1381</v>
      </c>
      <c r="E705" s="1442"/>
      <c r="F705" s="1442"/>
      <c r="G705" s="1442"/>
      <c r="H705" s="1442"/>
      <c r="I705" s="1442"/>
      <c r="J705" s="1442"/>
      <c r="K705" s="771" t="s">
        <v>1545</v>
      </c>
      <c r="L705" s="1223"/>
      <c r="M705" s="1223"/>
      <c r="N705" s="1223"/>
      <c r="O705" s="1206">
        <f t="shared" si="108"/>
        <v>0</v>
      </c>
      <c r="P705" s="1223"/>
      <c r="Q705" s="1223"/>
      <c r="R705" s="1223"/>
      <c r="S705" s="1223"/>
      <c r="T705" s="1223"/>
      <c r="U705" s="1223"/>
      <c r="V705" s="1223"/>
      <c r="W705" s="784" t="e">
        <f t="shared" si="107"/>
        <v>#DIV/0!</v>
      </c>
      <c r="X705" s="788"/>
      <c r="Y705" s="788"/>
    </row>
    <row r="706" spans="1:25" s="1394" customFormat="1" ht="18.75" customHeight="1" thickTop="1" thickBot="1" x14ac:dyDescent="0.3">
      <c r="A706" s="1441">
        <v>1</v>
      </c>
      <c r="B706" s="1440" t="s">
        <v>1418</v>
      </c>
      <c r="C706" s="1442" t="s">
        <v>1381</v>
      </c>
      <c r="D706" s="1442" t="s">
        <v>1394</v>
      </c>
      <c r="E706" s="1442"/>
      <c r="F706" s="1442"/>
      <c r="G706" s="1442"/>
      <c r="H706" s="1442"/>
      <c r="I706" s="1442"/>
      <c r="J706" s="1442"/>
      <c r="K706" s="771" t="s">
        <v>1546</v>
      </c>
      <c r="L706" s="1223"/>
      <c r="M706" s="1223"/>
      <c r="N706" s="1223"/>
      <c r="O706" s="1206">
        <f t="shared" si="108"/>
        <v>0</v>
      </c>
      <c r="P706" s="1223"/>
      <c r="Q706" s="1223"/>
      <c r="R706" s="1223"/>
      <c r="S706" s="1223"/>
      <c r="T706" s="1223"/>
      <c r="U706" s="1223"/>
      <c r="V706" s="1223"/>
      <c r="W706" s="784" t="e">
        <f t="shared" si="107"/>
        <v>#DIV/0!</v>
      </c>
      <c r="X706" s="788"/>
      <c r="Y706" s="788"/>
    </row>
    <row r="707" spans="1:25" s="1394" customFormat="1" ht="18.75" customHeight="1" thickTop="1" thickBot="1" x14ac:dyDescent="0.3">
      <c r="A707" s="1441">
        <v>1</v>
      </c>
      <c r="B707" s="1440" t="s">
        <v>1418</v>
      </c>
      <c r="C707" s="1442" t="s">
        <v>1381</v>
      </c>
      <c r="D707" s="1442" t="s">
        <v>1418</v>
      </c>
      <c r="E707" s="1442"/>
      <c r="F707" s="1442"/>
      <c r="G707" s="1442"/>
      <c r="H707" s="1442"/>
      <c r="I707" s="1442"/>
      <c r="J707" s="1442"/>
      <c r="K707" s="771" t="s">
        <v>1547</v>
      </c>
      <c r="L707" s="1223"/>
      <c r="M707" s="1223"/>
      <c r="N707" s="1223"/>
      <c r="O707" s="1206">
        <f t="shared" si="108"/>
        <v>0</v>
      </c>
      <c r="P707" s="1223"/>
      <c r="Q707" s="1223"/>
      <c r="R707" s="1223"/>
      <c r="S707" s="1223"/>
      <c r="T707" s="1223"/>
      <c r="U707" s="1223"/>
      <c r="V707" s="1223"/>
      <c r="W707" s="784" t="e">
        <f t="shared" si="107"/>
        <v>#DIV/0!</v>
      </c>
      <c r="X707" s="788"/>
      <c r="Y707" s="788"/>
    </row>
    <row r="708" spans="1:25" s="1394" customFormat="1" ht="18.75" customHeight="1" thickTop="1" thickBot="1" x14ac:dyDescent="0.3">
      <c r="A708" s="1441">
        <v>1</v>
      </c>
      <c r="B708" s="1440" t="s">
        <v>1418</v>
      </c>
      <c r="C708" s="1442" t="s">
        <v>1394</v>
      </c>
      <c r="D708" s="1442"/>
      <c r="E708" s="1441"/>
      <c r="F708" s="1442"/>
      <c r="G708" s="1442"/>
      <c r="H708" s="1442"/>
      <c r="I708" s="1442"/>
      <c r="J708" s="1442"/>
      <c r="K708" s="770" t="s">
        <v>1548</v>
      </c>
      <c r="L708" s="1212">
        <v>730317457</v>
      </c>
      <c r="M708" s="1223"/>
      <c r="N708" s="1223"/>
      <c r="O708" s="1206">
        <f t="shared" si="108"/>
        <v>730317457</v>
      </c>
      <c r="P708" s="1223">
        <v>730317457</v>
      </c>
      <c r="Q708" s="1223"/>
      <c r="R708" s="1223"/>
      <c r="S708" s="1223"/>
      <c r="T708" s="1223"/>
      <c r="U708" s="1223"/>
      <c r="V708" s="1223"/>
      <c r="W708" s="784">
        <f t="shared" si="107"/>
        <v>0</v>
      </c>
      <c r="X708" s="788"/>
      <c r="Y708" s="788"/>
    </row>
    <row r="709" spans="1:25" s="1394" customFormat="1" ht="36" customHeight="1" thickTop="1" thickBot="1" x14ac:dyDescent="0.3">
      <c r="A709" s="1428">
        <v>1</v>
      </c>
      <c r="B709" s="1428" t="s">
        <v>1422</v>
      </c>
      <c r="C709" s="1428"/>
      <c r="D709" s="1428"/>
      <c r="E709" s="1428"/>
      <c r="F709" s="1447"/>
      <c r="G709" s="1447"/>
      <c r="H709" s="1447"/>
      <c r="I709" s="1448"/>
      <c r="J709" s="1448"/>
      <c r="K709" s="601" t="s">
        <v>1549</v>
      </c>
      <c r="L709" s="1224"/>
      <c r="M709" s="1224"/>
      <c r="N709" s="1224"/>
      <c r="O709" s="1206">
        <f t="shared" si="108"/>
        <v>0</v>
      </c>
      <c r="P709" s="1224"/>
      <c r="Q709" s="1224"/>
      <c r="R709" s="1224"/>
      <c r="S709" s="1224"/>
      <c r="T709" s="1224"/>
      <c r="U709" s="1224"/>
      <c r="V709" s="1224"/>
      <c r="W709" s="785" t="e">
        <f t="shared" si="107"/>
        <v>#DIV/0!</v>
      </c>
      <c r="X709" s="788"/>
      <c r="Y709" s="788"/>
    </row>
    <row r="710" spans="1:25" s="1394" customFormat="1" ht="36" customHeight="1" thickTop="1" thickBot="1" x14ac:dyDescent="0.3">
      <c r="A710" s="1428" t="s">
        <v>1377</v>
      </c>
      <c r="B710" s="1428" t="s">
        <v>1447</v>
      </c>
      <c r="C710" s="1428"/>
      <c r="D710" s="1428"/>
      <c r="E710" s="1428"/>
      <c r="F710" s="1447"/>
      <c r="G710" s="1447"/>
      <c r="H710" s="1447"/>
      <c r="I710" s="1448"/>
      <c r="J710" s="1448"/>
      <c r="K710" s="601" t="s">
        <v>1550</v>
      </c>
      <c r="L710" s="1224">
        <f>+L711+L715+L716</f>
        <v>25930954784.169998</v>
      </c>
      <c r="M710" s="1224">
        <f t="shared" ref="M710:V710" si="118">+M711+M715+M716</f>
        <v>0</v>
      </c>
      <c r="N710" s="1224">
        <f t="shared" si="118"/>
        <v>0</v>
      </c>
      <c r="O710" s="1206">
        <f t="shared" si="108"/>
        <v>25930954784.169998</v>
      </c>
      <c r="P710" s="1224">
        <f t="shared" si="118"/>
        <v>72600279</v>
      </c>
      <c r="Q710" s="1224">
        <f t="shared" si="118"/>
        <v>25858354505.169998</v>
      </c>
      <c r="R710" s="1224">
        <f t="shared" si="118"/>
        <v>0</v>
      </c>
      <c r="S710" s="1224"/>
      <c r="T710" s="1224">
        <f t="shared" si="118"/>
        <v>0</v>
      </c>
      <c r="U710" s="1224">
        <f t="shared" si="118"/>
        <v>0</v>
      </c>
      <c r="V710" s="1224">
        <f t="shared" si="118"/>
        <v>25930954784.169998</v>
      </c>
      <c r="W710" s="785">
        <f t="shared" si="107"/>
        <v>1</v>
      </c>
      <c r="X710" s="788"/>
      <c r="Y710" s="788"/>
    </row>
    <row r="711" spans="1:25" s="1394" customFormat="1" ht="18.75" customHeight="1" thickTop="1" thickBot="1" x14ac:dyDescent="0.3">
      <c r="A711" s="1441" t="s">
        <v>1377</v>
      </c>
      <c r="B711" s="1440" t="s">
        <v>1447</v>
      </c>
      <c r="C711" s="1442" t="s">
        <v>1381</v>
      </c>
      <c r="D711" s="1442"/>
      <c r="E711" s="1441"/>
      <c r="F711" s="1442"/>
      <c r="G711" s="1442"/>
      <c r="H711" s="1442"/>
      <c r="I711" s="1442"/>
      <c r="J711" s="1442"/>
      <c r="K711" s="772" t="s">
        <v>1551</v>
      </c>
      <c r="L711" s="1223">
        <f>SUM(L712:L714)</f>
        <v>72600279</v>
      </c>
      <c r="M711" s="1223">
        <f t="shared" ref="M711:V711" si="119">SUM(M712:M714)</f>
        <v>0</v>
      </c>
      <c r="N711" s="1223">
        <f t="shared" si="119"/>
        <v>0</v>
      </c>
      <c r="O711" s="1206">
        <f t="shared" si="108"/>
        <v>72600279</v>
      </c>
      <c r="P711" s="1223">
        <f t="shared" si="119"/>
        <v>72600279</v>
      </c>
      <c r="Q711" s="1223">
        <f t="shared" si="119"/>
        <v>0</v>
      </c>
      <c r="R711" s="1223">
        <f t="shared" si="119"/>
        <v>0</v>
      </c>
      <c r="S711" s="1223"/>
      <c r="T711" s="1223">
        <f t="shared" si="119"/>
        <v>0</v>
      </c>
      <c r="U711" s="1223">
        <f t="shared" si="119"/>
        <v>0</v>
      </c>
      <c r="V711" s="1223">
        <f t="shared" si="119"/>
        <v>72600279</v>
      </c>
      <c r="W711" s="784">
        <f t="shared" ref="W711:W716" si="120">V711/O711</f>
        <v>1</v>
      </c>
      <c r="X711" s="788"/>
      <c r="Y711" s="788"/>
    </row>
    <row r="712" spans="1:25" s="1394" customFormat="1" ht="18.75" customHeight="1" thickTop="1" thickBot="1" x14ac:dyDescent="0.3">
      <c r="A712" s="1441" t="s">
        <v>1377</v>
      </c>
      <c r="B712" s="1440" t="s">
        <v>1447</v>
      </c>
      <c r="C712" s="1442" t="s">
        <v>1381</v>
      </c>
      <c r="D712" s="1442" t="s">
        <v>1381</v>
      </c>
      <c r="E712" s="1442"/>
      <c r="F712" s="1442"/>
      <c r="G712" s="1442"/>
      <c r="H712" s="1442"/>
      <c r="I712" s="1442"/>
      <c r="J712" s="1442"/>
      <c r="K712" s="771" t="s">
        <v>1965</v>
      </c>
      <c r="L712" s="1226">
        <v>72400000</v>
      </c>
      <c r="M712" s="1223"/>
      <c r="N712" s="1223"/>
      <c r="O712" s="1206">
        <f t="shared" ref="O712:O716" si="121">L712+M712-N712</f>
        <v>72400000</v>
      </c>
      <c r="P712" s="1226">
        <v>72400000</v>
      </c>
      <c r="Q712" s="1223"/>
      <c r="R712" s="1223"/>
      <c r="S712" s="1223"/>
      <c r="T712" s="1223"/>
      <c r="U712" s="1223"/>
      <c r="V712" s="1226">
        <v>72400000</v>
      </c>
      <c r="W712" s="784">
        <f t="shared" si="120"/>
        <v>1</v>
      </c>
      <c r="X712" s="788"/>
      <c r="Y712" s="788"/>
    </row>
    <row r="713" spans="1:25" s="1394" customFormat="1" ht="18.75" customHeight="1" thickTop="1" thickBot="1" x14ac:dyDescent="0.3">
      <c r="A713" s="1441" t="s">
        <v>1377</v>
      </c>
      <c r="B713" s="1440" t="s">
        <v>1447</v>
      </c>
      <c r="C713" s="1442" t="s">
        <v>1381</v>
      </c>
      <c r="D713" s="1442" t="s">
        <v>1394</v>
      </c>
      <c r="E713" s="1442"/>
      <c r="F713" s="1442"/>
      <c r="G713" s="1442"/>
      <c r="H713" s="1442"/>
      <c r="I713" s="1442"/>
      <c r="J713" s="1442"/>
      <c r="K713" s="771" t="s">
        <v>1966</v>
      </c>
      <c r="L713" s="1226">
        <v>200279</v>
      </c>
      <c r="M713" s="1223"/>
      <c r="N713" s="1223"/>
      <c r="O713" s="1206">
        <f t="shared" si="121"/>
        <v>200279</v>
      </c>
      <c r="P713" s="1226">
        <v>200279</v>
      </c>
      <c r="Q713" s="1223"/>
      <c r="R713" s="1223"/>
      <c r="S713" s="1223"/>
      <c r="T713" s="1223"/>
      <c r="U713" s="1223"/>
      <c r="V713" s="1226">
        <v>200279</v>
      </c>
      <c r="W713" s="784">
        <f t="shared" si="120"/>
        <v>1</v>
      </c>
      <c r="X713" s="788"/>
      <c r="Y713" s="788"/>
    </row>
    <row r="714" spans="1:25" s="1394" customFormat="1" ht="18.75" customHeight="1" thickTop="1" thickBot="1" x14ac:dyDescent="0.3">
      <c r="A714" s="1441" t="s">
        <v>1377</v>
      </c>
      <c r="B714" s="1440" t="s">
        <v>1447</v>
      </c>
      <c r="C714" s="1442" t="s">
        <v>1381</v>
      </c>
      <c r="D714" s="1442" t="s">
        <v>1418</v>
      </c>
      <c r="E714" s="1442"/>
      <c r="F714" s="1442"/>
      <c r="G714" s="1442"/>
      <c r="H714" s="1442"/>
      <c r="I714" s="1442"/>
      <c r="J714" s="1442"/>
      <c r="K714" s="771" t="s">
        <v>1967</v>
      </c>
      <c r="L714" s="1227"/>
      <c r="M714" s="1223"/>
      <c r="N714" s="1223"/>
      <c r="O714" s="1206">
        <f t="shared" si="121"/>
        <v>0</v>
      </c>
      <c r="P714" s="1227"/>
      <c r="Q714" s="1223"/>
      <c r="R714" s="1223"/>
      <c r="S714" s="1223"/>
      <c r="T714" s="1223"/>
      <c r="U714" s="1223"/>
      <c r="V714" s="1227"/>
      <c r="W714" s="784" t="e">
        <f t="shared" si="120"/>
        <v>#DIV/0!</v>
      </c>
      <c r="X714" s="788"/>
      <c r="Y714" s="788"/>
    </row>
    <row r="715" spans="1:25" s="1394" customFormat="1" ht="18.75" customHeight="1" thickTop="1" thickBot="1" x14ac:dyDescent="0.3">
      <c r="A715" s="1441" t="s">
        <v>1377</v>
      </c>
      <c r="B715" s="1440" t="s">
        <v>1447</v>
      </c>
      <c r="C715" s="1442" t="s">
        <v>1394</v>
      </c>
      <c r="D715" s="1442"/>
      <c r="E715" s="1441"/>
      <c r="F715" s="1442"/>
      <c r="G715" s="1442"/>
      <c r="H715" s="1442"/>
      <c r="I715" s="1442"/>
      <c r="J715" s="1442"/>
      <c r="K715" s="772" t="s">
        <v>1552</v>
      </c>
      <c r="L715" s="1222"/>
      <c r="M715" s="1222"/>
      <c r="N715" s="1222"/>
      <c r="O715" s="1206">
        <f t="shared" si="121"/>
        <v>0</v>
      </c>
      <c r="P715" s="1222"/>
      <c r="Q715" s="1222"/>
      <c r="R715" s="1222"/>
      <c r="S715" s="1222"/>
      <c r="T715" s="1222"/>
      <c r="U715" s="1222"/>
      <c r="V715" s="1222"/>
      <c r="W715" s="784" t="e">
        <f t="shared" si="120"/>
        <v>#DIV/0!</v>
      </c>
      <c r="X715" s="788"/>
      <c r="Y715" s="788"/>
    </row>
    <row r="716" spans="1:25" s="1394" customFormat="1" ht="18.75" customHeight="1" thickTop="1" thickBot="1" x14ac:dyDescent="0.3">
      <c r="A716" s="1441" t="s">
        <v>1377</v>
      </c>
      <c r="B716" s="1440" t="s">
        <v>1447</v>
      </c>
      <c r="C716" s="1442" t="s">
        <v>1418</v>
      </c>
      <c r="D716" s="1442"/>
      <c r="E716" s="1441"/>
      <c r="F716" s="1442"/>
      <c r="G716" s="1442"/>
      <c r="H716" s="1442"/>
      <c r="I716" s="1442"/>
      <c r="J716" s="1442"/>
      <c r="K716" s="772" t="s">
        <v>1553</v>
      </c>
      <c r="L716" s="1227">
        <v>25858354505.169998</v>
      </c>
      <c r="M716" s="1222"/>
      <c r="N716" s="1222"/>
      <c r="O716" s="1206">
        <f t="shared" si="121"/>
        <v>25858354505.169998</v>
      </c>
      <c r="P716" s="1227"/>
      <c r="Q716" s="1227">
        <v>25858354505.169998</v>
      </c>
      <c r="R716" s="1222"/>
      <c r="S716" s="1222"/>
      <c r="T716" s="1222"/>
      <c r="U716" s="1222"/>
      <c r="V716" s="1227">
        <v>25858354505.169998</v>
      </c>
      <c r="W716" s="784">
        <f t="shared" si="120"/>
        <v>1</v>
      </c>
      <c r="X716" s="788"/>
      <c r="Y716" s="788"/>
    </row>
    <row r="717" spans="1:25" s="1394" customFormat="1" ht="36" customHeight="1" thickTop="1" x14ac:dyDescent="0.25">
      <c r="A717" s="774"/>
      <c r="B717" s="774"/>
      <c r="C717" s="774"/>
      <c r="D717" s="774"/>
      <c r="E717" s="774"/>
      <c r="F717" s="778"/>
      <c r="G717" s="778"/>
      <c r="H717" s="778"/>
      <c r="I717" s="778"/>
      <c r="J717" s="778"/>
      <c r="K717" s="774"/>
      <c r="L717" s="774"/>
      <c r="M717" s="774"/>
      <c r="N717" s="774"/>
      <c r="O717" s="774"/>
      <c r="P717" s="774"/>
      <c r="Q717" s="774"/>
      <c r="R717" s="774"/>
      <c r="S717" s="774"/>
      <c r="T717" s="774"/>
      <c r="U717" s="774"/>
      <c r="V717" s="774"/>
      <c r="W717" s="774"/>
      <c r="X717" s="774"/>
    </row>
  </sheetData>
  <mergeCells count="10">
    <mergeCell ref="A1:X1"/>
    <mergeCell ref="A2:X2"/>
    <mergeCell ref="A3:X3"/>
    <mergeCell ref="A4:X4"/>
    <mergeCell ref="A5:I5"/>
    <mergeCell ref="K5:K6"/>
    <mergeCell ref="L5:L6"/>
    <mergeCell ref="M5:N5"/>
    <mergeCell ref="O5:O6"/>
    <mergeCell ref="P5:T5"/>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BG102"/>
  <sheetViews>
    <sheetView topLeftCell="P62" zoomScaleNormal="100" zoomScaleSheetLayoutView="100" workbookViewId="0">
      <selection activeCell="U75" sqref="U75"/>
    </sheetView>
  </sheetViews>
  <sheetFormatPr baseColWidth="10" defaultColWidth="14.42578125" defaultRowHeight="15" x14ac:dyDescent="0.25"/>
  <cols>
    <col min="1" max="1" width="16" style="672" customWidth="1"/>
    <col min="2" max="2" width="14.140625" style="672" customWidth="1"/>
    <col min="3" max="3" width="14.42578125" style="672" customWidth="1"/>
    <col min="4" max="4" width="14.5703125" style="672" customWidth="1"/>
    <col min="5" max="7" width="10.7109375" style="672" customWidth="1"/>
    <col min="8" max="8" width="69" style="672" customWidth="1"/>
    <col min="9" max="9" width="20.28515625" style="673" customWidth="1"/>
    <col min="10" max="28" width="20.28515625" style="672" customWidth="1"/>
    <col min="29" max="29" width="51.42578125" style="672" customWidth="1"/>
    <col min="30" max="16384" width="14.42578125" style="672"/>
  </cols>
  <sheetData>
    <row r="1" spans="1:29" ht="15.75" thickBot="1" x14ac:dyDescent="0.3"/>
    <row r="2" spans="1:29" ht="30.75" customHeight="1" thickTop="1" thickBot="1" x14ac:dyDescent="0.3">
      <c r="A2" s="1706" t="s">
        <v>1364</v>
      </c>
      <c r="B2" s="1706" t="s">
        <v>1297</v>
      </c>
      <c r="C2" s="1704" t="s">
        <v>1365</v>
      </c>
      <c r="D2" s="1706" t="s">
        <v>1301</v>
      </c>
      <c r="E2" s="1706" t="s">
        <v>1366</v>
      </c>
      <c r="F2" s="1706" t="s">
        <v>1367</v>
      </c>
      <c r="G2" s="1706" t="s">
        <v>1368</v>
      </c>
      <c r="H2" s="1704" t="s">
        <v>1759</v>
      </c>
      <c r="I2" s="1701" t="s">
        <v>1711</v>
      </c>
      <c r="J2" s="1702"/>
      <c r="K2" s="1702"/>
      <c r="L2" s="1703"/>
      <c r="M2" s="1701" t="s">
        <v>1712</v>
      </c>
      <c r="N2" s="1702"/>
      <c r="O2" s="1702"/>
      <c r="P2" s="1703"/>
      <c r="Q2" s="1701" t="s">
        <v>1713</v>
      </c>
      <c r="R2" s="1702"/>
      <c r="S2" s="1702"/>
      <c r="T2" s="1703"/>
      <c r="U2" s="1701" t="s">
        <v>1714</v>
      </c>
      <c r="V2" s="1702"/>
      <c r="W2" s="1702"/>
      <c r="X2" s="1703"/>
      <c r="Y2" s="1701" t="s">
        <v>1715</v>
      </c>
      <c r="Z2" s="1702"/>
      <c r="AA2" s="1702"/>
      <c r="AB2" s="1703"/>
      <c r="AC2" s="674" t="s">
        <v>1716</v>
      </c>
    </row>
    <row r="3" spans="1:29" ht="16.5" thickTop="1" thickBot="1" x14ac:dyDescent="0.3">
      <c r="A3" s="1707"/>
      <c r="B3" s="1707"/>
      <c r="C3" s="1705"/>
      <c r="D3" s="1707"/>
      <c r="E3" s="1707"/>
      <c r="F3" s="1707"/>
      <c r="G3" s="1707"/>
      <c r="H3" s="1705"/>
      <c r="I3" s="676" t="s">
        <v>1717</v>
      </c>
      <c r="J3" s="675" t="s">
        <v>1718</v>
      </c>
      <c r="K3" s="675" t="s">
        <v>1719</v>
      </c>
      <c r="L3" s="675" t="s">
        <v>1720</v>
      </c>
      <c r="M3" s="675" t="s">
        <v>1717</v>
      </c>
      <c r="N3" s="675" t="s">
        <v>1718</v>
      </c>
      <c r="O3" s="675" t="s">
        <v>1719</v>
      </c>
      <c r="P3" s="675" t="s">
        <v>1720</v>
      </c>
      <c r="Q3" s="675" t="s">
        <v>1717</v>
      </c>
      <c r="R3" s="675" t="s">
        <v>1718</v>
      </c>
      <c r="S3" s="675" t="s">
        <v>1719</v>
      </c>
      <c r="T3" s="675" t="s">
        <v>1720</v>
      </c>
      <c r="U3" s="675" t="s">
        <v>1717</v>
      </c>
      <c r="V3" s="675" t="s">
        <v>1718</v>
      </c>
      <c r="W3" s="675" t="s">
        <v>1719</v>
      </c>
      <c r="X3" s="675" t="s">
        <v>1720</v>
      </c>
      <c r="Y3" s="675" t="s">
        <v>1717</v>
      </c>
      <c r="Z3" s="675" t="s">
        <v>1718</v>
      </c>
      <c r="AA3" s="675" t="s">
        <v>1719</v>
      </c>
      <c r="AB3" s="675" t="s">
        <v>1721</v>
      </c>
      <c r="AC3" s="675"/>
    </row>
    <row r="4" spans="1:29" ht="16.5" thickTop="1" thickBot="1" x14ac:dyDescent="0.3">
      <c r="A4" s="677" t="s">
        <v>1722</v>
      </c>
      <c r="B4" s="677" t="s">
        <v>1381</v>
      </c>
      <c r="C4" s="677"/>
      <c r="D4" s="677"/>
      <c r="E4" s="677"/>
      <c r="F4" s="677"/>
      <c r="G4" s="677"/>
      <c r="H4" s="678" t="s">
        <v>1723</v>
      </c>
      <c r="I4" s="1227">
        <f>+I5+I6+I9+I27</f>
        <v>7463216800</v>
      </c>
      <c r="J4" s="1227">
        <f t="shared" ref="J4:X4" si="0">+J5+J6+J9+J27</f>
        <v>2411965046.1300001</v>
      </c>
      <c r="K4" s="1227">
        <f t="shared" si="0"/>
        <v>1277474389.52</v>
      </c>
      <c r="L4" s="1227">
        <f t="shared" si="0"/>
        <v>1191238120.1900001</v>
      </c>
      <c r="M4" s="1227">
        <f t="shared" si="0"/>
        <v>3657862000</v>
      </c>
      <c r="N4" s="1227">
        <f t="shared" si="0"/>
        <v>1654274728</v>
      </c>
      <c r="O4" s="1227">
        <f t="shared" si="0"/>
        <v>1428805848</v>
      </c>
      <c r="P4" s="1227">
        <f t="shared" si="0"/>
        <v>1283192192</v>
      </c>
      <c r="Q4" s="1227">
        <f t="shared" si="0"/>
        <v>0</v>
      </c>
      <c r="R4" s="1227">
        <f t="shared" si="0"/>
        <v>0</v>
      </c>
      <c r="S4" s="1227">
        <f t="shared" si="0"/>
        <v>0</v>
      </c>
      <c r="T4" s="1227">
        <f t="shared" si="0"/>
        <v>0</v>
      </c>
      <c r="U4" s="1227">
        <f t="shared" si="0"/>
        <v>72600279</v>
      </c>
      <c r="V4" s="1227">
        <f t="shared" si="0"/>
        <v>72400000</v>
      </c>
      <c r="W4" s="1227">
        <f t="shared" si="0"/>
        <v>52000000</v>
      </c>
      <c r="X4" s="1227">
        <f t="shared" si="0"/>
        <v>0</v>
      </c>
      <c r="Y4" s="1227">
        <f>+I4+M4+Q4+U4</f>
        <v>11193679079</v>
      </c>
      <c r="Z4" s="1227">
        <f t="shared" ref="Z4:AB19" si="1">+J4+N4+R4+V4</f>
        <v>4138639774.1300001</v>
      </c>
      <c r="AA4" s="1227">
        <f t="shared" si="1"/>
        <v>2758280237.52</v>
      </c>
      <c r="AB4" s="1227">
        <f t="shared" si="1"/>
        <v>2474430312.1900001</v>
      </c>
      <c r="AC4" s="1230"/>
    </row>
    <row r="5" spans="1:29" ht="16.5" thickTop="1" thickBot="1" x14ac:dyDescent="0.3">
      <c r="A5" s="679" t="s">
        <v>1722</v>
      </c>
      <c r="B5" s="679" t="s">
        <v>1381</v>
      </c>
      <c r="C5" s="679" t="s">
        <v>1381</v>
      </c>
      <c r="D5" s="679"/>
      <c r="E5" s="679"/>
      <c r="F5" s="679"/>
      <c r="G5" s="679"/>
      <c r="H5" s="680" t="s">
        <v>1302</v>
      </c>
      <c r="I5" s="1226">
        <v>1038381655</v>
      </c>
      <c r="J5" s="1226">
        <v>78053917</v>
      </c>
      <c r="K5" s="1226">
        <v>58710171</v>
      </c>
      <c r="L5" s="1226">
        <v>54563027</v>
      </c>
      <c r="M5" s="1226">
        <v>3318432000</v>
      </c>
      <c r="N5" s="1226">
        <v>1654274728</v>
      </c>
      <c r="O5" s="1226">
        <v>1428805848</v>
      </c>
      <c r="P5" s="1226">
        <v>1283192192</v>
      </c>
      <c r="Q5" s="1226"/>
      <c r="R5" s="1226"/>
      <c r="S5" s="1226"/>
      <c r="T5" s="1226"/>
      <c r="U5" s="1226">
        <v>72400000</v>
      </c>
      <c r="V5" s="1226">
        <v>72400000</v>
      </c>
      <c r="W5" s="1226">
        <v>52000000</v>
      </c>
      <c r="X5" s="1226">
        <v>0</v>
      </c>
      <c r="Y5" s="1226">
        <f t="shared" ref="Y5:AB68" si="2">+I5+M5+Q5+U5</f>
        <v>4429213655</v>
      </c>
      <c r="Z5" s="1226">
        <f t="shared" si="1"/>
        <v>1804728645</v>
      </c>
      <c r="AA5" s="1226">
        <f t="shared" si="1"/>
        <v>1539516019</v>
      </c>
      <c r="AB5" s="1226">
        <f t="shared" si="1"/>
        <v>1337755219</v>
      </c>
      <c r="AC5" s="1230"/>
    </row>
    <row r="6" spans="1:29" ht="16.5" thickTop="1" thickBot="1" x14ac:dyDescent="0.3">
      <c r="A6" s="681">
        <v>2</v>
      </c>
      <c r="B6" s="679" t="s">
        <v>1381</v>
      </c>
      <c r="C6" s="679" t="s">
        <v>1394</v>
      </c>
      <c r="D6" s="679"/>
      <c r="E6" s="679"/>
      <c r="F6" s="679"/>
      <c r="G6" s="679"/>
      <c r="H6" s="680" t="s">
        <v>1724</v>
      </c>
      <c r="I6" s="1226">
        <f>+I7+I8</f>
        <v>4138169565</v>
      </c>
      <c r="J6" s="1226">
        <f t="shared" ref="J6:X6" si="3">+J7+J8</f>
        <v>1860605244.1300001</v>
      </c>
      <c r="K6" s="1226">
        <f t="shared" si="3"/>
        <v>745558333.51999998</v>
      </c>
      <c r="L6" s="1226">
        <f t="shared" si="3"/>
        <v>663469208.19000006</v>
      </c>
      <c r="M6" s="1226">
        <f t="shared" si="3"/>
        <v>308038000</v>
      </c>
      <c r="N6" s="1226">
        <f t="shared" si="3"/>
        <v>0</v>
      </c>
      <c r="O6" s="1226">
        <f t="shared" si="3"/>
        <v>0</v>
      </c>
      <c r="P6" s="1226">
        <f t="shared" si="3"/>
        <v>0</v>
      </c>
      <c r="Q6" s="1226">
        <f t="shared" si="3"/>
        <v>0</v>
      </c>
      <c r="R6" s="1226">
        <f t="shared" si="3"/>
        <v>0</v>
      </c>
      <c r="S6" s="1226">
        <f t="shared" si="3"/>
        <v>0</v>
      </c>
      <c r="T6" s="1226">
        <f t="shared" si="3"/>
        <v>0</v>
      </c>
      <c r="U6" s="1226">
        <f t="shared" si="3"/>
        <v>200279</v>
      </c>
      <c r="V6" s="1226">
        <f t="shared" si="3"/>
        <v>0</v>
      </c>
      <c r="W6" s="1226">
        <f t="shared" si="3"/>
        <v>0</v>
      </c>
      <c r="X6" s="1226">
        <f t="shared" si="3"/>
        <v>0</v>
      </c>
      <c r="Y6" s="1226">
        <f t="shared" si="2"/>
        <v>4446407844</v>
      </c>
      <c r="Z6" s="1226">
        <f t="shared" si="1"/>
        <v>1860605244.1300001</v>
      </c>
      <c r="AA6" s="1226">
        <f t="shared" si="1"/>
        <v>745558333.51999998</v>
      </c>
      <c r="AB6" s="1226">
        <f t="shared" si="1"/>
        <v>663469208.19000006</v>
      </c>
      <c r="AC6" s="1230"/>
    </row>
    <row r="7" spans="1:29" ht="16.5" thickTop="1" thickBot="1" x14ac:dyDescent="0.3">
      <c r="A7" s="682">
        <v>2</v>
      </c>
      <c r="B7" s="683" t="s">
        <v>1381</v>
      </c>
      <c r="C7" s="683" t="s">
        <v>1394</v>
      </c>
      <c r="D7" s="683" t="s">
        <v>1381</v>
      </c>
      <c r="E7" s="684"/>
      <c r="F7" s="684"/>
      <c r="G7" s="684"/>
      <c r="H7" s="685" t="s">
        <v>1725</v>
      </c>
      <c r="I7" s="1231">
        <v>131692000</v>
      </c>
      <c r="J7" s="1231">
        <v>24514387</v>
      </c>
      <c r="K7" s="1231">
        <v>19051590</v>
      </c>
      <c r="L7" s="1231">
        <v>19051590</v>
      </c>
      <c r="M7" s="1231"/>
      <c r="N7" s="1231"/>
      <c r="O7" s="1231"/>
      <c r="P7" s="1231"/>
      <c r="Q7" s="1231"/>
      <c r="R7" s="1231"/>
      <c r="S7" s="1231"/>
      <c r="T7" s="1231"/>
      <c r="U7" s="1231"/>
      <c r="V7" s="1231"/>
      <c r="W7" s="1231"/>
      <c r="X7" s="1231"/>
      <c r="Y7" s="1231">
        <f t="shared" si="2"/>
        <v>131692000</v>
      </c>
      <c r="Z7" s="1231">
        <f t="shared" si="1"/>
        <v>24514387</v>
      </c>
      <c r="AA7" s="1231">
        <f t="shared" si="1"/>
        <v>19051590</v>
      </c>
      <c r="AB7" s="1231">
        <f t="shared" si="1"/>
        <v>19051590</v>
      </c>
      <c r="AC7" s="1230"/>
    </row>
    <row r="8" spans="1:29" ht="16.5" thickTop="1" thickBot="1" x14ac:dyDescent="0.3">
      <c r="A8" s="682">
        <v>2</v>
      </c>
      <c r="B8" s="683" t="s">
        <v>1381</v>
      </c>
      <c r="C8" s="683" t="s">
        <v>1394</v>
      </c>
      <c r="D8" s="683" t="s">
        <v>1381</v>
      </c>
      <c r="E8" s="684"/>
      <c r="F8" s="684"/>
      <c r="G8" s="684"/>
      <c r="H8" s="685" t="s">
        <v>1726</v>
      </c>
      <c r="I8" s="1231">
        <v>4006477565</v>
      </c>
      <c r="J8" s="1231">
        <v>1836090857.1300001</v>
      </c>
      <c r="K8" s="1231">
        <v>726506743.51999998</v>
      </c>
      <c r="L8" s="1231">
        <v>644417618.19000006</v>
      </c>
      <c r="M8" s="1231">
        <v>308038000</v>
      </c>
      <c r="N8" s="1231">
        <v>0</v>
      </c>
      <c r="O8" s="1231">
        <v>0</v>
      </c>
      <c r="P8" s="1231">
        <v>0</v>
      </c>
      <c r="Q8" s="1231"/>
      <c r="R8" s="1231"/>
      <c r="S8" s="1231"/>
      <c r="T8" s="1231"/>
      <c r="U8" s="1231">
        <v>200279</v>
      </c>
      <c r="V8" s="1231">
        <v>0</v>
      </c>
      <c r="W8" s="1231">
        <v>0</v>
      </c>
      <c r="X8" s="1231">
        <v>0</v>
      </c>
      <c r="Y8" s="1231">
        <f t="shared" si="2"/>
        <v>4314715844</v>
      </c>
      <c r="Z8" s="1231">
        <f t="shared" si="1"/>
        <v>1836090857.1300001</v>
      </c>
      <c r="AA8" s="1231">
        <f t="shared" si="1"/>
        <v>726506743.51999998</v>
      </c>
      <c r="AB8" s="1231">
        <f t="shared" si="1"/>
        <v>644417618.19000006</v>
      </c>
      <c r="AC8" s="1230"/>
    </row>
    <row r="9" spans="1:29" s="686" customFormat="1" ht="16.5" thickTop="1" thickBot="1" x14ac:dyDescent="0.3">
      <c r="A9" s="681">
        <v>2</v>
      </c>
      <c r="B9" s="679" t="s">
        <v>1381</v>
      </c>
      <c r="C9" s="679" t="s">
        <v>1418</v>
      </c>
      <c r="D9" s="679"/>
      <c r="E9" s="679"/>
      <c r="F9" s="679"/>
      <c r="G9" s="679"/>
      <c r="H9" s="680" t="s">
        <v>1303</v>
      </c>
      <c r="I9" s="1226">
        <f>+I10+I20+I24</f>
        <v>2272557580</v>
      </c>
      <c r="J9" s="1226">
        <f t="shared" ref="J9:L9" si="4">+J10+J20+J24</f>
        <v>464413730</v>
      </c>
      <c r="K9" s="1226">
        <f t="shared" si="4"/>
        <v>464313730</v>
      </c>
      <c r="L9" s="1226">
        <f t="shared" si="4"/>
        <v>464313730</v>
      </c>
      <c r="M9" s="1226">
        <f t="shared" ref="M9:X9" si="5">+M10+M15+M24</f>
        <v>0</v>
      </c>
      <c r="N9" s="1226">
        <f t="shared" si="5"/>
        <v>0</v>
      </c>
      <c r="O9" s="1226">
        <f t="shared" si="5"/>
        <v>0</v>
      </c>
      <c r="P9" s="1226">
        <f t="shared" si="5"/>
        <v>0</v>
      </c>
      <c r="Q9" s="1226">
        <f t="shared" si="5"/>
        <v>0</v>
      </c>
      <c r="R9" s="1226">
        <f t="shared" si="5"/>
        <v>0</v>
      </c>
      <c r="S9" s="1226">
        <f t="shared" si="5"/>
        <v>0</v>
      </c>
      <c r="T9" s="1226">
        <f t="shared" si="5"/>
        <v>0</v>
      </c>
      <c r="U9" s="1226">
        <f t="shared" si="5"/>
        <v>0</v>
      </c>
      <c r="V9" s="1226">
        <f t="shared" si="5"/>
        <v>0</v>
      </c>
      <c r="W9" s="1226">
        <f t="shared" si="5"/>
        <v>0</v>
      </c>
      <c r="X9" s="1226">
        <f t="shared" si="5"/>
        <v>0</v>
      </c>
      <c r="Y9" s="1226">
        <f t="shared" si="2"/>
        <v>2272557580</v>
      </c>
      <c r="Z9" s="1226">
        <f t="shared" si="1"/>
        <v>464413730</v>
      </c>
      <c r="AA9" s="1226">
        <f t="shared" si="1"/>
        <v>464313730</v>
      </c>
      <c r="AB9" s="1226">
        <f t="shared" si="1"/>
        <v>464313730</v>
      </c>
      <c r="AC9" s="1230"/>
    </row>
    <row r="10" spans="1:29" s="686" customFormat="1" ht="16.5" thickTop="1" thickBot="1" x14ac:dyDescent="0.3">
      <c r="A10" s="687">
        <v>2</v>
      </c>
      <c r="B10" s="688" t="s">
        <v>1381</v>
      </c>
      <c r="C10" s="688" t="s">
        <v>1418</v>
      </c>
      <c r="D10" s="688" t="s">
        <v>1381</v>
      </c>
      <c r="E10" s="688"/>
      <c r="F10" s="688"/>
      <c r="G10" s="688"/>
      <c r="H10" s="689" t="s">
        <v>1727</v>
      </c>
      <c r="I10" s="1232">
        <f>+I11+I15</f>
        <v>2224580700</v>
      </c>
      <c r="J10" s="1232">
        <f t="shared" ref="J10:X10" si="6">+J11+J15</f>
        <v>443334080</v>
      </c>
      <c r="K10" s="1232">
        <f t="shared" si="6"/>
        <v>443234080</v>
      </c>
      <c r="L10" s="1232">
        <f t="shared" si="6"/>
        <v>443234080</v>
      </c>
      <c r="M10" s="1232">
        <f t="shared" si="6"/>
        <v>0</v>
      </c>
      <c r="N10" s="1232">
        <f t="shared" si="6"/>
        <v>0</v>
      </c>
      <c r="O10" s="1232">
        <f t="shared" si="6"/>
        <v>0</v>
      </c>
      <c r="P10" s="1232">
        <f t="shared" si="6"/>
        <v>0</v>
      </c>
      <c r="Q10" s="1232">
        <f t="shared" si="6"/>
        <v>0</v>
      </c>
      <c r="R10" s="1232">
        <f t="shared" si="6"/>
        <v>0</v>
      </c>
      <c r="S10" s="1232">
        <f t="shared" si="6"/>
        <v>0</v>
      </c>
      <c r="T10" s="1232">
        <f t="shared" si="6"/>
        <v>0</v>
      </c>
      <c r="U10" s="1232">
        <f t="shared" si="6"/>
        <v>0</v>
      </c>
      <c r="V10" s="1232">
        <f t="shared" si="6"/>
        <v>0</v>
      </c>
      <c r="W10" s="1232">
        <f t="shared" si="6"/>
        <v>0</v>
      </c>
      <c r="X10" s="1232">
        <f t="shared" si="6"/>
        <v>0</v>
      </c>
      <c r="Y10" s="1232">
        <f t="shared" si="2"/>
        <v>2224580700</v>
      </c>
      <c r="Z10" s="1232">
        <f t="shared" si="1"/>
        <v>443334080</v>
      </c>
      <c r="AA10" s="1232">
        <f t="shared" si="1"/>
        <v>443234080</v>
      </c>
      <c r="AB10" s="1232">
        <f t="shared" si="1"/>
        <v>443234080</v>
      </c>
      <c r="AC10" s="1230"/>
    </row>
    <row r="11" spans="1:29" s="693" customFormat="1" ht="16.5" thickTop="1" thickBot="1" x14ac:dyDescent="0.3">
      <c r="A11" s="690"/>
      <c r="B11" s="691" t="s">
        <v>1381</v>
      </c>
      <c r="C11" s="691" t="s">
        <v>1418</v>
      </c>
      <c r="D11" s="691" t="s">
        <v>1381</v>
      </c>
      <c r="E11" s="691" t="s">
        <v>1381</v>
      </c>
      <c r="F11" s="691"/>
      <c r="G11" s="691"/>
      <c r="H11" s="692" t="s">
        <v>1728</v>
      </c>
      <c r="I11" s="1233">
        <f>+I12</f>
        <v>2201580700</v>
      </c>
      <c r="J11" s="1233">
        <f t="shared" ref="J11:X11" si="7">+J12</f>
        <v>421311691</v>
      </c>
      <c r="K11" s="1233">
        <f t="shared" si="7"/>
        <v>421211691</v>
      </c>
      <c r="L11" s="1233">
        <f t="shared" si="7"/>
        <v>421211691</v>
      </c>
      <c r="M11" s="1233">
        <f t="shared" si="7"/>
        <v>0</v>
      </c>
      <c r="N11" s="1233">
        <f t="shared" si="7"/>
        <v>0</v>
      </c>
      <c r="O11" s="1233">
        <f t="shared" si="7"/>
        <v>0</v>
      </c>
      <c r="P11" s="1233">
        <f t="shared" si="7"/>
        <v>0</v>
      </c>
      <c r="Q11" s="1233">
        <f t="shared" si="7"/>
        <v>0</v>
      </c>
      <c r="R11" s="1233">
        <f t="shared" si="7"/>
        <v>0</v>
      </c>
      <c r="S11" s="1233">
        <f t="shared" si="7"/>
        <v>0</v>
      </c>
      <c r="T11" s="1233">
        <f t="shared" si="7"/>
        <v>0</v>
      </c>
      <c r="U11" s="1233">
        <f t="shared" si="7"/>
        <v>0</v>
      </c>
      <c r="V11" s="1233">
        <f t="shared" si="7"/>
        <v>0</v>
      </c>
      <c r="W11" s="1233">
        <f t="shared" si="7"/>
        <v>0</v>
      </c>
      <c r="X11" s="1233">
        <f t="shared" si="7"/>
        <v>0</v>
      </c>
      <c r="Y11" s="1233">
        <f t="shared" si="2"/>
        <v>2201580700</v>
      </c>
      <c r="Z11" s="1233">
        <f t="shared" si="1"/>
        <v>421311691</v>
      </c>
      <c r="AA11" s="1233">
        <f t="shared" si="1"/>
        <v>421211691</v>
      </c>
      <c r="AB11" s="1233">
        <f t="shared" si="1"/>
        <v>421211691</v>
      </c>
      <c r="AC11" s="1230"/>
    </row>
    <row r="12" spans="1:29" ht="16.5" thickTop="1" thickBot="1" x14ac:dyDescent="0.3">
      <c r="A12" s="682">
        <v>2</v>
      </c>
      <c r="B12" s="683" t="s">
        <v>1381</v>
      </c>
      <c r="C12" s="683" t="s">
        <v>1418</v>
      </c>
      <c r="D12" s="683" t="s">
        <v>1381</v>
      </c>
      <c r="E12" s="683" t="s">
        <v>1381</v>
      </c>
      <c r="F12" s="683" t="s">
        <v>1381</v>
      </c>
      <c r="G12" s="684"/>
      <c r="H12" s="694" t="s">
        <v>1729</v>
      </c>
      <c r="I12" s="1231">
        <f>+I13+I14+I17</f>
        <v>2201580700</v>
      </c>
      <c r="J12" s="1231">
        <f t="shared" ref="J12:L12" si="8">+J13+J14+J17</f>
        <v>421311691</v>
      </c>
      <c r="K12" s="1231">
        <f t="shared" si="8"/>
        <v>421211691</v>
      </c>
      <c r="L12" s="1231">
        <f t="shared" si="8"/>
        <v>421211691</v>
      </c>
      <c r="M12" s="1231">
        <f t="shared" ref="M12:X12" si="9">+M13+M14</f>
        <v>0</v>
      </c>
      <c r="N12" s="1231">
        <f t="shared" si="9"/>
        <v>0</v>
      </c>
      <c r="O12" s="1231">
        <f t="shared" si="9"/>
        <v>0</v>
      </c>
      <c r="P12" s="1231">
        <f t="shared" si="9"/>
        <v>0</v>
      </c>
      <c r="Q12" s="1231">
        <f t="shared" si="9"/>
        <v>0</v>
      </c>
      <c r="R12" s="1231">
        <f t="shared" si="9"/>
        <v>0</v>
      </c>
      <c r="S12" s="1231">
        <f t="shared" si="9"/>
        <v>0</v>
      </c>
      <c r="T12" s="1231">
        <f t="shared" si="9"/>
        <v>0</v>
      </c>
      <c r="U12" s="1231">
        <f t="shared" si="9"/>
        <v>0</v>
      </c>
      <c r="V12" s="1231">
        <f t="shared" si="9"/>
        <v>0</v>
      </c>
      <c r="W12" s="1231">
        <f t="shared" si="9"/>
        <v>0</v>
      </c>
      <c r="X12" s="1231">
        <f t="shared" si="9"/>
        <v>0</v>
      </c>
      <c r="Y12" s="1231">
        <f t="shared" si="2"/>
        <v>2201580700</v>
      </c>
      <c r="Z12" s="1231">
        <f t="shared" si="1"/>
        <v>421311691</v>
      </c>
      <c r="AA12" s="1231">
        <f t="shared" si="1"/>
        <v>421211691</v>
      </c>
      <c r="AB12" s="1231">
        <f t="shared" si="1"/>
        <v>421211691</v>
      </c>
      <c r="AC12" s="1230"/>
    </row>
    <row r="13" spans="1:29" ht="16.5" thickTop="1" thickBot="1" x14ac:dyDescent="0.3">
      <c r="A13" s="682">
        <v>2</v>
      </c>
      <c r="B13" s="683" t="s">
        <v>1381</v>
      </c>
      <c r="C13" s="683" t="s">
        <v>1418</v>
      </c>
      <c r="D13" s="683" t="s">
        <v>1381</v>
      </c>
      <c r="E13" s="683" t="s">
        <v>1381</v>
      </c>
      <c r="F13" s="683" t="s">
        <v>1381</v>
      </c>
      <c r="G13" s="683" t="s">
        <v>1381</v>
      </c>
      <c r="H13" s="694" t="s">
        <v>1730</v>
      </c>
      <c r="I13" s="1231">
        <v>706200400</v>
      </c>
      <c r="J13" s="1231">
        <v>303653861</v>
      </c>
      <c r="K13" s="1231">
        <v>303653861</v>
      </c>
      <c r="L13" s="1231">
        <v>303653861</v>
      </c>
      <c r="M13" s="1231"/>
      <c r="N13" s="1231"/>
      <c r="O13" s="1231"/>
      <c r="P13" s="1231"/>
      <c r="Q13" s="1231"/>
      <c r="R13" s="1231"/>
      <c r="S13" s="1231"/>
      <c r="T13" s="1231"/>
      <c r="U13" s="1231"/>
      <c r="V13" s="1231"/>
      <c r="W13" s="1231"/>
      <c r="X13" s="1231"/>
      <c r="Y13" s="1231">
        <f t="shared" si="2"/>
        <v>706200400</v>
      </c>
      <c r="Z13" s="1231">
        <f t="shared" si="1"/>
        <v>303653861</v>
      </c>
      <c r="AA13" s="1231">
        <f t="shared" si="1"/>
        <v>303653861</v>
      </c>
      <c r="AB13" s="1231">
        <f t="shared" si="1"/>
        <v>303653861</v>
      </c>
      <c r="AC13" s="1230"/>
    </row>
    <row r="14" spans="1:29" ht="16.5" thickTop="1" thickBot="1" x14ac:dyDescent="0.3">
      <c r="A14" s="682">
        <v>2</v>
      </c>
      <c r="B14" s="683" t="s">
        <v>1381</v>
      </c>
      <c r="C14" s="683" t="s">
        <v>1418</v>
      </c>
      <c r="D14" s="683" t="s">
        <v>1381</v>
      </c>
      <c r="E14" s="683" t="s">
        <v>1381</v>
      </c>
      <c r="F14" s="683" t="s">
        <v>1381</v>
      </c>
      <c r="G14" s="683" t="s">
        <v>1394</v>
      </c>
      <c r="H14" s="694" t="s">
        <v>1731</v>
      </c>
      <c r="I14" s="1231">
        <v>775177200</v>
      </c>
      <c r="J14" s="1231">
        <v>117657830</v>
      </c>
      <c r="K14" s="1231">
        <v>117557830</v>
      </c>
      <c r="L14" s="1231">
        <v>117557830</v>
      </c>
      <c r="M14" s="1231"/>
      <c r="N14" s="1231"/>
      <c r="O14" s="1231"/>
      <c r="P14" s="1231"/>
      <c r="Q14" s="1231"/>
      <c r="R14" s="1231"/>
      <c r="S14" s="1231"/>
      <c r="T14" s="1231"/>
      <c r="U14" s="1231"/>
      <c r="V14" s="1231"/>
      <c r="W14" s="1231"/>
      <c r="X14" s="1231"/>
      <c r="Y14" s="1231">
        <f t="shared" si="2"/>
        <v>775177200</v>
      </c>
      <c r="Z14" s="1231">
        <f t="shared" si="1"/>
        <v>117657830</v>
      </c>
      <c r="AA14" s="1231">
        <f t="shared" si="1"/>
        <v>117557830</v>
      </c>
      <c r="AB14" s="1231">
        <f t="shared" si="1"/>
        <v>117557830</v>
      </c>
      <c r="AC14" s="1230"/>
    </row>
    <row r="15" spans="1:29" ht="16.5" thickTop="1" thickBot="1" x14ac:dyDescent="0.3">
      <c r="A15" s="682">
        <v>2</v>
      </c>
      <c r="B15" s="683" t="s">
        <v>1381</v>
      </c>
      <c r="C15" s="683" t="s">
        <v>1418</v>
      </c>
      <c r="D15" s="683" t="s">
        <v>1381</v>
      </c>
      <c r="E15" s="683" t="s">
        <v>1394</v>
      </c>
      <c r="F15" s="684"/>
      <c r="G15" s="684"/>
      <c r="H15" s="694" t="s">
        <v>1732</v>
      </c>
      <c r="I15" s="1231">
        <f>+I16</f>
        <v>23000000</v>
      </c>
      <c r="J15" s="1231">
        <f t="shared" ref="J15:X15" si="10">+J16</f>
        <v>22022389</v>
      </c>
      <c r="K15" s="1231">
        <f t="shared" si="10"/>
        <v>22022389</v>
      </c>
      <c r="L15" s="1231">
        <f t="shared" si="10"/>
        <v>22022389</v>
      </c>
      <c r="M15" s="1231">
        <f t="shared" si="10"/>
        <v>0</v>
      </c>
      <c r="N15" s="1231">
        <f t="shared" si="10"/>
        <v>0</v>
      </c>
      <c r="O15" s="1231">
        <f t="shared" si="10"/>
        <v>0</v>
      </c>
      <c r="P15" s="1231">
        <f t="shared" si="10"/>
        <v>0</v>
      </c>
      <c r="Q15" s="1231">
        <f t="shared" si="10"/>
        <v>0</v>
      </c>
      <c r="R15" s="1231">
        <f t="shared" si="10"/>
        <v>0</v>
      </c>
      <c r="S15" s="1231">
        <f t="shared" si="10"/>
        <v>0</v>
      </c>
      <c r="T15" s="1231">
        <f t="shared" si="10"/>
        <v>0</v>
      </c>
      <c r="U15" s="1231">
        <f t="shared" si="10"/>
        <v>0</v>
      </c>
      <c r="V15" s="1231">
        <f t="shared" si="10"/>
        <v>0</v>
      </c>
      <c r="W15" s="1231">
        <f t="shared" si="10"/>
        <v>0</v>
      </c>
      <c r="X15" s="1231">
        <f t="shared" si="10"/>
        <v>0</v>
      </c>
      <c r="Y15" s="1231">
        <f t="shared" si="2"/>
        <v>23000000</v>
      </c>
      <c r="Z15" s="1231">
        <f t="shared" si="1"/>
        <v>22022389</v>
      </c>
      <c r="AA15" s="1231">
        <f t="shared" si="1"/>
        <v>22022389</v>
      </c>
      <c r="AB15" s="1231">
        <f t="shared" si="1"/>
        <v>22022389</v>
      </c>
      <c r="AC15" s="1230"/>
    </row>
    <row r="16" spans="1:29" ht="16.5" thickTop="1" thickBot="1" x14ac:dyDescent="0.3">
      <c r="A16" s="682">
        <v>2</v>
      </c>
      <c r="B16" s="683" t="s">
        <v>1381</v>
      </c>
      <c r="C16" s="683" t="s">
        <v>1418</v>
      </c>
      <c r="D16" s="683" t="s">
        <v>1381</v>
      </c>
      <c r="E16" s="683" t="s">
        <v>1394</v>
      </c>
      <c r="F16" s="683" t="s">
        <v>1381</v>
      </c>
      <c r="G16" s="683"/>
      <c r="H16" s="694" t="s">
        <v>1733</v>
      </c>
      <c r="I16" s="1231">
        <v>23000000</v>
      </c>
      <c r="J16" s="1231">
        <v>22022389</v>
      </c>
      <c r="K16" s="1231">
        <v>22022389</v>
      </c>
      <c r="L16" s="1231">
        <v>22022389</v>
      </c>
      <c r="M16" s="1231"/>
      <c r="N16" s="1231"/>
      <c r="O16" s="1231"/>
      <c r="P16" s="1231"/>
      <c r="Q16" s="1231"/>
      <c r="R16" s="1231"/>
      <c r="S16" s="1231"/>
      <c r="T16" s="1231"/>
      <c r="U16" s="1231"/>
      <c r="V16" s="1231"/>
      <c r="W16" s="1231"/>
      <c r="X16" s="1231"/>
      <c r="Y16" s="1231">
        <f t="shared" si="2"/>
        <v>23000000</v>
      </c>
      <c r="Z16" s="1231">
        <f t="shared" si="1"/>
        <v>22022389</v>
      </c>
      <c r="AA16" s="1231">
        <f t="shared" si="1"/>
        <v>22022389</v>
      </c>
      <c r="AB16" s="1231">
        <f t="shared" si="1"/>
        <v>22022389</v>
      </c>
      <c r="AC16" s="1230"/>
    </row>
    <row r="17" spans="1:29" ht="16.5" customHeight="1" thickTop="1" thickBot="1" x14ac:dyDescent="0.3">
      <c r="A17" s="682"/>
      <c r="B17" s="683"/>
      <c r="C17" s="683"/>
      <c r="D17" s="683"/>
      <c r="E17" s="683"/>
      <c r="F17" s="683"/>
      <c r="G17" s="683"/>
      <c r="H17" s="1228" t="s">
        <v>3247</v>
      </c>
      <c r="I17" s="1234">
        <f>+I18+I19</f>
        <v>720203100</v>
      </c>
      <c r="J17" s="1234">
        <f t="shared" ref="J17:L17" si="11">+J18+J19</f>
        <v>0</v>
      </c>
      <c r="K17" s="1234">
        <f t="shared" si="11"/>
        <v>0</v>
      </c>
      <c r="L17" s="1234">
        <f t="shared" si="11"/>
        <v>0</v>
      </c>
      <c r="M17" s="1234"/>
      <c r="N17" s="1234"/>
      <c r="O17" s="1234"/>
      <c r="P17" s="1234"/>
      <c r="Q17" s="1234"/>
      <c r="R17" s="1234"/>
      <c r="S17" s="1234"/>
      <c r="T17" s="1234"/>
      <c r="U17" s="1234"/>
      <c r="V17" s="1234"/>
      <c r="W17" s="1234"/>
      <c r="X17" s="1234"/>
      <c r="Y17" s="1234">
        <f t="shared" si="2"/>
        <v>720203100</v>
      </c>
      <c r="Z17" s="1234">
        <f t="shared" si="1"/>
        <v>0</v>
      </c>
      <c r="AA17" s="1234">
        <f t="shared" si="1"/>
        <v>0</v>
      </c>
      <c r="AB17" s="1234">
        <f t="shared" si="1"/>
        <v>0</v>
      </c>
      <c r="AC17" s="1698" t="s">
        <v>3250</v>
      </c>
    </row>
    <row r="18" spans="1:29" ht="16.5" thickTop="1" thickBot="1" x14ac:dyDescent="0.3">
      <c r="A18" s="682"/>
      <c r="B18" s="683"/>
      <c r="C18" s="683"/>
      <c r="D18" s="683"/>
      <c r="E18" s="683"/>
      <c r="F18" s="683"/>
      <c r="G18" s="683"/>
      <c r="H18" s="1229" t="s">
        <v>3248</v>
      </c>
      <c r="I18" s="1235">
        <v>711586100</v>
      </c>
      <c r="J18" s="1235"/>
      <c r="K18" s="1235"/>
      <c r="L18" s="1235"/>
      <c r="M18" s="1235"/>
      <c r="N18" s="1235"/>
      <c r="O18" s="1235"/>
      <c r="P18" s="1235"/>
      <c r="Q18" s="1235"/>
      <c r="R18" s="1235"/>
      <c r="S18" s="1235"/>
      <c r="T18" s="1235"/>
      <c r="U18" s="1235"/>
      <c r="V18" s="1235"/>
      <c r="W18" s="1235"/>
      <c r="X18" s="1235"/>
      <c r="Y18" s="1235">
        <f t="shared" si="2"/>
        <v>711586100</v>
      </c>
      <c r="Z18" s="1235">
        <f t="shared" si="1"/>
        <v>0</v>
      </c>
      <c r="AA18" s="1235">
        <f t="shared" si="1"/>
        <v>0</v>
      </c>
      <c r="AB18" s="1235">
        <f t="shared" si="1"/>
        <v>0</v>
      </c>
      <c r="AC18" s="1699"/>
    </row>
    <row r="19" spans="1:29" ht="16.5" thickTop="1" thickBot="1" x14ac:dyDescent="0.3">
      <c r="A19" s="682"/>
      <c r="B19" s="683"/>
      <c r="C19" s="683"/>
      <c r="D19" s="683"/>
      <c r="E19" s="683"/>
      <c r="F19" s="683"/>
      <c r="G19" s="683"/>
      <c r="H19" s="1229" t="s">
        <v>3249</v>
      </c>
      <c r="I19" s="1235">
        <v>8617000</v>
      </c>
      <c r="J19" s="1235"/>
      <c r="K19" s="1235"/>
      <c r="L19" s="1235"/>
      <c r="M19" s="1235"/>
      <c r="N19" s="1235"/>
      <c r="O19" s="1235"/>
      <c r="P19" s="1235"/>
      <c r="Q19" s="1235"/>
      <c r="R19" s="1235"/>
      <c r="S19" s="1235"/>
      <c r="T19" s="1235"/>
      <c r="U19" s="1235"/>
      <c r="V19" s="1235"/>
      <c r="W19" s="1235"/>
      <c r="X19" s="1235"/>
      <c r="Y19" s="1235">
        <f t="shared" si="2"/>
        <v>8617000</v>
      </c>
      <c r="Z19" s="1235">
        <f t="shared" si="1"/>
        <v>0</v>
      </c>
      <c r="AA19" s="1235">
        <f t="shared" si="1"/>
        <v>0</v>
      </c>
      <c r="AB19" s="1235">
        <f t="shared" si="1"/>
        <v>0</v>
      </c>
      <c r="AC19" s="1700"/>
    </row>
    <row r="20" spans="1:29" s="686" customFormat="1" ht="16.5" thickTop="1" thickBot="1" x14ac:dyDescent="0.3">
      <c r="A20" s="687">
        <v>2</v>
      </c>
      <c r="B20" s="688" t="s">
        <v>1381</v>
      </c>
      <c r="C20" s="688" t="s">
        <v>1418</v>
      </c>
      <c r="D20" s="688" t="s">
        <v>1394</v>
      </c>
      <c r="E20" s="688"/>
      <c r="F20" s="688"/>
      <c r="G20" s="688"/>
      <c r="H20" s="689" t="s">
        <v>1734</v>
      </c>
      <c r="I20" s="1232">
        <f>+I21</f>
        <v>47976880</v>
      </c>
      <c r="J20" s="1232">
        <f t="shared" ref="J20:X20" si="12">+J21</f>
        <v>21079650</v>
      </c>
      <c r="K20" s="1232">
        <f t="shared" si="12"/>
        <v>21079650</v>
      </c>
      <c r="L20" s="1232">
        <f t="shared" si="12"/>
        <v>21079650</v>
      </c>
      <c r="M20" s="1232">
        <f t="shared" si="12"/>
        <v>0</v>
      </c>
      <c r="N20" s="1232">
        <f t="shared" si="12"/>
        <v>0</v>
      </c>
      <c r="O20" s="1232">
        <f t="shared" si="12"/>
        <v>0</v>
      </c>
      <c r="P20" s="1232">
        <f t="shared" si="12"/>
        <v>0</v>
      </c>
      <c r="Q20" s="1232">
        <f t="shared" si="12"/>
        <v>0</v>
      </c>
      <c r="R20" s="1232">
        <f t="shared" si="12"/>
        <v>0</v>
      </c>
      <c r="S20" s="1232">
        <f t="shared" si="12"/>
        <v>0</v>
      </c>
      <c r="T20" s="1232">
        <f t="shared" si="12"/>
        <v>0</v>
      </c>
      <c r="U20" s="1232">
        <f t="shared" si="12"/>
        <v>0</v>
      </c>
      <c r="V20" s="1232">
        <f t="shared" si="12"/>
        <v>0</v>
      </c>
      <c r="W20" s="1232">
        <f t="shared" si="12"/>
        <v>0</v>
      </c>
      <c r="X20" s="1232">
        <f t="shared" si="12"/>
        <v>0</v>
      </c>
      <c r="Y20" s="1232">
        <f t="shared" si="2"/>
        <v>47976880</v>
      </c>
      <c r="Z20" s="1232">
        <f t="shared" si="2"/>
        <v>21079650</v>
      </c>
      <c r="AA20" s="1232">
        <f t="shared" si="2"/>
        <v>21079650</v>
      </c>
      <c r="AB20" s="1232">
        <f t="shared" si="2"/>
        <v>21079650</v>
      </c>
      <c r="AC20" s="1230"/>
    </row>
    <row r="21" spans="1:29" ht="16.5" thickTop="1" thickBot="1" x14ac:dyDescent="0.3">
      <c r="A21" s="682">
        <v>2</v>
      </c>
      <c r="B21" s="683" t="s">
        <v>1381</v>
      </c>
      <c r="C21" s="683" t="s">
        <v>1418</v>
      </c>
      <c r="D21" s="683" t="s">
        <v>1394</v>
      </c>
      <c r="E21" s="683" t="s">
        <v>1381</v>
      </c>
      <c r="F21" s="683"/>
      <c r="G21" s="683"/>
      <c r="H21" s="694" t="s">
        <v>1735</v>
      </c>
      <c r="I21" s="1231">
        <v>47976880</v>
      </c>
      <c r="J21" s="1231">
        <v>21079650</v>
      </c>
      <c r="K21" s="1231">
        <v>21079650</v>
      </c>
      <c r="L21" s="1231">
        <v>21079650</v>
      </c>
      <c r="M21" s="1231">
        <f t="shared" ref="M21:X21" si="13">+M22+M23</f>
        <v>0</v>
      </c>
      <c r="N21" s="1231">
        <f t="shared" si="13"/>
        <v>0</v>
      </c>
      <c r="O21" s="1231">
        <f t="shared" si="13"/>
        <v>0</v>
      </c>
      <c r="P21" s="1231">
        <f t="shared" si="13"/>
        <v>0</v>
      </c>
      <c r="Q21" s="1231">
        <f t="shared" si="13"/>
        <v>0</v>
      </c>
      <c r="R21" s="1231">
        <f t="shared" si="13"/>
        <v>0</v>
      </c>
      <c r="S21" s="1231">
        <f t="shared" si="13"/>
        <v>0</v>
      </c>
      <c r="T21" s="1231">
        <f t="shared" si="13"/>
        <v>0</v>
      </c>
      <c r="U21" s="1231">
        <f t="shared" si="13"/>
        <v>0</v>
      </c>
      <c r="V21" s="1231">
        <f t="shared" si="13"/>
        <v>0</v>
      </c>
      <c r="W21" s="1231">
        <f t="shared" si="13"/>
        <v>0</v>
      </c>
      <c r="X21" s="1231">
        <f t="shared" si="13"/>
        <v>0</v>
      </c>
      <c r="Y21" s="1231">
        <f t="shared" si="2"/>
        <v>47976880</v>
      </c>
      <c r="Z21" s="1231">
        <f t="shared" si="2"/>
        <v>21079650</v>
      </c>
      <c r="AA21" s="1231">
        <f t="shared" si="2"/>
        <v>21079650</v>
      </c>
      <c r="AB21" s="1231">
        <f t="shared" si="2"/>
        <v>21079650</v>
      </c>
      <c r="AC21" s="1230"/>
    </row>
    <row r="22" spans="1:29" ht="16.5" thickTop="1" thickBot="1" x14ac:dyDescent="0.3">
      <c r="A22" s="682">
        <v>2</v>
      </c>
      <c r="B22" s="683" t="s">
        <v>1381</v>
      </c>
      <c r="C22" s="683" t="s">
        <v>1418</v>
      </c>
      <c r="D22" s="683" t="s">
        <v>1394</v>
      </c>
      <c r="E22" s="683" t="s">
        <v>1381</v>
      </c>
      <c r="F22" s="683" t="s">
        <v>1381</v>
      </c>
      <c r="G22" s="683"/>
      <c r="H22" s="694" t="s">
        <v>1736</v>
      </c>
      <c r="I22" s="1231">
        <v>0</v>
      </c>
      <c r="J22" s="1231"/>
      <c r="K22" s="1231"/>
      <c r="L22" s="1231"/>
      <c r="M22" s="1231"/>
      <c r="N22" s="1231"/>
      <c r="O22" s="1231"/>
      <c r="P22" s="1231"/>
      <c r="Q22" s="1231"/>
      <c r="R22" s="1231"/>
      <c r="S22" s="1231"/>
      <c r="T22" s="1231"/>
      <c r="U22" s="1231"/>
      <c r="V22" s="1231"/>
      <c r="W22" s="1231"/>
      <c r="X22" s="1231"/>
      <c r="Y22" s="1231">
        <f t="shared" si="2"/>
        <v>0</v>
      </c>
      <c r="Z22" s="1231">
        <f t="shared" si="2"/>
        <v>0</v>
      </c>
      <c r="AA22" s="1231">
        <f t="shared" si="2"/>
        <v>0</v>
      </c>
      <c r="AB22" s="1231">
        <f t="shared" si="2"/>
        <v>0</v>
      </c>
      <c r="AC22" s="1230"/>
    </row>
    <row r="23" spans="1:29" ht="16.5" thickTop="1" thickBot="1" x14ac:dyDescent="0.3">
      <c r="A23" s="682">
        <v>2</v>
      </c>
      <c r="B23" s="683" t="s">
        <v>1381</v>
      </c>
      <c r="C23" s="683" t="s">
        <v>1418</v>
      </c>
      <c r="D23" s="683" t="s">
        <v>1394</v>
      </c>
      <c r="E23" s="683" t="s">
        <v>1381</v>
      </c>
      <c r="F23" s="683" t="s">
        <v>1394</v>
      </c>
      <c r="G23" s="683"/>
      <c r="H23" s="694" t="s">
        <v>1737</v>
      </c>
      <c r="I23" s="1231">
        <v>0</v>
      </c>
      <c r="J23" s="1231"/>
      <c r="K23" s="1231"/>
      <c r="L23" s="1231"/>
      <c r="M23" s="1231"/>
      <c r="N23" s="1231"/>
      <c r="O23" s="1231"/>
      <c r="P23" s="1231"/>
      <c r="Q23" s="1231"/>
      <c r="R23" s="1231"/>
      <c r="S23" s="1231"/>
      <c r="T23" s="1231"/>
      <c r="U23" s="1231"/>
      <c r="V23" s="1231"/>
      <c r="W23" s="1231"/>
      <c r="X23" s="1231"/>
      <c r="Y23" s="1231">
        <f t="shared" si="2"/>
        <v>0</v>
      </c>
      <c r="Z23" s="1231">
        <f t="shared" si="2"/>
        <v>0</v>
      </c>
      <c r="AA23" s="1231">
        <f t="shared" si="2"/>
        <v>0</v>
      </c>
      <c r="AB23" s="1231">
        <f t="shared" si="2"/>
        <v>0</v>
      </c>
      <c r="AC23" s="1230"/>
    </row>
    <row r="24" spans="1:29" s="686" customFormat="1" ht="16.5" thickTop="1" thickBot="1" x14ac:dyDescent="0.3">
      <c r="A24" s="687">
        <v>2</v>
      </c>
      <c r="B24" s="688" t="s">
        <v>1381</v>
      </c>
      <c r="C24" s="688" t="s">
        <v>1418</v>
      </c>
      <c r="D24" s="688" t="s">
        <v>1418</v>
      </c>
      <c r="E24" s="688"/>
      <c r="F24" s="688"/>
      <c r="G24" s="688"/>
      <c r="H24" s="689" t="s">
        <v>1304</v>
      </c>
      <c r="I24" s="1232">
        <f>+I25+I26</f>
        <v>0</v>
      </c>
      <c r="J24" s="1232">
        <f t="shared" ref="J24:X24" si="14">+J25+J26</f>
        <v>0</v>
      </c>
      <c r="K24" s="1232">
        <f t="shared" si="14"/>
        <v>0</v>
      </c>
      <c r="L24" s="1232">
        <f t="shared" si="14"/>
        <v>0</v>
      </c>
      <c r="M24" s="1232">
        <f t="shared" si="14"/>
        <v>0</v>
      </c>
      <c r="N24" s="1232">
        <f t="shared" si="14"/>
        <v>0</v>
      </c>
      <c r="O24" s="1232">
        <f t="shared" si="14"/>
        <v>0</v>
      </c>
      <c r="P24" s="1232">
        <f t="shared" si="14"/>
        <v>0</v>
      </c>
      <c r="Q24" s="1232">
        <f t="shared" si="14"/>
        <v>0</v>
      </c>
      <c r="R24" s="1232">
        <f t="shared" si="14"/>
        <v>0</v>
      </c>
      <c r="S24" s="1232">
        <f t="shared" si="14"/>
        <v>0</v>
      </c>
      <c r="T24" s="1232">
        <f t="shared" si="14"/>
        <v>0</v>
      </c>
      <c r="U24" s="1232">
        <f t="shared" si="14"/>
        <v>0</v>
      </c>
      <c r="V24" s="1232">
        <f t="shared" si="14"/>
        <v>0</v>
      </c>
      <c r="W24" s="1232">
        <f t="shared" si="14"/>
        <v>0</v>
      </c>
      <c r="X24" s="1232">
        <f t="shared" si="14"/>
        <v>0</v>
      </c>
      <c r="Y24" s="1232">
        <f t="shared" si="2"/>
        <v>0</v>
      </c>
      <c r="Z24" s="1232">
        <f t="shared" si="2"/>
        <v>0</v>
      </c>
      <c r="AA24" s="1232">
        <f t="shared" si="2"/>
        <v>0</v>
      </c>
      <c r="AB24" s="1232">
        <f t="shared" si="2"/>
        <v>0</v>
      </c>
      <c r="AC24" s="1230"/>
    </row>
    <row r="25" spans="1:29" ht="16.5" thickTop="1" thickBot="1" x14ac:dyDescent="0.3">
      <c r="A25" s="682">
        <v>2</v>
      </c>
      <c r="B25" s="683" t="s">
        <v>1381</v>
      </c>
      <c r="C25" s="683" t="s">
        <v>1418</v>
      </c>
      <c r="D25" s="683" t="s">
        <v>1418</v>
      </c>
      <c r="E25" s="683" t="s">
        <v>1381</v>
      </c>
      <c r="F25" s="683"/>
      <c r="G25" s="683"/>
      <c r="H25" s="685" t="s">
        <v>1738</v>
      </c>
      <c r="I25" s="1231"/>
      <c r="J25" s="1231"/>
      <c r="K25" s="1231"/>
      <c r="L25" s="1231"/>
      <c r="M25" s="1231"/>
      <c r="N25" s="1231"/>
      <c r="O25" s="1231"/>
      <c r="P25" s="1231"/>
      <c r="Q25" s="1231"/>
      <c r="R25" s="1231"/>
      <c r="S25" s="1231"/>
      <c r="T25" s="1231"/>
      <c r="U25" s="1231"/>
      <c r="V25" s="1231"/>
      <c r="W25" s="1231"/>
      <c r="X25" s="1231"/>
      <c r="Y25" s="1231">
        <f t="shared" si="2"/>
        <v>0</v>
      </c>
      <c r="Z25" s="1231">
        <f t="shared" si="2"/>
        <v>0</v>
      </c>
      <c r="AA25" s="1231">
        <f t="shared" si="2"/>
        <v>0</v>
      </c>
      <c r="AB25" s="1231">
        <f t="shared" si="2"/>
        <v>0</v>
      </c>
      <c r="AC25" s="1230"/>
    </row>
    <row r="26" spans="1:29" ht="16.5" thickTop="1" thickBot="1" x14ac:dyDescent="0.3">
      <c r="A26" s="682">
        <v>2</v>
      </c>
      <c r="B26" s="683" t="s">
        <v>1381</v>
      </c>
      <c r="C26" s="683" t="s">
        <v>1418</v>
      </c>
      <c r="D26" s="683" t="s">
        <v>1418</v>
      </c>
      <c r="E26" s="683" t="s">
        <v>1394</v>
      </c>
      <c r="F26" s="683"/>
      <c r="G26" s="683"/>
      <c r="H26" s="694" t="s">
        <v>1739</v>
      </c>
      <c r="I26" s="1231"/>
      <c r="J26" s="1231"/>
      <c r="K26" s="1231"/>
      <c r="L26" s="1231"/>
      <c r="M26" s="1231"/>
      <c r="N26" s="1231"/>
      <c r="O26" s="1231"/>
      <c r="P26" s="1231"/>
      <c r="Q26" s="1231"/>
      <c r="R26" s="1231"/>
      <c r="S26" s="1231"/>
      <c r="T26" s="1231"/>
      <c r="U26" s="1231"/>
      <c r="V26" s="1231"/>
      <c r="W26" s="1231"/>
      <c r="X26" s="1231"/>
      <c r="Y26" s="1231">
        <f t="shared" si="2"/>
        <v>0</v>
      </c>
      <c r="Z26" s="1231">
        <f t="shared" si="2"/>
        <v>0</v>
      </c>
      <c r="AA26" s="1231">
        <f t="shared" si="2"/>
        <v>0</v>
      </c>
      <c r="AB26" s="1231">
        <f t="shared" si="2"/>
        <v>0</v>
      </c>
      <c r="AC26" s="1230"/>
    </row>
    <row r="27" spans="1:29" ht="16.5" thickTop="1" thickBot="1" x14ac:dyDescent="0.3">
      <c r="A27" s="681">
        <v>2</v>
      </c>
      <c r="B27" s="679" t="s">
        <v>1381</v>
      </c>
      <c r="C27" s="679" t="s">
        <v>1422</v>
      </c>
      <c r="D27" s="679"/>
      <c r="E27" s="679"/>
      <c r="F27" s="679"/>
      <c r="G27" s="679"/>
      <c r="H27" s="680" t="s">
        <v>1740</v>
      </c>
      <c r="I27" s="1226">
        <f t="shared" ref="I27:X27" si="15">+I28+I32+I34+I36</f>
        <v>14108000</v>
      </c>
      <c r="J27" s="1226">
        <f t="shared" si="15"/>
        <v>8892155</v>
      </c>
      <c r="K27" s="1226">
        <f t="shared" si="15"/>
        <v>8892155</v>
      </c>
      <c r="L27" s="1226">
        <f t="shared" si="15"/>
        <v>8892155</v>
      </c>
      <c r="M27" s="1226">
        <f t="shared" si="15"/>
        <v>31392000</v>
      </c>
      <c r="N27" s="1226">
        <f t="shared" si="15"/>
        <v>0</v>
      </c>
      <c r="O27" s="1226">
        <f t="shared" si="15"/>
        <v>0</v>
      </c>
      <c r="P27" s="1226">
        <f t="shared" si="15"/>
        <v>0</v>
      </c>
      <c r="Q27" s="1226">
        <f t="shared" si="15"/>
        <v>0</v>
      </c>
      <c r="R27" s="1226">
        <f t="shared" si="15"/>
        <v>0</v>
      </c>
      <c r="S27" s="1226">
        <f t="shared" si="15"/>
        <v>0</v>
      </c>
      <c r="T27" s="1226">
        <f t="shared" si="15"/>
        <v>0</v>
      </c>
      <c r="U27" s="1226">
        <f t="shared" si="15"/>
        <v>0</v>
      </c>
      <c r="V27" s="1226">
        <f t="shared" si="15"/>
        <v>0</v>
      </c>
      <c r="W27" s="1226">
        <f t="shared" si="15"/>
        <v>0</v>
      </c>
      <c r="X27" s="1226">
        <f t="shared" si="15"/>
        <v>0</v>
      </c>
      <c r="Y27" s="1226">
        <f t="shared" si="2"/>
        <v>45500000</v>
      </c>
      <c r="Z27" s="1226">
        <f t="shared" si="2"/>
        <v>8892155</v>
      </c>
      <c r="AA27" s="1226">
        <f t="shared" si="2"/>
        <v>8892155</v>
      </c>
      <c r="AB27" s="1226">
        <f t="shared" si="2"/>
        <v>8892155</v>
      </c>
      <c r="AC27" s="1230"/>
    </row>
    <row r="28" spans="1:29" s="686" customFormat="1" ht="16.5" thickTop="1" thickBot="1" x14ac:dyDescent="0.3">
      <c r="A28" s="687">
        <v>2</v>
      </c>
      <c r="B28" s="688" t="s">
        <v>1381</v>
      </c>
      <c r="C28" s="688" t="s">
        <v>1422</v>
      </c>
      <c r="D28" s="688" t="s">
        <v>1381</v>
      </c>
      <c r="E28" s="688"/>
      <c r="F28" s="688"/>
      <c r="G28" s="688"/>
      <c r="H28" s="689" t="s">
        <v>1741</v>
      </c>
      <c r="I28" s="1232">
        <f>+I29</f>
        <v>14108000</v>
      </c>
      <c r="J28" s="1232">
        <f t="shared" ref="J28:X28" si="16">+J29</f>
        <v>8892155</v>
      </c>
      <c r="K28" s="1232">
        <f t="shared" si="16"/>
        <v>8892155</v>
      </c>
      <c r="L28" s="1232">
        <f t="shared" si="16"/>
        <v>8892155</v>
      </c>
      <c r="M28" s="1232">
        <f t="shared" si="16"/>
        <v>31392000</v>
      </c>
      <c r="N28" s="1232">
        <f t="shared" si="16"/>
        <v>0</v>
      </c>
      <c r="O28" s="1232">
        <f t="shared" si="16"/>
        <v>0</v>
      </c>
      <c r="P28" s="1232">
        <f t="shared" si="16"/>
        <v>0</v>
      </c>
      <c r="Q28" s="1232">
        <f t="shared" si="16"/>
        <v>0</v>
      </c>
      <c r="R28" s="1232">
        <f t="shared" si="16"/>
        <v>0</v>
      </c>
      <c r="S28" s="1232">
        <f t="shared" si="16"/>
        <v>0</v>
      </c>
      <c r="T28" s="1232">
        <f t="shared" si="16"/>
        <v>0</v>
      </c>
      <c r="U28" s="1232">
        <f t="shared" si="16"/>
        <v>0</v>
      </c>
      <c r="V28" s="1232">
        <f t="shared" si="16"/>
        <v>0</v>
      </c>
      <c r="W28" s="1232">
        <f t="shared" si="16"/>
        <v>0</v>
      </c>
      <c r="X28" s="1232">
        <f t="shared" si="16"/>
        <v>0</v>
      </c>
      <c r="Y28" s="1232">
        <f t="shared" si="2"/>
        <v>45500000</v>
      </c>
      <c r="Z28" s="1232">
        <f t="shared" si="2"/>
        <v>8892155</v>
      </c>
      <c r="AA28" s="1232">
        <f t="shared" si="2"/>
        <v>8892155</v>
      </c>
      <c r="AB28" s="1232">
        <f t="shared" si="2"/>
        <v>8892155</v>
      </c>
      <c r="AC28" s="1230"/>
    </row>
    <row r="29" spans="1:29" s="698" customFormat="1" ht="16.5" thickTop="1" thickBot="1" x14ac:dyDescent="0.3">
      <c r="A29" s="695">
        <v>2</v>
      </c>
      <c r="B29" s="696" t="s">
        <v>1381</v>
      </c>
      <c r="C29" s="696" t="s">
        <v>1422</v>
      </c>
      <c r="D29" s="696" t="s">
        <v>1381</v>
      </c>
      <c r="E29" s="696" t="s">
        <v>1381</v>
      </c>
      <c r="F29" s="696"/>
      <c r="G29" s="696"/>
      <c r="H29" s="697" t="s">
        <v>1742</v>
      </c>
      <c r="I29" s="1236">
        <f>+I30+I31</f>
        <v>14108000</v>
      </c>
      <c r="J29" s="1236">
        <f t="shared" ref="J29:X29" si="17">+J30+J31</f>
        <v>8892155</v>
      </c>
      <c r="K29" s="1236">
        <f t="shared" si="17"/>
        <v>8892155</v>
      </c>
      <c r="L29" s="1236">
        <f t="shared" si="17"/>
        <v>8892155</v>
      </c>
      <c r="M29" s="1236">
        <f t="shared" si="17"/>
        <v>31392000</v>
      </c>
      <c r="N29" s="1236">
        <f t="shared" si="17"/>
        <v>0</v>
      </c>
      <c r="O29" s="1236">
        <f t="shared" si="17"/>
        <v>0</v>
      </c>
      <c r="P29" s="1236">
        <f t="shared" si="17"/>
        <v>0</v>
      </c>
      <c r="Q29" s="1236">
        <f t="shared" si="17"/>
        <v>0</v>
      </c>
      <c r="R29" s="1236">
        <f t="shared" si="17"/>
        <v>0</v>
      </c>
      <c r="S29" s="1236">
        <f t="shared" si="17"/>
        <v>0</v>
      </c>
      <c r="T29" s="1236">
        <f t="shared" si="17"/>
        <v>0</v>
      </c>
      <c r="U29" s="1236">
        <f t="shared" si="17"/>
        <v>0</v>
      </c>
      <c r="V29" s="1236">
        <f t="shared" si="17"/>
        <v>0</v>
      </c>
      <c r="W29" s="1236">
        <f t="shared" si="17"/>
        <v>0</v>
      </c>
      <c r="X29" s="1236">
        <f t="shared" si="17"/>
        <v>0</v>
      </c>
      <c r="Y29" s="1236">
        <f t="shared" si="2"/>
        <v>45500000</v>
      </c>
      <c r="Z29" s="1236">
        <f t="shared" si="2"/>
        <v>8892155</v>
      </c>
      <c r="AA29" s="1236">
        <f t="shared" si="2"/>
        <v>8892155</v>
      </c>
      <c r="AB29" s="1236">
        <f t="shared" si="2"/>
        <v>8892155</v>
      </c>
      <c r="AC29" s="1230"/>
    </row>
    <row r="30" spans="1:29" s="693" customFormat="1" ht="16.5" thickTop="1" thickBot="1" x14ac:dyDescent="0.3">
      <c r="A30" s="690">
        <v>2</v>
      </c>
      <c r="B30" s="691" t="s">
        <v>1381</v>
      </c>
      <c r="C30" s="691" t="s">
        <v>1422</v>
      </c>
      <c r="D30" s="691" t="s">
        <v>1381</v>
      </c>
      <c r="E30" s="691" t="s">
        <v>1381</v>
      </c>
      <c r="F30" s="691" t="s">
        <v>1381</v>
      </c>
      <c r="G30" s="691"/>
      <c r="H30" s="692" t="s">
        <v>1743</v>
      </c>
      <c r="I30" s="1233">
        <v>4108000</v>
      </c>
      <c r="J30" s="1233">
        <v>0</v>
      </c>
      <c r="K30" s="1233">
        <v>0</v>
      </c>
      <c r="L30" s="1233">
        <v>0</v>
      </c>
      <c r="M30" s="1233">
        <v>31392000</v>
      </c>
      <c r="N30" s="1233">
        <v>0</v>
      </c>
      <c r="O30" s="1233">
        <v>0</v>
      </c>
      <c r="P30" s="1233">
        <v>0</v>
      </c>
      <c r="Q30" s="1233"/>
      <c r="R30" s="1233"/>
      <c r="S30" s="1233"/>
      <c r="T30" s="1233"/>
      <c r="U30" s="1233"/>
      <c r="V30" s="1233"/>
      <c r="W30" s="1233"/>
      <c r="X30" s="1233"/>
      <c r="Y30" s="1233">
        <f t="shared" si="2"/>
        <v>35500000</v>
      </c>
      <c r="Z30" s="1233">
        <f t="shared" si="2"/>
        <v>0</v>
      </c>
      <c r="AA30" s="1233">
        <f t="shared" si="2"/>
        <v>0</v>
      </c>
      <c r="AB30" s="1233">
        <f t="shared" si="2"/>
        <v>0</v>
      </c>
      <c r="AC30" s="1230"/>
    </row>
    <row r="31" spans="1:29" s="693" customFormat="1" ht="16.5" thickTop="1" thickBot="1" x14ac:dyDescent="0.3">
      <c r="A31" s="690">
        <v>2</v>
      </c>
      <c r="B31" s="691" t="s">
        <v>1381</v>
      </c>
      <c r="C31" s="691" t="s">
        <v>1422</v>
      </c>
      <c r="D31" s="691" t="s">
        <v>1381</v>
      </c>
      <c r="E31" s="691" t="s">
        <v>1381</v>
      </c>
      <c r="F31" s="691" t="s">
        <v>1394</v>
      </c>
      <c r="G31" s="691"/>
      <c r="H31" s="692" t="s">
        <v>1744</v>
      </c>
      <c r="I31" s="1233">
        <v>10000000</v>
      </c>
      <c r="J31" s="1233">
        <v>8892155</v>
      </c>
      <c r="K31" s="1233">
        <v>8892155</v>
      </c>
      <c r="L31" s="1233">
        <v>8892155</v>
      </c>
      <c r="M31" s="1233"/>
      <c r="N31" s="1233"/>
      <c r="O31" s="1233"/>
      <c r="P31" s="1233"/>
      <c r="Q31" s="1233"/>
      <c r="R31" s="1233"/>
      <c r="S31" s="1233"/>
      <c r="T31" s="1233"/>
      <c r="U31" s="1233"/>
      <c r="V31" s="1233"/>
      <c r="W31" s="1233"/>
      <c r="X31" s="1233"/>
      <c r="Y31" s="1233">
        <f t="shared" si="2"/>
        <v>10000000</v>
      </c>
      <c r="Z31" s="1233">
        <f t="shared" si="2"/>
        <v>8892155</v>
      </c>
      <c r="AA31" s="1233">
        <f t="shared" si="2"/>
        <v>8892155</v>
      </c>
      <c r="AB31" s="1233">
        <f t="shared" si="2"/>
        <v>8892155</v>
      </c>
      <c r="AC31" s="1230"/>
    </row>
    <row r="32" spans="1:29" s="686" customFormat="1" ht="16.5" thickTop="1" thickBot="1" x14ac:dyDescent="0.3">
      <c r="A32" s="687">
        <v>2</v>
      </c>
      <c r="B32" s="688" t="s">
        <v>1381</v>
      </c>
      <c r="C32" s="688" t="s">
        <v>1422</v>
      </c>
      <c r="D32" s="688" t="s">
        <v>1394</v>
      </c>
      <c r="E32" s="688"/>
      <c r="F32" s="688"/>
      <c r="G32" s="688"/>
      <c r="H32" s="689" t="s">
        <v>1745</v>
      </c>
      <c r="I32" s="1232">
        <f>+I33</f>
        <v>0</v>
      </c>
      <c r="J32" s="1232">
        <f t="shared" ref="J32:X32" si="18">+J33</f>
        <v>0</v>
      </c>
      <c r="K32" s="1232">
        <f t="shared" si="18"/>
        <v>0</v>
      </c>
      <c r="L32" s="1232">
        <f t="shared" si="18"/>
        <v>0</v>
      </c>
      <c r="M32" s="1232">
        <f t="shared" si="18"/>
        <v>0</v>
      </c>
      <c r="N32" s="1232">
        <f t="shared" si="18"/>
        <v>0</v>
      </c>
      <c r="O32" s="1232">
        <f t="shared" si="18"/>
        <v>0</v>
      </c>
      <c r="P32" s="1232">
        <f t="shared" si="18"/>
        <v>0</v>
      </c>
      <c r="Q32" s="1232">
        <f t="shared" si="18"/>
        <v>0</v>
      </c>
      <c r="R32" s="1232">
        <f t="shared" si="18"/>
        <v>0</v>
      </c>
      <c r="S32" s="1232">
        <f t="shared" si="18"/>
        <v>0</v>
      </c>
      <c r="T32" s="1232">
        <f t="shared" si="18"/>
        <v>0</v>
      </c>
      <c r="U32" s="1232">
        <f t="shared" si="18"/>
        <v>0</v>
      </c>
      <c r="V32" s="1232">
        <f t="shared" si="18"/>
        <v>0</v>
      </c>
      <c r="W32" s="1232">
        <f t="shared" si="18"/>
        <v>0</v>
      </c>
      <c r="X32" s="1232">
        <f t="shared" si="18"/>
        <v>0</v>
      </c>
      <c r="Y32" s="1232">
        <f t="shared" si="2"/>
        <v>0</v>
      </c>
      <c r="Z32" s="1232">
        <f t="shared" si="2"/>
        <v>0</v>
      </c>
      <c r="AA32" s="1232">
        <f t="shared" si="2"/>
        <v>0</v>
      </c>
      <c r="AB32" s="1232">
        <f t="shared" si="2"/>
        <v>0</v>
      </c>
      <c r="AC32" s="1230"/>
    </row>
    <row r="33" spans="1:29" s="693" customFormat="1" ht="16.5" thickTop="1" thickBot="1" x14ac:dyDescent="0.3">
      <c r="A33" s="690">
        <v>2</v>
      </c>
      <c r="B33" s="691" t="s">
        <v>1381</v>
      </c>
      <c r="C33" s="691" t="s">
        <v>1422</v>
      </c>
      <c r="D33" s="691" t="s">
        <v>1394</v>
      </c>
      <c r="E33" s="691" t="s">
        <v>1381</v>
      </c>
      <c r="F33" s="691"/>
      <c r="G33" s="691"/>
      <c r="H33" s="692" t="s">
        <v>1746</v>
      </c>
      <c r="I33" s="1233"/>
      <c r="J33" s="1233"/>
      <c r="K33" s="1233"/>
      <c r="L33" s="1233"/>
      <c r="M33" s="1233"/>
      <c r="N33" s="1233"/>
      <c r="O33" s="1233"/>
      <c r="P33" s="1233"/>
      <c r="Q33" s="1233"/>
      <c r="R33" s="1233"/>
      <c r="S33" s="1233"/>
      <c r="T33" s="1233"/>
      <c r="U33" s="1233"/>
      <c r="V33" s="1233"/>
      <c r="W33" s="1233"/>
      <c r="X33" s="1233"/>
      <c r="Y33" s="1233">
        <f t="shared" si="2"/>
        <v>0</v>
      </c>
      <c r="Z33" s="1233">
        <f t="shared" si="2"/>
        <v>0</v>
      </c>
      <c r="AA33" s="1233">
        <f t="shared" si="2"/>
        <v>0</v>
      </c>
      <c r="AB33" s="1233">
        <f t="shared" si="2"/>
        <v>0</v>
      </c>
      <c r="AC33" s="1230"/>
    </row>
    <row r="34" spans="1:29" s="686" customFormat="1" ht="16.5" thickTop="1" thickBot="1" x14ac:dyDescent="0.3">
      <c r="A34" s="687">
        <v>2</v>
      </c>
      <c r="B34" s="688" t="s">
        <v>1381</v>
      </c>
      <c r="C34" s="688" t="s">
        <v>1422</v>
      </c>
      <c r="D34" s="688" t="s">
        <v>1418</v>
      </c>
      <c r="E34" s="688"/>
      <c r="F34" s="688"/>
      <c r="G34" s="688"/>
      <c r="H34" s="689" t="s">
        <v>1747</v>
      </c>
      <c r="I34" s="1232">
        <f>+I35</f>
        <v>0</v>
      </c>
      <c r="J34" s="1232">
        <f t="shared" ref="J34:X34" si="19">+J35</f>
        <v>0</v>
      </c>
      <c r="K34" s="1232">
        <f t="shared" si="19"/>
        <v>0</v>
      </c>
      <c r="L34" s="1232">
        <f t="shared" si="19"/>
        <v>0</v>
      </c>
      <c r="M34" s="1232">
        <f t="shared" si="19"/>
        <v>0</v>
      </c>
      <c r="N34" s="1232">
        <f t="shared" si="19"/>
        <v>0</v>
      </c>
      <c r="O34" s="1232">
        <f t="shared" si="19"/>
        <v>0</v>
      </c>
      <c r="P34" s="1232">
        <f t="shared" si="19"/>
        <v>0</v>
      </c>
      <c r="Q34" s="1232">
        <f t="shared" si="19"/>
        <v>0</v>
      </c>
      <c r="R34" s="1232">
        <f t="shared" si="19"/>
        <v>0</v>
      </c>
      <c r="S34" s="1232">
        <f t="shared" si="19"/>
        <v>0</v>
      </c>
      <c r="T34" s="1232">
        <f t="shared" si="19"/>
        <v>0</v>
      </c>
      <c r="U34" s="1232">
        <f t="shared" si="19"/>
        <v>0</v>
      </c>
      <c r="V34" s="1232">
        <f t="shared" si="19"/>
        <v>0</v>
      </c>
      <c r="W34" s="1232">
        <f t="shared" si="19"/>
        <v>0</v>
      </c>
      <c r="X34" s="1232">
        <f t="shared" si="19"/>
        <v>0</v>
      </c>
      <c r="Y34" s="1232">
        <f t="shared" si="2"/>
        <v>0</v>
      </c>
      <c r="Z34" s="1232">
        <f t="shared" si="2"/>
        <v>0</v>
      </c>
      <c r="AA34" s="1232">
        <f t="shared" si="2"/>
        <v>0</v>
      </c>
      <c r="AB34" s="1232">
        <f t="shared" si="2"/>
        <v>0</v>
      </c>
      <c r="AC34" s="1230"/>
    </row>
    <row r="35" spans="1:29" s="699" customFormat="1" ht="16.5" thickTop="1" thickBot="1" x14ac:dyDescent="0.3">
      <c r="A35" s="682">
        <v>2</v>
      </c>
      <c r="B35" s="683" t="s">
        <v>1381</v>
      </c>
      <c r="C35" s="683" t="s">
        <v>1422</v>
      </c>
      <c r="D35" s="683" t="s">
        <v>1418</v>
      </c>
      <c r="E35" s="683" t="s">
        <v>1381</v>
      </c>
      <c r="F35" s="683"/>
      <c r="G35" s="683"/>
      <c r="H35" s="685" t="s">
        <v>1748</v>
      </c>
      <c r="I35" s="1231"/>
      <c r="J35" s="1231"/>
      <c r="K35" s="1231"/>
      <c r="L35" s="1231"/>
      <c r="M35" s="1231"/>
      <c r="N35" s="1231"/>
      <c r="O35" s="1231"/>
      <c r="P35" s="1231"/>
      <c r="Q35" s="1231"/>
      <c r="R35" s="1231"/>
      <c r="S35" s="1231"/>
      <c r="T35" s="1231"/>
      <c r="U35" s="1231"/>
      <c r="V35" s="1231"/>
      <c r="W35" s="1231"/>
      <c r="X35" s="1231"/>
      <c r="Y35" s="1231">
        <f t="shared" si="2"/>
        <v>0</v>
      </c>
      <c r="Z35" s="1231">
        <f t="shared" si="2"/>
        <v>0</v>
      </c>
      <c r="AA35" s="1231">
        <f t="shared" si="2"/>
        <v>0</v>
      </c>
      <c r="AB35" s="1231">
        <f t="shared" si="2"/>
        <v>0</v>
      </c>
      <c r="AC35" s="1230"/>
    </row>
    <row r="36" spans="1:29" ht="16.5" thickTop="1" thickBot="1" x14ac:dyDescent="0.3">
      <c r="A36" s="700">
        <v>2</v>
      </c>
      <c r="B36" s="701" t="s">
        <v>1381</v>
      </c>
      <c r="C36" s="688" t="s">
        <v>1422</v>
      </c>
      <c r="D36" s="688" t="s">
        <v>1422</v>
      </c>
      <c r="E36" s="700"/>
      <c r="F36" s="700"/>
      <c r="G36" s="700"/>
      <c r="H36" s="689" t="s">
        <v>1482</v>
      </c>
      <c r="I36" s="1237">
        <f>+I37+I38+I39</f>
        <v>0</v>
      </c>
      <c r="J36" s="1237">
        <f t="shared" ref="J36:X36" si="20">+J37+J38+J39</f>
        <v>0</v>
      </c>
      <c r="K36" s="1237">
        <f t="shared" si="20"/>
        <v>0</v>
      </c>
      <c r="L36" s="1237">
        <f t="shared" si="20"/>
        <v>0</v>
      </c>
      <c r="M36" s="1237">
        <f t="shared" si="20"/>
        <v>0</v>
      </c>
      <c r="N36" s="1237">
        <f t="shared" si="20"/>
        <v>0</v>
      </c>
      <c r="O36" s="1237">
        <f t="shared" si="20"/>
        <v>0</v>
      </c>
      <c r="P36" s="1237">
        <f t="shared" si="20"/>
        <v>0</v>
      </c>
      <c r="Q36" s="1237">
        <f t="shared" si="20"/>
        <v>0</v>
      </c>
      <c r="R36" s="1237">
        <f t="shared" si="20"/>
        <v>0</v>
      </c>
      <c r="S36" s="1237">
        <f t="shared" si="20"/>
        <v>0</v>
      </c>
      <c r="T36" s="1237">
        <f t="shared" si="20"/>
        <v>0</v>
      </c>
      <c r="U36" s="1237">
        <f t="shared" si="20"/>
        <v>0</v>
      </c>
      <c r="V36" s="1237">
        <f t="shared" si="20"/>
        <v>0</v>
      </c>
      <c r="W36" s="1237">
        <f t="shared" si="20"/>
        <v>0</v>
      </c>
      <c r="X36" s="1237">
        <f t="shared" si="20"/>
        <v>0</v>
      </c>
      <c r="Y36" s="1237">
        <f t="shared" si="2"/>
        <v>0</v>
      </c>
      <c r="Z36" s="1237">
        <f t="shared" si="2"/>
        <v>0</v>
      </c>
      <c r="AA36" s="1237">
        <f t="shared" si="2"/>
        <v>0</v>
      </c>
      <c r="AB36" s="1237">
        <f t="shared" si="2"/>
        <v>0</v>
      </c>
      <c r="AC36" s="1230"/>
    </row>
    <row r="37" spans="1:29" s="699" customFormat="1" ht="16.5" thickTop="1" thickBot="1" x14ac:dyDescent="0.3">
      <c r="A37" s="682">
        <v>2</v>
      </c>
      <c r="B37" s="683" t="s">
        <v>1381</v>
      </c>
      <c r="C37" s="683" t="s">
        <v>1422</v>
      </c>
      <c r="D37" s="683" t="s">
        <v>1422</v>
      </c>
      <c r="E37" s="683" t="s">
        <v>1381</v>
      </c>
      <c r="F37" s="683"/>
      <c r="G37" s="683"/>
      <c r="H37" s="685" t="s">
        <v>1749</v>
      </c>
      <c r="I37" s="1231"/>
      <c r="J37" s="1231"/>
      <c r="K37" s="1231"/>
      <c r="L37" s="1231"/>
      <c r="M37" s="1231"/>
      <c r="N37" s="1231"/>
      <c r="O37" s="1231"/>
      <c r="P37" s="1231"/>
      <c r="Q37" s="1231"/>
      <c r="R37" s="1231"/>
      <c r="S37" s="1231"/>
      <c r="T37" s="1231"/>
      <c r="U37" s="1231"/>
      <c r="V37" s="1231"/>
      <c r="W37" s="1231"/>
      <c r="X37" s="1231"/>
      <c r="Y37" s="1231">
        <f t="shared" si="2"/>
        <v>0</v>
      </c>
      <c r="Z37" s="1231">
        <f t="shared" si="2"/>
        <v>0</v>
      </c>
      <c r="AA37" s="1231">
        <f t="shared" si="2"/>
        <v>0</v>
      </c>
      <c r="AB37" s="1231">
        <f t="shared" si="2"/>
        <v>0</v>
      </c>
      <c r="AC37" s="1230"/>
    </row>
    <row r="38" spans="1:29" s="699" customFormat="1" ht="16.5" thickTop="1" thickBot="1" x14ac:dyDescent="0.3">
      <c r="A38" s="682">
        <v>2</v>
      </c>
      <c r="B38" s="683" t="s">
        <v>1381</v>
      </c>
      <c r="C38" s="683" t="s">
        <v>1422</v>
      </c>
      <c r="D38" s="683" t="s">
        <v>1422</v>
      </c>
      <c r="E38" s="683" t="s">
        <v>1394</v>
      </c>
      <c r="F38" s="683"/>
      <c r="G38" s="683"/>
      <c r="H38" s="685" t="s">
        <v>1750</v>
      </c>
      <c r="I38" s="1231"/>
      <c r="J38" s="1231"/>
      <c r="K38" s="1231"/>
      <c r="L38" s="1231"/>
      <c r="M38" s="1231"/>
      <c r="N38" s="1231"/>
      <c r="O38" s="1231"/>
      <c r="P38" s="1231"/>
      <c r="Q38" s="1231"/>
      <c r="R38" s="1231"/>
      <c r="S38" s="1231"/>
      <c r="T38" s="1231"/>
      <c r="U38" s="1231"/>
      <c r="V38" s="1231"/>
      <c r="W38" s="1231"/>
      <c r="X38" s="1231"/>
      <c r="Y38" s="1231">
        <f t="shared" si="2"/>
        <v>0</v>
      </c>
      <c r="Z38" s="1231">
        <f t="shared" si="2"/>
        <v>0</v>
      </c>
      <c r="AA38" s="1231">
        <f t="shared" si="2"/>
        <v>0</v>
      </c>
      <c r="AB38" s="1231">
        <f t="shared" si="2"/>
        <v>0</v>
      </c>
      <c r="AC38" s="1230"/>
    </row>
    <row r="39" spans="1:29" s="699" customFormat="1" ht="16.5" thickTop="1" thickBot="1" x14ac:dyDescent="0.3">
      <c r="A39" s="682">
        <v>2</v>
      </c>
      <c r="B39" s="683" t="s">
        <v>1381</v>
      </c>
      <c r="C39" s="683" t="s">
        <v>1422</v>
      </c>
      <c r="D39" s="683" t="s">
        <v>1422</v>
      </c>
      <c r="E39" s="683" t="s">
        <v>1418</v>
      </c>
      <c r="F39" s="683"/>
      <c r="G39" s="683"/>
      <c r="H39" s="685" t="s">
        <v>1492</v>
      </c>
      <c r="I39" s="1231"/>
      <c r="J39" s="1231"/>
      <c r="K39" s="1231"/>
      <c r="L39" s="1231"/>
      <c r="M39" s="1231"/>
      <c r="N39" s="1231"/>
      <c r="O39" s="1231"/>
      <c r="P39" s="1231"/>
      <c r="Q39" s="1231"/>
      <c r="R39" s="1231"/>
      <c r="S39" s="1231"/>
      <c r="T39" s="1231"/>
      <c r="U39" s="1231"/>
      <c r="V39" s="1231"/>
      <c r="W39" s="1231"/>
      <c r="X39" s="1231"/>
      <c r="Y39" s="1231">
        <f t="shared" si="2"/>
        <v>0</v>
      </c>
      <c r="Z39" s="1231">
        <f t="shared" si="2"/>
        <v>0</v>
      </c>
      <c r="AA39" s="1231">
        <f t="shared" si="2"/>
        <v>0</v>
      </c>
      <c r="AB39" s="1231">
        <f t="shared" si="2"/>
        <v>0</v>
      </c>
      <c r="AC39" s="1230"/>
    </row>
    <row r="40" spans="1:29" ht="16.5" thickTop="1" thickBot="1" x14ac:dyDescent="0.3">
      <c r="A40" s="681">
        <v>2</v>
      </c>
      <c r="B40" s="679" t="s">
        <v>1394</v>
      </c>
      <c r="C40" s="679"/>
      <c r="D40" s="679"/>
      <c r="E40" s="679"/>
      <c r="F40" s="679"/>
      <c r="G40" s="679"/>
      <c r="H40" s="680" t="s">
        <v>1751</v>
      </c>
      <c r="I40" s="1238">
        <f>+I41+I45</f>
        <v>0</v>
      </c>
      <c r="J40" s="1238">
        <f t="shared" ref="J40:X40" si="21">+J41+J45</f>
        <v>0</v>
      </c>
      <c r="K40" s="1238">
        <f t="shared" si="21"/>
        <v>0</v>
      </c>
      <c r="L40" s="1238">
        <f t="shared" si="21"/>
        <v>0</v>
      </c>
      <c r="M40" s="1238">
        <f t="shared" si="21"/>
        <v>0</v>
      </c>
      <c r="N40" s="1238">
        <f t="shared" si="21"/>
        <v>0</v>
      </c>
      <c r="O40" s="1238">
        <f t="shared" si="21"/>
        <v>0</v>
      </c>
      <c r="P40" s="1238">
        <f t="shared" si="21"/>
        <v>0</v>
      </c>
      <c r="Q40" s="1238">
        <f t="shared" si="21"/>
        <v>0</v>
      </c>
      <c r="R40" s="1238">
        <f t="shared" si="21"/>
        <v>0</v>
      </c>
      <c r="S40" s="1238">
        <f t="shared" si="21"/>
        <v>0</v>
      </c>
      <c r="T40" s="1238">
        <f t="shared" si="21"/>
        <v>0</v>
      </c>
      <c r="U40" s="1238">
        <f t="shared" si="21"/>
        <v>0</v>
      </c>
      <c r="V40" s="1238">
        <f t="shared" si="21"/>
        <v>0</v>
      </c>
      <c r="W40" s="1238">
        <f t="shared" si="21"/>
        <v>0</v>
      </c>
      <c r="X40" s="1238">
        <f t="shared" si="21"/>
        <v>0</v>
      </c>
      <c r="Y40" s="1238">
        <f t="shared" si="2"/>
        <v>0</v>
      </c>
      <c r="Z40" s="1238">
        <f t="shared" si="2"/>
        <v>0</v>
      </c>
      <c r="AA40" s="1238">
        <f t="shared" si="2"/>
        <v>0</v>
      </c>
      <c r="AB40" s="1238">
        <f t="shared" si="2"/>
        <v>0</v>
      </c>
      <c r="AC40" s="1230"/>
    </row>
    <row r="41" spans="1:29" ht="16.5" thickTop="1" thickBot="1" x14ac:dyDescent="0.3">
      <c r="A41" s="700">
        <v>2</v>
      </c>
      <c r="B41" s="701" t="s">
        <v>1394</v>
      </c>
      <c r="C41" s="688" t="s">
        <v>1381</v>
      </c>
      <c r="D41" s="687"/>
      <c r="E41" s="688"/>
      <c r="F41" s="688"/>
      <c r="G41" s="688"/>
      <c r="H41" s="689" t="s">
        <v>1752</v>
      </c>
      <c r="I41" s="1239">
        <f>+I42+I43+I44</f>
        <v>0</v>
      </c>
      <c r="J41" s="1239">
        <f t="shared" ref="J41:X41" si="22">+J42+J43+J44</f>
        <v>0</v>
      </c>
      <c r="K41" s="1239">
        <f t="shared" si="22"/>
        <v>0</v>
      </c>
      <c r="L41" s="1239">
        <f t="shared" si="22"/>
        <v>0</v>
      </c>
      <c r="M41" s="1239">
        <f t="shared" si="22"/>
        <v>0</v>
      </c>
      <c r="N41" s="1239">
        <f t="shared" si="22"/>
        <v>0</v>
      </c>
      <c r="O41" s="1239">
        <f t="shared" si="22"/>
        <v>0</v>
      </c>
      <c r="P41" s="1239">
        <f t="shared" si="22"/>
        <v>0</v>
      </c>
      <c r="Q41" s="1239">
        <f t="shared" si="22"/>
        <v>0</v>
      </c>
      <c r="R41" s="1239">
        <f t="shared" si="22"/>
        <v>0</v>
      </c>
      <c r="S41" s="1239">
        <f t="shared" si="22"/>
        <v>0</v>
      </c>
      <c r="T41" s="1239">
        <f t="shared" si="22"/>
        <v>0</v>
      </c>
      <c r="U41" s="1239">
        <f t="shared" si="22"/>
        <v>0</v>
      </c>
      <c r="V41" s="1239">
        <f t="shared" si="22"/>
        <v>0</v>
      </c>
      <c r="W41" s="1239">
        <f t="shared" si="22"/>
        <v>0</v>
      </c>
      <c r="X41" s="1239">
        <f t="shared" si="22"/>
        <v>0</v>
      </c>
      <c r="Y41" s="1239">
        <f t="shared" si="2"/>
        <v>0</v>
      </c>
      <c r="Z41" s="1239">
        <f t="shared" si="2"/>
        <v>0</v>
      </c>
      <c r="AA41" s="1239">
        <f t="shared" si="2"/>
        <v>0</v>
      </c>
      <c r="AB41" s="1239">
        <f t="shared" si="2"/>
        <v>0</v>
      </c>
      <c r="AC41" s="1230"/>
    </row>
    <row r="42" spans="1:29" ht="16.5" thickTop="1" thickBot="1" x14ac:dyDescent="0.3">
      <c r="A42" s="682">
        <v>2</v>
      </c>
      <c r="B42" s="683" t="s">
        <v>1394</v>
      </c>
      <c r="C42" s="683" t="s">
        <v>1381</v>
      </c>
      <c r="D42" s="684" t="s">
        <v>1381</v>
      </c>
      <c r="E42" s="682"/>
      <c r="F42" s="682"/>
      <c r="G42" s="682"/>
      <c r="H42" s="685" t="s">
        <v>1752</v>
      </c>
      <c r="I42" s="1240"/>
      <c r="J42" s="1240"/>
      <c r="K42" s="1240"/>
      <c r="L42" s="1240"/>
      <c r="M42" s="1240"/>
      <c r="N42" s="1240"/>
      <c r="O42" s="1240"/>
      <c r="P42" s="1240"/>
      <c r="Q42" s="1240"/>
      <c r="R42" s="1240"/>
      <c r="S42" s="1240"/>
      <c r="T42" s="1240"/>
      <c r="U42" s="1240"/>
      <c r="V42" s="1240"/>
      <c r="W42" s="1240"/>
      <c r="X42" s="1240"/>
      <c r="Y42" s="1240">
        <f t="shared" si="2"/>
        <v>0</v>
      </c>
      <c r="Z42" s="1240">
        <f t="shared" si="2"/>
        <v>0</v>
      </c>
      <c r="AA42" s="1240">
        <f t="shared" si="2"/>
        <v>0</v>
      </c>
      <c r="AB42" s="1240">
        <f t="shared" si="2"/>
        <v>0</v>
      </c>
      <c r="AC42" s="1230"/>
    </row>
    <row r="43" spans="1:29" ht="16.5" thickTop="1" thickBot="1" x14ac:dyDescent="0.3">
      <c r="A43" s="682">
        <v>2</v>
      </c>
      <c r="B43" s="683" t="s">
        <v>1394</v>
      </c>
      <c r="C43" s="683" t="s">
        <v>1381</v>
      </c>
      <c r="D43" s="684" t="s">
        <v>1394</v>
      </c>
      <c r="E43" s="682"/>
      <c r="F43" s="682"/>
      <c r="G43" s="682"/>
      <c r="H43" s="685" t="s">
        <v>1753</v>
      </c>
      <c r="I43" s="1240"/>
      <c r="J43" s="1240"/>
      <c r="K43" s="1240"/>
      <c r="L43" s="1240"/>
      <c r="M43" s="1240"/>
      <c r="N43" s="1240"/>
      <c r="O43" s="1240"/>
      <c r="P43" s="1240"/>
      <c r="Q43" s="1240"/>
      <c r="R43" s="1240"/>
      <c r="S43" s="1240"/>
      <c r="T43" s="1240"/>
      <c r="U43" s="1240"/>
      <c r="V43" s="1240"/>
      <c r="W43" s="1240"/>
      <c r="X43" s="1240"/>
      <c r="Y43" s="1240">
        <f t="shared" si="2"/>
        <v>0</v>
      </c>
      <c r="Z43" s="1240">
        <f t="shared" si="2"/>
        <v>0</v>
      </c>
      <c r="AA43" s="1240">
        <f t="shared" si="2"/>
        <v>0</v>
      </c>
      <c r="AB43" s="1240">
        <f t="shared" si="2"/>
        <v>0</v>
      </c>
      <c r="AC43" s="1230"/>
    </row>
    <row r="44" spans="1:29" ht="16.5" thickTop="1" thickBot="1" x14ac:dyDescent="0.3">
      <c r="A44" s="682">
        <v>2</v>
      </c>
      <c r="B44" s="683" t="s">
        <v>1394</v>
      </c>
      <c r="C44" s="683" t="s">
        <v>1381</v>
      </c>
      <c r="D44" s="684" t="s">
        <v>1418</v>
      </c>
      <c r="E44" s="682"/>
      <c r="F44" s="682"/>
      <c r="G44" s="682"/>
      <c r="H44" s="685" t="s">
        <v>1738</v>
      </c>
      <c r="I44" s="1240"/>
      <c r="J44" s="1240"/>
      <c r="K44" s="1240"/>
      <c r="L44" s="1240"/>
      <c r="M44" s="1240"/>
      <c r="N44" s="1240"/>
      <c r="O44" s="1240"/>
      <c r="P44" s="1240"/>
      <c r="Q44" s="1240"/>
      <c r="R44" s="1240"/>
      <c r="S44" s="1240"/>
      <c r="T44" s="1240"/>
      <c r="U44" s="1240"/>
      <c r="V44" s="1240"/>
      <c r="W44" s="1240"/>
      <c r="X44" s="1240"/>
      <c r="Y44" s="1240">
        <f t="shared" si="2"/>
        <v>0</v>
      </c>
      <c r="Z44" s="1240">
        <f t="shared" si="2"/>
        <v>0</v>
      </c>
      <c r="AA44" s="1240">
        <f t="shared" si="2"/>
        <v>0</v>
      </c>
      <c r="AB44" s="1240">
        <f t="shared" si="2"/>
        <v>0</v>
      </c>
      <c r="AC44" s="1230"/>
    </row>
    <row r="45" spans="1:29" ht="16.5" thickTop="1" thickBot="1" x14ac:dyDescent="0.3">
      <c r="A45" s="700">
        <v>2</v>
      </c>
      <c r="B45" s="701" t="s">
        <v>1394</v>
      </c>
      <c r="C45" s="688" t="s">
        <v>1394</v>
      </c>
      <c r="D45" s="687"/>
      <c r="E45" s="688"/>
      <c r="F45" s="688"/>
      <c r="G45" s="688"/>
      <c r="H45" s="689" t="s">
        <v>1754</v>
      </c>
      <c r="I45" s="1239">
        <f>+I46+I47+I48+I49</f>
        <v>0</v>
      </c>
      <c r="J45" s="1239">
        <f t="shared" ref="J45:X45" si="23">+J46+J47+J48+J49</f>
        <v>0</v>
      </c>
      <c r="K45" s="1239">
        <f t="shared" si="23"/>
        <v>0</v>
      </c>
      <c r="L45" s="1239">
        <f t="shared" si="23"/>
        <v>0</v>
      </c>
      <c r="M45" s="1239">
        <f t="shared" si="23"/>
        <v>0</v>
      </c>
      <c r="N45" s="1239">
        <f t="shared" si="23"/>
        <v>0</v>
      </c>
      <c r="O45" s="1239">
        <f t="shared" si="23"/>
        <v>0</v>
      </c>
      <c r="P45" s="1239">
        <f t="shared" si="23"/>
        <v>0</v>
      </c>
      <c r="Q45" s="1239">
        <f t="shared" si="23"/>
        <v>0</v>
      </c>
      <c r="R45" s="1239">
        <f t="shared" si="23"/>
        <v>0</v>
      </c>
      <c r="S45" s="1239">
        <f t="shared" si="23"/>
        <v>0</v>
      </c>
      <c r="T45" s="1239">
        <f t="shared" si="23"/>
        <v>0</v>
      </c>
      <c r="U45" s="1239">
        <f t="shared" si="23"/>
        <v>0</v>
      </c>
      <c r="V45" s="1239">
        <f t="shared" si="23"/>
        <v>0</v>
      </c>
      <c r="W45" s="1239">
        <f t="shared" si="23"/>
        <v>0</v>
      </c>
      <c r="X45" s="1239">
        <f t="shared" si="23"/>
        <v>0</v>
      </c>
      <c r="Y45" s="1239">
        <f t="shared" si="2"/>
        <v>0</v>
      </c>
      <c r="Z45" s="1239">
        <f t="shared" si="2"/>
        <v>0</v>
      </c>
      <c r="AA45" s="1239">
        <f t="shared" si="2"/>
        <v>0</v>
      </c>
      <c r="AB45" s="1239">
        <f t="shared" si="2"/>
        <v>0</v>
      </c>
      <c r="AC45" s="1230"/>
    </row>
    <row r="46" spans="1:29" ht="16.5" thickTop="1" thickBot="1" x14ac:dyDescent="0.3">
      <c r="A46" s="682">
        <v>2</v>
      </c>
      <c r="B46" s="683" t="s">
        <v>1394</v>
      </c>
      <c r="C46" s="683" t="s">
        <v>1394</v>
      </c>
      <c r="D46" s="683" t="s">
        <v>1381</v>
      </c>
      <c r="E46" s="682"/>
      <c r="F46" s="682"/>
      <c r="G46" s="682"/>
      <c r="H46" s="685" t="s">
        <v>1754</v>
      </c>
      <c r="I46" s="1231"/>
      <c r="J46" s="1231"/>
      <c r="K46" s="1231"/>
      <c r="L46" s="1231"/>
      <c r="M46" s="1231"/>
      <c r="N46" s="1231"/>
      <c r="O46" s="1231"/>
      <c r="P46" s="1231"/>
      <c r="Q46" s="1231"/>
      <c r="R46" s="1231"/>
      <c r="S46" s="1231"/>
      <c r="T46" s="1231"/>
      <c r="U46" s="1231"/>
      <c r="V46" s="1231"/>
      <c r="W46" s="1231"/>
      <c r="X46" s="1231"/>
      <c r="Y46" s="1231">
        <f t="shared" si="2"/>
        <v>0</v>
      </c>
      <c r="Z46" s="1231">
        <f t="shared" si="2"/>
        <v>0</v>
      </c>
      <c r="AA46" s="1231">
        <f t="shared" si="2"/>
        <v>0</v>
      </c>
      <c r="AB46" s="1231">
        <f t="shared" si="2"/>
        <v>0</v>
      </c>
      <c r="AC46" s="1230"/>
    </row>
    <row r="47" spans="1:29" ht="16.5" thickTop="1" thickBot="1" x14ac:dyDescent="0.3">
      <c r="A47" s="682">
        <v>2</v>
      </c>
      <c r="B47" s="683" t="s">
        <v>1394</v>
      </c>
      <c r="C47" s="683" t="s">
        <v>1394</v>
      </c>
      <c r="D47" s="683" t="s">
        <v>1394</v>
      </c>
      <c r="E47" s="682"/>
      <c r="F47" s="682"/>
      <c r="G47" s="682"/>
      <c r="H47" s="685" t="s">
        <v>1755</v>
      </c>
      <c r="I47" s="1231"/>
      <c r="J47" s="1231"/>
      <c r="K47" s="1231"/>
      <c r="L47" s="1231"/>
      <c r="M47" s="1231"/>
      <c r="N47" s="1231"/>
      <c r="O47" s="1231"/>
      <c r="P47" s="1231"/>
      <c r="Q47" s="1231"/>
      <c r="R47" s="1231"/>
      <c r="S47" s="1231"/>
      <c r="T47" s="1231"/>
      <c r="U47" s="1231"/>
      <c r="V47" s="1231"/>
      <c r="W47" s="1231"/>
      <c r="X47" s="1231"/>
      <c r="Y47" s="1231">
        <f t="shared" si="2"/>
        <v>0</v>
      </c>
      <c r="Z47" s="1231">
        <f t="shared" si="2"/>
        <v>0</v>
      </c>
      <c r="AA47" s="1231">
        <f t="shared" si="2"/>
        <v>0</v>
      </c>
      <c r="AB47" s="1231">
        <f t="shared" si="2"/>
        <v>0</v>
      </c>
      <c r="AC47" s="1230"/>
    </row>
    <row r="48" spans="1:29" ht="16.5" thickTop="1" thickBot="1" x14ac:dyDescent="0.3">
      <c r="A48" s="682">
        <v>2</v>
      </c>
      <c r="B48" s="683" t="s">
        <v>1394</v>
      </c>
      <c r="C48" s="683" t="s">
        <v>1394</v>
      </c>
      <c r="D48" s="683" t="s">
        <v>1418</v>
      </c>
      <c r="E48" s="682"/>
      <c r="F48" s="682"/>
      <c r="G48" s="682"/>
      <c r="H48" s="685" t="s">
        <v>1738</v>
      </c>
      <c r="I48" s="1231"/>
      <c r="J48" s="1231"/>
      <c r="K48" s="1231"/>
      <c r="L48" s="1231"/>
      <c r="M48" s="1231"/>
      <c r="N48" s="1231"/>
      <c r="O48" s="1231"/>
      <c r="P48" s="1231"/>
      <c r="Q48" s="1231"/>
      <c r="R48" s="1231"/>
      <c r="S48" s="1231"/>
      <c r="T48" s="1231"/>
      <c r="U48" s="1231"/>
      <c r="V48" s="1231"/>
      <c r="W48" s="1231"/>
      <c r="X48" s="1231"/>
      <c r="Y48" s="1231">
        <f t="shared" si="2"/>
        <v>0</v>
      </c>
      <c r="Z48" s="1231">
        <f t="shared" si="2"/>
        <v>0</v>
      </c>
      <c r="AA48" s="1231">
        <f t="shared" si="2"/>
        <v>0</v>
      </c>
      <c r="AB48" s="1231">
        <f t="shared" si="2"/>
        <v>0</v>
      </c>
      <c r="AC48" s="1230"/>
    </row>
    <row r="49" spans="1:59" s="698" customFormat="1" ht="16.5" thickTop="1" thickBot="1" x14ac:dyDescent="0.3">
      <c r="A49" s="690">
        <v>2</v>
      </c>
      <c r="B49" s="691" t="s">
        <v>1394</v>
      </c>
      <c r="C49" s="691" t="s">
        <v>1394</v>
      </c>
      <c r="D49" s="691" t="s">
        <v>1422</v>
      </c>
      <c r="E49" s="690"/>
      <c r="F49" s="690"/>
      <c r="G49" s="690"/>
      <c r="H49" s="692" t="s">
        <v>1756</v>
      </c>
      <c r="I49" s="1233"/>
      <c r="J49" s="1233"/>
      <c r="K49" s="1233"/>
      <c r="L49" s="1233"/>
      <c r="M49" s="1233"/>
      <c r="N49" s="1233"/>
      <c r="O49" s="1233"/>
      <c r="P49" s="1233"/>
      <c r="Q49" s="1233"/>
      <c r="R49" s="1233"/>
      <c r="S49" s="1233"/>
      <c r="T49" s="1233"/>
      <c r="U49" s="1233"/>
      <c r="V49" s="1233"/>
      <c r="W49" s="1233"/>
      <c r="X49" s="1233"/>
      <c r="Y49" s="1233">
        <f t="shared" si="2"/>
        <v>0</v>
      </c>
      <c r="Z49" s="1233">
        <f t="shared" si="2"/>
        <v>0</v>
      </c>
      <c r="AA49" s="1233">
        <f t="shared" si="2"/>
        <v>0</v>
      </c>
      <c r="AB49" s="1233">
        <f t="shared" si="2"/>
        <v>0</v>
      </c>
      <c r="AC49" s="1230"/>
    </row>
    <row r="50" spans="1:59" ht="16.5" thickTop="1" thickBot="1" x14ac:dyDescent="0.3">
      <c r="A50" s="677">
        <v>2</v>
      </c>
      <c r="B50" s="677" t="s">
        <v>1418</v>
      </c>
      <c r="C50" s="677"/>
      <c r="D50" s="677"/>
      <c r="E50" s="677"/>
      <c r="F50" s="677"/>
      <c r="G50" s="677"/>
      <c r="H50" s="678" t="s">
        <v>1757</v>
      </c>
      <c r="I50" s="1227">
        <f>+I51+I61+I68+I79+I86+I93</f>
        <v>11767641200</v>
      </c>
      <c r="J50" s="1227">
        <f t="shared" ref="J50:T50" si="24">+J51+J61+J68+J79+J86+J93</f>
        <v>2847371290</v>
      </c>
      <c r="K50" s="1227">
        <f t="shared" si="24"/>
        <v>2145806363.75</v>
      </c>
      <c r="L50" s="1227">
        <f t="shared" si="24"/>
        <v>1955667187.75</v>
      </c>
      <c r="M50" s="1227">
        <f t="shared" si="24"/>
        <v>0</v>
      </c>
      <c r="N50" s="1227">
        <f t="shared" si="24"/>
        <v>0</v>
      </c>
      <c r="O50" s="1227">
        <f t="shared" si="24"/>
        <v>0</v>
      </c>
      <c r="P50" s="1227">
        <f t="shared" si="24"/>
        <v>0</v>
      </c>
      <c r="Q50" s="1227">
        <f t="shared" si="24"/>
        <v>730317457</v>
      </c>
      <c r="R50" s="1227">
        <f t="shared" si="24"/>
        <v>0</v>
      </c>
      <c r="S50" s="1227">
        <f t="shared" si="24"/>
        <v>0</v>
      </c>
      <c r="T50" s="1227">
        <f t="shared" si="24"/>
        <v>0</v>
      </c>
      <c r="U50" s="1227">
        <v>25858354505.169998</v>
      </c>
      <c r="V50" s="1227">
        <v>23008835680.290001</v>
      </c>
      <c r="W50" s="1227">
        <v>6265987175.7299995</v>
      </c>
      <c r="X50" s="1227">
        <v>2586198833.0799999</v>
      </c>
      <c r="Y50" s="1227">
        <f>+I50+M50+Q50+U50</f>
        <v>38356313162.169998</v>
      </c>
      <c r="Z50" s="1227">
        <f t="shared" si="2"/>
        <v>25856206970.290001</v>
      </c>
      <c r="AA50" s="1227">
        <f t="shared" si="2"/>
        <v>8411793539.4799995</v>
      </c>
      <c r="AB50" s="1227">
        <f t="shared" si="2"/>
        <v>4541866020.8299999</v>
      </c>
      <c r="AC50" s="1496"/>
    </row>
    <row r="51" spans="1:59" ht="16.5" thickTop="1" thickBot="1" x14ac:dyDescent="0.3">
      <c r="A51" s="702"/>
      <c r="B51" s="679"/>
      <c r="C51" s="679"/>
      <c r="D51" s="679"/>
      <c r="E51" s="702"/>
      <c r="F51" s="702"/>
      <c r="G51" s="702"/>
      <c r="H51" s="703" t="s">
        <v>3212</v>
      </c>
      <c r="I51" s="1241">
        <v>1199683426</v>
      </c>
      <c r="J51" s="1241">
        <v>433211661</v>
      </c>
      <c r="K51" s="1241">
        <v>225007078</v>
      </c>
      <c r="L51" s="1241">
        <v>205525937</v>
      </c>
      <c r="M51" s="1241"/>
      <c r="N51" s="1241"/>
      <c r="O51" s="1241"/>
      <c r="P51" s="1241"/>
      <c r="Q51" s="1241"/>
      <c r="R51" s="1241"/>
      <c r="S51" s="1241"/>
      <c r="T51" s="1241"/>
      <c r="U51" s="1241">
        <v>2341476973.48</v>
      </c>
      <c r="V51" s="1241">
        <v>1954781049.1699998</v>
      </c>
      <c r="W51" s="1241">
        <v>124058238</v>
      </c>
      <c r="X51" s="1241">
        <v>124058238</v>
      </c>
      <c r="Y51" s="1241">
        <f t="shared" si="2"/>
        <v>3541160399.48</v>
      </c>
      <c r="Z51" s="1241">
        <f t="shared" si="2"/>
        <v>2387992710.1700001</v>
      </c>
      <c r="AA51" s="1241">
        <f t="shared" si="2"/>
        <v>349065316</v>
      </c>
      <c r="AB51" s="1241">
        <f t="shared" si="2"/>
        <v>329584175</v>
      </c>
      <c r="AC51" s="1230"/>
    </row>
    <row r="52" spans="1:59" ht="15.75" customHeight="1" thickTop="1" thickBot="1" x14ac:dyDescent="0.3">
      <c r="A52" s="700"/>
      <c r="B52" s="700"/>
      <c r="C52" s="700"/>
      <c r="D52" s="700"/>
      <c r="E52" s="700"/>
      <c r="F52" s="700"/>
      <c r="G52" s="700"/>
      <c r="H52" s="704" t="s">
        <v>3213</v>
      </c>
      <c r="I52" s="1242">
        <v>368343721</v>
      </c>
      <c r="J52" s="1242">
        <v>143077667</v>
      </c>
      <c r="K52" s="1242">
        <v>96336440</v>
      </c>
      <c r="L52" s="1242">
        <v>89480810</v>
      </c>
      <c r="M52" s="1242"/>
      <c r="N52" s="1242"/>
      <c r="O52" s="1242"/>
      <c r="P52" s="1242"/>
      <c r="Q52" s="1242"/>
      <c r="R52" s="1242"/>
      <c r="S52" s="1242"/>
      <c r="T52" s="1242"/>
      <c r="U52" s="1242">
        <v>184497012.09</v>
      </c>
      <c r="V52" s="1242">
        <v>183996797.09</v>
      </c>
      <c r="W52" s="1242">
        <v>0</v>
      </c>
      <c r="X52" s="1242">
        <v>0</v>
      </c>
      <c r="Y52" s="1242">
        <f t="shared" si="2"/>
        <v>552840733.09000003</v>
      </c>
      <c r="Z52" s="1242">
        <f t="shared" si="2"/>
        <v>327074464.09000003</v>
      </c>
      <c r="AA52" s="1242">
        <f t="shared" si="2"/>
        <v>96336440</v>
      </c>
      <c r="AB52" s="1242">
        <f t="shared" si="2"/>
        <v>89480810</v>
      </c>
      <c r="AC52" s="1230"/>
    </row>
    <row r="53" spans="1:59" ht="15.75" customHeight="1" thickTop="1" thickBot="1" x14ac:dyDescent="0.3">
      <c r="A53" s="700"/>
      <c r="B53" s="700"/>
      <c r="C53" s="700"/>
      <c r="D53" s="700"/>
      <c r="E53" s="700"/>
      <c r="F53" s="700"/>
      <c r="G53" s="700"/>
      <c r="H53" s="704" t="s">
        <v>3214</v>
      </c>
      <c r="I53" s="1242">
        <v>368343721</v>
      </c>
      <c r="J53" s="1242">
        <v>143077667</v>
      </c>
      <c r="K53" s="1242">
        <v>96336440</v>
      </c>
      <c r="L53" s="1242">
        <v>89480810</v>
      </c>
      <c r="M53" s="1242"/>
      <c r="N53" s="1242"/>
      <c r="O53" s="1242"/>
      <c r="P53" s="1242"/>
      <c r="Q53" s="1242"/>
      <c r="R53" s="1242"/>
      <c r="S53" s="1242"/>
      <c r="T53" s="1242"/>
      <c r="U53" s="1242">
        <v>184497012.09</v>
      </c>
      <c r="V53" s="1242">
        <v>183996797.09</v>
      </c>
      <c r="W53" s="1242">
        <v>0</v>
      </c>
      <c r="X53" s="1242">
        <v>0</v>
      </c>
      <c r="Y53" s="1242">
        <f t="shared" si="2"/>
        <v>552840733.09000003</v>
      </c>
      <c r="Z53" s="1242">
        <f t="shared" si="2"/>
        <v>327074464.09000003</v>
      </c>
      <c r="AA53" s="1242">
        <f t="shared" si="2"/>
        <v>96336440</v>
      </c>
      <c r="AB53" s="1242">
        <f t="shared" si="2"/>
        <v>89480810</v>
      </c>
      <c r="AC53" s="1230"/>
    </row>
    <row r="54" spans="1:59" ht="15.75" customHeight="1" thickTop="1" thickBot="1" x14ac:dyDescent="0.3">
      <c r="A54" s="682"/>
      <c r="B54" s="682"/>
      <c r="C54" s="682"/>
      <c r="D54" s="682"/>
      <c r="E54" s="683"/>
      <c r="F54" s="683"/>
      <c r="G54" s="682"/>
      <c r="H54" s="705" t="s">
        <v>3215</v>
      </c>
      <c r="I54" s="1449">
        <v>368343721</v>
      </c>
      <c r="J54" s="1449">
        <v>143077667</v>
      </c>
      <c r="K54" s="1449">
        <v>96336440</v>
      </c>
      <c r="L54" s="1449">
        <v>89480810</v>
      </c>
      <c r="M54" s="1231"/>
      <c r="N54" s="1243"/>
      <c r="O54" s="1243"/>
      <c r="P54" s="1243"/>
      <c r="Q54" s="1231"/>
      <c r="R54" s="1243"/>
      <c r="S54" s="1243"/>
      <c r="T54" s="1243"/>
      <c r="U54" s="1231">
        <v>184497012.09</v>
      </c>
      <c r="V54" s="1243">
        <v>183996797.09</v>
      </c>
      <c r="W54" s="1243">
        <v>0</v>
      </c>
      <c r="X54" s="1243">
        <v>0</v>
      </c>
      <c r="Y54" s="1231">
        <f t="shared" si="2"/>
        <v>552840733.09000003</v>
      </c>
      <c r="Z54" s="1243">
        <f t="shared" si="2"/>
        <v>327074464.09000003</v>
      </c>
      <c r="AA54" s="1243">
        <f t="shared" si="2"/>
        <v>96336440</v>
      </c>
      <c r="AB54" s="1243">
        <f t="shared" si="2"/>
        <v>89480810</v>
      </c>
      <c r="AC54" s="1230"/>
    </row>
    <row r="55" spans="1:59" ht="15.75" customHeight="1" thickTop="1" thickBot="1" x14ac:dyDescent="0.3">
      <c r="A55" s="682"/>
      <c r="B55" s="682"/>
      <c r="C55" s="682"/>
      <c r="D55" s="682"/>
      <c r="E55" s="683"/>
      <c r="F55" s="683"/>
      <c r="G55" s="683"/>
      <c r="H55" s="704" t="s">
        <v>3216</v>
      </c>
      <c r="I55" s="1242">
        <v>398699192</v>
      </c>
      <c r="J55" s="1242">
        <v>65505960</v>
      </c>
      <c r="K55" s="1242">
        <v>55226437</v>
      </c>
      <c r="L55" s="1242">
        <v>49513043</v>
      </c>
      <c r="M55" s="1242"/>
      <c r="N55" s="1242"/>
      <c r="O55" s="1242"/>
      <c r="P55" s="1242"/>
      <c r="Q55" s="1242"/>
      <c r="R55" s="1242"/>
      <c r="S55" s="1242"/>
      <c r="T55" s="1242"/>
      <c r="U55" s="1242">
        <v>2156979961.3899999</v>
      </c>
      <c r="V55" s="1242">
        <v>1770784252.0799999</v>
      </c>
      <c r="W55" s="1242">
        <v>124058238</v>
      </c>
      <c r="X55" s="1242">
        <v>124058238</v>
      </c>
      <c r="Y55" s="1242">
        <f t="shared" si="2"/>
        <v>2555679153.3899999</v>
      </c>
      <c r="Z55" s="1242">
        <f t="shared" si="2"/>
        <v>1836290212.0799999</v>
      </c>
      <c r="AA55" s="1242">
        <f t="shared" si="2"/>
        <v>179284675</v>
      </c>
      <c r="AB55" s="1242">
        <f t="shared" si="2"/>
        <v>173571281</v>
      </c>
      <c r="AC55" s="1230"/>
    </row>
    <row r="56" spans="1:59" ht="15.75" customHeight="1" thickTop="1" thickBot="1" x14ac:dyDescent="0.3">
      <c r="A56" s="700"/>
      <c r="B56" s="700"/>
      <c r="C56" s="700"/>
      <c r="D56" s="700"/>
      <c r="E56" s="700"/>
      <c r="F56" s="700"/>
      <c r="G56" s="700"/>
      <c r="H56" s="704" t="s">
        <v>3217</v>
      </c>
      <c r="I56" s="1242">
        <v>398699192</v>
      </c>
      <c r="J56" s="1242">
        <v>65505960</v>
      </c>
      <c r="K56" s="1242">
        <v>55226437</v>
      </c>
      <c r="L56" s="1242">
        <v>49513043</v>
      </c>
      <c r="M56" s="1242"/>
      <c r="N56" s="1242"/>
      <c r="O56" s="1242"/>
      <c r="P56" s="1242"/>
      <c r="Q56" s="1242"/>
      <c r="R56" s="1242"/>
      <c r="S56" s="1242"/>
      <c r="T56" s="1242"/>
      <c r="U56" s="1242">
        <v>2156979961.3899999</v>
      </c>
      <c r="V56" s="1242">
        <v>1770784252.0799999</v>
      </c>
      <c r="W56" s="1242">
        <v>124058238</v>
      </c>
      <c r="X56" s="1242">
        <v>124058238</v>
      </c>
      <c r="Y56" s="1242">
        <f t="shared" si="2"/>
        <v>2555679153.3899999</v>
      </c>
      <c r="Z56" s="1242">
        <f t="shared" si="2"/>
        <v>1836290212.0799999</v>
      </c>
      <c r="AA56" s="1242">
        <f t="shared" si="2"/>
        <v>179284675</v>
      </c>
      <c r="AB56" s="1242">
        <f t="shared" si="2"/>
        <v>173571281</v>
      </c>
      <c r="AC56" s="1230"/>
    </row>
    <row r="57" spans="1:59" ht="15.75" customHeight="1" thickTop="1" thickBot="1" x14ac:dyDescent="0.3">
      <c r="A57" s="700"/>
      <c r="B57" s="700"/>
      <c r="C57" s="700"/>
      <c r="D57" s="700"/>
      <c r="E57" s="700"/>
      <c r="F57" s="700"/>
      <c r="G57" s="700"/>
      <c r="H57" s="705" t="s">
        <v>3218</v>
      </c>
      <c r="I57" s="1449">
        <v>398699192</v>
      </c>
      <c r="J57" s="1449">
        <v>65505960</v>
      </c>
      <c r="K57" s="1449">
        <v>55226437</v>
      </c>
      <c r="L57" s="1449">
        <v>49513043</v>
      </c>
      <c r="M57" s="1243"/>
      <c r="N57" s="1243"/>
      <c r="O57" s="1243"/>
      <c r="P57" s="1243"/>
      <c r="Q57" s="1243"/>
      <c r="R57" s="1243"/>
      <c r="S57" s="1243"/>
      <c r="T57" s="1243"/>
      <c r="U57" s="1243">
        <v>2156979961.3899999</v>
      </c>
      <c r="V57" s="1243">
        <v>1770784252.0799999</v>
      </c>
      <c r="W57" s="1243">
        <v>124058238</v>
      </c>
      <c r="X57" s="1243">
        <v>124058238</v>
      </c>
      <c r="Y57" s="1243">
        <f t="shared" si="2"/>
        <v>2555679153.3899999</v>
      </c>
      <c r="Z57" s="1243">
        <f t="shared" si="2"/>
        <v>1836290212.0799999</v>
      </c>
      <c r="AA57" s="1243">
        <f t="shared" si="2"/>
        <v>179284675</v>
      </c>
      <c r="AB57" s="1243">
        <f t="shared" si="2"/>
        <v>173571281</v>
      </c>
      <c r="AC57" s="1230"/>
    </row>
    <row r="58" spans="1:59" ht="15.75" customHeight="1" thickTop="1" thickBot="1" x14ac:dyDescent="0.3">
      <c r="A58" s="682"/>
      <c r="B58" s="682"/>
      <c r="C58" s="682"/>
      <c r="D58" s="682"/>
      <c r="E58" s="683"/>
      <c r="F58" s="683"/>
      <c r="G58" s="682"/>
      <c r="H58" s="704" t="s">
        <v>3219</v>
      </c>
      <c r="I58" s="1242">
        <v>432640513</v>
      </c>
      <c r="J58" s="1242">
        <v>224628034</v>
      </c>
      <c r="K58" s="1242">
        <v>73444201</v>
      </c>
      <c r="L58" s="1242">
        <v>66532084</v>
      </c>
      <c r="M58" s="1242"/>
      <c r="N58" s="1242"/>
      <c r="O58" s="1242"/>
      <c r="P58" s="1242"/>
      <c r="Q58" s="1242"/>
      <c r="R58" s="1242"/>
      <c r="S58" s="1242"/>
      <c r="T58" s="1242"/>
      <c r="U58" s="1242">
        <v>0</v>
      </c>
      <c r="V58" s="1242">
        <v>0</v>
      </c>
      <c r="W58" s="1242">
        <v>0</v>
      </c>
      <c r="X58" s="1242">
        <v>0</v>
      </c>
      <c r="Y58" s="1242">
        <f t="shared" si="2"/>
        <v>432640513</v>
      </c>
      <c r="Z58" s="1242">
        <f t="shared" si="2"/>
        <v>224628034</v>
      </c>
      <c r="AA58" s="1242">
        <f t="shared" si="2"/>
        <v>73444201</v>
      </c>
      <c r="AB58" s="1242">
        <f t="shared" si="2"/>
        <v>66532084</v>
      </c>
      <c r="AC58" s="1230"/>
    </row>
    <row r="59" spans="1:59" ht="15.75" customHeight="1" thickTop="1" thickBot="1" x14ac:dyDescent="0.3">
      <c r="A59" s="682"/>
      <c r="B59" s="682"/>
      <c r="C59" s="682"/>
      <c r="D59" s="682"/>
      <c r="E59" s="683"/>
      <c r="F59" s="683"/>
      <c r="G59" s="682"/>
      <c r="H59" s="704" t="s">
        <v>3214</v>
      </c>
      <c r="I59" s="1242">
        <v>432640513</v>
      </c>
      <c r="J59" s="1242">
        <v>224628034</v>
      </c>
      <c r="K59" s="1242">
        <v>73444201</v>
      </c>
      <c r="L59" s="1242">
        <v>66532084</v>
      </c>
      <c r="M59" s="1242"/>
      <c r="N59" s="1242"/>
      <c r="O59" s="1242"/>
      <c r="P59" s="1242"/>
      <c r="Q59" s="1242"/>
      <c r="R59" s="1242"/>
      <c r="S59" s="1242"/>
      <c r="T59" s="1242"/>
      <c r="U59" s="1242">
        <v>0</v>
      </c>
      <c r="V59" s="1242">
        <v>0</v>
      </c>
      <c r="W59" s="1242">
        <v>0</v>
      </c>
      <c r="X59" s="1242">
        <v>0</v>
      </c>
      <c r="Y59" s="1242">
        <f t="shared" si="2"/>
        <v>432640513</v>
      </c>
      <c r="Z59" s="1242">
        <f t="shared" si="2"/>
        <v>224628034</v>
      </c>
      <c r="AA59" s="1242">
        <f t="shared" si="2"/>
        <v>73444201</v>
      </c>
      <c r="AB59" s="1242">
        <f t="shared" si="2"/>
        <v>66532084</v>
      </c>
      <c r="AC59" s="1230"/>
    </row>
    <row r="60" spans="1:59" s="702" customFormat="1" ht="15.75" customHeight="1" thickTop="1" thickBot="1" x14ac:dyDescent="0.3">
      <c r="H60" s="705" t="s">
        <v>3220</v>
      </c>
      <c r="I60" s="1449">
        <v>432640513</v>
      </c>
      <c r="J60" s="1449">
        <v>224628034</v>
      </c>
      <c r="K60" s="1449">
        <v>73444201</v>
      </c>
      <c r="L60" s="1449">
        <v>66532084</v>
      </c>
      <c r="M60" s="1243"/>
      <c r="N60" s="1243"/>
      <c r="O60" s="1243"/>
      <c r="P60" s="1243"/>
      <c r="Q60" s="1243"/>
      <c r="R60" s="1243"/>
      <c r="S60" s="1243"/>
      <c r="T60" s="1243"/>
      <c r="U60" s="1243">
        <v>0</v>
      </c>
      <c r="V60" s="1243"/>
      <c r="W60" s="1243"/>
      <c r="X60" s="1243"/>
      <c r="Y60" s="1243">
        <f t="shared" si="2"/>
        <v>432640513</v>
      </c>
      <c r="Z60" s="1243">
        <f t="shared" si="2"/>
        <v>224628034</v>
      </c>
      <c r="AA60" s="1243">
        <f t="shared" si="2"/>
        <v>73444201</v>
      </c>
      <c r="AB60" s="1243">
        <f t="shared" si="2"/>
        <v>66532084</v>
      </c>
      <c r="AC60" s="1230"/>
      <c r="AD60" s="672"/>
      <c r="AE60" s="672"/>
      <c r="AF60" s="672"/>
      <c r="AG60" s="672"/>
      <c r="AH60" s="672"/>
      <c r="AI60" s="672"/>
      <c r="AJ60" s="672"/>
      <c r="AK60" s="672"/>
      <c r="AL60" s="672"/>
      <c r="AM60" s="672"/>
      <c r="AN60" s="672"/>
      <c r="AO60" s="672"/>
      <c r="AP60" s="672"/>
      <c r="AQ60" s="672"/>
      <c r="AR60" s="672"/>
      <c r="AS60" s="672"/>
      <c r="AT60" s="672"/>
      <c r="AU60" s="672"/>
      <c r="AV60" s="672"/>
      <c r="AW60" s="672"/>
      <c r="AX60" s="672"/>
      <c r="AY60" s="672"/>
      <c r="AZ60" s="672"/>
      <c r="BA60" s="672"/>
      <c r="BB60" s="672"/>
      <c r="BC60" s="672"/>
      <c r="BD60" s="672"/>
      <c r="BE60" s="672"/>
      <c r="BF60" s="672"/>
      <c r="BG60" s="672"/>
    </row>
    <row r="61" spans="1:59" s="700" customFormat="1" ht="15.75" customHeight="1" thickTop="1" thickBot="1" x14ac:dyDescent="0.3">
      <c r="H61" s="703" t="s">
        <v>3221</v>
      </c>
      <c r="I61" s="1241">
        <v>2120749200</v>
      </c>
      <c r="J61" s="1241">
        <v>517845016</v>
      </c>
      <c r="K61" s="1241">
        <v>370796115</v>
      </c>
      <c r="L61" s="1241">
        <v>340958992</v>
      </c>
      <c r="M61" s="1241"/>
      <c r="N61" s="1241"/>
      <c r="O61" s="1241"/>
      <c r="P61" s="1241"/>
      <c r="Q61" s="1241"/>
      <c r="R61" s="1241"/>
      <c r="S61" s="1241"/>
      <c r="T61" s="1241"/>
      <c r="U61" s="1241">
        <v>13684930070.26</v>
      </c>
      <c r="V61" s="1241">
        <v>13551329641.959999</v>
      </c>
      <c r="W61" s="1241">
        <v>2928947913</v>
      </c>
      <c r="X61" s="1241">
        <v>1614674421</v>
      </c>
      <c r="Y61" s="1241">
        <f t="shared" si="2"/>
        <v>15805679270.26</v>
      </c>
      <c r="Z61" s="1241">
        <f t="shared" si="2"/>
        <v>14069174657.959999</v>
      </c>
      <c r="AA61" s="1241">
        <f t="shared" si="2"/>
        <v>3299744028</v>
      </c>
      <c r="AB61" s="1241">
        <f t="shared" si="2"/>
        <v>1955633413</v>
      </c>
      <c r="AC61" s="1230"/>
      <c r="AD61" s="672"/>
      <c r="AE61" s="672"/>
      <c r="AF61" s="672"/>
      <c r="AG61" s="672"/>
      <c r="AH61" s="672"/>
      <c r="AI61" s="672"/>
      <c r="AJ61" s="672"/>
      <c r="AK61" s="672"/>
      <c r="AL61" s="672"/>
      <c r="AM61" s="672"/>
      <c r="AN61" s="672"/>
      <c r="AO61" s="672"/>
      <c r="AP61" s="672"/>
      <c r="AQ61" s="672"/>
      <c r="AR61" s="672"/>
      <c r="AS61" s="672"/>
      <c r="AT61" s="672"/>
      <c r="AU61" s="672"/>
      <c r="AV61" s="672"/>
      <c r="AW61" s="672"/>
      <c r="AX61" s="672"/>
      <c r="AY61" s="672"/>
      <c r="AZ61" s="672"/>
      <c r="BA61" s="672"/>
      <c r="BB61" s="672"/>
      <c r="BC61" s="672"/>
      <c r="BD61" s="672"/>
      <c r="BE61" s="672"/>
      <c r="BF61" s="672"/>
      <c r="BG61" s="672"/>
    </row>
    <row r="62" spans="1:59" ht="15.75" customHeight="1" thickTop="1" thickBot="1" x14ac:dyDescent="0.3">
      <c r="A62" s="700"/>
      <c r="B62" s="700"/>
      <c r="C62" s="700"/>
      <c r="D62" s="700"/>
      <c r="E62" s="700"/>
      <c r="F62" s="700"/>
      <c r="G62" s="700"/>
      <c r="H62" s="704" t="s">
        <v>3219</v>
      </c>
      <c r="I62" s="1242">
        <v>987674615</v>
      </c>
      <c r="J62" s="1242">
        <v>290967806</v>
      </c>
      <c r="K62" s="1242">
        <v>212482540</v>
      </c>
      <c r="L62" s="1242">
        <v>193776098</v>
      </c>
      <c r="M62" s="1242"/>
      <c r="N62" s="1242"/>
      <c r="O62" s="1242"/>
      <c r="P62" s="1242"/>
      <c r="Q62" s="1242"/>
      <c r="R62" s="1242"/>
      <c r="S62" s="1242"/>
      <c r="T62" s="1242"/>
      <c r="U62" s="1242">
        <v>13684930070.26</v>
      </c>
      <c r="V62" s="1242">
        <v>13551329641.959999</v>
      </c>
      <c r="W62" s="1242">
        <v>2928947913</v>
      </c>
      <c r="X62" s="1242">
        <v>1614674421</v>
      </c>
      <c r="Y62" s="1242">
        <f t="shared" si="2"/>
        <v>14672604685.26</v>
      </c>
      <c r="Z62" s="1242">
        <f t="shared" si="2"/>
        <v>13842297447.959999</v>
      </c>
      <c r="AA62" s="1242">
        <f t="shared" si="2"/>
        <v>3141430453</v>
      </c>
      <c r="AB62" s="1242">
        <f t="shared" si="2"/>
        <v>1808450519</v>
      </c>
      <c r="AC62" s="1230"/>
    </row>
    <row r="63" spans="1:59" ht="15.75" customHeight="1" thickTop="1" thickBot="1" x14ac:dyDescent="0.3">
      <c r="A63" s="682"/>
      <c r="B63" s="682"/>
      <c r="C63" s="684"/>
      <c r="D63" s="682"/>
      <c r="E63" s="683"/>
      <c r="F63" s="682"/>
      <c r="G63" s="682"/>
      <c r="H63" s="704" t="s">
        <v>3222</v>
      </c>
      <c r="I63" s="1242">
        <v>987674615</v>
      </c>
      <c r="J63" s="1242">
        <v>290967806</v>
      </c>
      <c r="K63" s="1242">
        <v>212482540</v>
      </c>
      <c r="L63" s="1242">
        <v>193776098</v>
      </c>
      <c r="M63" s="1242"/>
      <c r="N63" s="1242"/>
      <c r="O63" s="1242"/>
      <c r="P63" s="1242"/>
      <c r="Q63" s="1242"/>
      <c r="R63" s="1242"/>
      <c r="S63" s="1242"/>
      <c r="T63" s="1242"/>
      <c r="U63" s="1242">
        <v>13684930070.26</v>
      </c>
      <c r="V63" s="1242">
        <v>13551329641.959999</v>
      </c>
      <c r="W63" s="1242">
        <v>2928947913</v>
      </c>
      <c r="X63" s="1242">
        <v>1614674421</v>
      </c>
      <c r="Y63" s="1242">
        <f t="shared" si="2"/>
        <v>14672604685.26</v>
      </c>
      <c r="Z63" s="1242">
        <f t="shared" si="2"/>
        <v>13842297447.959999</v>
      </c>
      <c r="AA63" s="1242">
        <f t="shared" si="2"/>
        <v>3141430453</v>
      </c>
      <c r="AB63" s="1242">
        <f t="shared" si="2"/>
        <v>1808450519</v>
      </c>
      <c r="AC63" s="1230"/>
    </row>
    <row r="64" spans="1:59" ht="15.75" customHeight="1" thickTop="1" thickBot="1" x14ac:dyDescent="0.3">
      <c r="A64" s="682"/>
      <c r="B64" s="682"/>
      <c r="C64" s="684"/>
      <c r="D64" s="682"/>
      <c r="E64" s="683"/>
      <c r="F64" s="683"/>
      <c r="G64" s="682"/>
      <c r="H64" s="705" t="s">
        <v>3223</v>
      </c>
      <c r="I64" s="1449">
        <v>987674615</v>
      </c>
      <c r="J64" s="1449">
        <v>290967806</v>
      </c>
      <c r="K64" s="1449">
        <v>212482540</v>
      </c>
      <c r="L64" s="1449">
        <v>193776098</v>
      </c>
      <c r="M64" s="1243"/>
      <c r="N64" s="1243"/>
      <c r="O64" s="1243"/>
      <c r="P64" s="1243"/>
      <c r="Q64" s="1243"/>
      <c r="R64" s="1243"/>
      <c r="S64" s="1243"/>
      <c r="T64" s="1243"/>
      <c r="U64" s="1243">
        <v>13684930070.26</v>
      </c>
      <c r="V64" s="1243">
        <v>13551329641.959999</v>
      </c>
      <c r="W64" s="1243">
        <v>2928947913</v>
      </c>
      <c r="X64" s="1243">
        <v>1614674421</v>
      </c>
      <c r="Y64" s="1243">
        <f t="shared" si="2"/>
        <v>14672604685.26</v>
      </c>
      <c r="Z64" s="1243">
        <f t="shared" si="2"/>
        <v>13842297447.959999</v>
      </c>
      <c r="AA64" s="1243">
        <f t="shared" si="2"/>
        <v>3141430453</v>
      </c>
      <c r="AB64" s="1243">
        <f t="shared" si="2"/>
        <v>1808450519</v>
      </c>
      <c r="AC64" s="1230"/>
    </row>
    <row r="65" spans="1:59" s="704" customFormat="1" ht="15.75" customHeight="1" thickTop="1" thickBot="1" x14ac:dyDescent="0.3">
      <c r="A65" s="706"/>
      <c r="B65" s="706"/>
      <c r="C65" s="706"/>
      <c r="D65" s="706"/>
      <c r="E65" s="706"/>
      <c r="F65" s="706"/>
      <c r="H65" s="704" t="s">
        <v>3224</v>
      </c>
      <c r="I65" s="1242">
        <v>1133074585</v>
      </c>
      <c r="J65" s="1242">
        <v>226877210</v>
      </c>
      <c r="K65" s="1242">
        <v>158313575</v>
      </c>
      <c r="L65" s="1242">
        <v>147182894</v>
      </c>
      <c r="M65" s="1242"/>
      <c r="N65" s="1242"/>
      <c r="O65" s="1242"/>
      <c r="P65" s="1242"/>
      <c r="Q65" s="1242"/>
      <c r="R65" s="1242"/>
      <c r="S65" s="1242"/>
      <c r="T65" s="1242"/>
      <c r="U65" s="1242">
        <v>0</v>
      </c>
      <c r="V65" s="1242">
        <v>0</v>
      </c>
      <c r="W65" s="1242">
        <v>0</v>
      </c>
      <c r="X65" s="1242">
        <v>0</v>
      </c>
      <c r="Y65" s="1242">
        <f t="shared" si="2"/>
        <v>1133074585</v>
      </c>
      <c r="Z65" s="1242">
        <f t="shared" si="2"/>
        <v>226877210</v>
      </c>
      <c r="AA65" s="1242">
        <f t="shared" si="2"/>
        <v>158313575</v>
      </c>
      <c r="AB65" s="1242">
        <f t="shared" si="2"/>
        <v>147182894</v>
      </c>
      <c r="AC65" s="1230"/>
      <c r="AD65" s="672"/>
      <c r="AE65" s="672"/>
      <c r="AF65" s="672"/>
      <c r="AG65" s="672"/>
      <c r="AH65" s="672"/>
      <c r="AI65" s="672"/>
      <c r="AJ65" s="672"/>
      <c r="AK65" s="672"/>
      <c r="AL65" s="672"/>
      <c r="AM65" s="672"/>
      <c r="AN65" s="672"/>
      <c r="AO65" s="672"/>
      <c r="AP65" s="672"/>
      <c r="AQ65" s="672"/>
      <c r="AR65" s="672"/>
      <c r="AS65" s="672"/>
      <c r="AT65" s="672"/>
      <c r="AU65" s="672"/>
      <c r="AV65" s="672"/>
      <c r="AW65" s="672"/>
      <c r="AX65" s="672"/>
      <c r="AY65" s="672"/>
      <c r="AZ65" s="672"/>
      <c r="BA65" s="672"/>
      <c r="BB65" s="672"/>
      <c r="BC65" s="672"/>
      <c r="BD65" s="672"/>
      <c r="BE65" s="672"/>
      <c r="BF65" s="672"/>
      <c r="BG65" s="672"/>
    </row>
    <row r="66" spans="1:59" ht="15.75" customHeight="1" thickTop="1" thickBot="1" x14ac:dyDescent="0.3">
      <c r="A66" s="706"/>
      <c r="B66" s="706"/>
      <c r="C66" s="706"/>
      <c r="D66" s="706"/>
      <c r="E66" s="700"/>
      <c r="F66" s="700"/>
      <c r="G66" s="700"/>
      <c r="H66" s="704" t="s">
        <v>3222</v>
      </c>
      <c r="I66" s="1242">
        <v>1133074585</v>
      </c>
      <c r="J66" s="1242">
        <v>226877210</v>
      </c>
      <c r="K66" s="1242">
        <v>158313575</v>
      </c>
      <c r="L66" s="1242">
        <v>147182894</v>
      </c>
      <c r="M66" s="1242"/>
      <c r="N66" s="1242"/>
      <c r="O66" s="1242"/>
      <c r="P66" s="1242"/>
      <c r="Q66" s="1242"/>
      <c r="R66" s="1242"/>
      <c r="S66" s="1242"/>
      <c r="T66" s="1242"/>
      <c r="U66" s="1242">
        <v>0</v>
      </c>
      <c r="V66" s="1242">
        <v>0</v>
      </c>
      <c r="W66" s="1242">
        <v>0</v>
      </c>
      <c r="X66" s="1242">
        <v>0</v>
      </c>
      <c r="Y66" s="1242">
        <f t="shared" si="2"/>
        <v>1133074585</v>
      </c>
      <c r="Z66" s="1242">
        <f t="shared" si="2"/>
        <v>226877210</v>
      </c>
      <c r="AA66" s="1242">
        <f t="shared" si="2"/>
        <v>158313575</v>
      </c>
      <c r="AB66" s="1242">
        <f t="shared" si="2"/>
        <v>147182894</v>
      </c>
      <c r="AC66" s="1230"/>
    </row>
    <row r="67" spans="1:59" ht="15.75" customHeight="1" thickTop="1" thickBot="1" x14ac:dyDescent="0.3">
      <c r="A67" s="682"/>
      <c r="B67" s="682"/>
      <c r="C67" s="684"/>
      <c r="D67" s="684"/>
      <c r="E67" s="683"/>
      <c r="F67" s="683"/>
      <c r="G67" s="682"/>
      <c r="H67" s="705" t="s">
        <v>3225</v>
      </c>
      <c r="I67" s="1243">
        <v>1133074585</v>
      </c>
      <c r="J67" s="1243">
        <v>226877210</v>
      </c>
      <c r="K67" s="1243">
        <v>158313575</v>
      </c>
      <c r="L67" s="1243">
        <v>147182894</v>
      </c>
      <c r="M67" s="1243"/>
      <c r="N67" s="1243"/>
      <c r="O67" s="1243"/>
      <c r="P67" s="1243"/>
      <c r="Q67" s="1243"/>
      <c r="R67" s="1243"/>
      <c r="S67" s="1243"/>
      <c r="T67" s="1243"/>
      <c r="U67" s="1243">
        <v>0</v>
      </c>
      <c r="V67" s="1243">
        <v>0</v>
      </c>
      <c r="W67" s="1243">
        <v>0</v>
      </c>
      <c r="X67" s="1243">
        <v>0</v>
      </c>
      <c r="Y67" s="1243">
        <f t="shared" si="2"/>
        <v>1133074585</v>
      </c>
      <c r="Z67" s="1243">
        <f t="shared" si="2"/>
        <v>226877210</v>
      </c>
      <c r="AA67" s="1243">
        <f t="shared" si="2"/>
        <v>158313575</v>
      </c>
      <c r="AB67" s="1243">
        <f t="shared" si="2"/>
        <v>147182894</v>
      </c>
      <c r="AC67" s="1230"/>
    </row>
    <row r="68" spans="1:59" ht="15.75" customHeight="1" thickTop="1" thickBot="1" x14ac:dyDescent="0.3">
      <c r="A68" s="682"/>
      <c r="B68" s="682"/>
      <c r="C68" s="684"/>
      <c r="D68" s="684"/>
      <c r="E68" s="683"/>
      <c r="F68" s="683"/>
      <c r="G68" s="682"/>
      <c r="H68" s="703" t="s">
        <v>3226</v>
      </c>
      <c r="I68" s="1241">
        <v>2923683630</v>
      </c>
      <c r="J68" s="1241">
        <v>615676550</v>
      </c>
      <c r="K68" s="1241">
        <v>543510400</v>
      </c>
      <c r="L68" s="1241">
        <v>503621428</v>
      </c>
      <c r="M68" s="1241">
        <f>+M69</f>
        <v>0</v>
      </c>
      <c r="N68" s="1241">
        <f t="shared" ref="N68:P69" si="25">+N69</f>
        <v>0</v>
      </c>
      <c r="O68" s="1241">
        <f t="shared" si="25"/>
        <v>0</v>
      </c>
      <c r="P68" s="1241">
        <f t="shared" si="25"/>
        <v>0</v>
      </c>
      <c r="Q68" s="1241">
        <f>+Q69</f>
        <v>730317457</v>
      </c>
      <c r="R68" s="1241"/>
      <c r="S68" s="1241"/>
      <c r="T68" s="1241"/>
      <c r="U68" s="1241">
        <v>9466468336.7200012</v>
      </c>
      <c r="V68" s="1241">
        <v>7140998335.6599998</v>
      </c>
      <c r="W68" s="1241">
        <v>3212981024.73</v>
      </c>
      <c r="X68" s="1241">
        <v>847466174.08000004</v>
      </c>
      <c r="Y68" s="1241">
        <f t="shared" si="2"/>
        <v>13120469423.720001</v>
      </c>
      <c r="Z68" s="1241">
        <f t="shared" si="2"/>
        <v>7756674885.6599998</v>
      </c>
      <c r="AA68" s="1241">
        <f t="shared" si="2"/>
        <v>3756491424.73</v>
      </c>
      <c r="AB68" s="1241">
        <f t="shared" si="2"/>
        <v>1351087602.0799999</v>
      </c>
      <c r="AC68" s="1230"/>
    </row>
    <row r="69" spans="1:59" ht="15.75" customHeight="1" thickTop="1" thickBot="1" x14ac:dyDescent="0.3">
      <c r="A69" s="682"/>
      <c r="B69" s="682"/>
      <c r="C69" s="684"/>
      <c r="D69" s="684"/>
      <c r="E69" s="683"/>
      <c r="F69" s="683"/>
      <c r="G69" s="682"/>
      <c r="H69" s="704" t="s">
        <v>3227</v>
      </c>
      <c r="I69" s="1242">
        <v>1463118568</v>
      </c>
      <c r="J69" s="1242">
        <v>420471075</v>
      </c>
      <c r="K69" s="1242">
        <v>375704023</v>
      </c>
      <c r="L69" s="1242">
        <v>351280723</v>
      </c>
      <c r="M69" s="1242">
        <f>+M70</f>
        <v>0</v>
      </c>
      <c r="N69" s="1242">
        <f t="shared" si="25"/>
        <v>0</v>
      </c>
      <c r="O69" s="1242">
        <f t="shared" si="25"/>
        <v>0</v>
      </c>
      <c r="P69" s="1242">
        <f t="shared" si="25"/>
        <v>0</v>
      </c>
      <c r="Q69" s="1242">
        <f>+Q70</f>
        <v>730317457</v>
      </c>
      <c r="R69" s="1242"/>
      <c r="S69" s="1242"/>
      <c r="T69" s="1242"/>
      <c r="U69" s="1242">
        <v>2980402916.5</v>
      </c>
      <c r="V69" s="1242">
        <v>2815454195</v>
      </c>
      <c r="W69" s="1242">
        <v>1025593549</v>
      </c>
      <c r="X69" s="1242">
        <v>751911543</v>
      </c>
      <c r="Y69" s="1242">
        <f t="shared" ref="Y69:AB99" si="26">+I69+M69+Q69+U69</f>
        <v>5173838941.5</v>
      </c>
      <c r="Z69" s="1242">
        <f t="shared" si="26"/>
        <v>3235925270</v>
      </c>
      <c r="AA69" s="1242">
        <f t="shared" si="26"/>
        <v>1401297572</v>
      </c>
      <c r="AB69" s="1242">
        <f t="shared" si="26"/>
        <v>1103192266</v>
      </c>
      <c r="AC69" s="1230"/>
    </row>
    <row r="70" spans="1:59" ht="15.75" customHeight="1" thickTop="1" thickBot="1" x14ac:dyDescent="0.3">
      <c r="A70" s="682"/>
      <c r="B70" s="682"/>
      <c r="C70" s="684"/>
      <c r="D70" s="684"/>
      <c r="E70" s="683"/>
      <c r="F70" s="683"/>
      <c r="G70" s="682"/>
      <c r="H70" s="704" t="s">
        <v>3228</v>
      </c>
      <c r="I70" s="1242">
        <v>1463118568</v>
      </c>
      <c r="J70" s="1242">
        <v>420471075</v>
      </c>
      <c r="K70" s="1242">
        <v>375704023</v>
      </c>
      <c r="L70" s="1242">
        <v>351280723</v>
      </c>
      <c r="M70" s="1242">
        <f>+M72</f>
        <v>0</v>
      </c>
      <c r="N70" s="1242">
        <f t="shared" ref="N70:P70" si="27">+N72</f>
        <v>0</v>
      </c>
      <c r="O70" s="1242">
        <f t="shared" si="27"/>
        <v>0</v>
      </c>
      <c r="P70" s="1242">
        <f t="shared" si="27"/>
        <v>0</v>
      </c>
      <c r="Q70" s="1242">
        <f>+Q72</f>
        <v>730317457</v>
      </c>
      <c r="R70" s="1242"/>
      <c r="S70" s="1242"/>
      <c r="T70" s="1242"/>
      <c r="U70" s="1242">
        <v>2980402916.5</v>
      </c>
      <c r="V70" s="1242">
        <v>2815454195</v>
      </c>
      <c r="W70" s="1242">
        <v>1025593549</v>
      </c>
      <c r="X70" s="1242">
        <v>751911543</v>
      </c>
      <c r="Y70" s="1242">
        <f t="shared" si="26"/>
        <v>5173838941.5</v>
      </c>
      <c r="Z70" s="1242">
        <f t="shared" si="26"/>
        <v>3235925270</v>
      </c>
      <c r="AA70" s="1242">
        <f t="shared" si="26"/>
        <v>1401297572</v>
      </c>
      <c r="AB70" s="1242">
        <f t="shared" si="26"/>
        <v>1103192266</v>
      </c>
      <c r="AC70" s="1230"/>
    </row>
    <row r="71" spans="1:59" ht="15.75" customHeight="1" thickTop="1" thickBot="1" x14ac:dyDescent="0.3">
      <c r="A71" s="682"/>
      <c r="B71" s="682"/>
      <c r="C71" s="684"/>
      <c r="D71" s="684"/>
      <c r="E71" s="683"/>
      <c r="F71" s="683"/>
      <c r="G71" s="682"/>
      <c r="H71" s="705" t="s">
        <v>3229</v>
      </c>
      <c r="I71" s="1243">
        <v>960559284</v>
      </c>
      <c r="J71" s="1243">
        <v>250035805</v>
      </c>
      <c r="K71" s="1243">
        <v>227548683</v>
      </c>
      <c r="L71" s="1243">
        <v>217973633</v>
      </c>
      <c r="M71" s="1243"/>
      <c r="N71" s="1243"/>
      <c r="O71" s="1243"/>
      <c r="P71" s="1243"/>
      <c r="Q71" s="1243"/>
      <c r="R71" s="1243"/>
      <c r="S71" s="1243"/>
      <c r="T71" s="1243"/>
      <c r="U71" s="1243">
        <v>2980402916.5</v>
      </c>
      <c r="V71" s="1243">
        <v>2815454195</v>
      </c>
      <c r="W71" s="1243">
        <v>1025593549</v>
      </c>
      <c r="X71" s="1243">
        <v>751911543</v>
      </c>
      <c r="Y71" s="1243">
        <f t="shared" si="26"/>
        <v>3940962200.5</v>
      </c>
      <c r="Z71" s="1243">
        <f t="shared" si="26"/>
        <v>3065490000</v>
      </c>
      <c r="AA71" s="1243">
        <f t="shared" si="26"/>
        <v>1253142232</v>
      </c>
      <c r="AB71" s="1243">
        <f t="shared" si="26"/>
        <v>969885176</v>
      </c>
      <c r="AC71" s="1230"/>
    </row>
    <row r="72" spans="1:59" ht="15.75" customHeight="1" thickTop="1" thickBot="1" x14ac:dyDescent="0.3">
      <c r="A72" s="682"/>
      <c r="B72" s="682"/>
      <c r="C72" s="684"/>
      <c r="D72" s="684"/>
      <c r="E72" s="683"/>
      <c r="F72" s="683"/>
      <c r="G72" s="682"/>
      <c r="H72" s="705" t="s">
        <v>3230</v>
      </c>
      <c r="I72" s="1243">
        <v>502559284</v>
      </c>
      <c r="J72" s="1243">
        <v>170435270</v>
      </c>
      <c r="K72" s="1243">
        <v>148155340</v>
      </c>
      <c r="L72" s="1243">
        <v>133307090</v>
      </c>
      <c r="M72" s="1243">
        <v>0</v>
      </c>
      <c r="N72" s="1243">
        <v>0</v>
      </c>
      <c r="O72" s="1243">
        <v>0</v>
      </c>
      <c r="P72" s="1243">
        <v>0</v>
      </c>
      <c r="Q72" s="1243">
        <v>730317457</v>
      </c>
      <c r="R72" s="1243"/>
      <c r="S72" s="1243"/>
      <c r="T72" s="1243"/>
      <c r="U72" s="1243"/>
      <c r="V72" s="1243"/>
      <c r="W72" s="1243"/>
      <c r="X72" s="1243"/>
      <c r="Y72" s="1243">
        <f t="shared" si="26"/>
        <v>1232876741</v>
      </c>
      <c r="Z72" s="1243">
        <f t="shared" si="26"/>
        <v>170435270</v>
      </c>
      <c r="AA72" s="1243">
        <f t="shared" si="26"/>
        <v>148155340</v>
      </c>
      <c r="AB72" s="1243">
        <f t="shared" si="26"/>
        <v>133307090</v>
      </c>
      <c r="AC72" s="1230"/>
    </row>
    <row r="73" spans="1:59" ht="15.75" customHeight="1" thickTop="1" thickBot="1" x14ac:dyDescent="0.3">
      <c r="A73" s="682"/>
      <c r="B73" s="682"/>
      <c r="C73" s="684"/>
      <c r="D73" s="684"/>
      <c r="E73" s="683"/>
      <c r="F73" s="683"/>
      <c r="G73" s="682"/>
      <c r="H73" s="704" t="s">
        <v>3231</v>
      </c>
      <c r="I73" s="1242">
        <v>1238000080</v>
      </c>
      <c r="J73" s="1242">
        <v>171797857</v>
      </c>
      <c r="K73" s="1242">
        <v>148678759</v>
      </c>
      <c r="L73" s="1242">
        <v>135601764</v>
      </c>
      <c r="M73" s="1242"/>
      <c r="N73" s="1242"/>
      <c r="O73" s="1242"/>
      <c r="P73" s="1242"/>
      <c r="Q73" s="1242"/>
      <c r="R73" s="1242"/>
      <c r="S73" s="1242"/>
      <c r="T73" s="1242"/>
      <c r="U73" s="1242">
        <v>6486065420.2200003</v>
      </c>
      <c r="V73" s="1242">
        <v>4325544140.6599998</v>
      </c>
      <c r="W73" s="1242">
        <v>2187387475.73</v>
      </c>
      <c r="X73" s="1242">
        <v>95554631.079999998</v>
      </c>
      <c r="Y73" s="1242">
        <f t="shared" si="26"/>
        <v>7724065500.2200003</v>
      </c>
      <c r="Z73" s="1242">
        <f t="shared" si="26"/>
        <v>4497341997.6599998</v>
      </c>
      <c r="AA73" s="1242">
        <f t="shared" si="26"/>
        <v>2336066234.73</v>
      </c>
      <c r="AB73" s="1242">
        <f t="shared" si="26"/>
        <v>231156395.07999998</v>
      </c>
      <c r="AC73" s="1230"/>
    </row>
    <row r="74" spans="1:59" ht="15.75" customHeight="1" thickTop="1" thickBot="1" x14ac:dyDescent="0.3">
      <c r="A74" s="682"/>
      <c r="B74" s="682"/>
      <c r="C74" s="684"/>
      <c r="D74" s="684"/>
      <c r="E74" s="683"/>
      <c r="F74" s="683"/>
      <c r="G74" s="682"/>
      <c r="H74" s="704" t="s">
        <v>3228</v>
      </c>
      <c r="I74" s="1242">
        <v>1238000080</v>
      </c>
      <c r="J74" s="1242">
        <v>171797857</v>
      </c>
      <c r="K74" s="1242">
        <v>148678759</v>
      </c>
      <c r="L74" s="1242">
        <v>135601764</v>
      </c>
      <c r="M74" s="1242"/>
      <c r="N74" s="1242"/>
      <c r="O74" s="1242"/>
      <c r="P74" s="1242"/>
      <c r="Q74" s="1242"/>
      <c r="R74" s="1242"/>
      <c r="S74" s="1242"/>
      <c r="T74" s="1242"/>
      <c r="U74" s="1242">
        <v>6486065420.2200003</v>
      </c>
      <c r="V74" s="1242">
        <v>4325544140.6599998</v>
      </c>
      <c r="W74" s="1242">
        <v>2187387475.73</v>
      </c>
      <c r="X74" s="1242">
        <v>95554631.079999998</v>
      </c>
      <c r="Y74" s="1242">
        <f t="shared" si="26"/>
        <v>7724065500.2200003</v>
      </c>
      <c r="Z74" s="1242">
        <f t="shared" si="26"/>
        <v>4497341997.6599998</v>
      </c>
      <c r="AA74" s="1242">
        <f t="shared" si="26"/>
        <v>2336066234.73</v>
      </c>
      <c r="AB74" s="1242">
        <f t="shared" si="26"/>
        <v>231156395.07999998</v>
      </c>
      <c r="AC74" s="1230"/>
    </row>
    <row r="75" spans="1:59" ht="15.75" customHeight="1" thickTop="1" thickBot="1" x14ac:dyDescent="0.3">
      <c r="A75" s="682"/>
      <c r="B75" s="682"/>
      <c r="C75" s="684"/>
      <c r="D75" s="684"/>
      <c r="E75" s="683"/>
      <c r="F75" s="683"/>
      <c r="G75" s="682"/>
      <c r="H75" s="705" t="s">
        <v>3232</v>
      </c>
      <c r="I75" s="1449">
        <v>1238000080</v>
      </c>
      <c r="J75" s="1449">
        <v>171797857</v>
      </c>
      <c r="K75" s="1449">
        <v>148678759</v>
      </c>
      <c r="L75" s="1449">
        <v>135601764</v>
      </c>
      <c r="M75" s="1243"/>
      <c r="N75" s="1243"/>
      <c r="O75" s="1243"/>
      <c r="P75" s="1243"/>
      <c r="Q75" s="1243"/>
      <c r="R75" s="1243"/>
      <c r="S75" s="1243"/>
      <c r="T75" s="1243"/>
      <c r="U75" s="1243">
        <v>6486065420.2200003</v>
      </c>
      <c r="V75" s="1243">
        <v>4325544140.6599998</v>
      </c>
      <c r="W75" s="1243">
        <v>2187387475.73</v>
      </c>
      <c r="X75" s="1243">
        <v>95554631.079999998</v>
      </c>
      <c r="Y75" s="1243">
        <f t="shared" si="26"/>
        <v>7724065500.2200003</v>
      </c>
      <c r="Z75" s="1243">
        <f t="shared" si="26"/>
        <v>4497341997.6599998</v>
      </c>
      <c r="AA75" s="1243">
        <f t="shared" si="26"/>
        <v>2336066234.73</v>
      </c>
      <c r="AB75" s="1243">
        <f t="shared" si="26"/>
        <v>231156395.07999998</v>
      </c>
      <c r="AC75" s="1230"/>
    </row>
    <row r="76" spans="1:59" ht="15.75" customHeight="1" thickTop="1" thickBot="1" x14ac:dyDescent="0.3">
      <c r="A76" s="682"/>
      <c r="B76" s="682"/>
      <c r="C76" s="684"/>
      <c r="D76" s="684"/>
      <c r="E76" s="683"/>
      <c r="F76" s="683"/>
      <c r="G76" s="682"/>
      <c r="H76" s="704" t="s">
        <v>3233</v>
      </c>
      <c r="I76" s="1242">
        <v>222564982</v>
      </c>
      <c r="J76" s="1242">
        <v>23407618</v>
      </c>
      <c r="K76" s="1242">
        <v>19127618</v>
      </c>
      <c r="L76" s="1242">
        <v>16738941</v>
      </c>
      <c r="M76" s="1242"/>
      <c r="N76" s="1242"/>
      <c r="O76" s="1242"/>
      <c r="P76" s="1242"/>
      <c r="Q76" s="1242"/>
      <c r="R76" s="1242"/>
      <c r="S76" s="1242"/>
      <c r="T76" s="1242"/>
      <c r="U76" s="1242">
        <v>0</v>
      </c>
      <c r="V76" s="1242">
        <v>0</v>
      </c>
      <c r="W76" s="1242">
        <v>0</v>
      </c>
      <c r="X76" s="1242">
        <v>0</v>
      </c>
      <c r="Y76" s="1242">
        <f t="shared" si="26"/>
        <v>222564982</v>
      </c>
      <c r="Z76" s="1242">
        <f t="shared" si="26"/>
        <v>23407618</v>
      </c>
      <c r="AA76" s="1242">
        <f t="shared" si="26"/>
        <v>19127618</v>
      </c>
      <c r="AB76" s="1242">
        <f t="shared" si="26"/>
        <v>16738941</v>
      </c>
      <c r="AC76" s="1230"/>
    </row>
    <row r="77" spans="1:59" ht="15.75" customHeight="1" thickTop="1" thickBot="1" x14ac:dyDescent="0.3">
      <c r="A77" s="682"/>
      <c r="B77" s="682"/>
      <c r="C77" s="684"/>
      <c r="D77" s="684"/>
      <c r="E77" s="683"/>
      <c r="F77" s="683"/>
      <c r="G77" s="682"/>
      <c r="H77" s="704" t="s">
        <v>3214</v>
      </c>
      <c r="I77" s="1242">
        <v>222564982</v>
      </c>
      <c r="J77" s="1242">
        <v>23407618</v>
      </c>
      <c r="K77" s="1242">
        <v>19127618</v>
      </c>
      <c r="L77" s="1242">
        <v>16738941</v>
      </c>
      <c r="M77" s="1242"/>
      <c r="N77" s="1242"/>
      <c r="O77" s="1242"/>
      <c r="P77" s="1242"/>
      <c r="Q77" s="1242"/>
      <c r="R77" s="1242"/>
      <c r="S77" s="1242"/>
      <c r="T77" s="1242"/>
      <c r="U77" s="1242">
        <v>0</v>
      </c>
      <c r="V77" s="1242">
        <v>0</v>
      </c>
      <c r="W77" s="1242">
        <v>0</v>
      </c>
      <c r="X77" s="1242">
        <v>0</v>
      </c>
      <c r="Y77" s="1242">
        <f t="shared" si="26"/>
        <v>222564982</v>
      </c>
      <c r="Z77" s="1242">
        <f t="shared" si="26"/>
        <v>23407618</v>
      </c>
      <c r="AA77" s="1242">
        <f t="shared" si="26"/>
        <v>19127618</v>
      </c>
      <c r="AB77" s="1242">
        <f t="shared" si="26"/>
        <v>16738941</v>
      </c>
      <c r="AC77" s="1230"/>
    </row>
    <row r="78" spans="1:59" ht="15.75" customHeight="1" thickTop="1" thickBot="1" x14ac:dyDescent="0.3">
      <c r="A78" s="682"/>
      <c r="B78" s="682"/>
      <c r="C78" s="684"/>
      <c r="D78" s="684"/>
      <c r="E78" s="683"/>
      <c r="F78" s="683"/>
      <c r="G78" s="682"/>
      <c r="H78" s="705" t="s">
        <v>3234</v>
      </c>
      <c r="I78" s="1449">
        <v>222564982</v>
      </c>
      <c r="J78" s="1449">
        <v>23407618</v>
      </c>
      <c r="K78" s="1449">
        <v>19127618</v>
      </c>
      <c r="L78" s="1449">
        <v>16738941</v>
      </c>
      <c r="M78" s="1243"/>
      <c r="N78" s="1243"/>
      <c r="O78" s="1243"/>
      <c r="P78" s="1243"/>
      <c r="Q78" s="1243"/>
      <c r="R78" s="1243"/>
      <c r="S78" s="1243"/>
      <c r="T78" s="1243"/>
      <c r="U78" s="1243">
        <v>0</v>
      </c>
      <c r="V78" s="1243">
        <v>0</v>
      </c>
      <c r="W78" s="1243">
        <v>0</v>
      </c>
      <c r="X78" s="1243">
        <v>0</v>
      </c>
      <c r="Y78" s="1243">
        <f t="shared" si="26"/>
        <v>222564982</v>
      </c>
      <c r="Z78" s="1243">
        <f t="shared" si="26"/>
        <v>23407618</v>
      </c>
      <c r="AA78" s="1243">
        <f t="shared" si="26"/>
        <v>19127618</v>
      </c>
      <c r="AB78" s="1243">
        <f t="shared" si="26"/>
        <v>16738941</v>
      </c>
      <c r="AC78" s="1230"/>
    </row>
    <row r="79" spans="1:59" ht="15.75" customHeight="1" thickTop="1" thickBot="1" x14ac:dyDescent="0.3">
      <c r="A79" s="682"/>
      <c r="B79" s="682"/>
      <c r="C79" s="684"/>
      <c r="D79" s="684"/>
      <c r="E79" s="683"/>
      <c r="F79" s="683"/>
      <c r="G79" s="682"/>
      <c r="H79" s="703" t="s">
        <v>3235</v>
      </c>
      <c r="I79" s="1241">
        <v>1457667999</v>
      </c>
      <c r="J79" s="1241">
        <v>136696512</v>
      </c>
      <c r="K79" s="1241">
        <v>119701899</v>
      </c>
      <c r="L79" s="1241">
        <v>104349079</v>
      </c>
      <c r="M79" s="1241">
        <f t="shared" ref="M79:T79" si="28">+M80+M84</f>
        <v>0</v>
      </c>
      <c r="N79" s="1241">
        <f t="shared" si="28"/>
        <v>0</v>
      </c>
      <c r="O79" s="1241">
        <f t="shared" si="28"/>
        <v>0</v>
      </c>
      <c r="P79" s="1241">
        <f t="shared" si="28"/>
        <v>0</v>
      </c>
      <c r="Q79" s="1241">
        <f t="shared" si="28"/>
        <v>0</v>
      </c>
      <c r="R79" s="1241">
        <f t="shared" si="28"/>
        <v>0</v>
      </c>
      <c r="S79" s="1241">
        <f t="shared" si="28"/>
        <v>0</v>
      </c>
      <c r="T79" s="1241">
        <f t="shared" si="28"/>
        <v>0</v>
      </c>
      <c r="U79" s="1241">
        <v>50226489.5</v>
      </c>
      <c r="V79" s="1241">
        <v>49608660.5</v>
      </c>
      <c r="W79" s="1241">
        <v>0</v>
      </c>
      <c r="X79" s="1241">
        <v>0</v>
      </c>
      <c r="Y79" s="1241">
        <f t="shared" si="26"/>
        <v>1507894488.5</v>
      </c>
      <c r="Z79" s="1241">
        <f t="shared" si="26"/>
        <v>186305172.5</v>
      </c>
      <c r="AA79" s="1241">
        <f t="shared" si="26"/>
        <v>119701899</v>
      </c>
      <c r="AB79" s="1241">
        <f t="shared" si="26"/>
        <v>104349079</v>
      </c>
      <c r="AC79" s="1230"/>
    </row>
    <row r="80" spans="1:59" ht="15.75" customHeight="1" thickTop="1" thickBot="1" x14ac:dyDescent="0.3">
      <c r="A80" s="682"/>
      <c r="B80" s="682"/>
      <c r="C80" s="684"/>
      <c r="D80" s="684"/>
      <c r="E80" s="683"/>
      <c r="F80" s="683"/>
      <c r="G80" s="682"/>
      <c r="H80" s="704" t="s">
        <v>3236</v>
      </c>
      <c r="I80" s="1242">
        <v>598504484</v>
      </c>
      <c r="J80" s="1242">
        <v>100821846</v>
      </c>
      <c r="K80" s="1242">
        <v>88263132</v>
      </c>
      <c r="L80" s="1242">
        <v>79301662</v>
      </c>
      <c r="M80" s="1242">
        <f t="shared" ref="M80:T82" si="29">+M81</f>
        <v>0</v>
      </c>
      <c r="N80" s="1242">
        <f t="shared" si="29"/>
        <v>0</v>
      </c>
      <c r="O80" s="1242">
        <f t="shared" si="29"/>
        <v>0</v>
      </c>
      <c r="P80" s="1242">
        <f t="shared" si="29"/>
        <v>0</v>
      </c>
      <c r="Q80" s="1242">
        <f t="shared" si="29"/>
        <v>0</v>
      </c>
      <c r="R80" s="1242">
        <f t="shared" si="29"/>
        <v>0</v>
      </c>
      <c r="S80" s="1242">
        <f t="shared" si="29"/>
        <v>0</v>
      </c>
      <c r="T80" s="1242">
        <f t="shared" si="29"/>
        <v>0</v>
      </c>
      <c r="U80" s="1242">
        <v>43301579</v>
      </c>
      <c r="V80" s="1242">
        <v>43275711</v>
      </c>
      <c r="W80" s="1242">
        <v>0</v>
      </c>
      <c r="X80" s="1242">
        <v>0</v>
      </c>
      <c r="Y80" s="1242">
        <f t="shared" si="26"/>
        <v>641806063</v>
      </c>
      <c r="Z80" s="1242">
        <f t="shared" si="26"/>
        <v>144097557</v>
      </c>
      <c r="AA80" s="1242">
        <f t="shared" si="26"/>
        <v>88263132</v>
      </c>
      <c r="AB80" s="1242">
        <f t="shared" si="26"/>
        <v>79301662</v>
      </c>
      <c r="AC80" s="1230"/>
    </row>
    <row r="81" spans="1:29" ht="15.75" customHeight="1" thickTop="1" thickBot="1" x14ac:dyDescent="0.3">
      <c r="A81" s="682"/>
      <c r="B81" s="682"/>
      <c r="C81" s="684"/>
      <c r="D81" s="684"/>
      <c r="E81" s="683"/>
      <c r="F81" s="683"/>
      <c r="G81" s="682"/>
      <c r="H81" s="704" t="s">
        <v>3214</v>
      </c>
      <c r="I81" s="1242">
        <v>598504484</v>
      </c>
      <c r="J81" s="1242">
        <v>100821846</v>
      </c>
      <c r="K81" s="1242">
        <v>88263132</v>
      </c>
      <c r="L81" s="1242">
        <v>79301662</v>
      </c>
      <c r="M81" s="1242">
        <f t="shared" si="29"/>
        <v>0</v>
      </c>
      <c r="N81" s="1242">
        <f t="shared" si="29"/>
        <v>0</v>
      </c>
      <c r="O81" s="1242">
        <f t="shared" si="29"/>
        <v>0</v>
      </c>
      <c r="P81" s="1242">
        <f t="shared" si="29"/>
        <v>0</v>
      </c>
      <c r="Q81" s="1242">
        <f t="shared" si="29"/>
        <v>0</v>
      </c>
      <c r="R81" s="1242">
        <f t="shared" si="29"/>
        <v>0</v>
      </c>
      <c r="S81" s="1242">
        <f t="shared" si="29"/>
        <v>0</v>
      </c>
      <c r="T81" s="1242">
        <f t="shared" si="29"/>
        <v>0</v>
      </c>
      <c r="U81" s="1242">
        <v>43301579</v>
      </c>
      <c r="V81" s="1242">
        <v>43275711</v>
      </c>
      <c r="W81" s="1242">
        <v>0</v>
      </c>
      <c r="X81" s="1242">
        <v>0</v>
      </c>
      <c r="Y81" s="1242">
        <f t="shared" si="26"/>
        <v>641806063</v>
      </c>
      <c r="Z81" s="1242">
        <f t="shared" si="26"/>
        <v>144097557</v>
      </c>
      <c r="AA81" s="1242">
        <f t="shared" si="26"/>
        <v>88263132</v>
      </c>
      <c r="AB81" s="1242">
        <f t="shared" si="26"/>
        <v>79301662</v>
      </c>
      <c r="AC81" s="1230"/>
    </row>
    <row r="82" spans="1:29" ht="15.75" customHeight="1" thickTop="1" thickBot="1" x14ac:dyDescent="0.3">
      <c r="A82" s="682"/>
      <c r="B82" s="682"/>
      <c r="C82" s="684"/>
      <c r="D82" s="684"/>
      <c r="E82" s="683"/>
      <c r="F82" s="683"/>
      <c r="G82" s="682"/>
      <c r="H82" s="705" t="s">
        <v>3237</v>
      </c>
      <c r="I82" s="1449">
        <v>598504484</v>
      </c>
      <c r="J82" s="1449">
        <v>100821846</v>
      </c>
      <c r="K82" s="1449">
        <v>88263132</v>
      </c>
      <c r="L82" s="1449">
        <v>79301662</v>
      </c>
      <c r="M82" s="1243">
        <f t="shared" si="29"/>
        <v>0</v>
      </c>
      <c r="N82" s="1243">
        <f t="shared" si="29"/>
        <v>0</v>
      </c>
      <c r="O82" s="1243">
        <f t="shared" si="29"/>
        <v>0</v>
      </c>
      <c r="P82" s="1243">
        <f t="shared" si="29"/>
        <v>0</v>
      </c>
      <c r="Q82" s="1243">
        <f t="shared" si="29"/>
        <v>0</v>
      </c>
      <c r="R82" s="1243">
        <f t="shared" si="29"/>
        <v>0</v>
      </c>
      <c r="S82" s="1243">
        <f t="shared" si="29"/>
        <v>0</v>
      </c>
      <c r="T82" s="1243">
        <f t="shared" si="29"/>
        <v>0</v>
      </c>
      <c r="U82" s="1243">
        <v>43301579</v>
      </c>
      <c r="V82" s="1243">
        <v>43275711</v>
      </c>
      <c r="W82" s="1243">
        <v>0</v>
      </c>
      <c r="X82" s="1243">
        <v>0</v>
      </c>
      <c r="Y82" s="1243">
        <f t="shared" si="26"/>
        <v>641806063</v>
      </c>
      <c r="Z82" s="1243">
        <f t="shared" si="26"/>
        <v>144097557</v>
      </c>
      <c r="AA82" s="1243">
        <f t="shared" si="26"/>
        <v>88263132</v>
      </c>
      <c r="AB82" s="1243">
        <f t="shared" si="26"/>
        <v>79301662</v>
      </c>
      <c r="AC82" s="1230"/>
    </row>
    <row r="83" spans="1:29" ht="15.75" customHeight="1" thickTop="1" thickBot="1" x14ac:dyDescent="0.3">
      <c r="A83" s="682"/>
      <c r="B83" s="682"/>
      <c r="C83" s="684"/>
      <c r="D83" s="684"/>
      <c r="E83" s="683"/>
      <c r="F83" s="683"/>
      <c r="G83" s="682"/>
      <c r="H83" s="704" t="s">
        <v>3219</v>
      </c>
      <c r="I83" s="1242">
        <v>859163515</v>
      </c>
      <c r="J83" s="1242">
        <v>35874666</v>
      </c>
      <c r="K83" s="1242">
        <v>31438767</v>
      </c>
      <c r="L83" s="1242">
        <v>25047417</v>
      </c>
      <c r="M83" s="1242"/>
      <c r="N83" s="1242"/>
      <c r="O83" s="1242"/>
      <c r="P83" s="1242"/>
      <c r="Q83" s="1242"/>
      <c r="R83" s="1242"/>
      <c r="S83" s="1242"/>
      <c r="T83" s="1242"/>
      <c r="U83" s="1242">
        <v>6924910.5</v>
      </c>
      <c r="V83" s="1242">
        <v>6332949.5</v>
      </c>
      <c r="W83" s="1242">
        <v>0</v>
      </c>
      <c r="X83" s="1242">
        <v>0</v>
      </c>
      <c r="Y83" s="1242">
        <f t="shared" si="26"/>
        <v>866088425.5</v>
      </c>
      <c r="Z83" s="1242">
        <f t="shared" si="26"/>
        <v>42207615.5</v>
      </c>
      <c r="AA83" s="1242">
        <f t="shared" si="26"/>
        <v>31438767</v>
      </c>
      <c r="AB83" s="1242">
        <f t="shared" si="26"/>
        <v>25047417</v>
      </c>
      <c r="AC83" s="1230"/>
    </row>
    <row r="84" spans="1:29" ht="15.75" customHeight="1" thickTop="1" thickBot="1" x14ac:dyDescent="0.3">
      <c r="A84" s="682"/>
      <c r="B84" s="682"/>
      <c r="C84" s="684"/>
      <c r="D84" s="684"/>
      <c r="E84" s="683"/>
      <c r="F84" s="683"/>
      <c r="G84" s="682"/>
      <c r="H84" s="704" t="s">
        <v>3238</v>
      </c>
      <c r="I84" s="1242">
        <v>859163515</v>
      </c>
      <c r="J84" s="1242">
        <v>35874666</v>
      </c>
      <c r="K84" s="1242">
        <v>31438767</v>
      </c>
      <c r="L84" s="1242">
        <v>25047417</v>
      </c>
      <c r="M84" s="1242">
        <f t="shared" ref="M84:T86" si="30">+M85</f>
        <v>0</v>
      </c>
      <c r="N84" s="1242">
        <f t="shared" si="30"/>
        <v>0</v>
      </c>
      <c r="O84" s="1242">
        <f t="shared" si="30"/>
        <v>0</v>
      </c>
      <c r="P84" s="1242">
        <f t="shared" si="30"/>
        <v>0</v>
      </c>
      <c r="Q84" s="1242">
        <f t="shared" si="30"/>
        <v>0</v>
      </c>
      <c r="R84" s="1242">
        <f t="shared" si="30"/>
        <v>0</v>
      </c>
      <c r="S84" s="1242">
        <f t="shared" si="30"/>
        <v>0</v>
      </c>
      <c r="T84" s="1242">
        <f t="shared" si="30"/>
        <v>0</v>
      </c>
      <c r="U84" s="1242">
        <v>6924910.5</v>
      </c>
      <c r="V84" s="1242">
        <v>6332949.5</v>
      </c>
      <c r="W84" s="1242">
        <v>0</v>
      </c>
      <c r="X84" s="1242">
        <v>0</v>
      </c>
      <c r="Y84" s="1242">
        <f t="shared" si="26"/>
        <v>866088425.5</v>
      </c>
      <c r="Z84" s="1242">
        <f t="shared" si="26"/>
        <v>42207615.5</v>
      </c>
      <c r="AA84" s="1242">
        <f t="shared" si="26"/>
        <v>31438767</v>
      </c>
      <c r="AB84" s="1242">
        <f t="shared" si="26"/>
        <v>25047417</v>
      </c>
      <c r="AC84" s="1230"/>
    </row>
    <row r="85" spans="1:29" ht="15.75" customHeight="1" thickTop="1" thickBot="1" x14ac:dyDescent="0.3">
      <c r="A85" s="682"/>
      <c r="B85" s="682"/>
      <c r="C85" s="684"/>
      <c r="D85" s="684"/>
      <c r="E85" s="683"/>
      <c r="F85" s="683"/>
      <c r="G85" s="682"/>
      <c r="H85" s="705" t="s">
        <v>3239</v>
      </c>
      <c r="I85" s="1449">
        <v>859163515</v>
      </c>
      <c r="J85" s="1449">
        <v>35874666</v>
      </c>
      <c r="K85" s="1449">
        <v>31438767</v>
      </c>
      <c r="L85" s="1449">
        <v>25047417</v>
      </c>
      <c r="M85" s="1243">
        <f t="shared" si="30"/>
        <v>0</v>
      </c>
      <c r="N85" s="1243">
        <f t="shared" si="30"/>
        <v>0</v>
      </c>
      <c r="O85" s="1243">
        <f t="shared" si="30"/>
        <v>0</v>
      </c>
      <c r="P85" s="1243">
        <f t="shared" si="30"/>
        <v>0</v>
      </c>
      <c r="Q85" s="1243">
        <f t="shared" si="30"/>
        <v>0</v>
      </c>
      <c r="R85" s="1243">
        <f t="shared" si="30"/>
        <v>0</v>
      </c>
      <c r="S85" s="1243">
        <f t="shared" si="30"/>
        <v>0</v>
      </c>
      <c r="T85" s="1243">
        <f t="shared" si="30"/>
        <v>0</v>
      </c>
      <c r="U85" s="1243">
        <v>6924910.5</v>
      </c>
      <c r="V85" s="1243">
        <v>6332949.5</v>
      </c>
      <c r="W85" s="1243">
        <v>0</v>
      </c>
      <c r="X85" s="1243">
        <v>0</v>
      </c>
      <c r="Y85" s="1243">
        <f t="shared" si="26"/>
        <v>866088425.5</v>
      </c>
      <c r="Z85" s="1243">
        <f t="shared" si="26"/>
        <v>42207615.5</v>
      </c>
      <c r="AA85" s="1243">
        <f t="shared" si="26"/>
        <v>31438767</v>
      </c>
      <c r="AB85" s="1243">
        <f t="shared" si="26"/>
        <v>25047417</v>
      </c>
      <c r="AC85" s="1230"/>
    </row>
    <row r="86" spans="1:29" ht="15.75" customHeight="1" thickTop="1" thickBot="1" x14ac:dyDescent="0.3">
      <c r="A86" s="682"/>
      <c r="B86" s="682"/>
      <c r="C86" s="684"/>
      <c r="D86" s="684"/>
      <c r="E86" s="683"/>
      <c r="F86" s="683"/>
      <c r="G86" s="682"/>
      <c r="H86" s="703" t="s">
        <v>3240</v>
      </c>
      <c r="I86" s="1241">
        <v>1020059653</v>
      </c>
      <c r="J86" s="1241">
        <v>232426489</v>
      </c>
      <c r="K86" s="1241">
        <v>184829453</v>
      </c>
      <c r="L86" s="1241">
        <v>167158190</v>
      </c>
      <c r="M86" s="1241">
        <f t="shared" si="30"/>
        <v>0</v>
      </c>
      <c r="N86" s="1241">
        <f t="shared" si="30"/>
        <v>0</v>
      </c>
      <c r="O86" s="1241">
        <f t="shared" si="30"/>
        <v>0</v>
      </c>
      <c r="P86" s="1241">
        <f t="shared" si="30"/>
        <v>0</v>
      </c>
      <c r="Q86" s="1241">
        <f t="shared" si="30"/>
        <v>0</v>
      </c>
      <c r="R86" s="1241">
        <f t="shared" si="30"/>
        <v>0</v>
      </c>
      <c r="S86" s="1241">
        <f t="shared" si="30"/>
        <v>0</v>
      </c>
      <c r="T86" s="1241">
        <f t="shared" si="30"/>
        <v>0</v>
      </c>
      <c r="U86" s="1241">
        <v>0</v>
      </c>
      <c r="V86" s="1241">
        <v>0</v>
      </c>
      <c r="W86" s="1241">
        <v>0</v>
      </c>
      <c r="X86" s="1241">
        <v>0</v>
      </c>
      <c r="Y86" s="1241">
        <f t="shared" si="26"/>
        <v>1020059653</v>
      </c>
      <c r="Z86" s="1241">
        <f t="shared" si="26"/>
        <v>232426489</v>
      </c>
      <c r="AA86" s="1241">
        <f t="shared" si="26"/>
        <v>184829453</v>
      </c>
      <c r="AB86" s="1241">
        <f t="shared" si="26"/>
        <v>167158190</v>
      </c>
      <c r="AC86" s="1230"/>
    </row>
    <row r="87" spans="1:29" ht="15.75" customHeight="1" thickTop="1" thickBot="1" x14ac:dyDescent="0.3">
      <c r="A87" s="682"/>
      <c r="B87" s="682"/>
      <c r="C87" s="684"/>
      <c r="D87" s="684"/>
      <c r="E87" s="683"/>
      <c r="F87" s="683"/>
      <c r="G87" s="682"/>
      <c r="H87" s="704" t="s">
        <v>3241</v>
      </c>
      <c r="I87" s="1242">
        <v>647642990</v>
      </c>
      <c r="J87" s="1242">
        <v>103475664</v>
      </c>
      <c r="K87" s="1242">
        <v>86737056</v>
      </c>
      <c r="L87" s="1242">
        <v>78298803</v>
      </c>
      <c r="M87" s="1242"/>
      <c r="N87" s="1242"/>
      <c r="O87" s="1242"/>
      <c r="P87" s="1242"/>
      <c r="Q87" s="1242"/>
      <c r="R87" s="1242"/>
      <c r="S87" s="1242"/>
      <c r="T87" s="1242"/>
      <c r="U87" s="1242">
        <v>0</v>
      </c>
      <c r="V87" s="1242">
        <v>0</v>
      </c>
      <c r="W87" s="1242">
        <v>0</v>
      </c>
      <c r="X87" s="1242">
        <v>0</v>
      </c>
      <c r="Y87" s="1242">
        <f t="shared" si="26"/>
        <v>647642990</v>
      </c>
      <c r="Z87" s="1242">
        <f t="shared" si="26"/>
        <v>103475664</v>
      </c>
      <c r="AA87" s="1242">
        <f t="shared" si="26"/>
        <v>86737056</v>
      </c>
      <c r="AB87" s="1242">
        <f t="shared" si="26"/>
        <v>78298803</v>
      </c>
      <c r="AC87" s="1230"/>
    </row>
    <row r="88" spans="1:29" ht="15.75" customHeight="1" thickTop="1" thickBot="1" x14ac:dyDescent="0.3">
      <c r="A88" s="682"/>
      <c r="B88" s="682"/>
      <c r="C88" s="684"/>
      <c r="D88" s="684"/>
      <c r="E88" s="683"/>
      <c r="F88" s="683"/>
      <c r="G88" s="682"/>
      <c r="H88" s="704" t="s">
        <v>3214</v>
      </c>
      <c r="I88" s="1242">
        <v>647642990</v>
      </c>
      <c r="J88" s="1242">
        <v>103475664</v>
      </c>
      <c r="K88" s="1242">
        <v>86737056</v>
      </c>
      <c r="L88" s="1242">
        <v>78298803</v>
      </c>
      <c r="M88" s="1242">
        <f t="shared" ref="M88:T88" si="31">+M89+M93</f>
        <v>0</v>
      </c>
      <c r="N88" s="1242">
        <f t="shared" si="31"/>
        <v>0</v>
      </c>
      <c r="O88" s="1242">
        <f t="shared" si="31"/>
        <v>0</v>
      </c>
      <c r="P88" s="1242">
        <f t="shared" si="31"/>
        <v>0</v>
      </c>
      <c r="Q88" s="1242">
        <f t="shared" si="31"/>
        <v>0</v>
      </c>
      <c r="R88" s="1242">
        <f t="shared" si="31"/>
        <v>0</v>
      </c>
      <c r="S88" s="1242">
        <f t="shared" si="31"/>
        <v>0</v>
      </c>
      <c r="T88" s="1242">
        <f t="shared" si="31"/>
        <v>0</v>
      </c>
      <c r="U88" s="1242">
        <v>0</v>
      </c>
      <c r="V88" s="1242">
        <v>0</v>
      </c>
      <c r="W88" s="1242">
        <v>0</v>
      </c>
      <c r="X88" s="1242">
        <v>0</v>
      </c>
      <c r="Y88" s="1242">
        <f t="shared" si="26"/>
        <v>647642990</v>
      </c>
      <c r="Z88" s="1242">
        <f t="shared" si="26"/>
        <v>103475664</v>
      </c>
      <c r="AA88" s="1242">
        <f t="shared" si="26"/>
        <v>86737056</v>
      </c>
      <c r="AB88" s="1242">
        <f t="shared" si="26"/>
        <v>78298803</v>
      </c>
      <c r="AC88" s="1230"/>
    </row>
    <row r="89" spans="1:29" ht="15.75" customHeight="1" thickTop="1" thickBot="1" x14ac:dyDescent="0.3">
      <c r="A89" s="682"/>
      <c r="B89" s="682"/>
      <c r="C89" s="684"/>
      <c r="D89" s="684"/>
      <c r="E89" s="683"/>
      <c r="F89" s="683"/>
      <c r="G89" s="682"/>
      <c r="H89" s="705" t="s">
        <v>3199</v>
      </c>
      <c r="I89" s="1449">
        <v>647642990</v>
      </c>
      <c r="J89" s="1449">
        <v>103475664</v>
      </c>
      <c r="K89" s="1449">
        <v>86737056</v>
      </c>
      <c r="L89" s="1449">
        <v>78298803</v>
      </c>
      <c r="M89" s="1243">
        <f t="shared" ref="M89:T91" si="32">+M90</f>
        <v>0</v>
      </c>
      <c r="N89" s="1243">
        <f t="shared" si="32"/>
        <v>0</v>
      </c>
      <c r="O89" s="1243">
        <f t="shared" si="32"/>
        <v>0</v>
      </c>
      <c r="P89" s="1243">
        <f t="shared" si="32"/>
        <v>0</v>
      </c>
      <c r="Q89" s="1243">
        <f t="shared" si="32"/>
        <v>0</v>
      </c>
      <c r="R89" s="1243">
        <f t="shared" si="32"/>
        <v>0</v>
      </c>
      <c r="S89" s="1243">
        <f t="shared" si="32"/>
        <v>0</v>
      </c>
      <c r="T89" s="1243">
        <f t="shared" si="32"/>
        <v>0</v>
      </c>
      <c r="U89" s="1243">
        <v>0</v>
      </c>
      <c r="V89" s="1243">
        <v>0</v>
      </c>
      <c r="W89" s="1243">
        <v>0</v>
      </c>
      <c r="X89" s="1243">
        <v>0</v>
      </c>
      <c r="Y89" s="1243">
        <f t="shared" si="26"/>
        <v>647642990</v>
      </c>
      <c r="Z89" s="1243">
        <f t="shared" si="26"/>
        <v>103475664</v>
      </c>
      <c r="AA89" s="1243">
        <f t="shared" si="26"/>
        <v>86737056</v>
      </c>
      <c r="AB89" s="1243">
        <f t="shared" si="26"/>
        <v>78298803</v>
      </c>
      <c r="AC89" s="1230"/>
    </row>
    <row r="90" spans="1:29" ht="16.5" thickTop="1" thickBot="1" x14ac:dyDescent="0.3">
      <c r="A90" s="682"/>
      <c r="B90" s="682"/>
      <c r="C90" s="684"/>
      <c r="D90" s="684"/>
      <c r="E90" s="683"/>
      <c r="F90" s="683"/>
      <c r="G90" s="683"/>
      <c r="H90" s="704" t="s">
        <v>3242</v>
      </c>
      <c r="I90" s="1242">
        <v>372416663</v>
      </c>
      <c r="J90" s="1242">
        <v>128950825</v>
      </c>
      <c r="K90" s="1242">
        <v>98092397</v>
      </c>
      <c r="L90" s="1242">
        <v>88859387</v>
      </c>
      <c r="M90" s="1242">
        <f t="shared" si="32"/>
        <v>0</v>
      </c>
      <c r="N90" s="1242">
        <f t="shared" si="32"/>
        <v>0</v>
      </c>
      <c r="O90" s="1242">
        <f t="shared" si="32"/>
        <v>0</v>
      </c>
      <c r="P90" s="1242">
        <f t="shared" si="32"/>
        <v>0</v>
      </c>
      <c r="Q90" s="1242">
        <f t="shared" si="32"/>
        <v>0</v>
      </c>
      <c r="R90" s="1242">
        <f t="shared" si="32"/>
        <v>0</v>
      </c>
      <c r="S90" s="1242">
        <f t="shared" si="32"/>
        <v>0</v>
      </c>
      <c r="T90" s="1242">
        <f t="shared" si="32"/>
        <v>0</v>
      </c>
      <c r="U90" s="1242">
        <v>0</v>
      </c>
      <c r="V90" s="1242">
        <v>0</v>
      </c>
      <c r="W90" s="1242">
        <v>0</v>
      </c>
      <c r="X90" s="1242">
        <v>0</v>
      </c>
      <c r="Y90" s="1242">
        <f t="shared" si="26"/>
        <v>372416663</v>
      </c>
      <c r="Z90" s="1242">
        <f t="shared" si="26"/>
        <v>128950825</v>
      </c>
      <c r="AA90" s="1242">
        <f t="shared" si="26"/>
        <v>98092397</v>
      </c>
      <c r="AB90" s="1242">
        <f t="shared" si="26"/>
        <v>88859387</v>
      </c>
      <c r="AC90" s="1230"/>
    </row>
    <row r="91" spans="1:29" ht="16.5" thickTop="1" thickBot="1" x14ac:dyDescent="0.3">
      <c r="A91" s="682"/>
      <c r="B91" s="682"/>
      <c r="C91" s="684"/>
      <c r="D91" s="684"/>
      <c r="E91" s="683"/>
      <c r="F91" s="683"/>
      <c r="G91" s="683"/>
      <c r="H91" s="704" t="s">
        <v>3214</v>
      </c>
      <c r="I91" s="1242">
        <v>372416663</v>
      </c>
      <c r="J91" s="1242">
        <v>128950825</v>
      </c>
      <c r="K91" s="1242">
        <v>98092397</v>
      </c>
      <c r="L91" s="1242">
        <v>88859387</v>
      </c>
      <c r="M91" s="1242">
        <f t="shared" si="32"/>
        <v>0</v>
      </c>
      <c r="N91" s="1242">
        <f t="shared" si="32"/>
        <v>0</v>
      </c>
      <c r="O91" s="1242">
        <f t="shared" si="32"/>
        <v>0</v>
      </c>
      <c r="P91" s="1242">
        <f t="shared" si="32"/>
        <v>0</v>
      </c>
      <c r="Q91" s="1242">
        <f t="shared" si="32"/>
        <v>0</v>
      </c>
      <c r="R91" s="1242">
        <f t="shared" si="32"/>
        <v>0</v>
      </c>
      <c r="S91" s="1242">
        <f t="shared" si="32"/>
        <v>0</v>
      </c>
      <c r="T91" s="1242">
        <f t="shared" si="32"/>
        <v>0</v>
      </c>
      <c r="U91" s="1242">
        <v>0</v>
      </c>
      <c r="V91" s="1242">
        <v>0</v>
      </c>
      <c r="W91" s="1242">
        <v>0</v>
      </c>
      <c r="X91" s="1242">
        <v>0</v>
      </c>
      <c r="Y91" s="1242">
        <f t="shared" si="26"/>
        <v>372416663</v>
      </c>
      <c r="Z91" s="1242">
        <f t="shared" si="26"/>
        <v>128950825</v>
      </c>
      <c r="AA91" s="1242">
        <f t="shared" si="26"/>
        <v>98092397</v>
      </c>
      <c r="AB91" s="1242">
        <f t="shared" si="26"/>
        <v>88859387</v>
      </c>
      <c r="AC91" s="1230"/>
    </row>
    <row r="92" spans="1:29" ht="16.5" thickTop="1" thickBot="1" x14ac:dyDescent="0.3">
      <c r="A92" s="682"/>
      <c r="B92" s="682"/>
      <c r="C92" s="684"/>
      <c r="D92" s="684"/>
      <c r="E92" s="683"/>
      <c r="F92" s="683"/>
      <c r="G92" s="683"/>
      <c r="H92" s="705" t="s">
        <v>3243</v>
      </c>
      <c r="I92" s="1449">
        <v>372416663</v>
      </c>
      <c r="J92" s="1449">
        <v>128950825</v>
      </c>
      <c r="K92" s="1449">
        <v>98092397</v>
      </c>
      <c r="L92" s="1449">
        <v>88859387</v>
      </c>
      <c r="M92" s="1243"/>
      <c r="N92" s="1243"/>
      <c r="O92" s="1243"/>
      <c r="P92" s="1243"/>
      <c r="Q92" s="1243"/>
      <c r="R92" s="1243"/>
      <c r="S92" s="1243"/>
      <c r="T92" s="1243"/>
      <c r="U92" s="1243">
        <v>0</v>
      </c>
      <c r="V92" s="1243">
        <v>0</v>
      </c>
      <c r="W92" s="1243">
        <v>0</v>
      </c>
      <c r="X92" s="1243">
        <v>0</v>
      </c>
      <c r="Y92" s="1243">
        <f t="shared" si="26"/>
        <v>372416663</v>
      </c>
      <c r="Z92" s="1243">
        <f t="shared" si="26"/>
        <v>128950825</v>
      </c>
      <c r="AA92" s="1243">
        <f t="shared" si="26"/>
        <v>98092397</v>
      </c>
      <c r="AB92" s="1243">
        <f t="shared" si="26"/>
        <v>88859387</v>
      </c>
      <c r="AC92" s="1230"/>
    </row>
    <row r="93" spans="1:29" ht="16.5" thickTop="1" thickBot="1" x14ac:dyDescent="0.3">
      <c r="A93" s="682"/>
      <c r="B93" s="682"/>
      <c r="C93" s="684"/>
      <c r="D93" s="684"/>
      <c r="E93" s="683"/>
      <c r="F93" s="683"/>
      <c r="G93" s="683"/>
      <c r="H93" s="703" t="s">
        <v>3244</v>
      </c>
      <c r="I93" s="1241">
        <v>3045797292</v>
      </c>
      <c r="J93" s="1241">
        <v>911515062</v>
      </c>
      <c r="K93" s="1241">
        <v>701961418.75</v>
      </c>
      <c r="L93" s="1241">
        <v>634053561.75</v>
      </c>
      <c r="M93" s="1241">
        <f t="shared" ref="M93:T95" si="33">+M94</f>
        <v>0</v>
      </c>
      <c r="N93" s="1241">
        <f t="shared" si="33"/>
        <v>0</v>
      </c>
      <c r="O93" s="1241">
        <f t="shared" si="33"/>
        <v>0</v>
      </c>
      <c r="P93" s="1241">
        <f t="shared" si="33"/>
        <v>0</v>
      </c>
      <c r="Q93" s="1241">
        <f t="shared" si="33"/>
        <v>0</v>
      </c>
      <c r="R93" s="1241">
        <f t="shared" si="33"/>
        <v>0</v>
      </c>
      <c r="S93" s="1241">
        <f t="shared" si="33"/>
        <v>0</v>
      </c>
      <c r="T93" s="1241">
        <f t="shared" si="33"/>
        <v>0</v>
      </c>
      <c r="U93" s="1241">
        <v>315252635.20999998</v>
      </c>
      <c r="V93" s="1241">
        <v>312117993</v>
      </c>
      <c r="W93" s="1241">
        <v>0</v>
      </c>
      <c r="X93" s="1241">
        <v>0</v>
      </c>
      <c r="Y93" s="1241">
        <f t="shared" si="26"/>
        <v>3361049927.21</v>
      </c>
      <c r="Z93" s="1241">
        <f t="shared" si="26"/>
        <v>1223633055</v>
      </c>
      <c r="AA93" s="1241">
        <f t="shared" si="26"/>
        <v>701961418.75</v>
      </c>
      <c r="AB93" s="1241">
        <f t="shared" si="26"/>
        <v>634053561.75</v>
      </c>
      <c r="AC93" s="1230"/>
    </row>
    <row r="94" spans="1:29" ht="16.5" thickTop="1" thickBot="1" x14ac:dyDescent="0.3">
      <c r="A94" s="682"/>
      <c r="B94" s="682"/>
      <c r="C94" s="684"/>
      <c r="D94" s="684"/>
      <c r="E94" s="683"/>
      <c r="F94" s="683"/>
      <c r="G94" s="683"/>
      <c r="H94" s="704" t="s">
        <v>3236</v>
      </c>
      <c r="I94" s="1242">
        <v>2693571767</v>
      </c>
      <c r="J94" s="1242">
        <v>763252000</v>
      </c>
      <c r="K94" s="1242">
        <v>594999300</v>
      </c>
      <c r="L94" s="1242">
        <v>538542449</v>
      </c>
      <c r="M94" s="1242">
        <f t="shared" si="33"/>
        <v>0</v>
      </c>
      <c r="N94" s="1242">
        <f t="shared" si="33"/>
        <v>0</v>
      </c>
      <c r="O94" s="1242">
        <f t="shared" si="33"/>
        <v>0</v>
      </c>
      <c r="P94" s="1242">
        <f t="shared" si="33"/>
        <v>0</v>
      </c>
      <c r="Q94" s="1242">
        <f t="shared" si="33"/>
        <v>0</v>
      </c>
      <c r="R94" s="1242">
        <f t="shared" si="33"/>
        <v>0</v>
      </c>
      <c r="S94" s="1242">
        <f t="shared" si="33"/>
        <v>0</v>
      </c>
      <c r="T94" s="1242">
        <f t="shared" si="33"/>
        <v>0</v>
      </c>
      <c r="U94" s="1242">
        <v>0</v>
      </c>
      <c r="V94" s="1242">
        <v>0</v>
      </c>
      <c r="W94" s="1242">
        <v>0</v>
      </c>
      <c r="X94" s="1242">
        <v>0</v>
      </c>
      <c r="Y94" s="1242">
        <f t="shared" si="26"/>
        <v>2693571767</v>
      </c>
      <c r="Z94" s="1242">
        <f t="shared" si="26"/>
        <v>763252000</v>
      </c>
      <c r="AA94" s="1242">
        <f t="shared" si="26"/>
        <v>594999300</v>
      </c>
      <c r="AB94" s="1242">
        <f t="shared" si="26"/>
        <v>538542449</v>
      </c>
      <c r="AC94" s="1230"/>
    </row>
    <row r="95" spans="1:29" ht="16.5" thickTop="1" thickBot="1" x14ac:dyDescent="0.3">
      <c r="A95" s="682"/>
      <c r="B95" s="682"/>
      <c r="C95" s="684"/>
      <c r="D95" s="684"/>
      <c r="E95" s="683"/>
      <c r="F95" s="683"/>
      <c r="G95" s="683"/>
      <c r="H95" s="704" t="s">
        <v>3214</v>
      </c>
      <c r="I95" s="1242">
        <v>2693571767</v>
      </c>
      <c r="J95" s="1242">
        <v>763252000</v>
      </c>
      <c r="K95" s="1242">
        <v>594999300</v>
      </c>
      <c r="L95" s="1242">
        <v>538542449</v>
      </c>
      <c r="M95" s="1242">
        <f t="shared" si="33"/>
        <v>0</v>
      </c>
      <c r="N95" s="1242">
        <f t="shared" si="33"/>
        <v>0</v>
      </c>
      <c r="O95" s="1242">
        <f t="shared" si="33"/>
        <v>0</v>
      </c>
      <c r="P95" s="1242">
        <f t="shared" si="33"/>
        <v>0</v>
      </c>
      <c r="Q95" s="1242">
        <f t="shared" si="33"/>
        <v>0</v>
      </c>
      <c r="R95" s="1242">
        <f t="shared" si="33"/>
        <v>0</v>
      </c>
      <c r="S95" s="1242">
        <f t="shared" si="33"/>
        <v>0</v>
      </c>
      <c r="T95" s="1242">
        <f t="shared" si="33"/>
        <v>0</v>
      </c>
      <c r="U95" s="1242">
        <v>0</v>
      </c>
      <c r="V95" s="1242">
        <v>0</v>
      </c>
      <c r="W95" s="1242">
        <v>0</v>
      </c>
      <c r="X95" s="1242">
        <v>0</v>
      </c>
      <c r="Y95" s="1242">
        <f t="shared" si="26"/>
        <v>2693571767</v>
      </c>
      <c r="Z95" s="1242">
        <f t="shared" si="26"/>
        <v>763252000</v>
      </c>
      <c r="AA95" s="1242">
        <f t="shared" si="26"/>
        <v>594999300</v>
      </c>
      <c r="AB95" s="1242">
        <f t="shared" si="26"/>
        <v>538542449</v>
      </c>
      <c r="AC95" s="1230"/>
    </row>
    <row r="96" spans="1:29" ht="16.5" thickTop="1" thickBot="1" x14ac:dyDescent="0.3">
      <c r="A96" s="682"/>
      <c r="B96" s="682"/>
      <c r="C96" s="684"/>
      <c r="D96" s="684"/>
      <c r="E96" s="683"/>
      <c r="F96" s="683"/>
      <c r="G96" s="683"/>
      <c r="H96" s="705" t="s">
        <v>3245</v>
      </c>
      <c r="I96" s="1449">
        <v>2693571767</v>
      </c>
      <c r="J96" s="1449">
        <v>763252000</v>
      </c>
      <c r="K96" s="1449">
        <v>594999300</v>
      </c>
      <c r="L96" s="1449">
        <v>538542449</v>
      </c>
      <c r="M96" s="1243"/>
      <c r="N96" s="1243"/>
      <c r="O96" s="1243"/>
      <c r="P96" s="1243"/>
      <c r="Q96" s="1243"/>
      <c r="R96" s="1243"/>
      <c r="S96" s="1243"/>
      <c r="T96" s="1243"/>
      <c r="U96" s="1243">
        <v>0</v>
      </c>
      <c r="V96" s="1243">
        <v>0</v>
      </c>
      <c r="W96" s="1243">
        <v>0</v>
      </c>
      <c r="X96" s="1243">
        <v>0</v>
      </c>
      <c r="Y96" s="1243">
        <f t="shared" si="26"/>
        <v>2693571767</v>
      </c>
      <c r="Z96" s="1243">
        <f t="shared" si="26"/>
        <v>763252000</v>
      </c>
      <c r="AA96" s="1243">
        <f t="shared" si="26"/>
        <v>594999300</v>
      </c>
      <c r="AB96" s="1243">
        <f t="shared" si="26"/>
        <v>538542449</v>
      </c>
      <c r="AC96" s="1230"/>
    </row>
    <row r="97" spans="1:29" ht="16.5" thickTop="1" thickBot="1" x14ac:dyDescent="0.3">
      <c r="A97" s="682"/>
      <c r="B97" s="682"/>
      <c r="C97" s="684"/>
      <c r="D97" s="684"/>
      <c r="E97" s="683"/>
      <c r="F97" s="683"/>
      <c r="G97" s="683"/>
      <c r="H97" s="704" t="s">
        <v>3233</v>
      </c>
      <c r="I97" s="1242">
        <v>352225525</v>
      </c>
      <c r="J97" s="1242">
        <v>148263062</v>
      </c>
      <c r="K97" s="1242">
        <v>106962118.75</v>
      </c>
      <c r="L97" s="1242">
        <v>95511112.75</v>
      </c>
      <c r="M97" s="1242"/>
      <c r="N97" s="1242"/>
      <c r="O97" s="1242"/>
      <c r="P97" s="1242"/>
      <c r="Q97" s="1242"/>
      <c r="R97" s="1242"/>
      <c r="S97" s="1242"/>
      <c r="T97" s="1242"/>
      <c r="U97" s="1242">
        <v>315252635.20999998</v>
      </c>
      <c r="V97" s="1242">
        <v>312117993</v>
      </c>
      <c r="W97" s="1242">
        <v>0</v>
      </c>
      <c r="X97" s="1242">
        <v>0</v>
      </c>
      <c r="Y97" s="1242">
        <f t="shared" si="26"/>
        <v>667478160.21000004</v>
      </c>
      <c r="Z97" s="1242">
        <f t="shared" si="26"/>
        <v>460381055</v>
      </c>
      <c r="AA97" s="1242">
        <f t="shared" si="26"/>
        <v>106962118.75</v>
      </c>
      <c r="AB97" s="1242">
        <f t="shared" si="26"/>
        <v>95511112.75</v>
      </c>
      <c r="AC97" s="1230"/>
    </row>
    <row r="98" spans="1:29" ht="16.5" thickTop="1" thickBot="1" x14ac:dyDescent="0.3">
      <c r="A98" s="682"/>
      <c r="B98" s="682"/>
      <c r="C98" s="684"/>
      <c r="D98" s="684"/>
      <c r="E98" s="683"/>
      <c r="F98" s="683"/>
      <c r="G98" s="683"/>
      <c r="H98" s="704" t="s">
        <v>3238</v>
      </c>
      <c r="I98" s="1242">
        <v>352225525</v>
      </c>
      <c r="J98" s="1242">
        <v>148263062</v>
      </c>
      <c r="K98" s="1242">
        <v>106962118.75</v>
      </c>
      <c r="L98" s="1242">
        <v>95511112.75</v>
      </c>
      <c r="M98" s="1242"/>
      <c r="N98" s="1242"/>
      <c r="O98" s="1242"/>
      <c r="P98" s="1242"/>
      <c r="Q98" s="1242"/>
      <c r="R98" s="1242"/>
      <c r="S98" s="1242"/>
      <c r="T98" s="1242"/>
      <c r="U98" s="1242">
        <v>315252635.20999998</v>
      </c>
      <c r="V98" s="1242">
        <v>312117993</v>
      </c>
      <c r="W98" s="1242">
        <v>0</v>
      </c>
      <c r="X98" s="1242">
        <v>0</v>
      </c>
      <c r="Y98" s="1242">
        <f t="shared" si="26"/>
        <v>667478160.21000004</v>
      </c>
      <c r="Z98" s="1242">
        <f t="shared" si="26"/>
        <v>460381055</v>
      </c>
      <c r="AA98" s="1242">
        <f t="shared" si="26"/>
        <v>106962118.75</v>
      </c>
      <c r="AB98" s="1242">
        <f t="shared" si="26"/>
        <v>95511112.75</v>
      </c>
      <c r="AC98" s="1230"/>
    </row>
    <row r="99" spans="1:29" ht="16.5" thickTop="1" thickBot="1" x14ac:dyDescent="0.3">
      <c r="A99" s="682"/>
      <c r="B99" s="682"/>
      <c r="C99" s="684"/>
      <c r="D99" s="684"/>
      <c r="E99" s="683"/>
      <c r="F99" s="683"/>
      <c r="G99" s="683"/>
      <c r="H99" s="705" t="s">
        <v>3246</v>
      </c>
      <c r="I99" s="1449">
        <v>352225525</v>
      </c>
      <c r="J99" s="1449">
        <v>148263062</v>
      </c>
      <c r="K99" s="1449">
        <v>106962118.75</v>
      </c>
      <c r="L99" s="1449">
        <v>95511112.75</v>
      </c>
      <c r="M99" s="1243"/>
      <c r="N99" s="1243"/>
      <c r="O99" s="1243"/>
      <c r="P99" s="1243"/>
      <c r="Q99" s="1243"/>
      <c r="R99" s="1243"/>
      <c r="S99" s="1243"/>
      <c r="T99" s="1243"/>
      <c r="U99" s="1243">
        <v>315252635.20999998</v>
      </c>
      <c r="V99" s="1243">
        <v>312117993</v>
      </c>
      <c r="W99" s="1243">
        <v>0</v>
      </c>
      <c r="X99" s="1243">
        <v>0</v>
      </c>
      <c r="Y99" s="1243">
        <f t="shared" si="26"/>
        <v>667478160.21000004</v>
      </c>
      <c r="Z99" s="1243">
        <f t="shared" si="26"/>
        <v>460381055</v>
      </c>
      <c r="AA99" s="1243">
        <f t="shared" si="26"/>
        <v>106962118.75</v>
      </c>
      <c r="AB99" s="1243">
        <f t="shared" si="26"/>
        <v>95511112.75</v>
      </c>
      <c r="AC99" s="1230"/>
    </row>
    <row r="100" spans="1:29" ht="16.5" thickTop="1" thickBot="1" x14ac:dyDescent="0.3">
      <c r="A100" s="682"/>
      <c r="B100" s="682"/>
      <c r="C100" s="684"/>
      <c r="D100" s="684"/>
      <c r="E100" s="683"/>
      <c r="F100" s="683"/>
      <c r="G100" s="683"/>
      <c r="H100" s="705"/>
      <c r="I100" s="1231"/>
      <c r="J100" s="1231"/>
      <c r="K100" s="1231"/>
      <c r="L100" s="1231"/>
      <c r="M100" s="1231"/>
      <c r="N100" s="1231"/>
      <c r="O100" s="1231"/>
      <c r="P100" s="1231"/>
      <c r="Q100" s="1231"/>
      <c r="R100" s="1231"/>
      <c r="S100" s="1231"/>
      <c r="T100" s="1231"/>
      <c r="U100" s="1231"/>
      <c r="V100" s="1231"/>
      <c r="W100" s="1231"/>
      <c r="X100" s="1231"/>
      <c r="Y100" s="1231">
        <f t="shared" ref="Y100:AB101" si="34">+I100+M100+Q100+U100</f>
        <v>0</v>
      </c>
      <c r="Z100" s="1231">
        <f t="shared" si="34"/>
        <v>0</v>
      </c>
      <c r="AA100" s="1231">
        <f t="shared" si="34"/>
        <v>0</v>
      </c>
      <c r="AB100" s="1231">
        <f t="shared" si="34"/>
        <v>0</v>
      </c>
      <c r="AC100" s="1230"/>
    </row>
    <row r="101" spans="1:29" ht="16.5" thickTop="1" thickBot="1" x14ac:dyDescent="0.3">
      <c r="A101" s="707"/>
      <c r="B101" s="707"/>
      <c r="C101" s="708"/>
      <c r="D101" s="708"/>
      <c r="E101" s="708"/>
      <c r="F101" s="708"/>
      <c r="G101" s="708"/>
      <c r="H101" s="709" t="s">
        <v>1758</v>
      </c>
      <c r="I101" s="1450">
        <f>+I50+I40+I4</f>
        <v>19230858000</v>
      </c>
      <c r="J101" s="1450">
        <f>+J50+J40+J4</f>
        <v>5259336336.1300001</v>
      </c>
      <c r="K101" s="1450">
        <f t="shared" ref="K101:X101" si="35">+K50+K40+K4</f>
        <v>3423280753.27</v>
      </c>
      <c r="L101" s="1450">
        <f t="shared" si="35"/>
        <v>3146905307.9400001</v>
      </c>
      <c r="M101" s="1450">
        <f t="shared" si="35"/>
        <v>3657862000</v>
      </c>
      <c r="N101" s="1450">
        <f t="shared" si="35"/>
        <v>1654274728</v>
      </c>
      <c r="O101" s="1450">
        <f t="shared" si="35"/>
        <v>1428805848</v>
      </c>
      <c r="P101" s="1450">
        <f t="shared" si="35"/>
        <v>1283192192</v>
      </c>
      <c r="Q101" s="1450">
        <f t="shared" si="35"/>
        <v>730317457</v>
      </c>
      <c r="R101" s="1450">
        <f t="shared" si="35"/>
        <v>0</v>
      </c>
      <c r="S101" s="1450">
        <f t="shared" si="35"/>
        <v>0</v>
      </c>
      <c r="T101" s="1450">
        <f t="shared" si="35"/>
        <v>0</v>
      </c>
      <c r="U101" s="1450">
        <f t="shared" si="35"/>
        <v>25930954784.169998</v>
      </c>
      <c r="V101" s="1450">
        <f t="shared" si="35"/>
        <v>23081235680.290001</v>
      </c>
      <c r="W101" s="1450">
        <f t="shared" si="35"/>
        <v>6317987175.7299995</v>
      </c>
      <c r="X101" s="1450">
        <f t="shared" si="35"/>
        <v>2586198833.0799999</v>
      </c>
      <c r="Y101" s="1450">
        <f t="shared" si="34"/>
        <v>49549992241.169998</v>
      </c>
      <c r="Z101" s="1450">
        <f t="shared" si="34"/>
        <v>29994846744.420002</v>
      </c>
      <c r="AA101" s="1450">
        <f t="shared" si="34"/>
        <v>11170073777</v>
      </c>
      <c r="AB101" s="1450">
        <f t="shared" si="34"/>
        <v>7016296333.0200005</v>
      </c>
      <c r="AC101" s="1230"/>
    </row>
    <row r="102" spans="1:29" ht="15.75" thickTop="1" x14ac:dyDescent="0.25"/>
  </sheetData>
  <mergeCells count="14">
    <mergeCell ref="F2:F3"/>
    <mergeCell ref="G2:G3"/>
    <mergeCell ref="M2:P2"/>
    <mergeCell ref="Q2:T2"/>
    <mergeCell ref="A2:A3"/>
    <mergeCell ref="B2:B3"/>
    <mergeCell ref="C2:C3"/>
    <mergeCell ref="D2:D3"/>
    <mergeCell ref="E2:E3"/>
    <mergeCell ref="AC17:AC19"/>
    <mergeCell ref="U2:X2"/>
    <mergeCell ref="Y2:AB2"/>
    <mergeCell ref="H2:H3"/>
    <mergeCell ref="I2:L2"/>
  </mergeCells>
  <printOptions horizontalCentered="1" verticalCentered="1"/>
  <pageMargins left="0.78740157480314965" right="0.78740157480314965" top="0.98425196850393704" bottom="0.98425196850393704" header="0" footer="0"/>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7</vt:i4>
      </vt:variant>
    </vt:vector>
  </HeadingPairs>
  <TitlesOfParts>
    <vt:vector size="47" baseType="lpstr">
      <vt:lpstr>Datos Generales</vt:lpstr>
      <vt:lpstr>Anexo 1 Matriz Inf Gestión</vt:lpstr>
      <vt:lpstr>Hoja1</vt:lpstr>
      <vt:lpstr>Anexo 2 Protocolo Inf Gestión</vt:lpstr>
      <vt:lpstr>Informe Ingresos</vt:lpstr>
      <vt:lpstr>PROTOCOLO INGRESOS</vt:lpstr>
      <vt:lpstr>INGRESOS</vt:lpstr>
      <vt:lpstr>Hoja3</vt:lpstr>
      <vt:lpstr>informe Gastos</vt:lpstr>
      <vt:lpstr>Hoja2</vt:lpstr>
      <vt:lpstr>Anexo 3 Matriz IMG</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'9RUNAP'!_Toc467769476</vt:lpstr>
      <vt:lpstr>'Anexo 1 Matriz Inf Gestión'!Área_de_impresión</vt:lpstr>
      <vt:lpstr>'Anexo 2 Protocolo Inf Gestión'!Área_de_impresión</vt:lpstr>
      <vt:lpstr>Lista_CAR</vt:lpstr>
      <vt:lpstr>REPORTE</vt:lpstr>
      <vt:lpstr>SI</vt:lpstr>
      <vt:lpstr>Vigencias</vt:lpstr>
    </vt:vector>
  </TitlesOfParts>
  <Manager>nortiz@claro.net.co</Manager>
  <Company>Derechos protegidos de 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USUARIO 2020</cp:lastModifiedBy>
  <cp:lastPrinted>2016-11-27T02:57:50Z</cp:lastPrinted>
  <dcterms:created xsi:type="dcterms:W3CDTF">2016-11-26T19:57:08Z</dcterms:created>
  <dcterms:modified xsi:type="dcterms:W3CDTF">2021-08-12T15:20:24Z</dcterms:modified>
  <cp:category>Capacitación</cp:category>
  <cp:contentStatus>Preliminar</cp:contentStatus>
</cp:coreProperties>
</file>