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omments3.xml" ContentType="application/vnd.openxmlformats-officedocument.spreadsheetml.comments+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mc:AlternateContent xmlns:mc="http://schemas.openxmlformats.org/markup-compatibility/2006">
    <mc:Choice Requires="x15">
      <x15ac:absPath xmlns:x15ac="http://schemas.microsoft.com/office/spreadsheetml/2010/11/ac" url="D:\paola corpoguajira\PLAN DE ACCIÓN\INFORME DE GESTIÓN 2021\INFORME 31 DIC\"/>
    </mc:Choice>
  </mc:AlternateContent>
  <xr:revisionPtr revIDLastSave="0" documentId="13_ncr:1_{41C2AB4E-148F-406B-92E7-733D87F16ABA}" xr6:coauthVersionLast="47" xr6:coauthVersionMax="47" xr10:uidLastSave="{00000000-0000-0000-0000-000000000000}"/>
  <bookViews>
    <workbookView xWindow="-120" yWindow="-120" windowWidth="20730" windowHeight="11160" tabRatio="647" firstSheet="1" activeTab="1" xr2:uid="{00000000-000D-0000-FFFF-FFFF00000000}"/>
  </bookViews>
  <sheets>
    <sheet name="Datos Generales" sheetId="38" r:id="rId1"/>
    <sheet name="Anexo 1 Matriz Inf Gestión" sheetId="34" r:id="rId2"/>
    <sheet name="Hoja1" sheetId="41" state="hidden" r:id="rId3"/>
    <sheet name="Anexo 2 Protocolo Inf Gestión" sheetId="35" r:id="rId4"/>
    <sheet name="Informe Ingresos" sheetId="36" state="hidden" r:id="rId5"/>
    <sheet name="PROTOCOLO INGRESOS" sheetId="39" state="hidden" r:id="rId6"/>
    <sheet name="INGRESOS" sheetId="44" r:id="rId7"/>
    <sheet name="Hoja3" sheetId="43" r:id="rId8"/>
    <sheet name="informe Gastos" sheetId="37" r:id="rId9"/>
    <sheet name="Hoja2" sheetId="40" r:id="rId10"/>
    <sheet name="Anexo 3 Matriz IMG" sheetId="19" r:id="rId11"/>
    <sheet name="1POMCAS" sheetId="1" r:id="rId12"/>
    <sheet name="2PORH" sheetId="2" r:id="rId13"/>
    <sheet name="3PSMV" sheetId="3" r:id="rId14"/>
    <sheet name="4UsoAguas" sheetId="4" r:id="rId15"/>
    <sheet name="5PUEAA" sheetId="5" r:id="rId16"/>
    <sheet name="6POMCASejec" sheetId="6" r:id="rId17"/>
    <sheet name="7Clima" sheetId="8" r:id="rId18"/>
    <sheet name="8Suelo" sheetId="9" r:id="rId19"/>
    <sheet name="9RUNAP" sheetId="10" r:id="rId20"/>
    <sheet name="10Paramos" sheetId="11" r:id="rId21"/>
    <sheet name="11Forest" sheetId="12" r:id="rId22"/>
    <sheet name="12PlanesAP" sheetId="13" r:id="rId23"/>
    <sheet name="13Amenaz" sheetId="14" r:id="rId24"/>
    <sheet name="14Invasor" sheetId="15" r:id="rId25"/>
    <sheet name="15Restaura" sheetId="16" r:id="rId26"/>
    <sheet name="16MIZC" sheetId="17" r:id="rId27"/>
    <sheet name="17PGIRS" sheetId="18" r:id="rId28"/>
    <sheet name="18Sector" sheetId="20" r:id="rId29"/>
    <sheet name="19GAU" sheetId="21" r:id="rId30"/>
    <sheet name="20Negoc" sheetId="22" r:id="rId31"/>
    <sheet name="21TiempoT" sheetId="23" r:id="rId32"/>
    <sheet name="22Autor" sheetId="24" r:id="rId33"/>
    <sheet name="23Sanc" sheetId="25" r:id="rId34"/>
    <sheet name="24POT" sheetId="26" r:id="rId35"/>
    <sheet name="25Redes" sheetId="27" r:id="rId36"/>
    <sheet name="26SIAC" sheetId="28" r:id="rId37"/>
    <sheet name="27Educa" sheetId="29" r:id="rId38"/>
    <sheet name="Observa" sheetId="32" r:id="rId39"/>
    <sheet name="Formulas" sheetId="33" r:id="rId40"/>
  </sheets>
  <externalReferences>
    <externalReference r:id="rId41"/>
    <externalReference r:id="rId42"/>
    <externalReference r:id="rId43"/>
    <externalReference r:id="rId44"/>
  </externalReferences>
  <definedNames>
    <definedName name="_xlnm._FilterDatabase" localSheetId="13" hidden="1">'3PSMV'!$E$6:$E$75</definedName>
    <definedName name="_xlnm._FilterDatabase" localSheetId="4" hidden="1">'Informe Ingresos'!$A$6:$XES$320</definedName>
    <definedName name="_xlnm._FilterDatabase" localSheetId="6" hidden="1">INGRESOS!$A$6:$XER$672</definedName>
    <definedName name="_Toc467769469" localSheetId="12">'2PORH'!#REF!</definedName>
    <definedName name="_Toc467769470" localSheetId="13">'3PSMV'!#REF!</definedName>
    <definedName name="_Toc467769471" localSheetId="14">'4UsoAguas'!#REF!</definedName>
    <definedName name="_Toc467769472" localSheetId="15">'5PUEAA'!#REF!</definedName>
    <definedName name="_Toc467769473" localSheetId="16">'6POMCASejec'!#REF!</definedName>
    <definedName name="_Toc467769474" localSheetId="17">'7Clima'!#REF!</definedName>
    <definedName name="_Toc467769475" localSheetId="18">'8Suelo'!#REF!</definedName>
    <definedName name="_Toc467769476" localSheetId="19">'9RUNAP'!$B$6</definedName>
    <definedName name="_Toc467769477" localSheetId="20">'10Paramos'!#REF!</definedName>
    <definedName name="_Toc467769478" localSheetId="21">'11Forest'!#REF!</definedName>
    <definedName name="_Toc467769479" localSheetId="22">'12PlanesAP'!#REF!</definedName>
    <definedName name="_Toc467769480" localSheetId="23">'13Amenaz'!#REF!</definedName>
    <definedName name="_Toc467769481" localSheetId="24">'14Invasor'!#REF!</definedName>
    <definedName name="_Toc467769482" localSheetId="25">'15Restaura'!#REF!</definedName>
    <definedName name="_Toc467769483" localSheetId="26">'16MIZC'!#REF!</definedName>
    <definedName name="_Toc467769484" localSheetId="27">'17PGIRS'!#REF!</definedName>
    <definedName name="_Toc467769485" localSheetId="28">'18Sector'!#REF!</definedName>
    <definedName name="_Toc467769486" localSheetId="29">'19GAU'!#REF!</definedName>
    <definedName name="_Toc467769487" localSheetId="30">'20Negoc'!#REF!</definedName>
    <definedName name="_Toc467769488" localSheetId="31">'21TiempoT'!#REF!</definedName>
    <definedName name="_Toc467769489" localSheetId="32">'22Autor'!#REF!</definedName>
    <definedName name="_Toc467769490" localSheetId="33">'23Sanc'!#REF!</definedName>
    <definedName name="_Toc467769491" localSheetId="34">'24POT'!#REF!</definedName>
    <definedName name="_Toc467769492" localSheetId="35">'25Redes'!#REF!</definedName>
    <definedName name="_Toc467769493" localSheetId="36">'26SIAC'!#REF!</definedName>
    <definedName name="_Toc467769494" localSheetId="37">'27Educa'!#REF!</definedName>
    <definedName name="_xlnm.Print_Area" localSheetId="1">'Anexo 1 Matriz Inf Gestión'!$A$3:$AB$205</definedName>
    <definedName name="_xlnm.Print_Area" localSheetId="3">'Anexo 2 Protocolo Inf Gestión'!$A$1:$B$26</definedName>
    <definedName name="_xlnm.Print_Area" localSheetId="8">'informe Gastos'!#REF!</definedName>
    <definedName name="_xlnm.Print_Area" localSheetId="4">'Informe Ingresos'!#REF!</definedName>
    <definedName name="_xlnm.Print_Area" localSheetId="6">INGRESOS!#REF!</definedName>
    <definedName name="Lista_CAR" localSheetId="6">'[1]Datos Generales'!$H$5:$H$37</definedName>
    <definedName name="Lista_CAR">'Datos Generales'!$H$5:$H$37</definedName>
    <definedName name="REPORTE" comment="SI SE REPORTA" localSheetId="6">[1]Formulas!$F$33:$F$34</definedName>
    <definedName name="REPORTE" comment="SI SE REPORTA">Formulas!$F$33:$F$34</definedName>
    <definedName name="SI" comment="OPCION SI O NO" localSheetId="6">[1]Formulas!$D$33:$D$34</definedName>
    <definedName name="SI" comment="OPCION SI O NO">Formulas!$D$33:$D$34</definedName>
    <definedName name="Vigencias">'Datos Generales'!$H$39:$H$46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57" i="23" l="1"/>
  <c r="G56" i="23"/>
  <c r="E56" i="23"/>
  <c r="E18" i="16" l="1"/>
  <c r="Q24" i="14"/>
  <c r="P195" i="34" l="1"/>
  <c r="P187" i="34"/>
  <c r="P183" i="34"/>
  <c r="P178" i="34" l="1"/>
  <c r="P174" i="34"/>
  <c r="P169" i="34"/>
  <c r="P165" i="34"/>
  <c r="P164" i="34"/>
  <c r="P130" i="34" l="1"/>
  <c r="P121" i="34"/>
  <c r="P38" i="34" l="1"/>
  <c r="P37" i="34"/>
  <c r="T196" i="34" l="1"/>
  <c r="T180" i="34"/>
  <c r="T159" i="34"/>
  <c r="T144" i="34"/>
  <c r="T131" i="34"/>
  <c r="T114" i="34"/>
  <c r="T105" i="34"/>
  <c r="T90" i="34"/>
  <c r="T75" i="34"/>
  <c r="T67" i="34"/>
  <c r="T56" i="34"/>
  <c r="T40" i="34"/>
  <c r="T32" i="34"/>
  <c r="T19" i="34"/>
  <c r="T9" i="34"/>
  <c r="R196" i="34"/>
  <c r="R180" i="34"/>
  <c r="R159" i="34"/>
  <c r="R144" i="34"/>
  <c r="R131" i="34"/>
  <c r="R114" i="34"/>
  <c r="R105" i="34"/>
  <c r="R90" i="34"/>
  <c r="R75" i="34"/>
  <c r="Q87" i="34"/>
  <c r="Q88" i="34"/>
  <c r="Q89" i="34"/>
  <c r="R67" i="34"/>
  <c r="R56" i="34"/>
  <c r="R40" i="34"/>
  <c r="R32" i="34"/>
  <c r="R19" i="34"/>
  <c r="R9" i="34"/>
  <c r="Q196" i="34"/>
  <c r="Q180" i="34"/>
  <c r="Q159" i="34"/>
  <c r="Q144" i="34"/>
  <c r="Q131" i="34"/>
  <c r="Q114" i="34"/>
  <c r="Q105" i="34"/>
  <c r="Q90" i="34"/>
  <c r="Q75" i="34"/>
  <c r="Q67" i="34"/>
  <c r="Q56" i="34"/>
  <c r="Q40" i="34"/>
  <c r="Q32" i="34"/>
  <c r="Q19" i="34"/>
  <c r="Q9" i="34"/>
  <c r="AF100" i="37" l="1"/>
  <c r="AE100" i="37"/>
  <c r="AD100" i="37"/>
  <c r="AC100" i="37"/>
  <c r="AF99" i="37"/>
  <c r="AE99" i="37"/>
  <c r="AD99" i="37"/>
  <c r="AC99" i="37"/>
  <c r="AF98" i="37"/>
  <c r="AE98" i="37"/>
  <c r="AD98" i="37"/>
  <c r="AC98" i="37"/>
  <c r="AB98" i="37"/>
  <c r="AA98" i="37"/>
  <c r="Z98" i="37"/>
  <c r="Y98" i="37"/>
  <c r="X98" i="37"/>
  <c r="W98" i="37"/>
  <c r="V98" i="37"/>
  <c r="U98" i="37"/>
  <c r="T98" i="37"/>
  <c r="S98" i="37"/>
  <c r="R98" i="37"/>
  <c r="Q98" i="37"/>
  <c r="P98" i="37"/>
  <c r="O98" i="37"/>
  <c r="N98" i="37"/>
  <c r="M98" i="37"/>
  <c r="L98" i="37"/>
  <c r="K98" i="37"/>
  <c r="J98" i="37"/>
  <c r="I98" i="37"/>
  <c r="AF97" i="37"/>
  <c r="AE97" i="37"/>
  <c r="AD97" i="37"/>
  <c r="AC97" i="37"/>
  <c r="AB97" i="37"/>
  <c r="AA97" i="37"/>
  <c r="Z97" i="37"/>
  <c r="Y97" i="37"/>
  <c r="X97" i="37"/>
  <c r="W97" i="37"/>
  <c r="V97" i="37"/>
  <c r="U97" i="37"/>
  <c r="T97" i="37"/>
  <c r="S97" i="37"/>
  <c r="R97" i="37"/>
  <c r="Q97" i="37"/>
  <c r="P97" i="37"/>
  <c r="O97" i="37"/>
  <c r="N97" i="37"/>
  <c r="M97" i="37"/>
  <c r="L97" i="37"/>
  <c r="K97" i="37"/>
  <c r="J97" i="37"/>
  <c r="I97" i="37"/>
  <c r="AF96" i="37"/>
  <c r="AE96" i="37"/>
  <c r="AD96" i="37"/>
  <c r="AC96" i="37"/>
  <c r="AF95" i="37"/>
  <c r="AE95" i="37"/>
  <c r="AD95" i="37"/>
  <c r="AC95" i="37"/>
  <c r="AB95" i="37"/>
  <c r="AA95" i="37"/>
  <c r="Z95" i="37"/>
  <c r="Y95" i="37"/>
  <c r="X95" i="37"/>
  <c r="W95" i="37"/>
  <c r="V95" i="37"/>
  <c r="U95" i="37"/>
  <c r="T95" i="37"/>
  <c r="S95" i="37"/>
  <c r="R95" i="37"/>
  <c r="Q95" i="37"/>
  <c r="P95" i="37"/>
  <c r="O95" i="37"/>
  <c r="N95" i="37"/>
  <c r="M95" i="37"/>
  <c r="L95" i="37"/>
  <c r="K95" i="37"/>
  <c r="J95" i="37"/>
  <c r="I95" i="37"/>
  <c r="AF94" i="37"/>
  <c r="AE94" i="37"/>
  <c r="AD94" i="37"/>
  <c r="AC94" i="37"/>
  <c r="AB94" i="37"/>
  <c r="AA94" i="37"/>
  <c r="Z94" i="37"/>
  <c r="Y94" i="37"/>
  <c r="X94" i="37"/>
  <c r="W94" i="37"/>
  <c r="V94" i="37"/>
  <c r="U94" i="37"/>
  <c r="T94" i="37"/>
  <c r="S94" i="37"/>
  <c r="R94" i="37"/>
  <c r="Q94" i="37"/>
  <c r="P94" i="37"/>
  <c r="O94" i="37"/>
  <c r="N94" i="37"/>
  <c r="M94" i="37"/>
  <c r="L94" i="37"/>
  <c r="K94" i="37"/>
  <c r="J94" i="37"/>
  <c r="I94" i="37"/>
  <c r="AF93" i="37"/>
  <c r="AE93" i="37"/>
  <c r="AD93" i="37"/>
  <c r="AC93" i="37"/>
  <c r="AB93" i="37"/>
  <c r="AA93" i="37"/>
  <c r="Z93" i="37"/>
  <c r="Y93" i="37"/>
  <c r="X93" i="37"/>
  <c r="W93" i="37"/>
  <c r="V93" i="37"/>
  <c r="U93" i="37"/>
  <c r="T93" i="37"/>
  <c r="S93" i="37"/>
  <c r="R93" i="37"/>
  <c r="Q93" i="37"/>
  <c r="P93" i="37"/>
  <c r="O93" i="37"/>
  <c r="N93" i="37"/>
  <c r="M93" i="37"/>
  <c r="L93" i="37"/>
  <c r="K93" i="37"/>
  <c r="J93" i="37"/>
  <c r="I93" i="37"/>
  <c r="AF92" i="37"/>
  <c r="AE92" i="37"/>
  <c r="AD92" i="37"/>
  <c r="AC92" i="37"/>
  <c r="AF91" i="37"/>
  <c r="AE91" i="37"/>
  <c r="AD91" i="37"/>
  <c r="AC91" i="37"/>
  <c r="AB91" i="37"/>
  <c r="AA91" i="37"/>
  <c r="Z91" i="37"/>
  <c r="Y91" i="37"/>
  <c r="X91" i="37"/>
  <c r="W91" i="37"/>
  <c r="V91" i="37"/>
  <c r="U91" i="37"/>
  <c r="T91" i="37"/>
  <c r="S91" i="37"/>
  <c r="R91" i="37"/>
  <c r="Q91" i="37"/>
  <c r="P91" i="37"/>
  <c r="O91" i="37"/>
  <c r="N91" i="37"/>
  <c r="M91" i="37"/>
  <c r="L91" i="37"/>
  <c r="K91" i="37"/>
  <c r="J91" i="37"/>
  <c r="I91" i="37"/>
  <c r="AF90" i="37"/>
  <c r="AE90" i="37"/>
  <c r="AD90" i="37"/>
  <c r="AC90" i="37"/>
  <c r="AB90" i="37"/>
  <c r="AA90" i="37"/>
  <c r="Z90" i="37"/>
  <c r="Y90" i="37"/>
  <c r="X90" i="37"/>
  <c r="W90" i="37"/>
  <c r="V90" i="37"/>
  <c r="U90" i="37"/>
  <c r="T90" i="37"/>
  <c r="S90" i="37"/>
  <c r="R90" i="37"/>
  <c r="Q90" i="37"/>
  <c r="P90" i="37"/>
  <c r="O90" i="37"/>
  <c r="N90" i="37"/>
  <c r="M90" i="37"/>
  <c r="L90" i="37"/>
  <c r="K90" i="37"/>
  <c r="J90" i="37"/>
  <c r="I90" i="37"/>
  <c r="AF89" i="37"/>
  <c r="AE89" i="37"/>
  <c r="AD89" i="37"/>
  <c r="AC89" i="37"/>
  <c r="AF88" i="37"/>
  <c r="AE88" i="37"/>
  <c r="AD88" i="37"/>
  <c r="AC88" i="37"/>
  <c r="AB88" i="37"/>
  <c r="AA88" i="37"/>
  <c r="Z88" i="37"/>
  <c r="Y88" i="37"/>
  <c r="X88" i="37"/>
  <c r="W88" i="37"/>
  <c r="V88" i="37"/>
  <c r="U88" i="37"/>
  <c r="T88" i="37"/>
  <c r="S88" i="37"/>
  <c r="R88" i="37"/>
  <c r="Q88" i="37"/>
  <c r="P88" i="37"/>
  <c r="O88" i="37"/>
  <c r="N88" i="37"/>
  <c r="M88" i="37"/>
  <c r="L88" i="37"/>
  <c r="K88" i="37"/>
  <c r="J88" i="37"/>
  <c r="I88" i="37"/>
  <c r="AF87" i="37"/>
  <c r="AE87" i="37"/>
  <c r="AD87" i="37"/>
  <c r="AC87" i="37"/>
  <c r="AB87" i="37"/>
  <c r="AA87" i="37"/>
  <c r="Z87" i="37"/>
  <c r="Y87" i="37"/>
  <c r="X87" i="37"/>
  <c r="W87" i="37"/>
  <c r="V87" i="37"/>
  <c r="U87" i="37"/>
  <c r="T87" i="37"/>
  <c r="S87" i="37"/>
  <c r="R87" i="37"/>
  <c r="Q87" i="37"/>
  <c r="P87" i="37"/>
  <c r="O87" i="37"/>
  <c r="N87" i="37"/>
  <c r="M87" i="37"/>
  <c r="L87" i="37"/>
  <c r="K87" i="37"/>
  <c r="J87" i="37"/>
  <c r="I87" i="37"/>
  <c r="AF86" i="37"/>
  <c r="AE86" i="37"/>
  <c r="AD86" i="37"/>
  <c r="AC86" i="37"/>
  <c r="AB86" i="37"/>
  <c r="AA86" i="37"/>
  <c r="Z86" i="37"/>
  <c r="Y86" i="37"/>
  <c r="X86" i="37"/>
  <c r="W86" i="37"/>
  <c r="V86" i="37"/>
  <c r="U86" i="37"/>
  <c r="T86" i="37"/>
  <c r="S86" i="37"/>
  <c r="R86" i="37"/>
  <c r="Q86" i="37"/>
  <c r="P86" i="37"/>
  <c r="O86" i="37"/>
  <c r="N86" i="37"/>
  <c r="M86" i="37"/>
  <c r="L86" i="37"/>
  <c r="K86" i="37"/>
  <c r="J86" i="37"/>
  <c r="I86" i="37"/>
  <c r="AF85" i="37"/>
  <c r="AE85" i="37"/>
  <c r="AD85" i="37"/>
  <c r="AC85" i="37"/>
  <c r="AF84" i="37"/>
  <c r="AE84" i="37"/>
  <c r="AD84" i="37"/>
  <c r="AC84" i="37"/>
  <c r="AB84" i="37"/>
  <c r="AA84" i="37"/>
  <c r="Z84" i="37"/>
  <c r="Y84" i="37"/>
  <c r="X84" i="37"/>
  <c r="W84" i="37"/>
  <c r="V84" i="37"/>
  <c r="U84" i="37"/>
  <c r="T84" i="37"/>
  <c r="S84" i="37"/>
  <c r="R84" i="37"/>
  <c r="Q84" i="37"/>
  <c r="P84" i="37"/>
  <c r="O84" i="37"/>
  <c r="N84" i="37"/>
  <c r="M84" i="37"/>
  <c r="L84" i="37"/>
  <c r="K84" i="37"/>
  <c r="J84" i="37"/>
  <c r="I84" i="37"/>
  <c r="AF83" i="37"/>
  <c r="AE83" i="37"/>
  <c r="AD83" i="37"/>
  <c r="AC83" i="37"/>
  <c r="AB83" i="37"/>
  <c r="AA83" i="37"/>
  <c r="Z83" i="37"/>
  <c r="Y83" i="37"/>
  <c r="X83" i="37"/>
  <c r="W83" i="37"/>
  <c r="V83" i="37"/>
  <c r="U83" i="37"/>
  <c r="T83" i="37"/>
  <c r="S83" i="37"/>
  <c r="R83" i="37"/>
  <c r="Q83" i="37"/>
  <c r="P83" i="37"/>
  <c r="O83" i="37"/>
  <c r="N83" i="37"/>
  <c r="M83" i="37"/>
  <c r="L83" i="37"/>
  <c r="K83" i="37"/>
  <c r="J83" i="37"/>
  <c r="I83" i="37"/>
  <c r="AF82" i="37"/>
  <c r="AE82" i="37"/>
  <c r="AD82" i="37"/>
  <c r="AC82" i="37"/>
  <c r="AF81" i="37"/>
  <c r="AE81" i="37"/>
  <c r="AD81" i="37"/>
  <c r="AC81" i="37"/>
  <c r="AB81" i="37"/>
  <c r="AA81" i="37"/>
  <c r="Z81" i="37"/>
  <c r="Y81" i="37"/>
  <c r="X81" i="37"/>
  <c r="W81" i="37"/>
  <c r="V81" i="37"/>
  <c r="U81" i="37"/>
  <c r="T81" i="37"/>
  <c r="S81" i="37"/>
  <c r="R81" i="37"/>
  <c r="Q81" i="37"/>
  <c r="P81" i="37"/>
  <c r="O81" i="37"/>
  <c r="N81" i="37"/>
  <c r="M81" i="37"/>
  <c r="L81" i="37"/>
  <c r="K81" i="37"/>
  <c r="J81" i="37"/>
  <c r="I81" i="37"/>
  <c r="AF80" i="37"/>
  <c r="AE80" i="37"/>
  <c r="AD80" i="37"/>
  <c r="AC80" i="37"/>
  <c r="AB80" i="37"/>
  <c r="AA80" i="37"/>
  <c r="Z80" i="37"/>
  <c r="Y80" i="37"/>
  <c r="X80" i="37"/>
  <c r="W80" i="37"/>
  <c r="V80" i="37"/>
  <c r="U80" i="37"/>
  <c r="T80" i="37"/>
  <c r="S80" i="37"/>
  <c r="R80" i="37"/>
  <c r="Q80" i="37"/>
  <c r="P80" i="37"/>
  <c r="O80" i="37"/>
  <c r="N80" i="37"/>
  <c r="M80" i="37"/>
  <c r="L80" i="37"/>
  <c r="K80" i="37"/>
  <c r="J80" i="37"/>
  <c r="I80" i="37"/>
  <c r="AF79" i="37"/>
  <c r="AE79" i="37"/>
  <c r="AD79" i="37"/>
  <c r="AC79" i="37"/>
  <c r="AB79" i="37"/>
  <c r="AA79" i="37"/>
  <c r="Z79" i="37"/>
  <c r="Y79" i="37"/>
  <c r="X79" i="37"/>
  <c r="W79" i="37"/>
  <c r="V79" i="37"/>
  <c r="U79" i="37"/>
  <c r="T79" i="37"/>
  <c r="S79" i="37"/>
  <c r="R79" i="37"/>
  <c r="Q79" i="37"/>
  <c r="P79" i="37"/>
  <c r="O79" i="37"/>
  <c r="N79" i="37"/>
  <c r="M79" i="37"/>
  <c r="L79" i="37"/>
  <c r="K79" i="37"/>
  <c r="J79" i="37"/>
  <c r="I79" i="37"/>
  <c r="AF78" i="37"/>
  <c r="AE78" i="37"/>
  <c r="AD78" i="37"/>
  <c r="AC78" i="37"/>
  <c r="AF77" i="37"/>
  <c r="AE77" i="37"/>
  <c r="AD77" i="37"/>
  <c r="AC77" i="37"/>
  <c r="AB77" i="37"/>
  <c r="AA77" i="37"/>
  <c r="Z77" i="37"/>
  <c r="Y77" i="37"/>
  <c r="X77" i="37"/>
  <c r="W77" i="37"/>
  <c r="V77" i="37"/>
  <c r="U77" i="37"/>
  <c r="T77" i="37"/>
  <c r="S77" i="37"/>
  <c r="R77" i="37"/>
  <c r="Q77" i="37"/>
  <c r="P77" i="37"/>
  <c r="O77" i="37"/>
  <c r="N77" i="37"/>
  <c r="M77" i="37"/>
  <c r="L77" i="37"/>
  <c r="K77" i="37"/>
  <c r="J77" i="37"/>
  <c r="I77" i="37"/>
  <c r="AF76" i="37"/>
  <c r="AE76" i="37"/>
  <c r="AD76" i="37"/>
  <c r="AC76" i="37"/>
  <c r="AB76" i="37"/>
  <c r="AA76" i="37"/>
  <c r="Z76" i="37"/>
  <c r="Y76" i="37"/>
  <c r="X76" i="37"/>
  <c r="W76" i="37"/>
  <c r="V76" i="37"/>
  <c r="U76" i="37"/>
  <c r="T76" i="37"/>
  <c r="S76" i="37"/>
  <c r="R76" i="37"/>
  <c r="Q76" i="37"/>
  <c r="P76" i="37"/>
  <c r="O76" i="37"/>
  <c r="N76" i="37"/>
  <c r="M76" i="37"/>
  <c r="L76" i="37"/>
  <c r="K76" i="37"/>
  <c r="J76" i="37"/>
  <c r="I76" i="37"/>
  <c r="AF75" i="37"/>
  <c r="AE75" i="37"/>
  <c r="AD75" i="37"/>
  <c r="AC75" i="37"/>
  <c r="AF74" i="37"/>
  <c r="AE74" i="37"/>
  <c r="AD74" i="37"/>
  <c r="AC74" i="37"/>
  <c r="AB74" i="37"/>
  <c r="AA74" i="37"/>
  <c r="Z74" i="37"/>
  <c r="Y74" i="37"/>
  <c r="X74" i="37"/>
  <c r="W74" i="37"/>
  <c r="V74" i="37"/>
  <c r="U74" i="37"/>
  <c r="T74" i="37"/>
  <c r="S74" i="37"/>
  <c r="R74" i="37"/>
  <c r="Q74" i="37"/>
  <c r="P74" i="37"/>
  <c r="O74" i="37"/>
  <c r="N74" i="37"/>
  <c r="M74" i="37"/>
  <c r="L74" i="37"/>
  <c r="K74" i="37"/>
  <c r="J74" i="37"/>
  <c r="I74" i="37"/>
  <c r="AF73" i="37"/>
  <c r="AE73" i="37"/>
  <c r="AD73" i="37"/>
  <c r="AC73" i="37"/>
  <c r="AB73" i="37"/>
  <c r="AA73" i="37"/>
  <c r="Z73" i="37"/>
  <c r="Y73" i="37"/>
  <c r="X73" i="37"/>
  <c r="W73" i="37"/>
  <c r="V73" i="37"/>
  <c r="U73" i="37"/>
  <c r="T73" i="37"/>
  <c r="S73" i="37"/>
  <c r="R73" i="37"/>
  <c r="Q73" i="37"/>
  <c r="P73" i="37"/>
  <c r="O73" i="37"/>
  <c r="N73" i="37"/>
  <c r="M73" i="37"/>
  <c r="L73" i="37"/>
  <c r="K73" i="37"/>
  <c r="J73" i="37"/>
  <c r="I73" i="37"/>
  <c r="AF72" i="37"/>
  <c r="AE72" i="37"/>
  <c r="AD72" i="37"/>
  <c r="AC72" i="37"/>
  <c r="AF71" i="37"/>
  <c r="AE71" i="37"/>
  <c r="AD71" i="37"/>
  <c r="AC71" i="37"/>
  <c r="AF70" i="37"/>
  <c r="AE70" i="37"/>
  <c r="AD70" i="37"/>
  <c r="AC70" i="37"/>
  <c r="AB70" i="37"/>
  <c r="AA70" i="37"/>
  <c r="Z70" i="37"/>
  <c r="Y70" i="37"/>
  <c r="X70" i="37"/>
  <c r="W70" i="37"/>
  <c r="V70" i="37"/>
  <c r="U70" i="37"/>
  <c r="T70" i="37"/>
  <c r="S70" i="37"/>
  <c r="R70" i="37"/>
  <c r="Q70" i="37"/>
  <c r="P70" i="37"/>
  <c r="O70" i="37"/>
  <c r="N70" i="37"/>
  <c r="M70" i="37"/>
  <c r="L70" i="37"/>
  <c r="K70" i="37"/>
  <c r="J70" i="37"/>
  <c r="I70" i="37"/>
  <c r="AF69" i="37"/>
  <c r="AE69" i="37"/>
  <c r="AD69" i="37"/>
  <c r="AC69" i="37"/>
  <c r="AB69" i="37"/>
  <c r="AA69" i="37"/>
  <c r="Z69" i="37"/>
  <c r="Y69" i="37"/>
  <c r="X69" i="37"/>
  <c r="W69" i="37"/>
  <c r="V69" i="37"/>
  <c r="U69" i="37"/>
  <c r="T69" i="37"/>
  <c r="S69" i="37"/>
  <c r="R69" i="37"/>
  <c r="Q69" i="37"/>
  <c r="P69" i="37"/>
  <c r="O69" i="37"/>
  <c r="N69" i="37"/>
  <c r="M69" i="37"/>
  <c r="L69" i="37"/>
  <c r="K69" i="37"/>
  <c r="J69" i="37"/>
  <c r="I69" i="37"/>
  <c r="AF68" i="37"/>
  <c r="AE68" i="37"/>
  <c r="AD68" i="37"/>
  <c r="AC68" i="37"/>
  <c r="AB68" i="37"/>
  <c r="AA68" i="37"/>
  <c r="Z68" i="37"/>
  <c r="Y68" i="37"/>
  <c r="X68" i="37"/>
  <c r="W68" i="37"/>
  <c r="V68" i="37"/>
  <c r="U68" i="37"/>
  <c r="T68" i="37"/>
  <c r="S68" i="37"/>
  <c r="R68" i="37"/>
  <c r="Q68" i="37"/>
  <c r="P68" i="37"/>
  <c r="O68" i="37"/>
  <c r="N68" i="37"/>
  <c r="M68" i="37"/>
  <c r="L68" i="37"/>
  <c r="K68" i="37"/>
  <c r="J68" i="37"/>
  <c r="I68" i="37"/>
  <c r="AF67" i="37"/>
  <c r="AE67" i="37"/>
  <c r="AD67" i="37"/>
  <c r="AC67" i="37"/>
  <c r="AF66" i="37"/>
  <c r="AE66" i="37"/>
  <c r="AD66" i="37"/>
  <c r="AC66" i="37"/>
  <c r="AB66" i="37"/>
  <c r="AA66" i="37"/>
  <c r="Z66" i="37"/>
  <c r="Y66" i="37"/>
  <c r="X66" i="37"/>
  <c r="W66" i="37"/>
  <c r="V66" i="37"/>
  <c r="U66" i="37"/>
  <c r="T66" i="37"/>
  <c r="S66" i="37"/>
  <c r="R66" i="37"/>
  <c r="Q66" i="37"/>
  <c r="P66" i="37"/>
  <c r="O66" i="37"/>
  <c r="N66" i="37"/>
  <c r="M66" i="37"/>
  <c r="L66" i="37"/>
  <c r="K66" i="37"/>
  <c r="J66" i="37"/>
  <c r="I66" i="37"/>
  <c r="AF65" i="37"/>
  <c r="AE65" i="37"/>
  <c r="AD65" i="37"/>
  <c r="AC65" i="37"/>
  <c r="AB65" i="37"/>
  <c r="AA65" i="37"/>
  <c r="Z65" i="37"/>
  <c r="Y65" i="37"/>
  <c r="X65" i="37"/>
  <c r="W65" i="37"/>
  <c r="V65" i="37"/>
  <c r="U65" i="37"/>
  <c r="T65" i="37"/>
  <c r="S65" i="37"/>
  <c r="R65" i="37"/>
  <c r="Q65" i="37"/>
  <c r="P65" i="37"/>
  <c r="O65" i="37"/>
  <c r="N65" i="37"/>
  <c r="M65" i="37"/>
  <c r="L65" i="37"/>
  <c r="K65" i="37"/>
  <c r="J65" i="37"/>
  <c r="I65" i="37"/>
  <c r="AF64" i="37"/>
  <c r="AE64" i="37"/>
  <c r="AD64" i="37"/>
  <c r="AC64" i="37"/>
  <c r="AF63" i="37"/>
  <c r="AE63" i="37"/>
  <c r="AD63" i="37"/>
  <c r="AC63" i="37"/>
  <c r="AB63" i="37"/>
  <c r="AA63" i="37"/>
  <c r="Z63" i="37"/>
  <c r="Y63" i="37"/>
  <c r="X63" i="37"/>
  <c r="W63" i="37"/>
  <c r="V63" i="37"/>
  <c r="U63" i="37"/>
  <c r="T63" i="37"/>
  <c r="S63" i="37"/>
  <c r="R63" i="37"/>
  <c r="Q63" i="37"/>
  <c r="P63" i="37"/>
  <c r="O63" i="37"/>
  <c r="N63" i="37"/>
  <c r="M63" i="37"/>
  <c r="L63" i="37"/>
  <c r="K63" i="37"/>
  <c r="J63" i="37"/>
  <c r="I63" i="37"/>
  <c r="AF62" i="37"/>
  <c r="AE62" i="37"/>
  <c r="AD62" i="37"/>
  <c r="AC62" i="37"/>
  <c r="AB62" i="37"/>
  <c r="AA62" i="37"/>
  <c r="Z62" i="37"/>
  <c r="Y62" i="37"/>
  <c r="X62" i="37"/>
  <c r="W62" i="37"/>
  <c r="V62" i="37"/>
  <c r="U62" i="37"/>
  <c r="T62" i="37"/>
  <c r="S62" i="37"/>
  <c r="R62" i="37"/>
  <c r="Q62" i="37"/>
  <c r="P62" i="37"/>
  <c r="O62" i="37"/>
  <c r="N62" i="37"/>
  <c r="M62" i="37"/>
  <c r="L62" i="37"/>
  <c r="K62" i="37"/>
  <c r="J62" i="37"/>
  <c r="I62" i="37"/>
  <c r="AF61" i="37"/>
  <c r="AE61" i="37"/>
  <c r="AD61" i="37"/>
  <c r="AC61" i="37"/>
  <c r="AB61" i="37"/>
  <c r="AA61" i="37"/>
  <c r="Z61" i="37"/>
  <c r="Y61" i="37"/>
  <c r="X61" i="37"/>
  <c r="W61" i="37"/>
  <c r="V61" i="37"/>
  <c r="U61" i="37"/>
  <c r="T61" i="37"/>
  <c r="S61" i="37"/>
  <c r="R61" i="37"/>
  <c r="Q61" i="37"/>
  <c r="P61" i="37"/>
  <c r="O61" i="37"/>
  <c r="N61" i="37"/>
  <c r="M61" i="37"/>
  <c r="L61" i="37"/>
  <c r="K61" i="37"/>
  <c r="J61" i="37"/>
  <c r="I61" i="37"/>
  <c r="AF60" i="37"/>
  <c r="AE60" i="37"/>
  <c r="AD60" i="37"/>
  <c r="AC60" i="37"/>
  <c r="AF59" i="37"/>
  <c r="AE59" i="37"/>
  <c r="AD59" i="37"/>
  <c r="AC59" i="37"/>
  <c r="AB59" i="37"/>
  <c r="AA59" i="37"/>
  <c r="Z59" i="37"/>
  <c r="Y59" i="37"/>
  <c r="X59" i="37"/>
  <c r="W59" i="37"/>
  <c r="V59" i="37"/>
  <c r="U59" i="37"/>
  <c r="T59" i="37"/>
  <c r="S59" i="37"/>
  <c r="R59" i="37"/>
  <c r="Q59" i="37"/>
  <c r="P59" i="37"/>
  <c r="O59" i="37"/>
  <c r="N59" i="37"/>
  <c r="M59" i="37"/>
  <c r="L59" i="37"/>
  <c r="K59" i="37"/>
  <c r="J59" i="37"/>
  <c r="I59" i="37"/>
  <c r="AF58" i="37"/>
  <c r="AE58" i="37"/>
  <c r="AD58" i="37"/>
  <c r="AC58" i="37"/>
  <c r="AB58" i="37"/>
  <c r="AA58" i="37"/>
  <c r="Z58" i="37"/>
  <c r="Y58" i="37"/>
  <c r="X58" i="37"/>
  <c r="W58" i="37"/>
  <c r="V58" i="37"/>
  <c r="U58" i="37"/>
  <c r="T58" i="37"/>
  <c r="S58" i="37"/>
  <c r="R58" i="37"/>
  <c r="Q58" i="37"/>
  <c r="P58" i="37"/>
  <c r="O58" i="37"/>
  <c r="N58" i="37"/>
  <c r="M58" i="37"/>
  <c r="L58" i="37"/>
  <c r="K58" i="37"/>
  <c r="J58" i="37"/>
  <c r="I58" i="37"/>
  <c r="AF57" i="37"/>
  <c r="AE57" i="37"/>
  <c r="AD57" i="37"/>
  <c r="AC57" i="37"/>
  <c r="AF56" i="37"/>
  <c r="AE56" i="37"/>
  <c r="AD56" i="37"/>
  <c r="AC56" i="37"/>
  <c r="AB56" i="37"/>
  <c r="AA56" i="37"/>
  <c r="Z56" i="37"/>
  <c r="Y56" i="37"/>
  <c r="X56" i="37"/>
  <c r="W56" i="37"/>
  <c r="V56" i="37"/>
  <c r="U56" i="37"/>
  <c r="T56" i="37"/>
  <c r="S56" i="37"/>
  <c r="R56" i="37"/>
  <c r="Q56" i="37"/>
  <c r="P56" i="37"/>
  <c r="O56" i="37"/>
  <c r="N56" i="37"/>
  <c r="M56" i="37"/>
  <c r="L56" i="37"/>
  <c r="K56" i="37"/>
  <c r="J56" i="37"/>
  <c r="I56" i="37"/>
  <c r="AF55" i="37"/>
  <c r="AE55" i="37"/>
  <c r="AD55" i="37"/>
  <c r="AC55" i="37"/>
  <c r="AB55" i="37"/>
  <c r="AA55" i="37"/>
  <c r="Z55" i="37"/>
  <c r="Y55" i="37"/>
  <c r="X55" i="37"/>
  <c r="W55" i="37"/>
  <c r="V55" i="37"/>
  <c r="U55" i="37"/>
  <c r="T55" i="37"/>
  <c r="S55" i="37"/>
  <c r="R55" i="37"/>
  <c r="Q55" i="37"/>
  <c r="P55" i="37"/>
  <c r="O55" i="37"/>
  <c r="N55" i="37"/>
  <c r="M55" i="37"/>
  <c r="L55" i="37"/>
  <c r="K55" i="37"/>
  <c r="J55" i="37"/>
  <c r="I55" i="37"/>
  <c r="AF54" i="37"/>
  <c r="AE54" i="37"/>
  <c r="AD54" i="37"/>
  <c r="AC54" i="37"/>
  <c r="AF53" i="37"/>
  <c r="AE53" i="37"/>
  <c r="AD53" i="37"/>
  <c r="AC53" i="37"/>
  <c r="AB53" i="37"/>
  <c r="AA53" i="37"/>
  <c r="Z53" i="37"/>
  <c r="Y53" i="37"/>
  <c r="X53" i="37"/>
  <c r="W53" i="37"/>
  <c r="V53" i="37"/>
  <c r="U53" i="37"/>
  <c r="T53" i="37"/>
  <c r="S53" i="37"/>
  <c r="R53" i="37"/>
  <c r="Q53" i="37"/>
  <c r="P53" i="37"/>
  <c r="O53" i="37"/>
  <c r="N53" i="37"/>
  <c r="M53" i="37"/>
  <c r="L53" i="37"/>
  <c r="K53" i="37"/>
  <c r="J53" i="37"/>
  <c r="I53" i="37"/>
  <c r="AF52" i="37"/>
  <c r="AE52" i="37"/>
  <c r="AD52" i="37"/>
  <c r="AC52" i="37"/>
  <c r="AB52" i="37"/>
  <c r="AA52" i="37"/>
  <c r="Z52" i="37"/>
  <c r="Y52" i="37"/>
  <c r="X52" i="37"/>
  <c r="W52" i="37"/>
  <c r="V52" i="37"/>
  <c r="U52" i="37"/>
  <c r="T52" i="37"/>
  <c r="S52" i="37"/>
  <c r="R52" i="37"/>
  <c r="Q52" i="37"/>
  <c r="P52" i="37"/>
  <c r="O52" i="37"/>
  <c r="N52" i="37"/>
  <c r="M52" i="37"/>
  <c r="L52" i="37"/>
  <c r="K52" i="37"/>
  <c r="J52" i="37"/>
  <c r="I52" i="37"/>
  <c r="AF51" i="37"/>
  <c r="AE51" i="37"/>
  <c r="AD51" i="37"/>
  <c r="AC51" i="37"/>
  <c r="AB51" i="37"/>
  <c r="AA51" i="37"/>
  <c r="Z51" i="37"/>
  <c r="Y51" i="37"/>
  <c r="X51" i="37"/>
  <c r="W51" i="37"/>
  <c r="V51" i="37"/>
  <c r="U51" i="37"/>
  <c r="T51" i="37"/>
  <c r="S51" i="37"/>
  <c r="R51" i="37"/>
  <c r="Q51" i="37"/>
  <c r="P51" i="37"/>
  <c r="O51" i="37"/>
  <c r="N51" i="37"/>
  <c r="M51" i="37"/>
  <c r="L51" i="37"/>
  <c r="K51" i="37"/>
  <c r="J51" i="37"/>
  <c r="I51" i="37"/>
  <c r="AF50" i="37"/>
  <c r="AE50" i="37"/>
  <c r="AD50" i="37"/>
  <c r="AC50" i="37"/>
  <c r="AB50" i="37"/>
  <c r="AB101" i="37" s="1"/>
  <c r="AA50" i="37"/>
  <c r="AA101" i="37" s="1"/>
  <c r="Z50" i="37"/>
  <c r="Z101" i="37" s="1"/>
  <c r="Y50" i="37"/>
  <c r="Y101" i="37" s="1"/>
  <c r="X50" i="37"/>
  <c r="X101" i="37" s="1"/>
  <c r="W50" i="37"/>
  <c r="W101" i="37" s="1"/>
  <c r="V50" i="37"/>
  <c r="V101" i="37" s="1"/>
  <c r="U50" i="37"/>
  <c r="U101" i="37" s="1"/>
  <c r="T50" i="37"/>
  <c r="T101" i="37" s="1"/>
  <c r="S50" i="37"/>
  <c r="S101" i="37" s="1"/>
  <c r="R50" i="37"/>
  <c r="R101" i="37" s="1"/>
  <c r="Q50" i="37"/>
  <c r="Q101" i="37" s="1"/>
  <c r="P50" i="37"/>
  <c r="P101" i="37" s="1"/>
  <c r="O50" i="37"/>
  <c r="O101" i="37" s="1"/>
  <c r="N50" i="37"/>
  <c r="N101" i="37" s="1"/>
  <c r="M50" i="37"/>
  <c r="M101" i="37" s="1"/>
  <c r="L50" i="37"/>
  <c r="L101" i="37" s="1"/>
  <c r="AF101" i="37" s="1"/>
  <c r="K50" i="37"/>
  <c r="K101" i="37" s="1"/>
  <c r="AE101" i="37" s="1"/>
  <c r="J50" i="37"/>
  <c r="J101" i="37" s="1"/>
  <c r="AD101" i="37" s="1"/>
  <c r="I50" i="37"/>
  <c r="I101" i="37" s="1"/>
  <c r="AC101" i="37" s="1"/>
  <c r="AF49" i="37"/>
  <c r="AE49" i="37"/>
  <c r="AD49" i="37"/>
  <c r="AC49" i="37"/>
  <c r="AF48" i="37"/>
  <c r="AE48" i="37"/>
  <c r="AD48" i="37"/>
  <c r="AC48" i="37"/>
  <c r="AF47" i="37"/>
  <c r="AE47" i="37"/>
  <c r="AD47" i="37"/>
  <c r="AC47" i="37"/>
  <c r="AF46" i="37"/>
  <c r="AE46" i="37"/>
  <c r="AD46" i="37"/>
  <c r="AC46" i="37"/>
  <c r="AB45" i="37"/>
  <c r="AA45" i="37"/>
  <c r="Z45" i="37"/>
  <c r="Y45" i="37"/>
  <c r="X45" i="37"/>
  <c r="W45" i="37"/>
  <c r="V45" i="37"/>
  <c r="U45" i="37"/>
  <c r="T45" i="37"/>
  <c r="S45" i="37"/>
  <c r="R45" i="37"/>
  <c r="Q45" i="37"/>
  <c r="P45" i="37"/>
  <c r="O45" i="37"/>
  <c r="N45" i="37"/>
  <c r="M45" i="37"/>
  <c r="L45" i="37"/>
  <c r="AF45" i="37" s="1"/>
  <c r="K45" i="37"/>
  <c r="AE45" i="37" s="1"/>
  <c r="J45" i="37"/>
  <c r="AD45" i="37" s="1"/>
  <c r="I45" i="37"/>
  <c r="AC45" i="37" s="1"/>
  <c r="AF44" i="37"/>
  <c r="AE44" i="37"/>
  <c r="AD44" i="37"/>
  <c r="AC44" i="37"/>
  <c r="AF43" i="37"/>
  <c r="AE43" i="37"/>
  <c r="AD43" i="37"/>
  <c r="AC43" i="37"/>
  <c r="AF42" i="37"/>
  <c r="AE42" i="37"/>
  <c r="AD42" i="37"/>
  <c r="AC42" i="37"/>
  <c r="AB41" i="37"/>
  <c r="AA41" i="37"/>
  <c r="Z41" i="37"/>
  <c r="Y41" i="37"/>
  <c r="X41" i="37"/>
  <c r="W41" i="37"/>
  <c r="V41" i="37"/>
  <c r="U41" i="37"/>
  <c r="T41" i="37"/>
  <c r="S41" i="37"/>
  <c r="R41" i="37"/>
  <c r="Q41" i="37"/>
  <c r="P41" i="37"/>
  <c r="O41" i="37"/>
  <c r="N41" i="37"/>
  <c r="M41" i="37"/>
  <c r="L41" i="37"/>
  <c r="AF41" i="37" s="1"/>
  <c r="K41" i="37"/>
  <c r="AE41" i="37" s="1"/>
  <c r="J41" i="37"/>
  <c r="AD41" i="37" s="1"/>
  <c r="I41" i="37"/>
  <c r="AC41" i="37" s="1"/>
  <c r="AB40" i="37"/>
  <c r="AA40" i="37"/>
  <c r="Z40" i="37"/>
  <c r="Y40" i="37"/>
  <c r="X40" i="37"/>
  <c r="W40" i="37"/>
  <c r="V40" i="37"/>
  <c r="U40" i="37"/>
  <c r="T40" i="37"/>
  <c r="S40" i="37"/>
  <c r="R40" i="37"/>
  <c r="Q40" i="37"/>
  <c r="P40" i="37"/>
  <c r="O40" i="37"/>
  <c r="N40" i="37"/>
  <c r="M40" i="37"/>
  <c r="L40" i="37"/>
  <c r="AF40" i="37" s="1"/>
  <c r="K40" i="37"/>
  <c r="AE40" i="37" s="1"/>
  <c r="J40" i="37"/>
  <c r="AD40" i="37" s="1"/>
  <c r="I40" i="37"/>
  <c r="AC40" i="37" s="1"/>
  <c r="AF39" i="37"/>
  <c r="AE39" i="37"/>
  <c r="AD39" i="37"/>
  <c r="AC39" i="37"/>
  <c r="AF38" i="37"/>
  <c r="AE38" i="37"/>
  <c r="AD38" i="37"/>
  <c r="AC38" i="37"/>
  <c r="AF37" i="37"/>
  <c r="AE37" i="37"/>
  <c r="AD37" i="37"/>
  <c r="AC37" i="37"/>
  <c r="AB36" i="37"/>
  <c r="AA36" i="37"/>
  <c r="Z36" i="37"/>
  <c r="Y36" i="37"/>
  <c r="X36" i="37"/>
  <c r="W36" i="37"/>
  <c r="V36" i="37"/>
  <c r="U36" i="37"/>
  <c r="T36" i="37"/>
  <c r="S36" i="37"/>
  <c r="R36" i="37"/>
  <c r="Q36" i="37"/>
  <c r="P36" i="37"/>
  <c r="O36" i="37"/>
  <c r="N36" i="37"/>
  <c r="M36" i="37"/>
  <c r="L36" i="37"/>
  <c r="AF36" i="37" s="1"/>
  <c r="K36" i="37"/>
  <c r="AE36" i="37" s="1"/>
  <c r="J36" i="37"/>
  <c r="AD36" i="37" s="1"/>
  <c r="I36" i="37"/>
  <c r="AC36" i="37" s="1"/>
  <c r="AF35" i="37"/>
  <c r="AE35" i="37"/>
  <c r="AD35" i="37"/>
  <c r="AC35" i="37"/>
  <c r="AB34" i="37"/>
  <c r="AA34" i="37"/>
  <c r="Z34" i="37"/>
  <c r="Y34" i="37"/>
  <c r="X34" i="37"/>
  <c r="W34" i="37"/>
  <c r="V34" i="37"/>
  <c r="U34" i="37"/>
  <c r="T34" i="37"/>
  <c r="S34" i="37"/>
  <c r="R34" i="37"/>
  <c r="Q34" i="37"/>
  <c r="P34" i="37"/>
  <c r="O34" i="37"/>
  <c r="N34" i="37"/>
  <c r="M34" i="37"/>
  <c r="L34" i="37"/>
  <c r="AF34" i="37" s="1"/>
  <c r="K34" i="37"/>
  <c r="AE34" i="37" s="1"/>
  <c r="J34" i="37"/>
  <c r="AD34" i="37" s="1"/>
  <c r="I34" i="37"/>
  <c r="AC34" i="37" s="1"/>
  <c r="AF33" i="37"/>
  <c r="AE33" i="37"/>
  <c r="AD33" i="37"/>
  <c r="AC33" i="37"/>
  <c r="AB32" i="37"/>
  <c r="AA32" i="37"/>
  <c r="Z32" i="37"/>
  <c r="Y32" i="37"/>
  <c r="X32" i="37"/>
  <c r="W32" i="37"/>
  <c r="V32" i="37"/>
  <c r="U32" i="37"/>
  <c r="T32" i="37"/>
  <c r="S32" i="37"/>
  <c r="R32" i="37"/>
  <c r="Q32" i="37"/>
  <c r="P32" i="37"/>
  <c r="O32" i="37"/>
  <c r="N32" i="37"/>
  <c r="M32" i="37"/>
  <c r="L32" i="37"/>
  <c r="AF32" i="37" s="1"/>
  <c r="K32" i="37"/>
  <c r="AE32" i="37" s="1"/>
  <c r="J32" i="37"/>
  <c r="AD32" i="37" s="1"/>
  <c r="I32" i="37"/>
  <c r="AC32" i="37" s="1"/>
  <c r="AF31" i="37"/>
  <c r="AE31" i="37"/>
  <c r="AD31" i="37"/>
  <c r="AC31" i="37"/>
  <c r="AF30" i="37"/>
  <c r="AE30" i="37"/>
  <c r="AD30" i="37"/>
  <c r="AC30" i="37"/>
  <c r="AB29" i="37"/>
  <c r="AA29" i="37"/>
  <c r="Z29" i="37"/>
  <c r="Y29" i="37"/>
  <c r="X29" i="37"/>
  <c r="W29" i="37"/>
  <c r="V29" i="37"/>
  <c r="U29" i="37"/>
  <c r="T29" i="37"/>
  <c r="S29" i="37"/>
  <c r="R29" i="37"/>
  <c r="Q29" i="37"/>
  <c r="P29" i="37"/>
  <c r="O29" i="37"/>
  <c r="N29" i="37"/>
  <c r="M29" i="37"/>
  <c r="L29" i="37"/>
  <c r="AF29" i="37" s="1"/>
  <c r="K29" i="37"/>
  <c r="AE29" i="37" s="1"/>
  <c r="J29" i="37"/>
  <c r="AD29" i="37" s="1"/>
  <c r="I29" i="37"/>
  <c r="AC29" i="37" s="1"/>
  <c r="AB28" i="37"/>
  <c r="AA28" i="37"/>
  <c r="Z28" i="37"/>
  <c r="Y28" i="37"/>
  <c r="X28" i="37"/>
  <c r="W28" i="37"/>
  <c r="V28" i="37"/>
  <c r="U28" i="37"/>
  <c r="T28" i="37"/>
  <c r="S28" i="37"/>
  <c r="R28" i="37"/>
  <c r="Q28" i="37"/>
  <c r="P28" i="37"/>
  <c r="O28" i="37"/>
  <c r="N28" i="37"/>
  <c r="M28" i="37"/>
  <c r="L28" i="37"/>
  <c r="AF28" i="37" s="1"/>
  <c r="K28" i="37"/>
  <c r="AE28" i="37" s="1"/>
  <c r="J28" i="37"/>
  <c r="AD28" i="37" s="1"/>
  <c r="I28" i="37"/>
  <c r="AC28" i="37" s="1"/>
  <c r="AB27" i="37"/>
  <c r="AA27" i="37"/>
  <c r="Z27" i="37"/>
  <c r="Y27" i="37"/>
  <c r="X27" i="37"/>
  <c r="W27" i="37"/>
  <c r="V27" i="37"/>
  <c r="U27" i="37"/>
  <c r="T27" i="37"/>
  <c r="S27" i="37"/>
  <c r="R27" i="37"/>
  <c r="Q27" i="37"/>
  <c r="P27" i="37"/>
  <c r="O27" i="37"/>
  <c r="N27" i="37"/>
  <c r="M27" i="37"/>
  <c r="L27" i="37"/>
  <c r="AF27" i="37" s="1"/>
  <c r="K27" i="37"/>
  <c r="AE27" i="37" s="1"/>
  <c r="J27" i="37"/>
  <c r="AD27" i="37" s="1"/>
  <c r="I27" i="37"/>
  <c r="AC27" i="37" s="1"/>
  <c r="AF26" i="37"/>
  <c r="AE26" i="37"/>
  <c r="AD26" i="37"/>
  <c r="AC26" i="37"/>
  <c r="AF25" i="37"/>
  <c r="AE25" i="37"/>
  <c r="AD25" i="37"/>
  <c r="AC25" i="37"/>
  <c r="AB24" i="37"/>
  <c r="AA24" i="37"/>
  <c r="Z24" i="37"/>
  <c r="Y24" i="37"/>
  <c r="X24" i="37"/>
  <c r="W24" i="37"/>
  <c r="V24" i="37"/>
  <c r="U24" i="37"/>
  <c r="T24" i="37"/>
  <c r="S24" i="37"/>
  <c r="R24" i="37"/>
  <c r="Q24" i="37"/>
  <c r="P24" i="37"/>
  <c r="O24" i="37"/>
  <c r="N24" i="37"/>
  <c r="M24" i="37"/>
  <c r="L24" i="37"/>
  <c r="AF24" i="37" s="1"/>
  <c r="K24" i="37"/>
  <c r="AE24" i="37" s="1"/>
  <c r="J24" i="37"/>
  <c r="AD24" i="37" s="1"/>
  <c r="I24" i="37"/>
  <c r="AC24" i="37" s="1"/>
  <c r="AF23" i="37"/>
  <c r="AE23" i="37"/>
  <c r="AD23" i="37"/>
  <c r="AC23" i="37"/>
  <c r="AF22" i="37"/>
  <c r="AE22" i="37"/>
  <c r="AD22" i="37"/>
  <c r="AC22" i="37"/>
  <c r="AB21" i="37"/>
  <c r="AA21" i="37"/>
  <c r="Z21" i="37"/>
  <c r="Y21" i="37"/>
  <c r="X21" i="37"/>
  <c r="W21" i="37"/>
  <c r="V21" i="37"/>
  <c r="U21" i="37"/>
  <c r="T21" i="37"/>
  <c r="S21" i="37"/>
  <c r="R21" i="37"/>
  <c r="Q21" i="37"/>
  <c r="P21" i="37"/>
  <c r="AF21" i="37" s="1"/>
  <c r="O21" i="37"/>
  <c r="AE21" i="37" s="1"/>
  <c r="N21" i="37"/>
  <c r="AD21" i="37" s="1"/>
  <c r="M21" i="37"/>
  <c r="AC21" i="37" s="1"/>
  <c r="AB20" i="37"/>
  <c r="AA20" i="37"/>
  <c r="Z20" i="37"/>
  <c r="Y20" i="37"/>
  <c r="X20" i="37"/>
  <c r="W20" i="37"/>
  <c r="V20" i="37"/>
  <c r="U20" i="37"/>
  <c r="T20" i="37"/>
  <c r="S20" i="37"/>
  <c r="R20" i="37"/>
  <c r="Q20" i="37"/>
  <c r="P20" i="37"/>
  <c r="O20" i="37"/>
  <c r="N20" i="37"/>
  <c r="M20" i="37"/>
  <c r="L20" i="37"/>
  <c r="AF20" i="37" s="1"/>
  <c r="K20" i="37"/>
  <c r="AE20" i="37" s="1"/>
  <c r="J20" i="37"/>
  <c r="AD20" i="37" s="1"/>
  <c r="I20" i="37"/>
  <c r="AC20" i="37" s="1"/>
  <c r="AF19" i="37"/>
  <c r="AE19" i="37"/>
  <c r="AD19" i="37"/>
  <c r="AC19" i="37"/>
  <c r="AB18" i="37"/>
  <c r="AA18" i="37"/>
  <c r="Z18" i="37"/>
  <c r="Y18" i="37"/>
  <c r="X18" i="37"/>
  <c r="W18" i="37"/>
  <c r="V18" i="37"/>
  <c r="U18" i="37"/>
  <c r="T18" i="37"/>
  <c r="S18" i="37"/>
  <c r="R18" i="37"/>
  <c r="Q18" i="37"/>
  <c r="P18" i="37"/>
  <c r="O18" i="37"/>
  <c r="N18" i="37"/>
  <c r="M18" i="37"/>
  <c r="L18" i="37"/>
  <c r="AF18" i="37" s="1"/>
  <c r="K18" i="37"/>
  <c r="AE18" i="37" s="1"/>
  <c r="J18" i="37"/>
  <c r="AD18" i="37" s="1"/>
  <c r="I18" i="37"/>
  <c r="AC18" i="37" s="1"/>
  <c r="AF17" i="37"/>
  <c r="AE17" i="37"/>
  <c r="AD17" i="37"/>
  <c r="AC17" i="37"/>
  <c r="AF16" i="37"/>
  <c r="AE16" i="37"/>
  <c r="AD16" i="37"/>
  <c r="AC16" i="37"/>
  <c r="L15" i="37"/>
  <c r="AF15" i="37" s="1"/>
  <c r="K15" i="37"/>
  <c r="AE15" i="37" s="1"/>
  <c r="J15" i="37"/>
  <c r="AD15" i="37" s="1"/>
  <c r="I15" i="37"/>
  <c r="AC15" i="37" s="1"/>
  <c r="AF14" i="37"/>
  <c r="AE14" i="37"/>
  <c r="AD14" i="37"/>
  <c r="AC14" i="37"/>
  <c r="AF13" i="37"/>
  <c r="AE13" i="37"/>
  <c r="AD13" i="37"/>
  <c r="AC13" i="37"/>
  <c r="AB12" i="37"/>
  <c r="AA12" i="37"/>
  <c r="Z12" i="37"/>
  <c r="Y12" i="37"/>
  <c r="X12" i="37"/>
  <c r="W12" i="37"/>
  <c r="V12" i="37"/>
  <c r="U12" i="37"/>
  <c r="T12" i="37"/>
  <c r="S12" i="37"/>
  <c r="R12" i="37"/>
  <c r="Q12" i="37"/>
  <c r="P12" i="37"/>
  <c r="O12" i="37"/>
  <c r="N12" i="37"/>
  <c r="M12" i="37"/>
  <c r="L12" i="37"/>
  <c r="AF12" i="37" s="1"/>
  <c r="K12" i="37"/>
  <c r="AE12" i="37" s="1"/>
  <c r="J12" i="37"/>
  <c r="AD12" i="37" s="1"/>
  <c r="I12" i="37"/>
  <c r="AC12" i="37" s="1"/>
  <c r="AB11" i="37"/>
  <c r="AA11" i="37"/>
  <c r="Z11" i="37"/>
  <c r="Y11" i="37"/>
  <c r="X11" i="37"/>
  <c r="W11" i="37"/>
  <c r="V11" i="37"/>
  <c r="U11" i="37"/>
  <c r="T11" i="37"/>
  <c r="S11" i="37"/>
  <c r="R11" i="37"/>
  <c r="Q11" i="37"/>
  <c r="P11" i="37"/>
  <c r="O11" i="37"/>
  <c r="N11" i="37"/>
  <c r="M11" i="37"/>
  <c r="L11" i="37"/>
  <c r="AF11" i="37" s="1"/>
  <c r="K11" i="37"/>
  <c r="AE11" i="37" s="1"/>
  <c r="J11" i="37"/>
  <c r="AD11" i="37" s="1"/>
  <c r="I11" i="37"/>
  <c r="AC11" i="37" s="1"/>
  <c r="AB10" i="37"/>
  <c r="AA10" i="37"/>
  <c r="Z10" i="37"/>
  <c r="Y10" i="37"/>
  <c r="X10" i="37"/>
  <c r="W10" i="37"/>
  <c r="V10" i="37"/>
  <c r="U10" i="37"/>
  <c r="T10" i="37"/>
  <c r="S10" i="37"/>
  <c r="R10" i="37"/>
  <c r="Q10" i="37"/>
  <c r="P10" i="37"/>
  <c r="O10" i="37"/>
  <c r="N10" i="37"/>
  <c r="M10" i="37"/>
  <c r="L10" i="37"/>
  <c r="AF10" i="37" s="1"/>
  <c r="K10" i="37"/>
  <c r="AE10" i="37" s="1"/>
  <c r="J10" i="37"/>
  <c r="AD10" i="37" s="1"/>
  <c r="I10" i="37"/>
  <c r="AC10" i="37" s="1"/>
  <c r="AB9" i="37"/>
  <c r="AA9" i="37"/>
  <c r="Z9" i="37"/>
  <c r="Y9" i="37"/>
  <c r="X9" i="37"/>
  <c r="W9" i="37"/>
  <c r="V9" i="37"/>
  <c r="U9" i="37"/>
  <c r="T9" i="37"/>
  <c r="S9" i="37"/>
  <c r="R9" i="37"/>
  <c r="Q9" i="37"/>
  <c r="P9" i="37"/>
  <c r="O9" i="37"/>
  <c r="N9" i="37"/>
  <c r="M9" i="37"/>
  <c r="L9" i="37"/>
  <c r="AF9" i="37" s="1"/>
  <c r="K9" i="37"/>
  <c r="AE9" i="37" s="1"/>
  <c r="J9" i="37"/>
  <c r="AD9" i="37" s="1"/>
  <c r="I9" i="37"/>
  <c r="AC9" i="37" s="1"/>
  <c r="AF8" i="37"/>
  <c r="AE8" i="37"/>
  <c r="AD8" i="37"/>
  <c r="AC8" i="37"/>
  <c r="AF7" i="37"/>
  <c r="AE7" i="37"/>
  <c r="AD7" i="37"/>
  <c r="AC7" i="37"/>
  <c r="AB6" i="37"/>
  <c r="AA6" i="37"/>
  <c r="Z6" i="37"/>
  <c r="Y6" i="37"/>
  <c r="X6" i="37"/>
  <c r="W6" i="37"/>
  <c r="V6" i="37"/>
  <c r="U6" i="37"/>
  <c r="T6" i="37"/>
  <c r="S6" i="37"/>
  <c r="R6" i="37"/>
  <c r="Q6" i="37"/>
  <c r="P6" i="37"/>
  <c r="O6" i="37"/>
  <c r="N6" i="37"/>
  <c r="M6" i="37"/>
  <c r="L6" i="37"/>
  <c r="AF6" i="37" s="1"/>
  <c r="K6" i="37"/>
  <c r="AE6" i="37" s="1"/>
  <c r="J6" i="37"/>
  <c r="AD6" i="37" s="1"/>
  <c r="I6" i="37"/>
  <c r="AC6" i="37" s="1"/>
  <c r="AF5" i="37"/>
  <c r="AE5" i="37"/>
  <c r="AD5" i="37"/>
  <c r="AC5" i="37"/>
  <c r="AB4" i="37"/>
  <c r="AA4" i="37"/>
  <c r="Z4" i="37"/>
  <c r="Y4" i="37"/>
  <c r="X4" i="37"/>
  <c r="W4" i="37"/>
  <c r="V4" i="37"/>
  <c r="U4" i="37"/>
  <c r="T4" i="37"/>
  <c r="S4" i="37"/>
  <c r="R4" i="37"/>
  <c r="Q4" i="37"/>
  <c r="P4" i="37"/>
  <c r="O4" i="37"/>
  <c r="N4" i="37"/>
  <c r="M4" i="37"/>
  <c r="L4" i="37"/>
  <c r="AF4" i="37" s="1"/>
  <c r="K4" i="37"/>
  <c r="AE4" i="37" s="1"/>
  <c r="J4" i="37"/>
  <c r="AD4" i="37" s="1"/>
  <c r="I4" i="37"/>
  <c r="AC4" i="37" s="1"/>
  <c r="W716" i="44"/>
  <c r="O716" i="44"/>
  <c r="Q716" i="44" s="1"/>
  <c r="Q710" i="44" s="1"/>
  <c r="W715" i="44"/>
  <c r="O715" i="44"/>
  <c r="W714" i="44"/>
  <c r="O714" i="44"/>
  <c r="W713" i="44"/>
  <c r="O713" i="44"/>
  <c r="W712" i="44"/>
  <c r="O712" i="44"/>
  <c r="V711" i="44"/>
  <c r="U711" i="44"/>
  <c r="U710" i="44" s="1"/>
  <c r="T711" i="44"/>
  <c r="R711" i="44"/>
  <c r="R710" i="44" s="1"/>
  <c r="Q711" i="44"/>
  <c r="P711" i="44"/>
  <c r="P710" i="44" s="1"/>
  <c r="N711" i="44"/>
  <c r="N710" i="44" s="1"/>
  <c r="M711" i="44"/>
  <c r="L711" i="44"/>
  <c r="O711" i="44" s="1"/>
  <c r="V710" i="44"/>
  <c r="W710" i="44" s="1"/>
  <c r="T710" i="44"/>
  <c r="M710" i="44"/>
  <c r="W709" i="44"/>
  <c r="O709" i="44"/>
  <c r="W708" i="44"/>
  <c r="Q708" i="44"/>
  <c r="O708" i="44"/>
  <c r="M707" i="44"/>
  <c r="O707" i="44" s="1"/>
  <c r="U707" i="44" s="1"/>
  <c r="P706" i="44"/>
  <c r="O706" i="44"/>
  <c r="U706" i="44" s="1"/>
  <c r="P705" i="44"/>
  <c r="V705" i="44" s="1"/>
  <c r="O705" i="44"/>
  <c r="U705" i="44" s="1"/>
  <c r="U704" i="44" s="1"/>
  <c r="U703" i="44" s="1"/>
  <c r="T704" i="44"/>
  <c r="T703" i="44" s="1"/>
  <c r="R704" i="44"/>
  <c r="Q704" i="44"/>
  <c r="Q703" i="44" s="1"/>
  <c r="N704" i="44"/>
  <c r="M704" i="44"/>
  <c r="M703" i="44" s="1"/>
  <c r="L704" i="44"/>
  <c r="R703" i="44"/>
  <c r="N703" i="44"/>
  <c r="L703" i="44"/>
  <c r="O703" i="44" s="1"/>
  <c r="W702" i="44"/>
  <c r="O702" i="44"/>
  <c r="V701" i="44"/>
  <c r="W701" i="44" s="1"/>
  <c r="O701" i="44"/>
  <c r="U701" i="44" s="1"/>
  <c r="V700" i="44"/>
  <c r="W700" i="44" s="1"/>
  <c r="O700" i="44"/>
  <c r="U700" i="44" s="1"/>
  <c r="V699" i="44"/>
  <c r="W699" i="44" s="1"/>
  <c r="O699" i="44"/>
  <c r="U699" i="44" s="1"/>
  <c r="U698" i="44" s="1"/>
  <c r="U697" i="44" s="1"/>
  <c r="V698" i="44"/>
  <c r="W698" i="44" s="1"/>
  <c r="T698" i="44"/>
  <c r="T697" i="44" s="1"/>
  <c r="R698" i="44"/>
  <c r="Q698" i="44"/>
  <c r="Q697" i="44" s="1"/>
  <c r="N698" i="44"/>
  <c r="M698" i="44"/>
  <c r="M697" i="44" s="1"/>
  <c r="L698" i="44"/>
  <c r="P698" i="44" s="1"/>
  <c r="P697" i="44" s="1"/>
  <c r="R697" i="44"/>
  <c r="N697" i="44"/>
  <c r="L697" i="44"/>
  <c r="O697" i="44" s="1"/>
  <c r="W696" i="44"/>
  <c r="O696" i="44"/>
  <c r="W695" i="44"/>
  <c r="O695" i="44"/>
  <c r="W694" i="44"/>
  <c r="O694" i="44"/>
  <c r="W693" i="44"/>
  <c r="O693" i="44"/>
  <c r="W692" i="44"/>
  <c r="O692" i="44"/>
  <c r="W691" i="44"/>
  <c r="O691" i="44"/>
  <c r="W690" i="44"/>
  <c r="O690" i="44"/>
  <c r="W689" i="44"/>
  <c r="O689" i="44"/>
  <c r="W688" i="44"/>
  <c r="O688" i="44"/>
  <c r="W687" i="44"/>
  <c r="O687" i="44"/>
  <c r="W686" i="44"/>
  <c r="O686" i="44"/>
  <c r="V685" i="44"/>
  <c r="W685" i="44" s="1"/>
  <c r="U685" i="44"/>
  <c r="T685" i="44"/>
  <c r="T684" i="44" s="1"/>
  <c r="R685" i="44"/>
  <c r="Q685" i="44"/>
  <c r="Q684" i="44" s="1"/>
  <c r="P685" i="44"/>
  <c r="N685" i="44"/>
  <c r="M685" i="44"/>
  <c r="M684" i="44" s="1"/>
  <c r="L685" i="44"/>
  <c r="U684" i="44"/>
  <c r="R684" i="44"/>
  <c r="P684" i="44"/>
  <c r="N684" i="44"/>
  <c r="L684" i="44"/>
  <c r="O684" i="44" s="1"/>
  <c r="W683" i="44"/>
  <c r="O683" i="44"/>
  <c r="W682" i="44"/>
  <c r="O682" i="44"/>
  <c r="W681" i="44"/>
  <c r="O681" i="44"/>
  <c r="W680" i="44"/>
  <c r="O680" i="44"/>
  <c r="W679" i="44"/>
  <c r="O679" i="44"/>
  <c r="W678" i="44"/>
  <c r="O678" i="44"/>
  <c r="W677" i="44"/>
  <c r="O677" i="44"/>
  <c r="W676" i="44"/>
  <c r="O676" i="44"/>
  <c r="W675" i="44"/>
  <c r="O675" i="44"/>
  <c r="W674" i="44"/>
  <c r="O674" i="44"/>
  <c r="W673" i="44"/>
  <c r="O673" i="44"/>
  <c r="V672" i="44"/>
  <c r="W672" i="44" s="1"/>
  <c r="U672" i="44"/>
  <c r="T672" i="44"/>
  <c r="R672" i="44"/>
  <c r="Q672" i="44"/>
  <c r="P672" i="44"/>
  <c r="N672" i="44"/>
  <c r="M672" i="44"/>
  <c r="O672" i="44" s="1"/>
  <c r="L672" i="44"/>
  <c r="W671" i="44"/>
  <c r="O671" i="44"/>
  <c r="W670" i="44"/>
  <c r="O670" i="44"/>
  <c r="W669" i="44"/>
  <c r="O669" i="44"/>
  <c r="W668" i="44"/>
  <c r="O668" i="44"/>
  <c r="W667" i="44"/>
  <c r="O667" i="44"/>
  <c r="W666" i="44"/>
  <c r="O666" i="44"/>
  <c r="W665" i="44"/>
  <c r="O665" i="44"/>
  <c r="W664" i="44"/>
  <c r="O664" i="44"/>
  <c r="W663" i="44"/>
  <c r="O663" i="44"/>
  <c r="W662" i="44"/>
  <c r="O662" i="44"/>
  <c r="W661" i="44"/>
  <c r="O661" i="44"/>
  <c r="V660" i="44"/>
  <c r="U660" i="44"/>
  <c r="U659" i="44" s="1"/>
  <c r="T660" i="44"/>
  <c r="R660" i="44"/>
  <c r="R659" i="44" s="1"/>
  <c r="Q660" i="44"/>
  <c r="P660" i="44"/>
  <c r="P659" i="44" s="1"/>
  <c r="N660" i="44"/>
  <c r="N659" i="44" s="1"/>
  <c r="M660" i="44"/>
  <c r="L660" i="44"/>
  <c r="O660" i="44" s="1"/>
  <c r="V659" i="44"/>
  <c r="W659" i="44" s="1"/>
  <c r="T659" i="44"/>
  <c r="Q659" i="44"/>
  <c r="M659" i="44"/>
  <c r="W658" i="44"/>
  <c r="O658" i="44"/>
  <c r="W657" i="44"/>
  <c r="O657" i="44"/>
  <c r="W656" i="44"/>
  <c r="O656" i="44"/>
  <c r="W655" i="44"/>
  <c r="O655" i="44"/>
  <c r="W654" i="44"/>
  <c r="O654" i="44"/>
  <c r="W653" i="44"/>
  <c r="O653" i="44"/>
  <c r="W652" i="44"/>
  <c r="O652" i="44"/>
  <c r="W651" i="44"/>
  <c r="O651" i="44"/>
  <c r="W650" i="44"/>
  <c r="O650" i="44"/>
  <c r="W649" i="44"/>
  <c r="O649" i="44"/>
  <c r="W648" i="44"/>
  <c r="O648" i="44"/>
  <c r="V647" i="44"/>
  <c r="U647" i="44"/>
  <c r="W647" i="44" s="1"/>
  <c r="T647" i="44"/>
  <c r="R647" i="44"/>
  <c r="Q647" i="44"/>
  <c r="P647" i="44"/>
  <c r="N647" i="44"/>
  <c r="M647" i="44"/>
  <c r="L647" i="44"/>
  <c r="O647" i="44" s="1"/>
  <c r="W646" i="44"/>
  <c r="O646" i="44"/>
  <c r="W645" i="44"/>
  <c r="O645" i="44"/>
  <c r="W644" i="44"/>
  <c r="O644" i="44"/>
  <c r="W643" i="44"/>
  <c r="O643" i="44"/>
  <c r="W642" i="44"/>
  <c r="O642" i="44"/>
  <c r="W641" i="44"/>
  <c r="O641" i="44"/>
  <c r="W640" i="44"/>
  <c r="O640" i="44"/>
  <c r="W639" i="44"/>
  <c r="O639" i="44"/>
  <c r="W638" i="44"/>
  <c r="O638" i="44"/>
  <c r="W637" i="44"/>
  <c r="O637" i="44"/>
  <c r="W636" i="44"/>
  <c r="O636" i="44"/>
  <c r="V635" i="44"/>
  <c r="W635" i="44" s="1"/>
  <c r="U635" i="44"/>
  <c r="T635" i="44"/>
  <c r="R635" i="44"/>
  <c r="Q635" i="44"/>
  <c r="P635" i="44"/>
  <c r="N635" i="44"/>
  <c r="M635" i="44"/>
  <c r="O635" i="44" s="1"/>
  <c r="L635" i="44"/>
  <c r="W634" i="44"/>
  <c r="O634" i="44"/>
  <c r="W633" i="44"/>
  <c r="O633" i="44"/>
  <c r="W632" i="44"/>
  <c r="O632" i="44"/>
  <c r="W631" i="44"/>
  <c r="O631" i="44"/>
  <c r="W630" i="44"/>
  <c r="O630" i="44"/>
  <c r="W629" i="44"/>
  <c r="O629" i="44"/>
  <c r="W628" i="44"/>
  <c r="O628" i="44"/>
  <c r="W627" i="44"/>
  <c r="O627" i="44"/>
  <c r="W626" i="44"/>
  <c r="O626" i="44"/>
  <c r="W625" i="44"/>
  <c r="O625" i="44"/>
  <c r="W624" i="44"/>
  <c r="O624" i="44"/>
  <c r="V623" i="44"/>
  <c r="U623" i="44"/>
  <c r="U622" i="44" s="1"/>
  <c r="T623" i="44"/>
  <c r="R623" i="44"/>
  <c r="R622" i="44" s="1"/>
  <c r="Q623" i="44"/>
  <c r="P623" i="44"/>
  <c r="P622" i="44" s="1"/>
  <c r="N623" i="44"/>
  <c r="N622" i="44" s="1"/>
  <c r="M623" i="44"/>
  <c r="L623" i="44"/>
  <c r="O623" i="44" s="1"/>
  <c r="V622" i="44"/>
  <c r="W622" i="44" s="1"/>
  <c r="T622" i="44"/>
  <c r="Q622" i="44"/>
  <c r="M622" i="44"/>
  <c r="W621" i="44"/>
  <c r="O621" i="44"/>
  <c r="W620" i="44"/>
  <c r="O620" i="44"/>
  <c r="W619" i="44"/>
  <c r="O619" i="44"/>
  <c r="W618" i="44"/>
  <c r="O618" i="44"/>
  <c r="W617" i="44"/>
  <c r="O617" i="44"/>
  <c r="W616" i="44"/>
  <c r="O616" i="44"/>
  <c r="W615" i="44"/>
  <c r="O615" i="44"/>
  <c r="W614" i="44"/>
  <c r="O614" i="44"/>
  <c r="W613" i="44"/>
  <c r="O613" i="44"/>
  <c r="W612" i="44"/>
  <c r="O612" i="44"/>
  <c r="W611" i="44"/>
  <c r="O611" i="44"/>
  <c r="V610" i="44"/>
  <c r="U610" i="44"/>
  <c r="W610" i="44" s="1"/>
  <c r="T610" i="44"/>
  <c r="R610" i="44"/>
  <c r="Q610" i="44"/>
  <c r="P610" i="44"/>
  <c r="P597" i="44" s="1"/>
  <c r="P571" i="44" s="1"/>
  <c r="P570" i="44" s="1"/>
  <c r="N610" i="44"/>
  <c r="M610" i="44"/>
  <c r="L610" i="44"/>
  <c r="O610" i="44" s="1"/>
  <c r="W609" i="44"/>
  <c r="O609" i="44"/>
  <c r="W608" i="44"/>
  <c r="O608" i="44"/>
  <c r="W607" i="44"/>
  <c r="O607" i="44"/>
  <c r="W606" i="44"/>
  <c r="O606" i="44"/>
  <c r="W605" i="44"/>
  <c r="O605" i="44"/>
  <c r="W604" i="44"/>
  <c r="O604" i="44"/>
  <c r="W603" i="44"/>
  <c r="O603" i="44"/>
  <c r="W602" i="44"/>
  <c r="O602" i="44"/>
  <c r="W601" i="44"/>
  <c r="O601" i="44"/>
  <c r="W600" i="44"/>
  <c r="O600" i="44"/>
  <c r="W599" i="44"/>
  <c r="O599" i="44"/>
  <c r="V598" i="44"/>
  <c r="U598" i="44"/>
  <c r="T598" i="44"/>
  <c r="T597" i="44" s="1"/>
  <c r="R598" i="44"/>
  <c r="Q598" i="44"/>
  <c r="Q597" i="44" s="1"/>
  <c r="P598" i="44"/>
  <c r="N598" i="44"/>
  <c r="M598" i="44"/>
  <c r="M597" i="44" s="1"/>
  <c r="L598" i="44"/>
  <c r="U597" i="44"/>
  <c r="R597" i="44"/>
  <c r="N597" i="44"/>
  <c r="L597" i="44"/>
  <c r="W596" i="44"/>
  <c r="O596" i="44"/>
  <c r="W595" i="44"/>
  <c r="O595" i="44"/>
  <c r="W594" i="44"/>
  <c r="O594" i="44"/>
  <c r="W593" i="44"/>
  <c r="O593" i="44"/>
  <c r="W592" i="44"/>
  <c r="O592" i="44"/>
  <c r="W591" i="44"/>
  <c r="O591" i="44"/>
  <c r="W590" i="44"/>
  <c r="O590" i="44"/>
  <c r="W589" i="44"/>
  <c r="O589" i="44"/>
  <c r="W588" i="44"/>
  <c r="O588" i="44"/>
  <c r="W587" i="44"/>
  <c r="O587" i="44"/>
  <c r="W586" i="44"/>
  <c r="O586" i="44"/>
  <c r="V585" i="44"/>
  <c r="W585" i="44" s="1"/>
  <c r="U585" i="44"/>
  <c r="T585" i="44"/>
  <c r="T572" i="44" s="1"/>
  <c r="R585" i="44"/>
  <c r="Q585" i="44"/>
  <c r="P585" i="44"/>
  <c r="N585" i="44"/>
  <c r="M585" i="44"/>
  <c r="O585" i="44" s="1"/>
  <c r="L585" i="44"/>
  <c r="W584" i="44"/>
  <c r="O584" i="44"/>
  <c r="W583" i="44"/>
  <c r="O583" i="44"/>
  <c r="W582" i="44"/>
  <c r="O582" i="44"/>
  <c r="W581" i="44"/>
  <c r="O581" i="44"/>
  <c r="W580" i="44"/>
  <c r="O580" i="44"/>
  <c r="W579" i="44"/>
  <c r="O579" i="44"/>
  <c r="W578" i="44"/>
  <c r="O578" i="44"/>
  <c r="W577" i="44"/>
  <c r="O577" i="44"/>
  <c r="W576" i="44"/>
  <c r="O576" i="44"/>
  <c r="W575" i="44"/>
  <c r="O575" i="44"/>
  <c r="W574" i="44"/>
  <c r="O574" i="44"/>
  <c r="V573" i="44"/>
  <c r="U573" i="44"/>
  <c r="U572" i="44" s="1"/>
  <c r="T573" i="44"/>
  <c r="R573" i="44"/>
  <c r="R572" i="44" s="1"/>
  <c r="Q573" i="44"/>
  <c r="P573" i="44"/>
  <c r="P572" i="44" s="1"/>
  <c r="N573" i="44"/>
  <c r="N572" i="44" s="1"/>
  <c r="M573" i="44"/>
  <c r="L573" i="44"/>
  <c r="V572" i="44"/>
  <c r="Q572" i="44"/>
  <c r="Q571" i="44" s="1"/>
  <c r="Q570" i="44" s="1"/>
  <c r="M572" i="44"/>
  <c r="U571" i="44"/>
  <c r="U570" i="44" s="1"/>
  <c r="W569" i="44"/>
  <c r="O569" i="44"/>
  <c r="W568" i="44"/>
  <c r="O568" i="44"/>
  <c r="W567" i="44"/>
  <c r="O567" i="44"/>
  <c r="W566" i="44"/>
  <c r="O566" i="44"/>
  <c r="W565" i="44"/>
  <c r="O565" i="44"/>
  <c r="W564" i="44"/>
  <c r="O564" i="44"/>
  <c r="W563" i="44"/>
  <c r="O563" i="44"/>
  <c r="W562" i="44"/>
  <c r="O562" i="44"/>
  <c r="W561" i="44"/>
  <c r="O561" i="44"/>
  <c r="W560" i="44"/>
  <c r="O560" i="44"/>
  <c r="W559" i="44"/>
  <c r="O559" i="44"/>
  <c r="V558" i="44"/>
  <c r="U558" i="44"/>
  <c r="W558" i="44" s="1"/>
  <c r="T558" i="44"/>
  <c r="R558" i="44"/>
  <c r="Q558" i="44"/>
  <c r="P558" i="44"/>
  <c r="N558" i="44"/>
  <c r="M558" i="44"/>
  <c r="L558" i="44"/>
  <c r="W557" i="44"/>
  <c r="O557" i="44"/>
  <c r="W556" i="44"/>
  <c r="O556" i="44"/>
  <c r="W555" i="44"/>
  <c r="O555" i="44"/>
  <c r="W554" i="44"/>
  <c r="O554" i="44"/>
  <c r="W553" i="44"/>
  <c r="O553" i="44"/>
  <c r="W552" i="44"/>
  <c r="O552" i="44"/>
  <c r="W551" i="44"/>
  <c r="O551" i="44"/>
  <c r="W550" i="44"/>
  <c r="O550" i="44"/>
  <c r="W549" i="44"/>
  <c r="O549" i="44"/>
  <c r="W548" i="44"/>
  <c r="O548" i="44"/>
  <c r="W547" i="44"/>
  <c r="O547" i="44"/>
  <c r="V546" i="44"/>
  <c r="U546" i="44"/>
  <c r="W546" i="44" s="1"/>
  <c r="T546" i="44"/>
  <c r="R546" i="44"/>
  <c r="Q546" i="44"/>
  <c r="P546" i="44"/>
  <c r="N546" i="44"/>
  <c r="M546" i="44"/>
  <c r="L546" i="44"/>
  <c r="O546" i="44" s="1"/>
  <c r="W545" i="44"/>
  <c r="O545" i="44"/>
  <c r="W544" i="44"/>
  <c r="O544" i="44"/>
  <c r="W543" i="44"/>
  <c r="O543" i="44"/>
  <c r="W542" i="44"/>
  <c r="O542" i="44"/>
  <c r="W541" i="44"/>
  <c r="O541" i="44"/>
  <c r="W540" i="44"/>
  <c r="O540" i="44"/>
  <c r="W539" i="44"/>
  <c r="O539" i="44"/>
  <c r="W538" i="44"/>
  <c r="O538" i="44"/>
  <c r="W537" i="44"/>
  <c r="O537" i="44"/>
  <c r="W536" i="44"/>
  <c r="O536" i="44"/>
  <c r="W535" i="44"/>
  <c r="O535" i="44"/>
  <c r="V534" i="44"/>
  <c r="W534" i="44" s="1"/>
  <c r="U534" i="44"/>
  <c r="T534" i="44"/>
  <c r="R534" i="44"/>
  <c r="Q534" i="44"/>
  <c r="P534" i="44"/>
  <c r="N534" i="44"/>
  <c r="M534" i="44"/>
  <c r="O534" i="44" s="1"/>
  <c r="L534" i="44"/>
  <c r="W533" i="44"/>
  <c r="O533" i="44"/>
  <c r="W532" i="44"/>
  <c r="O532" i="44"/>
  <c r="W531" i="44"/>
  <c r="O531" i="44"/>
  <c r="W530" i="44"/>
  <c r="O530" i="44"/>
  <c r="W529" i="44"/>
  <c r="O529" i="44"/>
  <c r="W528" i="44"/>
  <c r="O528" i="44"/>
  <c r="W527" i="44"/>
  <c r="O527" i="44"/>
  <c r="W526" i="44"/>
  <c r="O526" i="44"/>
  <c r="W525" i="44"/>
  <c r="O525" i="44"/>
  <c r="W524" i="44"/>
  <c r="O524" i="44"/>
  <c r="W523" i="44"/>
  <c r="O523" i="44"/>
  <c r="V522" i="44"/>
  <c r="U522" i="44"/>
  <c r="W522" i="44" s="1"/>
  <c r="T522" i="44"/>
  <c r="R522" i="44"/>
  <c r="Q522" i="44"/>
  <c r="P522" i="44"/>
  <c r="N522" i="44"/>
  <c r="M522" i="44"/>
  <c r="L522" i="44"/>
  <c r="O522" i="44" s="1"/>
  <c r="W521" i="44"/>
  <c r="O521" i="44"/>
  <c r="W520" i="44"/>
  <c r="O520" i="44"/>
  <c r="W519" i="44"/>
  <c r="O519" i="44"/>
  <c r="W518" i="44"/>
  <c r="O518" i="44"/>
  <c r="W517" i="44"/>
  <c r="O517" i="44"/>
  <c r="W516" i="44"/>
  <c r="O516" i="44"/>
  <c r="W515" i="44"/>
  <c r="O515" i="44"/>
  <c r="W514" i="44"/>
  <c r="O514" i="44"/>
  <c r="W513" i="44"/>
  <c r="O513" i="44"/>
  <c r="W512" i="44"/>
  <c r="O512" i="44"/>
  <c r="W511" i="44"/>
  <c r="O511" i="44"/>
  <c r="V510" i="44"/>
  <c r="W510" i="44" s="1"/>
  <c r="U510" i="44"/>
  <c r="T510" i="44"/>
  <c r="R510" i="44"/>
  <c r="Q510" i="44"/>
  <c r="P510" i="44"/>
  <c r="N510" i="44"/>
  <c r="M510" i="44"/>
  <c r="O510" i="44" s="1"/>
  <c r="L510" i="44"/>
  <c r="W509" i="44"/>
  <c r="O509" i="44"/>
  <c r="W508" i="44"/>
  <c r="O508" i="44"/>
  <c r="W507" i="44"/>
  <c r="O507" i="44"/>
  <c r="W506" i="44"/>
  <c r="O506" i="44"/>
  <c r="W505" i="44"/>
  <c r="O505" i="44"/>
  <c r="W504" i="44"/>
  <c r="O504" i="44"/>
  <c r="W503" i="44"/>
  <c r="O503" i="44"/>
  <c r="W502" i="44"/>
  <c r="O502" i="44"/>
  <c r="W501" i="44"/>
  <c r="O501" i="44"/>
  <c r="W500" i="44"/>
  <c r="O500" i="44"/>
  <c r="W499" i="44"/>
  <c r="O499" i="44"/>
  <c r="V498" i="44"/>
  <c r="U498" i="44"/>
  <c r="W498" i="44" s="1"/>
  <c r="T498" i="44"/>
  <c r="R498" i="44"/>
  <c r="Q498" i="44"/>
  <c r="P498" i="44"/>
  <c r="N498" i="44"/>
  <c r="N485" i="44" s="1"/>
  <c r="N484" i="44" s="1"/>
  <c r="M498" i="44"/>
  <c r="L498" i="44"/>
  <c r="O498" i="44" s="1"/>
  <c r="W497" i="44"/>
  <c r="O497" i="44"/>
  <c r="W496" i="44"/>
  <c r="O496" i="44"/>
  <c r="W495" i="44"/>
  <c r="O495" i="44"/>
  <c r="W494" i="44"/>
  <c r="O494" i="44"/>
  <c r="W493" i="44"/>
  <c r="O493" i="44"/>
  <c r="W492" i="44"/>
  <c r="O492" i="44"/>
  <c r="W491" i="44"/>
  <c r="O491" i="44"/>
  <c r="W490" i="44"/>
  <c r="O490" i="44"/>
  <c r="W489" i="44"/>
  <c r="O489" i="44"/>
  <c r="W488" i="44"/>
  <c r="O488" i="44"/>
  <c r="W487" i="44"/>
  <c r="O487" i="44"/>
  <c r="V486" i="44"/>
  <c r="U486" i="44"/>
  <c r="T486" i="44"/>
  <c r="T485" i="44" s="1"/>
  <c r="R486" i="44"/>
  <c r="Q486" i="44"/>
  <c r="Q485" i="44" s="1"/>
  <c r="P486" i="44"/>
  <c r="N486" i="44"/>
  <c r="M486" i="44"/>
  <c r="M485" i="44" s="1"/>
  <c r="L486" i="44"/>
  <c r="U485" i="44"/>
  <c r="U484" i="44" s="1"/>
  <c r="R485" i="44"/>
  <c r="R484" i="44" s="1"/>
  <c r="P485" i="44"/>
  <c r="P484" i="44" s="1"/>
  <c r="L485" i="44"/>
  <c r="T484" i="44"/>
  <c r="Q484" i="44"/>
  <c r="M484" i="44"/>
  <c r="W483" i="44"/>
  <c r="O483" i="44"/>
  <c r="W482" i="44"/>
  <c r="O482" i="44"/>
  <c r="W481" i="44"/>
  <c r="O481" i="44"/>
  <c r="W480" i="44"/>
  <c r="O480" i="44"/>
  <c r="W479" i="44"/>
  <c r="O479" i="44"/>
  <c r="W478" i="44"/>
  <c r="O478" i="44"/>
  <c r="W477" i="44"/>
  <c r="O477" i="44"/>
  <c r="W476" i="44"/>
  <c r="O476" i="44"/>
  <c r="W475" i="44"/>
  <c r="O475" i="44"/>
  <c r="W474" i="44"/>
  <c r="O474" i="44"/>
  <c r="W473" i="44"/>
  <c r="O473" i="44"/>
  <c r="V472" i="44"/>
  <c r="U472" i="44"/>
  <c r="W472" i="44" s="1"/>
  <c r="T472" i="44"/>
  <c r="R472" i="44"/>
  <c r="Q472" i="44"/>
  <c r="P472" i="44"/>
  <c r="N472" i="44"/>
  <c r="M472" i="44"/>
  <c r="L472" i="44"/>
  <c r="O472" i="44" s="1"/>
  <c r="W471" i="44"/>
  <c r="O471" i="44"/>
  <c r="W470" i="44"/>
  <c r="O470" i="44"/>
  <c r="W469" i="44"/>
  <c r="O469" i="44"/>
  <c r="W468" i="44"/>
  <c r="O468" i="44"/>
  <c r="W467" i="44"/>
  <c r="O467" i="44"/>
  <c r="W466" i="44"/>
  <c r="O466" i="44"/>
  <c r="W465" i="44"/>
  <c r="O465" i="44"/>
  <c r="W464" i="44"/>
  <c r="O464" i="44"/>
  <c r="W463" i="44"/>
  <c r="O463" i="44"/>
  <c r="W462" i="44"/>
  <c r="O462" i="44"/>
  <c r="W461" i="44"/>
  <c r="O461" i="44"/>
  <c r="V460" i="44"/>
  <c r="W460" i="44" s="1"/>
  <c r="U460" i="44"/>
  <c r="T460" i="44"/>
  <c r="R460" i="44"/>
  <c r="Q460" i="44"/>
  <c r="P460" i="44"/>
  <c r="N460" i="44"/>
  <c r="M460" i="44"/>
  <c r="O460" i="44" s="1"/>
  <c r="L460" i="44"/>
  <c r="W459" i="44"/>
  <c r="O459" i="44"/>
  <c r="W458" i="44"/>
  <c r="O458" i="44"/>
  <c r="W457" i="44"/>
  <c r="O457" i="44"/>
  <c r="W456" i="44"/>
  <c r="O456" i="44"/>
  <c r="W455" i="44"/>
  <c r="O455" i="44"/>
  <c r="W454" i="44"/>
  <c r="O454" i="44"/>
  <c r="W453" i="44"/>
  <c r="O453" i="44"/>
  <c r="W452" i="44"/>
  <c r="O452" i="44"/>
  <c r="W451" i="44"/>
  <c r="O451" i="44"/>
  <c r="W450" i="44"/>
  <c r="O450" i="44"/>
  <c r="W449" i="44"/>
  <c r="O449" i="44"/>
  <c r="V448" i="44"/>
  <c r="U448" i="44"/>
  <c r="W448" i="44" s="1"/>
  <c r="T448" i="44"/>
  <c r="R448" i="44"/>
  <c r="Q448" i="44"/>
  <c r="P448" i="44"/>
  <c r="N448" i="44"/>
  <c r="M448" i="44"/>
  <c r="L448" i="44"/>
  <c r="O448" i="44" s="1"/>
  <c r="W447" i="44"/>
  <c r="O447" i="44"/>
  <c r="W446" i="44"/>
  <c r="O446" i="44"/>
  <c r="W445" i="44"/>
  <c r="O445" i="44"/>
  <c r="W444" i="44"/>
  <c r="O444" i="44"/>
  <c r="W443" i="44"/>
  <c r="O443" i="44"/>
  <c r="W442" i="44"/>
  <c r="O442" i="44"/>
  <c r="W441" i="44"/>
  <c r="O441" i="44"/>
  <c r="W440" i="44"/>
  <c r="O440" i="44"/>
  <c r="W439" i="44"/>
  <c r="O439" i="44"/>
  <c r="W438" i="44"/>
  <c r="O438" i="44"/>
  <c r="W437" i="44"/>
  <c r="O437" i="44"/>
  <c r="V436" i="44"/>
  <c r="W436" i="44" s="1"/>
  <c r="U436" i="44"/>
  <c r="T436" i="44"/>
  <c r="T423" i="44" s="1"/>
  <c r="T422" i="44" s="1"/>
  <c r="R436" i="44"/>
  <c r="Q436" i="44"/>
  <c r="P436" i="44"/>
  <c r="N436" i="44"/>
  <c r="M436" i="44"/>
  <c r="O436" i="44" s="1"/>
  <c r="L436" i="44"/>
  <c r="W435" i="44"/>
  <c r="O435" i="44"/>
  <c r="W434" i="44"/>
  <c r="O434" i="44"/>
  <c r="W433" i="44"/>
  <c r="O433" i="44"/>
  <c r="W432" i="44"/>
  <c r="O432" i="44"/>
  <c r="W431" i="44"/>
  <c r="O431" i="44"/>
  <c r="W430" i="44"/>
  <c r="O430" i="44"/>
  <c r="W429" i="44"/>
  <c r="O429" i="44"/>
  <c r="W428" i="44"/>
  <c r="O428" i="44"/>
  <c r="W427" i="44"/>
  <c r="O427" i="44"/>
  <c r="W426" i="44"/>
  <c r="O426" i="44"/>
  <c r="W425" i="44"/>
  <c r="O425" i="44"/>
  <c r="V424" i="44"/>
  <c r="U424" i="44"/>
  <c r="U423" i="44" s="1"/>
  <c r="T424" i="44"/>
  <c r="R424" i="44"/>
  <c r="R423" i="44" s="1"/>
  <c r="R422" i="44" s="1"/>
  <c r="Q424" i="44"/>
  <c r="P424" i="44"/>
  <c r="P423" i="44" s="1"/>
  <c r="N424" i="44"/>
  <c r="N423" i="44" s="1"/>
  <c r="M424" i="44"/>
  <c r="L424" i="44"/>
  <c r="V423" i="44"/>
  <c r="Q423" i="44"/>
  <c r="Q422" i="44" s="1"/>
  <c r="M423" i="44"/>
  <c r="M422" i="44" s="1"/>
  <c r="U422" i="44"/>
  <c r="P422" i="44"/>
  <c r="N422" i="44"/>
  <c r="W421" i="44"/>
  <c r="O421" i="44"/>
  <c r="W420" i="44"/>
  <c r="O420" i="44"/>
  <c r="W419" i="44"/>
  <c r="O419" i="44"/>
  <c r="W418" i="44"/>
  <c r="O418" i="44"/>
  <c r="W417" i="44"/>
  <c r="O417" i="44"/>
  <c r="W416" i="44"/>
  <c r="O416" i="44"/>
  <c r="W415" i="44"/>
  <c r="O415" i="44"/>
  <c r="W414" i="44"/>
  <c r="O414" i="44"/>
  <c r="W413" i="44"/>
  <c r="O413" i="44"/>
  <c r="W412" i="44"/>
  <c r="O412" i="44"/>
  <c r="W411" i="44"/>
  <c r="O411" i="44"/>
  <c r="V410" i="44"/>
  <c r="W410" i="44" s="1"/>
  <c r="U410" i="44"/>
  <c r="T410" i="44"/>
  <c r="R410" i="44"/>
  <c r="Q410" i="44"/>
  <c r="P410" i="44"/>
  <c r="N410" i="44"/>
  <c r="M410" i="44"/>
  <c r="O410" i="44" s="1"/>
  <c r="L410" i="44"/>
  <c r="W409" i="44"/>
  <c r="O409" i="44"/>
  <c r="W408" i="44"/>
  <c r="O408" i="44"/>
  <c r="W407" i="44"/>
  <c r="O407" i="44"/>
  <c r="W406" i="44"/>
  <c r="O406" i="44"/>
  <c r="W405" i="44"/>
  <c r="O405" i="44"/>
  <c r="W404" i="44"/>
  <c r="O404" i="44"/>
  <c r="W403" i="44"/>
  <c r="O403" i="44"/>
  <c r="W402" i="44"/>
  <c r="O402" i="44"/>
  <c r="W401" i="44"/>
  <c r="O401" i="44"/>
  <c r="W400" i="44"/>
  <c r="O400" i="44"/>
  <c r="W399" i="44"/>
  <c r="O399" i="44"/>
  <c r="V398" i="44"/>
  <c r="U398" i="44"/>
  <c r="U397" i="44" s="1"/>
  <c r="T398" i="44"/>
  <c r="R398" i="44"/>
  <c r="R397" i="44" s="1"/>
  <c r="Q398" i="44"/>
  <c r="P398" i="44"/>
  <c r="P397" i="44" s="1"/>
  <c r="N398" i="44"/>
  <c r="N397" i="44" s="1"/>
  <c r="M398" i="44"/>
  <c r="L398" i="44"/>
  <c r="V397" i="44"/>
  <c r="W397" i="44" s="1"/>
  <c r="T397" i="44"/>
  <c r="Q397" i="44"/>
  <c r="M397" i="44"/>
  <c r="W396" i="44"/>
  <c r="O396" i="44"/>
  <c r="W395" i="44"/>
  <c r="O395" i="44"/>
  <c r="W394" i="44"/>
  <c r="O394" i="44"/>
  <c r="W393" i="44"/>
  <c r="O393" i="44"/>
  <c r="W392" i="44"/>
  <c r="O392" i="44"/>
  <c r="W391" i="44"/>
  <c r="O391" i="44"/>
  <c r="W390" i="44"/>
  <c r="O390" i="44"/>
  <c r="W389" i="44"/>
  <c r="O389" i="44"/>
  <c r="W388" i="44"/>
  <c r="O388" i="44"/>
  <c r="W387" i="44"/>
  <c r="O387" i="44"/>
  <c r="W386" i="44"/>
  <c r="O386" i="44"/>
  <c r="V385" i="44"/>
  <c r="U385" i="44"/>
  <c r="U372" i="44" s="1"/>
  <c r="U321" i="44" s="1"/>
  <c r="U320" i="44" s="1"/>
  <c r="U319" i="44" s="1"/>
  <c r="T385" i="44"/>
  <c r="R385" i="44"/>
  <c r="Q385" i="44"/>
  <c r="P385" i="44"/>
  <c r="P372" i="44" s="1"/>
  <c r="P321" i="44" s="1"/>
  <c r="P320" i="44" s="1"/>
  <c r="P319" i="44" s="1"/>
  <c r="N385" i="44"/>
  <c r="M385" i="44"/>
  <c r="L385" i="44"/>
  <c r="O385" i="44" s="1"/>
  <c r="W384" i="44"/>
  <c r="O384" i="44"/>
  <c r="W383" i="44"/>
  <c r="O383" i="44"/>
  <c r="W382" i="44"/>
  <c r="O382" i="44"/>
  <c r="W381" i="44"/>
  <c r="O381" i="44"/>
  <c r="W380" i="44"/>
  <c r="O380" i="44"/>
  <c r="W379" i="44"/>
  <c r="O379" i="44"/>
  <c r="W378" i="44"/>
  <c r="O378" i="44"/>
  <c r="W377" i="44"/>
  <c r="O377" i="44"/>
  <c r="W376" i="44"/>
  <c r="O376" i="44"/>
  <c r="W375" i="44"/>
  <c r="O375" i="44"/>
  <c r="W374" i="44"/>
  <c r="O374" i="44"/>
  <c r="V373" i="44"/>
  <c r="U373" i="44"/>
  <c r="T373" i="44"/>
  <c r="T372" i="44" s="1"/>
  <c r="R373" i="44"/>
  <c r="Q373" i="44"/>
  <c r="Q372" i="44" s="1"/>
  <c r="P373" i="44"/>
  <c r="N373" i="44"/>
  <c r="M373" i="44"/>
  <c r="M372" i="44" s="1"/>
  <c r="L373" i="44"/>
  <c r="R372" i="44"/>
  <c r="N372" i="44"/>
  <c r="N321" i="44" s="1"/>
  <c r="N320" i="44" s="1"/>
  <c r="L372" i="44"/>
  <c r="W371" i="44"/>
  <c r="O371" i="44"/>
  <c r="W370" i="44"/>
  <c r="O370" i="44"/>
  <c r="W369" i="44"/>
  <c r="O369" i="44"/>
  <c r="W368" i="44"/>
  <c r="O368" i="44"/>
  <c r="W367" i="44"/>
  <c r="O367" i="44"/>
  <c r="W366" i="44"/>
  <c r="O366" i="44"/>
  <c r="W365" i="44"/>
  <c r="O365" i="44"/>
  <c r="W364" i="44"/>
  <c r="O364" i="44"/>
  <c r="W363" i="44"/>
  <c r="O363" i="44"/>
  <c r="W362" i="44"/>
  <c r="O362" i="44"/>
  <c r="W361" i="44"/>
  <c r="O361" i="44"/>
  <c r="V360" i="44"/>
  <c r="W360" i="44" s="1"/>
  <c r="U360" i="44"/>
  <c r="T360" i="44"/>
  <c r="T347" i="44" s="1"/>
  <c r="R360" i="44"/>
  <c r="Q360" i="44"/>
  <c r="P360" i="44"/>
  <c r="N360" i="44"/>
  <c r="M360" i="44"/>
  <c r="O360" i="44" s="1"/>
  <c r="L360" i="44"/>
  <c r="W359" i="44"/>
  <c r="O359" i="44"/>
  <c r="W358" i="44"/>
  <c r="O358" i="44"/>
  <c r="W357" i="44"/>
  <c r="O357" i="44"/>
  <c r="W356" i="44"/>
  <c r="O356" i="44"/>
  <c r="W355" i="44"/>
  <c r="O355" i="44"/>
  <c r="W354" i="44"/>
  <c r="O354" i="44"/>
  <c r="W353" i="44"/>
  <c r="O353" i="44"/>
  <c r="W352" i="44"/>
  <c r="O352" i="44"/>
  <c r="W351" i="44"/>
  <c r="O351" i="44"/>
  <c r="W350" i="44"/>
  <c r="O350" i="44"/>
  <c r="W349" i="44"/>
  <c r="O349" i="44"/>
  <c r="V348" i="44"/>
  <c r="U348" i="44"/>
  <c r="U347" i="44" s="1"/>
  <c r="T348" i="44"/>
  <c r="R348" i="44"/>
  <c r="R347" i="44" s="1"/>
  <c r="R321" i="44" s="1"/>
  <c r="R320" i="44" s="1"/>
  <c r="Q348" i="44"/>
  <c r="P348" i="44"/>
  <c r="P347" i="44" s="1"/>
  <c r="N348" i="44"/>
  <c r="N347" i="44" s="1"/>
  <c r="M348" i="44"/>
  <c r="L348" i="44"/>
  <c r="V347" i="44"/>
  <c r="W347" i="44" s="1"/>
  <c r="Q347" i="44"/>
  <c r="M347" i="44"/>
  <c r="W346" i="44"/>
  <c r="O346" i="44"/>
  <c r="W345" i="44"/>
  <c r="O345" i="44"/>
  <c r="W344" i="44"/>
  <c r="O344" i="44"/>
  <c r="W343" i="44"/>
  <c r="O343" i="44"/>
  <c r="W342" i="44"/>
  <c r="O342" i="44"/>
  <c r="W341" i="44"/>
  <c r="O341" i="44"/>
  <c r="W340" i="44"/>
  <c r="O340" i="44"/>
  <c r="W339" i="44"/>
  <c r="O339" i="44"/>
  <c r="W338" i="44"/>
  <c r="O338" i="44"/>
  <c r="W337" i="44"/>
  <c r="O337" i="44"/>
  <c r="W336" i="44"/>
  <c r="O336" i="44"/>
  <c r="V335" i="44"/>
  <c r="U335" i="44"/>
  <c r="W335" i="44" s="1"/>
  <c r="T335" i="44"/>
  <c r="R335" i="44"/>
  <c r="Q335" i="44"/>
  <c r="P335" i="44"/>
  <c r="N335" i="44"/>
  <c r="M335" i="44"/>
  <c r="L335" i="44"/>
  <c r="O335" i="44" s="1"/>
  <c r="W334" i="44"/>
  <c r="O334" i="44"/>
  <c r="W333" i="44"/>
  <c r="O333" i="44"/>
  <c r="W332" i="44"/>
  <c r="O332" i="44"/>
  <c r="W331" i="44"/>
  <c r="O331" i="44"/>
  <c r="W330" i="44"/>
  <c r="O330" i="44"/>
  <c r="W329" i="44"/>
  <c r="O329" i="44"/>
  <c r="W328" i="44"/>
  <c r="O328" i="44"/>
  <c r="W327" i="44"/>
  <c r="O327" i="44"/>
  <c r="W326" i="44"/>
  <c r="O326" i="44"/>
  <c r="W325" i="44"/>
  <c r="O325" i="44"/>
  <c r="W324" i="44"/>
  <c r="O324" i="44"/>
  <c r="W323" i="44"/>
  <c r="O323" i="44"/>
  <c r="V322" i="44"/>
  <c r="U322" i="44"/>
  <c r="T322" i="44"/>
  <c r="R322" i="44"/>
  <c r="Q322" i="44"/>
  <c r="P322" i="44"/>
  <c r="N322" i="44"/>
  <c r="M322" i="44"/>
  <c r="L322" i="44"/>
  <c r="W318" i="44"/>
  <c r="O318" i="44"/>
  <c r="W317" i="44"/>
  <c r="O317" i="44"/>
  <c r="W316" i="44"/>
  <c r="O316" i="44"/>
  <c r="W315" i="44"/>
  <c r="O315" i="44"/>
  <c r="W314" i="44"/>
  <c r="O314" i="44"/>
  <c r="W313" i="44"/>
  <c r="O313" i="44"/>
  <c r="W312" i="44"/>
  <c r="O312" i="44"/>
  <c r="W311" i="44"/>
  <c r="O311" i="44"/>
  <c r="W310" i="44"/>
  <c r="O310" i="44"/>
  <c r="W309" i="44"/>
  <c r="O309" i="44"/>
  <c r="W308" i="44"/>
  <c r="O308" i="44"/>
  <c r="V307" i="44"/>
  <c r="U307" i="44"/>
  <c r="T307" i="44"/>
  <c r="T306" i="44" s="1"/>
  <c r="R307" i="44"/>
  <c r="Q307" i="44"/>
  <c r="Q306" i="44" s="1"/>
  <c r="P307" i="44"/>
  <c r="N307" i="44"/>
  <c r="M307" i="44"/>
  <c r="M306" i="44" s="1"/>
  <c r="L307" i="44"/>
  <c r="U306" i="44"/>
  <c r="R306" i="44"/>
  <c r="P306" i="44"/>
  <c r="N306" i="44"/>
  <c r="L306" i="44"/>
  <c r="W305" i="44"/>
  <c r="O305" i="44"/>
  <c r="W304" i="44"/>
  <c r="O304" i="44"/>
  <c r="W303" i="44"/>
  <c r="O303" i="44"/>
  <c r="W302" i="44"/>
  <c r="O302" i="44"/>
  <c r="W301" i="44"/>
  <c r="O301" i="44"/>
  <c r="W300" i="44"/>
  <c r="O300" i="44"/>
  <c r="W299" i="44"/>
  <c r="O299" i="44"/>
  <c r="W298" i="44"/>
  <c r="O298" i="44"/>
  <c r="W297" i="44"/>
  <c r="O297" i="44"/>
  <c r="W296" i="44"/>
  <c r="O296" i="44"/>
  <c r="W295" i="44"/>
  <c r="O295" i="44"/>
  <c r="V294" i="44"/>
  <c r="U294" i="44"/>
  <c r="T294" i="44"/>
  <c r="T293" i="44" s="1"/>
  <c r="T292" i="44" s="1"/>
  <c r="T291" i="44" s="1"/>
  <c r="R294" i="44"/>
  <c r="Q294" i="44"/>
  <c r="Q293" i="44" s="1"/>
  <c r="P294" i="44"/>
  <c r="N294" i="44"/>
  <c r="M294" i="44"/>
  <c r="M293" i="44" s="1"/>
  <c r="L294" i="44"/>
  <c r="U293" i="44"/>
  <c r="U292" i="44" s="1"/>
  <c r="R293" i="44"/>
  <c r="R292" i="44" s="1"/>
  <c r="R291" i="44" s="1"/>
  <c r="P293" i="44"/>
  <c r="P292" i="44" s="1"/>
  <c r="N293" i="44"/>
  <c r="N292" i="44" s="1"/>
  <c r="N291" i="44" s="1"/>
  <c r="L293" i="44"/>
  <c r="Q292" i="44"/>
  <c r="Q291" i="44" s="1"/>
  <c r="M292" i="44"/>
  <c r="M291" i="44" s="1"/>
  <c r="U291" i="44"/>
  <c r="P291" i="44"/>
  <c r="W290" i="44"/>
  <c r="O290" i="44"/>
  <c r="W289" i="44"/>
  <c r="O289" i="44"/>
  <c r="W288" i="44"/>
  <c r="O288" i="44"/>
  <c r="W287" i="44"/>
  <c r="O287" i="44"/>
  <c r="W286" i="44"/>
  <c r="O286" i="44"/>
  <c r="W285" i="44"/>
  <c r="O285" i="44"/>
  <c r="W284" i="44"/>
  <c r="O284" i="44"/>
  <c r="W283" i="44"/>
  <c r="O283" i="44"/>
  <c r="W282" i="44"/>
  <c r="O282" i="44"/>
  <c r="W281" i="44"/>
  <c r="O281" i="44"/>
  <c r="W280" i="44"/>
  <c r="O280" i="44"/>
  <c r="V279" i="44"/>
  <c r="W279" i="44" s="1"/>
  <c r="U279" i="44"/>
  <c r="T279" i="44"/>
  <c r="R279" i="44"/>
  <c r="Q279" i="44"/>
  <c r="P279" i="44"/>
  <c r="N279" i="44"/>
  <c r="M279" i="44"/>
  <c r="O279" i="44" s="1"/>
  <c r="L279" i="44"/>
  <c r="W278" i="44"/>
  <c r="O278" i="44"/>
  <c r="W277" i="44"/>
  <c r="O277" i="44"/>
  <c r="W276" i="44"/>
  <c r="O276" i="44"/>
  <c r="W275" i="44"/>
  <c r="O275" i="44"/>
  <c r="W274" i="44"/>
  <c r="O274" i="44"/>
  <c r="W273" i="44"/>
  <c r="O273" i="44"/>
  <c r="W272" i="44"/>
  <c r="O272" i="44"/>
  <c r="W271" i="44"/>
  <c r="O271" i="44"/>
  <c r="W270" i="44"/>
  <c r="O270" i="44"/>
  <c r="W269" i="44"/>
  <c r="O269" i="44"/>
  <c r="W268" i="44"/>
  <c r="O268" i="44"/>
  <c r="V267" i="44"/>
  <c r="U267" i="44"/>
  <c r="W267" i="44" s="1"/>
  <c r="T267" i="44"/>
  <c r="R267" i="44"/>
  <c r="Q267" i="44"/>
  <c r="P267" i="44"/>
  <c r="N267" i="44"/>
  <c r="N254" i="44" s="1"/>
  <c r="N253" i="44" s="1"/>
  <c r="N239" i="44" s="1"/>
  <c r="M267" i="44"/>
  <c r="L267" i="44"/>
  <c r="O267" i="44" s="1"/>
  <c r="W266" i="44"/>
  <c r="O266" i="44"/>
  <c r="W265" i="44"/>
  <c r="O265" i="44"/>
  <c r="W264" i="44"/>
  <c r="O264" i="44"/>
  <c r="W263" i="44"/>
  <c r="O263" i="44"/>
  <c r="W262" i="44"/>
  <c r="O262" i="44"/>
  <c r="W261" i="44"/>
  <c r="O261" i="44"/>
  <c r="W260" i="44"/>
  <c r="O260" i="44"/>
  <c r="W259" i="44"/>
  <c r="O259" i="44"/>
  <c r="W258" i="44"/>
  <c r="O258" i="44"/>
  <c r="W257" i="44"/>
  <c r="O257" i="44"/>
  <c r="W256" i="44"/>
  <c r="O256" i="44"/>
  <c r="V255" i="44"/>
  <c r="U255" i="44"/>
  <c r="T255" i="44"/>
  <c r="T254" i="44" s="1"/>
  <c r="R255" i="44"/>
  <c r="Q255" i="44"/>
  <c r="Q254" i="44" s="1"/>
  <c r="P255" i="44"/>
  <c r="N255" i="44"/>
  <c r="M255" i="44"/>
  <c r="M254" i="44" s="1"/>
  <c r="L255" i="44"/>
  <c r="U254" i="44"/>
  <c r="U253" i="44" s="1"/>
  <c r="R254" i="44"/>
  <c r="R253" i="44" s="1"/>
  <c r="P254" i="44"/>
  <c r="P253" i="44" s="1"/>
  <c r="L254" i="44"/>
  <c r="T253" i="44"/>
  <c r="Q253" i="44"/>
  <c r="M253" i="44"/>
  <c r="W252" i="44"/>
  <c r="O252" i="44"/>
  <c r="W251" i="44"/>
  <c r="O251" i="44"/>
  <c r="W250" i="44"/>
  <c r="O250" i="44"/>
  <c r="W249" i="44"/>
  <c r="O249" i="44"/>
  <c r="W248" i="44"/>
  <c r="O248" i="44"/>
  <c r="W247" i="44"/>
  <c r="O247" i="44"/>
  <c r="W246" i="44"/>
  <c r="O246" i="44"/>
  <c r="W245" i="44"/>
  <c r="O245" i="44"/>
  <c r="W244" i="44"/>
  <c r="O244" i="44"/>
  <c r="W243" i="44"/>
  <c r="O243" i="44"/>
  <c r="W242" i="44"/>
  <c r="O242" i="44"/>
  <c r="V241" i="44"/>
  <c r="U241" i="44"/>
  <c r="U240" i="44" s="1"/>
  <c r="T241" i="44"/>
  <c r="R241" i="44"/>
  <c r="R240" i="44" s="1"/>
  <c r="R239" i="44" s="1"/>
  <c r="Q241" i="44"/>
  <c r="P241" i="44"/>
  <c r="P240" i="44" s="1"/>
  <c r="N241" i="44"/>
  <c r="N240" i="44" s="1"/>
  <c r="M241" i="44"/>
  <c r="L241" i="44"/>
  <c r="V240" i="44"/>
  <c r="T240" i="44"/>
  <c r="Q240" i="44"/>
  <c r="Q239" i="44" s="1"/>
  <c r="M240" i="44"/>
  <c r="M239" i="44" s="1"/>
  <c r="U239" i="44"/>
  <c r="P239" i="44"/>
  <c r="W238" i="44"/>
  <c r="O238" i="44"/>
  <c r="W237" i="44"/>
  <c r="O237" i="44"/>
  <c r="W236" i="44"/>
  <c r="O236" i="44"/>
  <c r="W235" i="44"/>
  <c r="O235" i="44"/>
  <c r="W234" i="44"/>
  <c r="O234" i="44"/>
  <c r="W233" i="44"/>
  <c r="O233" i="44"/>
  <c r="W232" i="44"/>
  <c r="O232" i="44"/>
  <c r="W231" i="44"/>
  <c r="O231" i="44"/>
  <c r="W230" i="44"/>
  <c r="O230" i="44"/>
  <c r="W229" i="44"/>
  <c r="O229" i="44"/>
  <c r="W228" i="44"/>
  <c r="O228" i="44"/>
  <c r="V227" i="44"/>
  <c r="U227" i="44"/>
  <c r="T227" i="44"/>
  <c r="T214" i="44" s="1"/>
  <c r="R227" i="44"/>
  <c r="Q227" i="44"/>
  <c r="Q214" i="44" s="1"/>
  <c r="P227" i="44"/>
  <c r="N227" i="44"/>
  <c r="M227" i="44"/>
  <c r="O227" i="44" s="1"/>
  <c r="L227" i="44"/>
  <c r="W226" i="44"/>
  <c r="O226" i="44"/>
  <c r="W225" i="44"/>
  <c r="O225" i="44"/>
  <c r="W224" i="44"/>
  <c r="O224" i="44"/>
  <c r="W223" i="44"/>
  <c r="O223" i="44"/>
  <c r="W222" i="44"/>
  <c r="O222" i="44"/>
  <c r="W221" i="44"/>
  <c r="O221" i="44"/>
  <c r="W220" i="44"/>
  <c r="O220" i="44"/>
  <c r="W219" i="44"/>
  <c r="O219" i="44"/>
  <c r="W218" i="44"/>
  <c r="O218" i="44"/>
  <c r="W217" i="44"/>
  <c r="O217" i="44"/>
  <c r="W216" i="44"/>
  <c r="O216" i="44"/>
  <c r="V215" i="44"/>
  <c r="U215" i="44"/>
  <c r="W215" i="44" s="1"/>
  <c r="T215" i="44"/>
  <c r="Q215" i="44"/>
  <c r="N215" i="44"/>
  <c r="M215" i="44"/>
  <c r="M214" i="44" s="1"/>
  <c r="L215" i="44"/>
  <c r="U214" i="44"/>
  <c r="U213" i="44" s="1"/>
  <c r="P214" i="44"/>
  <c r="P213" i="44" s="1"/>
  <c r="N214" i="44"/>
  <c r="N213" i="44" s="1"/>
  <c r="L214" i="44"/>
  <c r="T213" i="44"/>
  <c r="Q213" i="44"/>
  <c r="M213" i="44"/>
  <c r="W212" i="44"/>
  <c r="O212" i="44"/>
  <c r="W211" i="44"/>
  <c r="O211" i="44"/>
  <c r="W210" i="44"/>
  <c r="O210" i="44"/>
  <c r="V209" i="44"/>
  <c r="U209" i="44"/>
  <c r="W209" i="44" s="1"/>
  <c r="O209" i="44"/>
  <c r="W208" i="44"/>
  <c r="O208" i="44"/>
  <c r="W207" i="44"/>
  <c r="O207" i="44"/>
  <c r="W206" i="44"/>
  <c r="O206" i="44"/>
  <c r="W205" i="44"/>
  <c r="O205" i="44"/>
  <c r="W204" i="44"/>
  <c r="O204" i="44"/>
  <c r="W203" i="44"/>
  <c r="O203" i="44"/>
  <c r="W202" i="44"/>
  <c r="O202" i="44"/>
  <c r="V201" i="44"/>
  <c r="U201" i="44"/>
  <c r="W201" i="44" s="1"/>
  <c r="T201" i="44"/>
  <c r="R201" i="44"/>
  <c r="R164" i="44" s="1"/>
  <c r="Q201" i="44"/>
  <c r="P201" i="44"/>
  <c r="P164" i="44" s="1"/>
  <c r="N201" i="44"/>
  <c r="M201" i="44"/>
  <c r="L201" i="44"/>
  <c r="O201" i="44" s="1"/>
  <c r="W200" i="44"/>
  <c r="O200" i="44"/>
  <c r="W199" i="44"/>
  <c r="O199" i="44"/>
  <c r="W198" i="44"/>
  <c r="O198" i="44"/>
  <c r="W197" i="44"/>
  <c r="O197" i="44"/>
  <c r="W196" i="44"/>
  <c r="O196" i="44"/>
  <c r="W195" i="44"/>
  <c r="O195" i="44"/>
  <c r="W194" i="44"/>
  <c r="O194" i="44"/>
  <c r="W193" i="44"/>
  <c r="O193" i="44"/>
  <c r="W192" i="44"/>
  <c r="O192" i="44"/>
  <c r="W191" i="44"/>
  <c r="O191" i="44"/>
  <c r="W190" i="44"/>
  <c r="R190" i="44"/>
  <c r="O190" i="44"/>
  <c r="V189" i="44"/>
  <c r="U189" i="44"/>
  <c r="W189" i="44" s="1"/>
  <c r="T189" i="44"/>
  <c r="R189" i="44"/>
  <c r="Q189" i="44"/>
  <c r="P189" i="44"/>
  <c r="N189" i="44"/>
  <c r="M189" i="44"/>
  <c r="L189" i="44"/>
  <c r="O189" i="44" s="1"/>
  <c r="W188" i="44"/>
  <c r="O188" i="44"/>
  <c r="W187" i="44"/>
  <c r="O187" i="44"/>
  <c r="W186" i="44"/>
  <c r="O186" i="44"/>
  <c r="W185" i="44"/>
  <c r="O185" i="44"/>
  <c r="W184" i="44"/>
  <c r="O184" i="44"/>
  <c r="W183" i="44"/>
  <c r="O183" i="44"/>
  <c r="W182" i="44"/>
  <c r="O182" i="44"/>
  <c r="W181" i="44"/>
  <c r="O181" i="44"/>
  <c r="W180" i="44"/>
  <c r="O180" i="44"/>
  <c r="U179" i="44"/>
  <c r="O179" i="44"/>
  <c r="W178" i="44"/>
  <c r="U178" i="44"/>
  <c r="O178" i="44"/>
  <c r="V177" i="44"/>
  <c r="T177" i="44"/>
  <c r="N177" i="44"/>
  <c r="M177" i="44"/>
  <c r="L177" i="44"/>
  <c r="O177" i="44" s="1"/>
  <c r="W176" i="44"/>
  <c r="O176" i="44"/>
  <c r="W175" i="44"/>
  <c r="O175" i="44"/>
  <c r="W174" i="44"/>
  <c r="O174" i="44"/>
  <c r="W173" i="44"/>
  <c r="O173" i="44"/>
  <c r="W172" i="44"/>
  <c r="O172" i="44"/>
  <c r="W171" i="44"/>
  <c r="O171" i="44"/>
  <c r="W170" i="44"/>
  <c r="O170" i="44"/>
  <c r="W169" i="44"/>
  <c r="O169" i="44"/>
  <c r="W168" i="44"/>
  <c r="O168" i="44"/>
  <c r="W167" i="44"/>
  <c r="O167" i="44"/>
  <c r="W166" i="44"/>
  <c r="O166" i="44"/>
  <c r="V165" i="44"/>
  <c r="U165" i="44"/>
  <c r="T165" i="44"/>
  <c r="T164" i="44" s="1"/>
  <c r="Q165" i="44"/>
  <c r="N165" i="44"/>
  <c r="M165" i="44"/>
  <c r="M164" i="44" s="1"/>
  <c r="L165" i="44"/>
  <c r="Q164" i="44"/>
  <c r="N164" i="44"/>
  <c r="N78" i="44" s="1"/>
  <c r="W163" i="44"/>
  <c r="O163" i="44"/>
  <c r="W162" i="44"/>
  <c r="O162" i="44"/>
  <c r="W161" i="44"/>
  <c r="O161" i="44"/>
  <c r="W160" i="44"/>
  <c r="O160" i="44"/>
  <c r="W159" i="44"/>
  <c r="O159" i="44"/>
  <c r="W158" i="44"/>
  <c r="O158" i="44"/>
  <c r="W157" i="44"/>
  <c r="O157" i="44"/>
  <c r="W156" i="44"/>
  <c r="O156" i="44"/>
  <c r="W155" i="44"/>
  <c r="O155" i="44"/>
  <c r="W154" i="44"/>
  <c r="O154" i="44"/>
  <c r="W153" i="44"/>
  <c r="O153" i="44"/>
  <c r="V152" i="44"/>
  <c r="W152" i="44" s="1"/>
  <c r="U152" i="44"/>
  <c r="T152" i="44"/>
  <c r="R152" i="44"/>
  <c r="Q152" i="44"/>
  <c r="P152" i="44"/>
  <c r="N152" i="44"/>
  <c r="M152" i="44"/>
  <c r="O152" i="44" s="1"/>
  <c r="L152" i="44"/>
  <c r="W151" i="44"/>
  <c r="O151" i="44"/>
  <c r="W150" i="44"/>
  <c r="O150" i="44"/>
  <c r="W149" i="44"/>
  <c r="O149" i="44"/>
  <c r="W148" i="44"/>
  <c r="O148" i="44"/>
  <c r="W147" i="44"/>
  <c r="O147" i="44"/>
  <c r="W146" i="44"/>
  <c r="O146" i="44"/>
  <c r="W145" i="44"/>
  <c r="O145" i="44"/>
  <c r="W144" i="44"/>
  <c r="O144" i="44"/>
  <c r="W143" i="44"/>
  <c r="O143" i="44"/>
  <c r="W142" i="44"/>
  <c r="O142" i="44"/>
  <c r="W141" i="44"/>
  <c r="O141" i="44"/>
  <c r="V140" i="44"/>
  <c r="U140" i="44"/>
  <c r="W140" i="44" s="1"/>
  <c r="T140" i="44"/>
  <c r="R140" i="44"/>
  <c r="Q140" i="44"/>
  <c r="P140" i="44"/>
  <c r="N140" i="44"/>
  <c r="M140" i="44"/>
  <c r="L140" i="44"/>
  <c r="O140" i="44" s="1"/>
  <c r="W139" i="44"/>
  <c r="O139" i="44"/>
  <c r="W138" i="44"/>
  <c r="O138" i="44"/>
  <c r="W137" i="44"/>
  <c r="O137" i="44"/>
  <c r="W136" i="44"/>
  <c r="O136" i="44"/>
  <c r="W135" i="44"/>
  <c r="O135" i="44"/>
  <c r="W134" i="44"/>
  <c r="O134" i="44"/>
  <c r="W133" i="44"/>
  <c r="O133" i="44"/>
  <c r="W132" i="44"/>
  <c r="O132" i="44"/>
  <c r="W131" i="44"/>
  <c r="O131" i="44"/>
  <c r="W130" i="44"/>
  <c r="O130" i="44"/>
  <c r="W129" i="44"/>
  <c r="O129" i="44"/>
  <c r="V128" i="44"/>
  <c r="W128" i="44" s="1"/>
  <c r="U128" i="44"/>
  <c r="T128" i="44"/>
  <c r="R128" i="44"/>
  <c r="Q128" i="44"/>
  <c r="P128" i="44"/>
  <c r="N128" i="44"/>
  <c r="M128" i="44"/>
  <c r="O128" i="44" s="1"/>
  <c r="L128" i="44"/>
  <c r="W127" i="44"/>
  <c r="O127" i="44"/>
  <c r="W126" i="44"/>
  <c r="O126" i="44"/>
  <c r="W125" i="44"/>
  <c r="O125" i="44"/>
  <c r="W124" i="44"/>
  <c r="O124" i="44"/>
  <c r="W123" i="44"/>
  <c r="O123" i="44"/>
  <c r="W122" i="44"/>
  <c r="O122" i="44"/>
  <c r="W121" i="44"/>
  <c r="O121" i="44"/>
  <c r="W120" i="44"/>
  <c r="O120" i="44"/>
  <c r="W119" i="44"/>
  <c r="O119" i="44"/>
  <c r="W118" i="44"/>
  <c r="O118" i="44"/>
  <c r="W117" i="44"/>
  <c r="O117" i="44"/>
  <c r="V116" i="44"/>
  <c r="U116" i="44"/>
  <c r="W116" i="44" s="1"/>
  <c r="T116" i="44"/>
  <c r="R116" i="44"/>
  <c r="R79" i="44" s="1"/>
  <c r="R78" i="44" s="1"/>
  <c r="Q116" i="44"/>
  <c r="P116" i="44"/>
  <c r="P79" i="44" s="1"/>
  <c r="P78" i="44" s="1"/>
  <c r="P37" i="44" s="1"/>
  <c r="N116" i="44"/>
  <c r="M116" i="44"/>
  <c r="L116" i="44"/>
  <c r="O116" i="44" s="1"/>
  <c r="W115" i="44"/>
  <c r="O115" i="44"/>
  <c r="W114" i="44"/>
  <c r="O114" i="44"/>
  <c r="W113" i="44"/>
  <c r="O113" i="44"/>
  <c r="W112" i="44"/>
  <c r="O112" i="44"/>
  <c r="W111" i="44"/>
  <c r="O111" i="44"/>
  <c r="W110" i="44"/>
  <c r="O110" i="44"/>
  <c r="W109" i="44"/>
  <c r="O109" i="44"/>
  <c r="W108" i="44"/>
  <c r="O108" i="44"/>
  <c r="W107" i="44"/>
  <c r="O107" i="44"/>
  <c r="W106" i="44"/>
  <c r="O106" i="44"/>
  <c r="W105" i="44"/>
  <c r="O105" i="44"/>
  <c r="V104" i="44"/>
  <c r="W104" i="44" s="1"/>
  <c r="U104" i="44"/>
  <c r="T104" i="44"/>
  <c r="N104" i="44"/>
  <c r="M104" i="44"/>
  <c r="L104" i="44"/>
  <c r="O104" i="44" s="1"/>
  <c r="W103" i="44"/>
  <c r="O103" i="44"/>
  <c r="W102" i="44"/>
  <c r="O102" i="44"/>
  <c r="W101" i="44"/>
  <c r="O101" i="44"/>
  <c r="W100" i="44"/>
  <c r="O100" i="44"/>
  <c r="W99" i="44"/>
  <c r="O99" i="44"/>
  <c r="W98" i="44"/>
  <c r="O98" i="44"/>
  <c r="W97" i="44"/>
  <c r="O97" i="44"/>
  <c r="W96" i="44"/>
  <c r="O96" i="44"/>
  <c r="W95" i="44"/>
  <c r="O95" i="44"/>
  <c r="U94" i="44"/>
  <c r="O94" i="44"/>
  <c r="W93" i="44"/>
  <c r="U93" i="44"/>
  <c r="O93" i="44"/>
  <c r="V92" i="44"/>
  <c r="T92" i="44"/>
  <c r="T79" i="44" s="1"/>
  <c r="T78" i="44" s="1"/>
  <c r="N92" i="44"/>
  <c r="M92" i="44"/>
  <c r="L92" i="44"/>
  <c r="O92" i="44" s="1"/>
  <c r="W91" i="44"/>
  <c r="O91" i="44"/>
  <c r="W90" i="44"/>
  <c r="O90" i="44"/>
  <c r="W89" i="44"/>
  <c r="O89" i="44"/>
  <c r="W88" i="44"/>
  <c r="O88" i="44"/>
  <c r="W87" i="44"/>
  <c r="O87" i="44"/>
  <c r="W86" i="44"/>
  <c r="O86" i="44"/>
  <c r="W85" i="44"/>
  <c r="O85" i="44"/>
  <c r="W84" i="44"/>
  <c r="O84" i="44"/>
  <c r="W83" i="44"/>
  <c r="O83" i="44"/>
  <c r="U82" i="44"/>
  <c r="W82" i="44" s="1"/>
  <c r="O82" i="44"/>
  <c r="W81" i="44"/>
  <c r="U81" i="44"/>
  <c r="O81" i="44"/>
  <c r="V80" i="44"/>
  <c r="U80" i="44"/>
  <c r="T80" i="44"/>
  <c r="N80" i="44"/>
  <c r="M80" i="44"/>
  <c r="O80" i="44" s="1"/>
  <c r="L80" i="44"/>
  <c r="S79" i="44"/>
  <c r="Q79" i="44"/>
  <c r="N79" i="44"/>
  <c r="M79" i="44"/>
  <c r="O79" i="44" s="1"/>
  <c r="L79" i="44"/>
  <c r="S78" i="44"/>
  <c r="S37" i="44" s="1"/>
  <c r="S9" i="44" s="1"/>
  <c r="S8" i="44" s="1"/>
  <c r="S7" i="44" s="1"/>
  <c r="Q78" i="44"/>
  <c r="Q37" i="44" s="1"/>
  <c r="M78" i="44"/>
  <c r="M37" i="44" s="1"/>
  <c r="W77" i="44"/>
  <c r="O77" i="44"/>
  <c r="W76" i="44"/>
  <c r="O76" i="44"/>
  <c r="W75" i="44"/>
  <c r="O75" i="44"/>
  <c r="W74" i="44"/>
  <c r="O74" i="44"/>
  <c r="W73" i="44"/>
  <c r="O73" i="44"/>
  <c r="W72" i="44"/>
  <c r="O72" i="44"/>
  <c r="W71" i="44"/>
  <c r="O71" i="44"/>
  <c r="W70" i="44"/>
  <c r="O70" i="44"/>
  <c r="W69" i="44"/>
  <c r="O69" i="44"/>
  <c r="W68" i="44"/>
  <c r="O68" i="44"/>
  <c r="W67" i="44"/>
  <c r="O67" i="44"/>
  <c r="V66" i="44"/>
  <c r="U66" i="44"/>
  <c r="U40" i="44" s="1"/>
  <c r="U39" i="44" s="1"/>
  <c r="U38" i="44" s="1"/>
  <c r="T66" i="44"/>
  <c r="R66" i="44"/>
  <c r="Q66" i="44"/>
  <c r="P66" i="44"/>
  <c r="N66" i="44"/>
  <c r="M66" i="44"/>
  <c r="L66" i="44"/>
  <c r="O66" i="44" s="1"/>
  <c r="W65" i="44"/>
  <c r="O65" i="44"/>
  <c r="W64" i="44"/>
  <c r="O64" i="44"/>
  <c r="W63" i="44"/>
  <c r="O63" i="44"/>
  <c r="W62" i="44"/>
  <c r="O62" i="44"/>
  <c r="W61" i="44"/>
  <c r="O61" i="44"/>
  <c r="W60" i="44"/>
  <c r="O60" i="44"/>
  <c r="W59" i="44"/>
  <c r="O59" i="44"/>
  <c r="W58" i="44"/>
  <c r="O58" i="44"/>
  <c r="W57" i="44"/>
  <c r="O57" i="44"/>
  <c r="U56" i="44"/>
  <c r="O56" i="44"/>
  <c r="V56" i="44" s="1"/>
  <c r="W55" i="44"/>
  <c r="O55" i="44"/>
  <c r="U54" i="44"/>
  <c r="T54" i="44"/>
  <c r="N54" i="44"/>
  <c r="M54" i="44"/>
  <c r="L54" i="44"/>
  <c r="O54" i="44" s="1"/>
  <c r="W53" i="44"/>
  <c r="O53" i="44"/>
  <c r="W52" i="44"/>
  <c r="O52" i="44"/>
  <c r="W51" i="44"/>
  <c r="O51" i="44"/>
  <c r="W50" i="44"/>
  <c r="O50" i="44"/>
  <c r="W49" i="44"/>
  <c r="O49" i="44"/>
  <c r="W48" i="44"/>
  <c r="O48" i="44"/>
  <c r="W47" i="44"/>
  <c r="O47" i="44"/>
  <c r="W46" i="44"/>
  <c r="O46" i="44"/>
  <c r="W45" i="44"/>
  <c r="O45" i="44"/>
  <c r="W44" i="44"/>
  <c r="O44" i="44"/>
  <c r="W43" i="44"/>
  <c r="O43" i="44"/>
  <c r="W42" i="44"/>
  <c r="O42" i="44"/>
  <c r="U41" i="44"/>
  <c r="T41" i="44"/>
  <c r="N41" i="44"/>
  <c r="M41" i="44"/>
  <c r="L41" i="44"/>
  <c r="O41" i="44" s="1"/>
  <c r="T40" i="44"/>
  <c r="N40" i="44"/>
  <c r="M40" i="44"/>
  <c r="L40" i="44"/>
  <c r="O40" i="44" s="1"/>
  <c r="T39" i="44"/>
  <c r="S39" i="44"/>
  <c r="R39" i="44"/>
  <c r="Q39" i="44"/>
  <c r="P39" i="44"/>
  <c r="N39" i="44"/>
  <c r="M39" i="44"/>
  <c r="L39" i="44"/>
  <c r="O39" i="44" s="1"/>
  <c r="T38" i="44"/>
  <c r="S38" i="44"/>
  <c r="R38" i="44"/>
  <c r="Q38" i="44"/>
  <c r="P38" i="44"/>
  <c r="N38" i="44"/>
  <c r="M38" i="44"/>
  <c r="L38" i="44"/>
  <c r="O38" i="44" s="1"/>
  <c r="W36" i="44"/>
  <c r="O36" i="44"/>
  <c r="W35" i="44"/>
  <c r="O35" i="44"/>
  <c r="W34" i="44"/>
  <c r="O34" i="44"/>
  <c r="W33" i="44"/>
  <c r="O33" i="44"/>
  <c r="W32" i="44"/>
  <c r="O32" i="44"/>
  <c r="W31" i="44"/>
  <c r="O31" i="44"/>
  <c r="W30" i="44"/>
  <c r="O30" i="44"/>
  <c r="W29" i="44"/>
  <c r="O29" i="44"/>
  <c r="W28" i="44"/>
  <c r="O28" i="44"/>
  <c r="W27" i="44"/>
  <c r="O27" i="44"/>
  <c r="W26" i="44"/>
  <c r="O26" i="44"/>
  <c r="V25" i="44"/>
  <c r="W25" i="44" s="1"/>
  <c r="U25" i="44"/>
  <c r="T25" i="44"/>
  <c r="T12" i="44" s="1"/>
  <c r="T11" i="44" s="1"/>
  <c r="T10" i="44" s="1"/>
  <c r="R25" i="44"/>
  <c r="Q25" i="44"/>
  <c r="Q12" i="44" s="1"/>
  <c r="Q11" i="44" s="1"/>
  <c r="Q10" i="44" s="1"/>
  <c r="Q9" i="44" s="1"/>
  <c r="P25" i="44"/>
  <c r="N25" i="44"/>
  <c r="M25" i="44"/>
  <c r="O25" i="44" s="1"/>
  <c r="L25" i="44"/>
  <c r="W24" i="44"/>
  <c r="O24" i="44"/>
  <c r="W23" i="44"/>
  <c r="O23" i="44"/>
  <c r="W22" i="44"/>
  <c r="O22" i="44"/>
  <c r="W21" i="44"/>
  <c r="O21" i="44"/>
  <c r="W20" i="44"/>
  <c r="O20" i="44"/>
  <c r="W19" i="44"/>
  <c r="O19" i="44"/>
  <c r="W18" i="44"/>
  <c r="O18" i="44"/>
  <c r="W17" i="44"/>
  <c r="O17" i="44"/>
  <c r="W16" i="44"/>
  <c r="O16" i="44"/>
  <c r="W15" i="44"/>
  <c r="O15" i="44"/>
  <c r="W14" i="44"/>
  <c r="O14" i="44"/>
  <c r="V13" i="44"/>
  <c r="U13" i="44"/>
  <c r="W13" i="44" s="1"/>
  <c r="R13" i="44"/>
  <c r="N13" i="44"/>
  <c r="M13" i="44"/>
  <c r="M12" i="44" s="1"/>
  <c r="M11" i="44" s="1"/>
  <c r="M10" i="44" s="1"/>
  <c r="L13" i="44"/>
  <c r="U12" i="44"/>
  <c r="U11" i="44" s="1"/>
  <c r="U10" i="44" s="1"/>
  <c r="R12" i="44"/>
  <c r="R11" i="44" s="1"/>
  <c r="R10" i="44" s="1"/>
  <c r="P12" i="44"/>
  <c r="P11" i="44" s="1"/>
  <c r="P10" i="44" s="1"/>
  <c r="N12" i="44"/>
  <c r="N11" i="44" s="1"/>
  <c r="N10" i="44" s="1"/>
  <c r="L12" i="44"/>
  <c r="O12" i="44" s="1"/>
  <c r="P9" i="44"/>
  <c r="P8" i="44"/>
  <c r="M9" i="44" l="1"/>
  <c r="W56" i="44"/>
  <c r="V54" i="44"/>
  <c r="N37" i="44"/>
  <c r="N9" i="44" s="1"/>
  <c r="O13" i="44"/>
  <c r="W66" i="44"/>
  <c r="W94" i="44"/>
  <c r="U92" i="44"/>
  <c r="U79" i="44" s="1"/>
  <c r="O214" i="44"/>
  <c r="L213" i="44"/>
  <c r="O213" i="44" s="1"/>
  <c r="W240" i="44"/>
  <c r="W241" i="44"/>
  <c r="O254" i="44"/>
  <c r="L253" i="44"/>
  <c r="O253" i="44" s="1"/>
  <c r="O294" i="44"/>
  <c r="W294" i="44"/>
  <c r="O307" i="44"/>
  <c r="W307" i="44"/>
  <c r="V306" i="44"/>
  <c r="W306" i="44" s="1"/>
  <c r="W348" i="44"/>
  <c r="O373" i="44"/>
  <c r="W373" i="44"/>
  <c r="V372" i="44"/>
  <c r="W372" i="44" s="1"/>
  <c r="W385" i="44"/>
  <c r="O398" i="44"/>
  <c r="L397" i="44"/>
  <c r="O397" i="44" s="1"/>
  <c r="W423" i="44"/>
  <c r="V422" i="44"/>
  <c r="W422" i="44" s="1"/>
  <c r="W424" i="44"/>
  <c r="O485" i="44"/>
  <c r="L484" i="44"/>
  <c r="O484" i="44" s="1"/>
  <c r="O598" i="44"/>
  <c r="W598" i="44"/>
  <c r="V597" i="44"/>
  <c r="W597" i="44" s="1"/>
  <c r="L11" i="44"/>
  <c r="V12" i="44"/>
  <c r="V79" i="44"/>
  <c r="W80" i="44"/>
  <c r="W92" i="44"/>
  <c r="L164" i="44"/>
  <c r="O165" i="44"/>
  <c r="W165" i="44"/>
  <c r="V164" i="44"/>
  <c r="W179" i="44"/>
  <c r="U177" i="44"/>
  <c r="U164" i="44" s="1"/>
  <c r="O215" i="44"/>
  <c r="R215" i="44" s="1"/>
  <c r="R214" i="44" s="1"/>
  <c r="R213" i="44" s="1"/>
  <c r="R37" i="44" s="1"/>
  <c r="R9" i="44" s="1"/>
  <c r="W227" i="44"/>
  <c r="V214" i="44"/>
  <c r="T239" i="44"/>
  <c r="T37" i="44" s="1"/>
  <c r="T9" i="44" s="1"/>
  <c r="O241" i="44"/>
  <c r="L240" i="44"/>
  <c r="O255" i="44"/>
  <c r="W255" i="44"/>
  <c r="V254" i="44"/>
  <c r="O293" i="44"/>
  <c r="L292" i="44"/>
  <c r="O306" i="44"/>
  <c r="M321" i="44"/>
  <c r="M320" i="44" s="1"/>
  <c r="O322" i="44"/>
  <c r="Q321" i="44"/>
  <c r="Q320" i="44" s="1"/>
  <c r="Q319" i="44" s="1"/>
  <c r="Q8" i="44" s="1"/>
  <c r="Q7" i="44" s="1"/>
  <c r="T321" i="44"/>
  <c r="T320" i="44" s="1"/>
  <c r="W322" i="44"/>
  <c r="V321" i="44"/>
  <c r="O348" i="44"/>
  <c r="L347" i="44"/>
  <c r="O372" i="44"/>
  <c r="W398" i="44"/>
  <c r="O424" i="44"/>
  <c r="L423" i="44"/>
  <c r="O486" i="44"/>
  <c r="W486" i="44"/>
  <c r="V485" i="44"/>
  <c r="M571" i="44"/>
  <c r="M570" i="44" s="1"/>
  <c r="W572" i="44"/>
  <c r="V571" i="44"/>
  <c r="R571" i="44"/>
  <c r="R570" i="44" s="1"/>
  <c r="R319" i="44" s="1"/>
  <c r="W573" i="44"/>
  <c r="T571" i="44"/>
  <c r="T570" i="44" s="1"/>
  <c r="N571" i="44"/>
  <c r="N570" i="44" s="1"/>
  <c r="N319" i="44" s="1"/>
  <c r="O558" i="44"/>
  <c r="O573" i="44"/>
  <c r="L572" i="44"/>
  <c r="O597" i="44"/>
  <c r="W705" i="44"/>
  <c r="W623" i="44"/>
  <c r="W660" i="44"/>
  <c r="O685" i="44"/>
  <c r="O698" i="44"/>
  <c r="O704" i="44"/>
  <c r="V706" i="44"/>
  <c r="W706" i="44" s="1"/>
  <c r="P707" i="44"/>
  <c r="V707" i="44" s="1"/>
  <c r="W707" i="44" s="1"/>
  <c r="W711" i="44"/>
  <c r="L622" i="44"/>
  <c r="O622" i="44" s="1"/>
  <c r="L659" i="44"/>
  <c r="O659" i="44" s="1"/>
  <c r="V684" i="44"/>
  <c r="W684" i="44" s="1"/>
  <c r="V697" i="44"/>
  <c r="W697" i="44" s="1"/>
  <c r="L710" i="44"/>
  <c r="O710" i="44" s="1"/>
  <c r="R8" i="44" l="1"/>
  <c r="R7" i="44" s="1"/>
  <c r="N8" i="44"/>
  <c r="N7" i="44" s="1"/>
  <c r="V704" i="44"/>
  <c r="W571" i="44"/>
  <c r="V570" i="44"/>
  <c r="W570" i="44" s="1"/>
  <c r="O423" i="44"/>
  <c r="L422" i="44"/>
  <c r="O422" i="44" s="1"/>
  <c r="O347" i="44"/>
  <c r="L321" i="44"/>
  <c r="W321" i="44"/>
  <c r="V320" i="44"/>
  <c r="T319" i="44"/>
  <c r="T8" i="44" s="1"/>
  <c r="T7" i="44" s="1"/>
  <c r="O240" i="44"/>
  <c r="L239" i="44"/>
  <c r="O239" i="44" s="1"/>
  <c r="W164" i="44"/>
  <c r="V78" i="44"/>
  <c r="W79" i="44"/>
  <c r="O11" i="44"/>
  <c r="L10" i="44"/>
  <c r="U78" i="44"/>
  <c r="U37" i="44" s="1"/>
  <c r="U9" i="44" s="1"/>
  <c r="U8" i="44" s="1"/>
  <c r="U7" i="44" s="1"/>
  <c r="P704" i="44"/>
  <c r="P703" i="44" s="1"/>
  <c r="P7" i="44" s="1"/>
  <c r="O572" i="44"/>
  <c r="L571" i="44"/>
  <c r="W485" i="44"/>
  <c r="V484" i="44"/>
  <c r="W484" i="44" s="1"/>
  <c r="M319" i="44"/>
  <c r="O292" i="44"/>
  <c r="L291" i="44"/>
  <c r="O291" i="44" s="1"/>
  <c r="W254" i="44"/>
  <c r="V253" i="44"/>
  <c r="W214" i="44"/>
  <c r="V213" i="44"/>
  <c r="W213" i="44" s="1"/>
  <c r="O164" i="44"/>
  <c r="L78" i="44"/>
  <c r="W12" i="44"/>
  <c r="V11" i="44"/>
  <c r="V293" i="44"/>
  <c r="W177" i="44"/>
  <c r="W54" i="44"/>
  <c r="V41" i="44"/>
  <c r="M8" i="44"/>
  <c r="M7" i="44" s="1"/>
  <c r="W293" i="44" l="1"/>
  <c r="V292" i="44"/>
  <c r="O571" i="44"/>
  <c r="L570" i="44"/>
  <c r="O570" i="44" s="1"/>
  <c r="O10" i="44"/>
  <c r="W320" i="44"/>
  <c r="V319" i="44"/>
  <c r="W319" i="44" s="1"/>
  <c r="O321" i="44"/>
  <c r="L320" i="44"/>
  <c r="W704" i="44"/>
  <c r="V703" i="44"/>
  <c r="W703" i="44" s="1"/>
  <c r="W41" i="44"/>
  <c r="V40" i="44"/>
  <c r="W11" i="44"/>
  <c r="V10" i="44"/>
  <c r="O78" i="44"/>
  <c r="L37" i="44"/>
  <c r="O37" i="44" s="1"/>
  <c r="W253" i="44"/>
  <c r="V239" i="44"/>
  <c r="W239" i="44" s="1"/>
  <c r="W78" i="44"/>
  <c r="W10" i="44" l="1"/>
  <c r="W40" i="44"/>
  <c r="V39" i="44"/>
  <c r="L319" i="44"/>
  <c r="O319" i="44" s="1"/>
  <c r="O320" i="44"/>
  <c r="L9" i="44"/>
  <c r="W292" i="44"/>
  <c r="V291" i="44"/>
  <c r="W291" i="44" s="1"/>
  <c r="W39" i="44" l="1"/>
  <c r="V38" i="44"/>
  <c r="O9" i="44"/>
  <c r="L8" i="44"/>
  <c r="O8" i="44" l="1"/>
  <c r="L7" i="44"/>
  <c r="O7" i="44" s="1"/>
  <c r="W38" i="44"/>
  <c r="V37" i="44"/>
  <c r="W37" i="44" l="1"/>
  <c r="V9" i="44"/>
  <c r="W9" i="44" l="1"/>
  <c r="V8" i="44"/>
  <c r="W8" i="44" l="1"/>
  <c r="V7" i="44"/>
  <c r="W7" i="44" s="1"/>
  <c r="G14" i="34" l="1"/>
  <c r="J19" i="34"/>
  <c r="J32" i="34"/>
  <c r="J40" i="34"/>
  <c r="J114" i="34"/>
  <c r="J144" i="34"/>
  <c r="J159" i="34"/>
  <c r="J196" i="34"/>
  <c r="G182" i="34" l="1"/>
  <c r="G181" i="34"/>
  <c r="F25" i="29" l="1"/>
  <c r="F36" i="22" l="1"/>
  <c r="F37" i="22"/>
  <c r="F38" i="22"/>
  <c r="F39" i="22"/>
  <c r="D8" i="22" s="1"/>
  <c r="Q21" i="14"/>
  <c r="Q20" i="14"/>
  <c r="Q22" i="14"/>
  <c r="D8" i="14" s="1"/>
  <c r="C18" i="19" s="1"/>
  <c r="L18" i="19" s="1"/>
  <c r="I32" i="17"/>
  <c r="J53" i="34"/>
  <c r="G35" i="34"/>
  <c r="G33" i="34"/>
  <c r="H97" i="1"/>
  <c r="H98" i="1"/>
  <c r="G45" i="34" s="1"/>
  <c r="H99" i="1"/>
  <c r="G13" i="34"/>
  <c r="F24" i="29"/>
  <c r="E47" i="20"/>
  <c r="E48" i="20"/>
  <c r="E49" i="20"/>
  <c r="E50" i="20"/>
  <c r="E51" i="20"/>
  <c r="E52" i="20"/>
  <c r="E46" i="20"/>
  <c r="E45" i="20"/>
  <c r="E43" i="20"/>
  <c r="E44" i="20"/>
  <c r="E53" i="20"/>
  <c r="D8" i="9"/>
  <c r="G101" i="34"/>
  <c r="N101" i="34"/>
  <c r="O101" i="34"/>
  <c r="G28" i="34"/>
  <c r="E12" i="29"/>
  <c r="K12" i="28"/>
  <c r="E12" i="28"/>
  <c r="E12" i="27"/>
  <c r="E11" i="26"/>
  <c r="E12" i="25"/>
  <c r="E12" i="24"/>
  <c r="E12" i="23"/>
  <c r="E12" i="22"/>
  <c r="E12" i="21"/>
  <c r="E12" i="20"/>
  <c r="E12" i="18"/>
  <c r="E12" i="16"/>
  <c r="E12" i="14"/>
  <c r="K12" i="14"/>
  <c r="E12" i="13"/>
  <c r="E12" i="8"/>
  <c r="I12" i="6"/>
  <c r="E12" i="6"/>
  <c r="E12" i="5"/>
  <c r="E12" i="2"/>
  <c r="K12" i="1"/>
  <c r="E12" i="1"/>
  <c r="Y196" i="34"/>
  <c r="Y159" i="34"/>
  <c r="Y144" i="34"/>
  <c r="Y131" i="34"/>
  <c r="Y114" i="34"/>
  <c r="Y105" i="34"/>
  <c r="Y90" i="34"/>
  <c r="Y75" i="34"/>
  <c r="Y67" i="34"/>
  <c r="Y56" i="34"/>
  <c r="Y40" i="34"/>
  <c r="Y32" i="34"/>
  <c r="Y19" i="34"/>
  <c r="Y9" i="34"/>
  <c r="N53" i="34"/>
  <c r="N54" i="34"/>
  <c r="O54" i="34"/>
  <c r="N55" i="34"/>
  <c r="N56" i="34"/>
  <c r="O56" i="34"/>
  <c r="N57" i="34"/>
  <c r="N58" i="34"/>
  <c r="O58" i="34"/>
  <c r="N59" i="34"/>
  <c r="N60" i="34"/>
  <c r="O60" i="34"/>
  <c r="N61" i="34"/>
  <c r="N62" i="34"/>
  <c r="O62" i="34"/>
  <c r="N63" i="34"/>
  <c r="O63" i="34"/>
  <c r="N64" i="34"/>
  <c r="O64" i="34"/>
  <c r="N65" i="34"/>
  <c r="O65" i="34"/>
  <c r="N66" i="34"/>
  <c r="O66" i="34"/>
  <c r="N67" i="34"/>
  <c r="O67" i="34"/>
  <c r="N71" i="34"/>
  <c r="O71" i="34"/>
  <c r="N72" i="34"/>
  <c r="O72" i="34"/>
  <c r="N73" i="34"/>
  <c r="O73" i="34"/>
  <c r="N74" i="34"/>
  <c r="O74" i="34"/>
  <c r="N75" i="34"/>
  <c r="O75" i="34"/>
  <c r="N77" i="34"/>
  <c r="O77" i="34"/>
  <c r="N79" i="34"/>
  <c r="O79" i="34"/>
  <c r="N80" i="34"/>
  <c r="O80" i="34"/>
  <c r="N81" i="34"/>
  <c r="O81" i="34"/>
  <c r="N82" i="34"/>
  <c r="O82" i="34"/>
  <c r="N83" i="34"/>
  <c r="O83" i="34"/>
  <c r="N84" i="34"/>
  <c r="O84" i="34"/>
  <c r="N85" i="34"/>
  <c r="O85" i="34"/>
  <c r="N88" i="34"/>
  <c r="O88" i="34"/>
  <c r="N89" i="34"/>
  <c r="O89" i="34"/>
  <c r="N90" i="34"/>
  <c r="O90" i="34"/>
  <c r="N94" i="34"/>
  <c r="O94" i="34"/>
  <c r="N95" i="34"/>
  <c r="O95" i="34"/>
  <c r="N96" i="34"/>
  <c r="O96" i="34"/>
  <c r="N97" i="34"/>
  <c r="O97" i="34"/>
  <c r="N99" i="34"/>
  <c r="O99" i="34"/>
  <c r="N100" i="34"/>
  <c r="O100" i="34"/>
  <c r="N102" i="34"/>
  <c r="O102" i="34"/>
  <c r="N103" i="34"/>
  <c r="O103" i="34"/>
  <c r="N104" i="34"/>
  <c r="O104" i="34"/>
  <c r="N105" i="34"/>
  <c r="O105" i="34"/>
  <c r="N107" i="34"/>
  <c r="O107" i="34"/>
  <c r="N108" i="34"/>
  <c r="O108" i="34"/>
  <c r="N109" i="34"/>
  <c r="O109" i="34"/>
  <c r="N110" i="34"/>
  <c r="O110" i="34"/>
  <c r="N111" i="34"/>
  <c r="O111" i="34"/>
  <c r="N112" i="34"/>
  <c r="O112" i="34"/>
  <c r="N113" i="34"/>
  <c r="O113" i="34"/>
  <c r="N114" i="34"/>
  <c r="O114" i="34"/>
  <c r="N115" i="34"/>
  <c r="O115" i="34"/>
  <c r="N116" i="34"/>
  <c r="O116" i="34"/>
  <c r="N117" i="34"/>
  <c r="O117" i="34"/>
  <c r="N118" i="34"/>
  <c r="O118" i="34"/>
  <c r="N119" i="34"/>
  <c r="O119" i="34"/>
  <c r="N120" i="34"/>
  <c r="O120" i="34"/>
  <c r="N121" i="34"/>
  <c r="O121" i="34"/>
  <c r="N122" i="34"/>
  <c r="O122" i="34"/>
  <c r="N123" i="34"/>
  <c r="O123" i="34"/>
  <c r="N124" i="34"/>
  <c r="O124" i="34"/>
  <c r="N125" i="34"/>
  <c r="O125" i="34"/>
  <c r="N126" i="34"/>
  <c r="O126" i="34"/>
  <c r="N127" i="34"/>
  <c r="O127" i="34"/>
  <c r="N128" i="34"/>
  <c r="O128" i="34"/>
  <c r="N129" i="34"/>
  <c r="O129" i="34"/>
  <c r="N131" i="34"/>
  <c r="O131" i="34"/>
  <c r="N132" i="34"/>
  <c r="O132" i="34"/>
  <c r="N133" i="34"/>
  <c r="O133" i="34"/>
  <c r="N134" i="34"/>
  <c r="O134" i="34"/>
  <c r="N135" i="34"/>
  <c r="O135" i="34"/>
  <c r="N136" i="34"/>
  <c r="O136" i="34"/>
  <c r="N137" i="34"/>
  <c r="O137" i="34"/>
  <c r="N138" i="34"/>
  <c r="O138" i="34"/>
  <c r="N139" i="34"/>
  <c r="O139" i="34"/>
  <c r="N140" i="34"/>
  <c r="O140" i="34"/>
  <c r="N141" i="34"/>
  <c r="O141" i="34"/>
  <c r="N143" i="34"/>
  <c r="O143" i="34"/>
  <c r="N144" i="34"/>
  <c r="O144" i="34"/>
  <c r="N145" i="34"/>
  <c r="O145" i="34"/>
  <c r="N146" i="34"/>
  <c r="O146" i="34"/>
  <c r="N147" i="34"/>
  <c r="O147" i="34"/>
  <c r="N148" i="34"/>
  <c r="O148" i="34"/>
  <c r="N149" i="34"/>
  <c r="O149" i="34"/>
  <c r="N150" i="34"/>
  <c r="O150" i="34"/>
  <c r="N151" i="34"/>
  <c r="O151" i="34"/>
  <c r="N152" i="34"/>
  <c r="O152" i="34"/>
  <c r="N153" i="34"/>
  <c r="O153" i="34"/>
  <c r="N154" i="34"/>
  <c r="O154" i="34" s="1"/>
  <c r="N155" i="34"/>
  <c r="O155" i="34"/>
  <c r="N156" i="34"/>
  <c r="O156" i="34" s="1"/>
  <c r="N157" i="34"/>
  <c r="O157" i="34"/>
  <c r="N158" i="34"/>
  <c r="O158" i="34"/>
  <c r="N159" i="34"/>
  <c r="O159" i="34"/>
  <c r="N160" i="34"/>
  <c r="O160" i="34" s="1"/>
  <c r="N161" i="34"/>
  <c r="O161" i="34"/>
  <c r="N162" i="34"/>
  <c r="O162" i="34"/>
  <c r="N163" i="34"/>
  <c r="O163" i="34"/>
  <c r="N164" i="34"/>
  <c r="O164" i="34"/>
  <c r="N165" i="34"/>
  <c r="O165" i="34"/>
  <c r="N166" i="34"/>
  <c r="O166" i="34"/>
  <c r="N167" i="34"/>
  <c r="O167" i="34"/>
  <c r="N168" i="34"/>
  <c r="O168" i="34"/>
  <c r="N169" i="34"/>
  <c r="O169" i="34"/>
  <c r="N170" i="34"/>
  <c r="O170" i="34"/>
  <c r="N171" i="34"/>
  <c r="O171" i="34"/>
  <c r="N172" i="34"/>
  <c r="O172" i="34"/>
  <c r="N173" i="34"/>
  <c r="O173" i="34"/>
  <c r="N174" i="34"/>
  <c r="O174" i="34"/>
  <c r="N175" i="34"/>
  <c r="O175" i="34" s="1"/>
  <c r="N176" i="34"/>
  <c r="O176" i="34"/>
  <c r="N177" i="34"/>
  <c r="O177" i="34"/>
  <c r="N179" i="34"/>
  <c r="O179" i="34"/>
  <c r="N180" i="34"/>
  <c r="O180" i="34"/>
  <c r="N181" i="34"/>
  <c r="O181" i="34"/>
  <c r="N182" i="34"/>
  <c r="O182" i="34" s="1"/>
  <c r="N183" i="34"/>
  <c r="O183" i="34" s="1"/>
  <c r="N184" i="34"/>
  <c r="O184" i="34"/>
  <c r="N185" i="34"/>
  <c r="O185" i="34" s="1"/>
  <c r="N186" i="34"/>
  <c r="O186" i="34" s="1"/>
  <c r="N187" i="34"/>
  <c r="O187" i="34"/>
  <c r="N192" i="34"/>
  <c r="O192" i="34" s="1"/>
  <c r="N194" i="34"/>
  <c r="O194" i="34" s="1"/>
  <c r="N196" i="34"/>
  <c r="O196" i="34"/>
  <c r="N197" i="34"/>
  <c r="O197" i="34"/>
  <c r="N198" i="34"/>
  <c r="O198" i="34"/>
  <c r="N199" i="34"/>
  <c r="O199" i="34"/>
  <c r="N200" i="34"/>
  <c r="O200" i="34"/>
  <c r="N201" i="34"/>
  <c r="O201" i="34"/>
  <c r="N202" i="34"/>
  <c r="O202" i="34"/>
  <c r="N203" i="34"/>
  <c r="O203" i="34"/>
  <c r="O53" i="34"/>
  <c r="O55" i="34"/>
  <c r="O57" i="34"/>
  <c r="O59" i="34"/>
  <c r="O61" i="34"/>
  <c r="N51" i="34"/>
  <c r="O51" i="34"/>
  <c r="N52" i="34"/>
  <c r="O52" i="34"/>
  <c r="N43" i="34"/>
  <c r="O43" i="34"/>
  <c r="N44" i="34"/>
  <c r="O44" i="34"/>
  <c r="N47" i="34"/>
  <c r="O47" i="34"/>
  <c r="N42" i="34"/>
  <c r="O42" i="34"/>
  <c r="N41" i="34"/>
  <c r="O41" i="34"/>
  <c r="N34" i="34"/>
  <c r="O34" i="34"/>
  <c r="N35" i="34"/>
  <c r="O35" i="34"/>
  <c r="N36" i="34"/>
  <c r="O36" i="34"/>
  <c r="N37" i="34"/>
  <c r="O37" i="34"/>
  <c r="N38" i="34"/>
  <c r="O38" i="34"/>
  <c r="N33" i="34"/>
  <c r="O33" i="34"/>
  <c r="N21" i="34"/>
  <c r="N22" i="34"/>
  <c r="N23" i="34"/>
  <c r="N24" i="34"/>
  <c r="N25" i="34"/>
  <c r="N26" i="34"/>
  <c r="N27" i="34"/>
  <c r="N28" i="34"/>
  <c r="N29" i="34"/>
  <c r="N30" i="34"/>
  <c r="P129" i="34"/>
  <c r="P128" i="34"/>
  <c r="P126" i="34"/>
  <c r="P125" i="34"/>
  <c r="P124" i="34"/>
  <c r="P120" i="34"/>
  <c r="P123" i="34"/>
  <c r="P122" i="34"/>
  <c r="P119" i="34"/>
  <c r="P118" i="34"/>
  <c r="P117" i="34"/>
  <c r="P116" i="34"/>
  <c r="P127" i="34"/>
  <c r="P115" i="34"/>
  <c r="P142" i="34"/>
  <c r="P141" i="34"/>
  <c r="P140" i="34"/>
  <c r="P139" i="34"/>
  <c r="P132" i="34"/>
  <c r="P138" i="34"/>
  <c r="P137" i="34"/>
  <c r="P136" i="34"/>
  <c r="P135" i="34"/>
  <c r="P134" i="34"/>
  <c r="P133" i="34"/>
  <c r="P177" i="34"/>
  <c r="P176" i="34"/>
  <c r="P175" i="34"/>
  <c r="P173" i="34"/>
  <c r="P172" i="34"/>
  <c r="P171" i="34"/>
  <c r="P170" i="34"/>
  <c r="P168" i="34"/>
  <c r="P167" i="34"/>
  <c r="P163" i="34"/>
  <c r="P162" i="34"/>
  <c r="P161" i="34"/>
  <c r="P160" i="34"/>
  <c r="P158" i="34"/>
  <c r="P157" i="34"/>
  <c r="P156" i="34"/>
  <c r="P155" i="34"/>
  <c r="P154" i="34"/>
  <c r="P153" i="34"/>
  <c r="P152" i="34"/>
  <c r="P151" i="34"/>
  <c r="P150" i="34"/>
  <c r="P149" i="34"/>
  <c r="P148" i="34"/>
  <c r="P147" i="34"/>
  <c r="P146" i="34"/>
  <c r="P145" i="34"/>
  <c r="Y180" i="34"/>
  <c r="Y113" i="34"/>
  <c r="Y8" i="34"/>
  <c r="Y39" i="34"/>
  <c r="Y179" i="34"/>
  <c r="Y66" i="34"/>
  <c r="Y143" i="34"/>
  <c r="Y204" i="34"/>
  <c r="P192" i="34"/>
  <c r="P191" i="34"/>
  <c r="P190" i="34"/>
  <c r="P189" i="34"/>
  <c r="P188" i="34"/>
  <c r="P194" i="34"/>
  <c r="P193" i="34"/>
  <c r="P186" i="34"/>
  <c r="P185" i="34"/>
  <c r="P182" i="34"/>
  <c r="P181" i="34"/>
  <c r="P88" i="34"/>
  <c r="P87" i="34"/>
  <c r="P86" i="34"/>
  <c r="P85" i="34"/>
  <c r="P84" i="34"/>
  <c r="P82" i="34"/>
  <c r="P81" i="34"/>
  <c r="P79" i="34"/>
  <c r="P78" i="34"/>
  <c r="P83" i="34"/>
  <c r="P76" i="34"/>
  <c r="P111" i="34"/>
  <c r="P109" i="34"/>
  <c r="P108" i="34"/>
  <c r="P107" i="34"/>
  <c r="P106" i="34"/>
  <c r="P104" i="34"/>
  <c r="P92" i="34"/>
  <c r="P94" i="34"/>
  <c r="P95" i="34"/>
  <c r="P96" i="34"/>
  <c r="P97" i="34"/>
  <c r="P98" i="34"/>
  <c r="P101" i="34"/>
  <c r="P102" i="34"/>
  <c r="P91" i="34"/>
  <c r="P74" i="34"/>
  <c r="P73" i="34"/>
  <c r="P70" i="34"/>
  <c r="P69" i="34"/>
  <c r="P68" i="34"/>
  <c r="P55" i="34"/>
  <c r="P65" i="34"/>
  <c r="P64" i="34"/>
  <c r="P63" i="34"/>
  <c r="P58" i="34"/>
  <c r="P57" i="34"/>
  <c r="P53" i="34"/>
  <c r="P51" i="34"/>
  <c r="P48" i="34"/>
  <c r="P46" i="34"/>
  <c r="P45" i="34"/>
  <c r="P49" i="34"/>
  <c r="P41" i="34"/>
  <c r="P36" i="34"/>
  <c r="P35" i="34"/>
  <c r="P34" i="34"/>
  <c r="P33" i="34"/>
  <c r="P31" i="34"/>
  <c r="P30" i="34"/>
  <c r="P29" i="34"/>
  <c r="P28" i="34"/>
  <c r="P27" i="34"/>
  <c r="P26" i="34"/>
  <c r="P25" i="34"/>
  <c r="P23" i="34"/>
  <c r="P21" i="34"/>
  <c r="P22" i="34"/>
  <c r="P24" i="34"/>
  <c r="P20" i="34"/>
  <c r="P18" i="34"/>
  <c r="P17" i="34"/>
  <c r="P15" i="34"/>
  <c r="P14" i="34"/>
  <c r="P13" i="34"/>
  <c r="P12" i="34"/>
  <c r="P11" i="34"/>
  <c r="P10" i="34"/>
  <c r="U196" i="34"/>
  <c r="Q193" i="34"/>
  <c r="U159" i="34"/>
  <c r="U131" i="34"/>
  <c r="S131" i="34"/>
  <c r="Q123" i="34"/>
  <c r="U105" i="34"/>
  <c r="Q107" i="34"/>
  <c r="U90" i="34"/>
  <c r="Q93" i="34"/>
  <c r="U75" i="34"/>
  <c r="Q82" i="34"/>
  <c r="U67" i="34"/>
  <c r="Q70" i="34"/>
  <c r="U56" i="34"/>
  <c r="Q58" i="34"/>
  <c r="T39" i="34"/>
  <c r="Q41" i="34"/>
  <c r="U32" i="34"/>
  <c r="Z32" i="34"/>
  <c r="AA32" i="34" s="1"/>
  <c r="Q34" i="34"/>
  <c r="V19" i="34"/>
  <c r="Z19" i="34"/>
  <c r="AA19" i="34" s="1"/>
  <c r="Q20" i="34"/>
  <c r="T8" i="34"/>
  <c r="Q12" i="34"/>
  <c r="J50" i="34"/>
  <c r="E39" i="22"/>
  <c r="H64" i="14"/>
  <c r="I64" i="14"/>
  <c r="J64" i="14"/>
  <c r="K64" i="14"/>
  <c r="D31" i="33"/>
  <c r="D29" i="33"/>
  <c r="D26" i="33"/>
  <c r="D24" i="33"/>
  <c r="D39" i="22"/>
  <c r="D23" i="33"/>
  <c r="D22" i="33"/>
  <c r="I22" i="17"/>
  <c r="E20" i="33"/>
  <c r="I39" i="17"/>
  <c r="D8" i="17"/>
  <c r="I23" i="17"/>
  <c r="I24" i="17"/>
  <c r="I25" i="17"/>
  <c r="I26" i="17"/>
  <c r="I27" i="17"/>
  <c r="I28" i="17"/>
  <c r="I33" i="17"/>
  <c r="I34" i="17"/>
  <c r="D20" i="33"/>
  <c r="D5" i="33"/>
  <c r="D100" i="1"/>
  <c r="E36" i="29"/>
  <c r="E37" i="29"/>
  <c r="E42" i="29"/>
  <c r="D42" i="29"/>
  <c r="G41" i="29"/>
  <c r="F41" i="29"/>
  <c r="E41" i="29"/>
  <c r="G40" i="29"/>
  <c r="F40" i="29"/>
  <c r="E40" i="29"/>
  <c r="G39" i="29"/>
  <c r="F39" i="29"/>
  <c r="E39" i="29"/>
  <c r="G38" i="29"/>
  <c r="G37" i="29"/>
  <c r="F37" i="29"/>
  <c r="G36" i="29"/>
  <c r="F36" i="29"/>
  <c r="F42" i="29"/>
  <c r="D8" i="29"/>
  <c r="J30" i="29"/>
  <c r="G42" i="29"/>
  <c r="I30" i="29"/>
  <c r="H30" i="29"/>
  <c r="G30" i="29"/>
  <c r="I19" i="29"/>
  <c r="I18" i="29"/>
  <c r="I17" i="29"/>
  <c r="D12" i="29"/>
  <c r="D11" i="29"/>
  <c r="F10" i="29"/>
  <c r="E4" i="29"/>
  <c r="A2" i="29"/>
  <c r="E27" i="28"/>
  <c r="E21" i="28"/>
  <c r="F27" i="28"/>
  <c r="G21" i="28"/>
  <c r="F21" i="28"/>
  <c r="E30" i="28"/>
  <c r="D8" i="28"/>
  <c r="D12" i="28"/>
  <c r="D11" i="28"/>
  <c r="F10" i="28"/>
  <c r="E4" i="28"/>
  <c r="A2" i="28"/>
  <c r="E81" i="27"/>
  <c r="F69" i="27"/>
  <c r="G68" i="27"/>
  <c r="G69" i="27"/>
  <c r="F68" i="27"/>
  <c r="E68" i="27"/>
  <c r="E69" i="27"/>
  <c r="H69" i="27"/>
  <c r="H70" i="27"/>
  <c r="E74" i="27"/>
  <c r="H67" i="27"/>
  <c r="H66" i="27"/>
  <c r="H65" i="27"/>
  <c r="L59" i="27"/>
  <c r="L60" i="27"/>
  <c r="K59" i="27"/>
  <c r="K60" i="27"/>
  <c r="J59" i="27"/>
  <c r="J60" i="27"/>
  <c r="I59" i="27"/>
  <c r="I60" i="27"/>
  <c r="H59" i="27"/>
  <c r="H60" i="27"/>
  <c r="G59" i="27"/>
  <c r="G60" i="27"/>
  <c r="F59" i="27"/>
  <c r="F60" i="27"/>
  <c r="E59" i="27"/>
  <c r="E60" i="27"/>
  <c r="F47" i="27"/>
  <c r="G46" i="27"/>
  <c r="G47" i="27"/>
  <c r="F46" i="27"/>
  <c r="E46" i="27"/>
  <c r="E47" i="27"/>
  <c r="H47" i="27" s="1"/>
  <c r="H48" i="27" s="1"/>
  <c r="E73" i="27" s="1"/>
  <c r="E75" i="27" s="1"/>
  <c r="E80" i="27" s="1"/>
  <c r="E29" i="33" s="1"/>
  <c r="F81" i="27" s="1"/>
  <c r="D8" i="27" s="1"/>
  <c r="H45" i="27"/>
  <c r="H44" i="27"/>
  <c r="H43" i="27"/>
  <c r="M37" i="27"/>
  <c r="M38" i="27"/>
  <c r="L37" i="27"/>
  <c r="L38" i="27"/>
  <c r="K37" i="27"/>
  <c r="K38" i="27"/>
  <c r="J37" i="27"/>
  <c r="J38" i="27"/>
  <c r="I37" i="27"/>
  <c r="I38" i="27"/>
  <c r="H37" i="27"/>
  <c r="H38" i="27"/>
  <c r="G37" i="27"/>
  <c r="G38" i="27"/>
  <c r="F37" i="27"/>
  <c r="F38" i="27"/>
  <c r="E37" i="27"/>
  <c r="E38" i="27"/>
  <c r="J20" i="27"/>
  <c r="E24" i="27"/>
  <c r="I20" i="27"/>
  <c r="E23" i="27"/>
  <c r="D12" i="27"/>
  <c r="D11" i="27"/>
  <c r="F10" i="27"/>
  <c r="E4" i="27"/>
  <c r="A2" i="27"/>
  <c r="H17" i="26"/>
  <c r="G17" i="26"/>
  <c r="F17" i="26"/>
  <c r="E17" i="26"/>
  <c r="D11" i="26"/>
  <c r="D10" i="26"/>
  <c r="F9" i="26"/>
  <c r="D7" i="26"/>
  <c r="C29" i="19"/>
  <c r="L29" i="19"/>
  <c r="E4" i="26"/>
  <c r="A2" i="26"/>
  <c r="H21" i="25"/>
  <c r="G21" i="25"/>
  <c r="F21" i="25"/>
  <c r="E21" i="25"/>
  <c r="I20" i="25"/>
  <c r="I19" i="25"/>
  <c r="I21" i="25" s="1"/>
  <c r="I18" i="25"/>
  <c r="D12" i="25"/>
  <c r="D11" i="25"/>
  <c r="F10" i="25"/>
  <c r="D8" i="25"/>
  <c r="E4" i="25"/>
  <c r="A2" i="25"/>
  <c r="F24" i="24"/>
  <c r="E117" i="24"/>
  <c r="G117" i="24"/>
  <c r="F55" i="24"/>
  <c r="E118" i="24" s="1"/>
  <c r="G118" i="24" s="1"/>
  <c r="F76" i="24"/>
  <c r="E119" i="24"/>
  <c r="G119" i="24" s="1"/>
  <c r="F94" i="24"/>
  <c r="E120" i="24"/>
  <c r="G120" i="24"/>
  <c r="F114" i="24"/>
  <c r="E121" i="24" s="1"/>
  <c r="G121" i="24" s="1"/>
  <c r="F122" i="24"/>
  <c r="D121" i="24"/>
  <c r="D120" i="24"/>
  <c r="D119" i="24"/>
  <c r="D118" i="24"/>
  <c r="D117" i="24"/>
  <c r="I113" i="24"/>
  <c r="H114" i="24"/>
  <c r="G114" i="24"/>
  <c r="E114" i="24"/>
  <c r="I112" i="24"/>
  <c r="I114" i="24" s="1"/>
  <c r="I100" i="24"/>
  <c r="I101" i="24"/>
  <c r="H101" i="24"/>
  <c r="G101" i="24"/>
  <c r="F101" i="24"/>
  <c r="E101" i="24"/>
  <c r="I99" i="24"/>
  <c r="I93" i="24"/>
  <c r="H94" i="24"/>
  <c r="G94" i="24"/>
  <c r="E94" i="24"/>
  <c r="I92" i="24"/>
  <c r="I94" i="24"/>
  <c r="H83" i="24"/>
  <c r="G83" i="24"/>
  <c r="F83" i="24"/>
  <c r="E83" i="24"/>
  <c r="I82" i="24"/>
  <c r="I83" i="24"/>
  <c r="I81" i="24"/>
  <c r="I75" i="24"/>
  <c r="I76" i="24" s="1"/>
  <c r="H76" i="24"/>
  <c r="G76" i="24"/>
  <c r="E76" i="24"/>
  <c r="I74" i="24"/>
  <c r="H62" i="24"/>
  <c r="G62" i="24"/>
  <c r="F62" i="24"/>
  <c r="E62" i="24"/>
  <c r="I61" i="24"/>
  <c r="I60" i="24"/>
  <c r="I62" i="24"/>
  <c r="I54" i="24"/>
  <c r="H55" i="24"/>
  <c r="G55" i="24"/>
  <c r="E55" i="24"/>
  <c r="I53" i="24"/>
  <c r="I55" i="24"/>
  <c r="H41" i="24"/>
  <c r="G41" i="24"/>
  <c r="F41" i="24"/>
  <c r="E41" i="24"/>
  <c r="I23" i="24"/>
  <c r="H24" i="24"/>
  <c r="G24" i="24"/>
  <c r="E24" i="24"/>
  <c r="I22" i="24"/>
  <c r="I24" i="24"/>
  <c r="D12" i="24"/>
  <c r="D11" i="24"/>
  <c r="F10" i="24"/>
  <c r="E4" i="24"/>
  <c r="A2" i="24"/>
  <c r="F57" i="23"/>
  <c r="D56" i="23"/>
  <c r="D55" i="23"/>
  <c r="D54" i="23"/>
  <c r="D53" i="23"/>
  <c r="D52" i="23"/>
  <c r="H49" i="23"/>
  <c r="G49" i="23"/>
  <c r="F49" i="23"/>
  <c r="E49" i="23"/>
  <c r="I48" i="23"/>
  <c r="I47" i="23"/>
  <c r="I49" i="23"/>
  <c r="H42" i="23"/>
  <c r="G42" i="23"/>
  <c r="F42" i="23"/>
  <c r="E55" i="23"/>
  <c r="G55" i="23" s="1"/>
  <c r="E42" i="23"/>
  <c r="I41" i="23"/>
  <c r="I40" i="23"/>
  <c r="H35" i="23"/>
  <c r="G35" i="23"/>
  <c r="F35" i="23"/>
  <c r="E35" i="23"/>
  <c r="I34" i="23"/>
  <c r="I33" i="23"/>
  <c r="I35" i="23"/>
  <c r="H28" i="23"/>
  <c r="G28" i="23"/>
  <c r="F28" i="23"/>
  <c r="E53" i="23" s="1"/>
  <c r="E28" i="23"/>
  <c r="I27" i="23"/>
  <c r="I26" i="23"/>
  <c r="H21" i="23"/>
  <c r="G21" i="23"/>
  <c r="F21" i="23"/>
  <c r="E52" i="23" s="1"/>
  <c r="G52" i="23" s="1"/>
  <c r="E21" i="23"/>
  <c r="I20" i="23"/>
  <c r="I19" i="23"/>
  <c r="I21" i="23"/>
  <c r="D12" i="23"/>
  <c r="D11" i="23"/>
  <c r="F10" i="23"/>
  <c r="E4" i="23"/>
  <c r="A2" i="23"/>
  <c r="G38" i="22"/>
  <c r="G37" i="22"/>
  <c r="G36" i="22"/>
  <c r="K30" i="22"/>
  <c r="J30" i="22"/>
  <c r="I30" i="22"/>
  <c r="E24" i="33" s="1"/>
  <c r="H30" i="22"/>
  <c r="I19" i="22"/>
  <c r="I18" i="22"/>
  <c r="I17" i="22"/>
  <c r="D12" i="22"/>
  <c r="D11" i="22"/>
  <c r="F10" i="22"/>
  <c r="E4" i="22"/>
  <c r="A2" i="22"/>
  <c r="I59" i="21"/>
  <c r="K59" i="21"/>
  <c r="H59" i="21"/>
  <c r="J59" i="21"/>
  <c r="G59" i="21"/>
  <c r="K58" i="21"/>
  <c r="J58" i="21"/>
  <c r="K49" i="21"/>
  <c r="J49" i="21"/>
  <c r="K48" i="21"/>
  <c r="J48" i="21"/>
  <c r="K47" i="21"/>
  <c r="J47" i="21"/>
  <c r="K46" i="21"/>
  <c r="J46" i="21"/>
  <c r="K45" i="21"/>
  <c r="J45" i="21"/>
  <c r="K44" i="21"/>
  <c r="J44" i="21"/>
  <c r="H38" i="21"/>
  <c r="I37" i="21"/>
  <c r="F37" i="21"/>
  <c r="I36" i="21"/>
  <c r="F36" i="21"/>
  <c r="I35" i="21"/>
  <c r="F35" i="21"/>
  <c r="I34" i="21"/>
  <c r="F34" i="21"/>
  <c r="I33" i="21"/>
  <c r="F33" i="21"/>
  <c r="I32" i="21"/>
  <c r="F32" i="21"/>
  <c r="I31" i="21"/>
  <c r="F31" i="21"/>
  <c r="I30" i="21"/>
  <c r="F30" i="21"/>
  <c r="I29" i="21"/>
  <c r="F29" i="21"/>
  <c r="I28" i="21"/>
  <c r="F28" i="21"/>
  <c r="I27" i="21"/>
  <c r="F27" i="21"/>
  <c r="I26" i="21"/>
  <c r="F26" i="21"/>
  <c r="I25" i="21"/>
  <c r="F25" i="21"/>
  <c r="I24" i="21"/>
  <c r="F24" i="21"/>
  <c r="I23" i="21"/>
  <c r="E23" i="33"/>
  <c r="I38" i="21"/>
  <c r="D8" i="21"/>
  <c r="F23" i="21"/>
  <c r="I18" i="21"/>
  <c r="D12" i="21"/>
  <c r="D11" i="21"/>
  <c r="F10" i="21"/>
  <c r="E4" i="21"/>
  <c r="A2" i="21"/>
  <c r="J37" i="20"/>
  <c r="I37" i="20"/>
  <c r="F53" i="20"/>
  <c r="D53" i="20"/>
  <c r="F52" i="20"/>
  <c r="F51" i="20"/>
  <c r="F50" i="20"/>
  <c r="F49" i="20"/>
  <c r="F48" i="20"/>
  <c r="F47" i="20"/>
  <c r="F46" i="20"/>
  <c r="F45" i="20"/>
  <c r="F44" i="20"/>
  <c r="F43" i="20"/>
  <c r="H37" i="20"/>
  <c r="G37" i="20"/>
  <c r="H20" i="20"/>
  <c r="G20" i="20"/>
  <c r="F20" i="20"/>
  <c r="D8" i="20"/>
  <c r="E20" i="20"/>
  <c r="I19" i="20"/>
  <c r="I20" i="20"/>
  <c r="I18" i="20"/>
  <c r="D12" i="20"/>
  <c r="D11" i="20"/>
  <c r="F10" i="20"/>
  <c r="E4" i="20"/>
  <c r="A2" i="20"/>
  <c r="I21" i="18"/>
  <c r="I22" i="18"/>
  <c r="H22" i="18"/>
  <c r="G22" i="18"/>
  <c r="F22" i="18"/>
  <c r="E22" i="18"/>
  <c r="I20" i="18"/>
  <c r="D12" i="18"/>
  <c r="D11" i="18"/>
  <c r="F10" i="18"/>
  <c r="D8" i="18"/>
  <c r="E4" i="18"/>
  <c r="A2" i="18"/>
  <c r="H39" i="17"/>
  <c r="I38" i="17"/>
  <c r="I18" i="17"/>
  <c r="E12" i="17"/>
  <c r="D12" i="17"/>
  <c r="D11" i="17"/>
  <c r="F10" i="17"/>
  <c r="E4" i="17"/>
  <c r="A2" i="17"/>
  <c r="J33" i="16"/>
  <c r="I33" i="16"/>
  <c r="H33" i="16"/>
  <c r="G33" i="16"/>
  <c r="F33" i="16"/>
  <c r="H21" i="16"/>
  <c r="H22" i="16" s="1"/>
  <c r="G21" i="16"/>
  <c r="G22" i="16" s="1"/>
  <c r="F21" i="16"/>
  <c r="F22" i="16" s="1"/>
  <c r="D8" i="16" s="1"/>
  <c r="E21" i="16"/>
  <c r="E22" i="16"/>
  <c r="D12" i="16"/>
  <c r="D11" i="16"/>
  <c r="F10" i="16"/>
  <c r="E4" i="16"/>
  <c r="A2" i="16"/>
  <c r="K35" i="15"/>
  <c r="J35" i="15"/>
  <c r="I35" i="15"/>
  <c r="H35" i="15"/>
  <c r="I21" i="15"/>
  <c r="H21" i="15"/>
  <c r="F21" i="15"/>
  <c r="E21" i="15"/>
  <c r="J20" i="15"/>
  <c r="G20" i="15"/>
  <c r="G19" i="15"/>
  <c r="G21" i="15"/>
  <c r="J19" i="15"/>
  <c r="J21" i="15"/>
  <c r="K19" i="15"/>
  <c r="J18" i="15"/>
  <c r="G18" i="15"/>
  <c r="K18" i="15"/>
  <c r="K12" i="15"/>
  <c r="E12" i="15"/>
  <c r="D12" i="15"/>
  <c r="D11" i="15"/>
  <c r="F10" i="15"/>
  <c r="E4" i="15"/>
  <c r="A2" i="15"/>
  <c r="P22" i="14"/>
  <c r="O22" i="14"/>
  <c r="N22" i="14"/>
  <c r="M22" i="14"/>
  <c r="L22" i="14"/>
  <c r="K22" i="14"/>
  <c r="J22" i="14"/>
  <c r="I22" i="14"/>
  <c r="H22" i="14"/>
  <c r="G22" i="14"/>
  <c r="F22" i="14"/>
  <c r="E22" i="14"/>
  <c r="Q19" i="14"/>
  <c r="I18" i="19"/>
  <c r="M18" i="19" s="1"/>
  <c r="D12" i="14"/>
  <c r="D11" i="14"/>
  <c r="F10" i="14"/>
  <c r="E4" i="14"/>
  <c r="A2" i="14"/>
  <c r="K41" i="13"/>
  <c r="J41" i="13"/>
  <c r="I41" i="13"/>
  <c r="H41" i="13"/>
  <c r="F20" i="13"/>
  <c r="E20" i="13"/>
  <c r="G19" i="13"/>
  <c r="G18" i="13"/>
  <c r="G20" i="13" s="1"/>
  <c r="D8" i="13" s="1"/>
  <c r="G17" i="13"/>
  <c r="D12" i="13"/>
  <c r="D11" i="13"/>
  <c r="F10" i="13"/>
  <c r="E4" i="13"/>
  <c r="A2" i="13"/>
  <c r="M46" i="12"/>
  <c r="M45" i="12"/>
  <c r="M32" i="12"/>
  <c r="L45" i="12"/>
  <c r="K44" i="12"/>
  <c r="K42" i="12"/>
  <c r="M33" i="12"/>
  <c r="M30" i="12"/>
  <c r="M34" i="12"/>
  <c r="M29" i="12"/>
  <c r="K29" i="12"/>
  <c r="M28" i="12"/>
  <c r="K28" i="12"/>
  <c r="K43" i="12"/>
  <c r="M27" i="12"/>
  <c r="K27" i="12"/>
  <c r="M26" i="12"/>
  <c r="K26" i="12"/>
  <c r="K41" i="12"/>
  <c r="M22" i="12"/>
  <c r="E20" i="12"/>
  <c r="G15" i="33"/>
  <c r="H30" i="12"/>
  <c r="I15" i="33"/>
  <c r="I25" i="12"/>
  <c r="N18" i="12"/>
  <c r="N19" i="12"/>
  <c r="N20" i="12"/>
  <c r="N21" i="12"/>
  <c r="N17" i="12"/>
  <c r="D12" i="12"/>
  <c r="D11" i="12"/>
  <c r="F10" i="12"/>
  <c r="D8" i="12"/>
  <c r="C16" i="19"/>
  <c r="E4" i="12"/>
  <c r="A2" i="12"/>
  <c r="I20" i="11"/>
  <c r="H20" i="11"/>
  <c r="G20" i="11"/>
  <c r="F20" i="11"/>
  <c r="E20" i="11"/>
  <c r="J19" i="11"/>
  <c r="J20" i="11"/>
  <c r="J18" i="11"/>
  <c r="D12" i="11"/>
  <c r="D11" i="11"/>
  <c r="F10" i="11"/>
  <c r="D8" i="11"/>
  <c r="E4" i="11"/>
  <c r="A2" i="11"/>
  <c r="H95" i="10"/>
  <c r="H94" i="10"/>
  <c r="H96" i="10" s="1"/>
  <c r="G95" i="10"/>
  <c r="F95" i="10"/>
  <c r="F94" i="10"/>
  <c r="E95" i="10"/>
  <c r="I95" i="10" s="1"/>
  <c r="G94" i="10"/>
  <c r="E94" i="10"/>
  <c r="I94" i="10" s="1"/>
  <c r="H69" i="10"/>
  <c r="G69" i="10"/>
  <c r="F69" i="10"/>
  <c r="E69" i="10"/>
  <c r="I63" i="10"/>
  <c r="H58" i="10"/>
  <c r="G58" i="10"/>
  <c r="F58" i="10"/>
  <c r="E58" i="10"/>
  <c r="I52" i="10"/>
  <c r="H46" i="10"/>
  <c r="G46" i="10"/>
  <c r="F46" i="10"/>
  <c r="E46" i="10"/>
  <c r="I40" i="10"/>
  <c r="H35" i="10"/>
  <c r="G35" i="10"/>
  <c r="F35" i="10"/>
  <c r="E35" i="10"/>
  <c r="I29" i="10"/>
  <c r="F24" i="10"/>
  <c r="E24" i="10"/>
  <c r="G24" i="10"/>
  <c r="G23" i="10"/>
  <c r="G22" i="10"/>
  <c r="G21" i="10"/>
  <c r="G20" i="10"/>
  <c r="G19" i="10"/>
  <c r="E13" i="10"/>
  <c r="I14" i="19"/>
  <c r="M14" i="19"/>
  <c r="D13" i="10"/>
  <c r="D12" i="10"/>
  <c r="F11" i="10"/>
  <c r="E4" i="10"/>
  <c r="A2" i="10"/>
  <c r="J37" i="9"/>
  <c r="I37" i="9"/>
  <c r="H37" i="9"/>
  <c r="G37" i="9"/>
  <c r="F37" i="9"/>
  <c r="H19" i="9"/>
  <c r="G19" i="9"/>
  <c r="F19" i="9"/>
  <c r="E19" i="9"/>
  <c r="D12" i="9"/>
  <c r="D11" i="9"/>
  <c r="F10" i="9"/>
  <c r="E4" i="9"/>
  <c r="A2" i="9"/>
  <c r="H19" i="8"/>
  <c r="G19" i="8"/>
  <c r="F19" i="8"/>
  <c r="D8" i="8"/>
  <c r="E19" i="8"/>
  <c r="D12" i="8"/>
  <c r="D11" i="8"/>
  <c r="F10" i="8"/>
  <c r="E4" i="8"/>
  <c r="A2" i="8"/>
  <c r="I52" i="6"/>
  <c r="H52" i="6"/>
  <c r="G52" i="6"/>
  <c r="F52" i="6"/>
  <c r="H26" i="6"/>
  <c r="G26" i="6"/>
  <c r="F26" i="6"/>
  <c r="E26" i="6"/>
  <c r="E24" i="6"/>
  <c r="E25" i="6"/>
  <c r="E27" i="6"/>
  <c r="H25" i="6"/>
  <c r="G25" i="6"/>
  <c r="F25" i="6"/>
  <c r="H24" i="6"/>
  <c r="H27" i="6"/>
  <c r="G24" i="6"/>
  <c r="G27" i="6"/>
  <c r="F24" i="6"/>
  <c r="F27" i="6"/>
  <c r="D8" i="6" s="1"/>
  <c r="D12" i="6"/>
  <c r="D11" i="6"/>
  <c r="F10" i="6"/>
  <c r="E4" i="6"/>
  <c r="A2" i="6"/>
  <c r="H22" i="5"/>
  <c r="G22" i="5"/>
  <c r="F22" i="5"/>
  <c r="D8" i="5"/>
  <c r="E22" i="5"/>
  <c r="D12" i="5"/>
  <c r="D11" i="5"/>
  <c r="F10" i="5"/>
  <c r="E4" i="5"/>
  <c r="A2" i="5"/>
  <c r="H23" i="4"/>
  <c r="G23" i="4"/>
  <c r="F23" i="4"/>
  <c r="E23" i="4"/>
  <c r="I22" i="4"/>
  <c r="I21" i="4"/>
  <c r="I23" i="4"/>
  <c r="D12" i="4"/>
  <c r="D11" i="4"/>
  <c r="F10" i="4"/>
  <c r="D8" i="4"/>
  <c r="C9" i="19"/>
  <c r="L9" i="19"/>
  <c r="E4" i="4"/>
  <c r="A2" i="4"/>
  <c r="H22" i="3"/>
  <c r="G22" i="3"/>
  <c r="F22" i="3"/>
  <c r="E22" i="3"/>
  <c r="E12" i="3"/>
  <c r="D12" i="3"/>
  <c r="D11" i="3"/>
  <c r="F10" i="3"/>
  <c r="D8" i="3"/>
  <c r="E4" i="3"/>
  <c r="A2" i="3"/>
  <c r="H23" i="2"/>
  <c r="G23" i="2"/>
  <c r="F23" i="2"/>
  <c r="G48" i="34"/>
  <c r="E23" i="2"/>
  <c r="I22" i="2"/>
  <c r="I21" i="2"/>
  <c r="I23" i="2"/>
  <c r="D12" i="2"/>
  <c r="D11" i="2"/>
  <c r="F10" i="2"/>
  <c r="D8" i="2"/>
  <c r="C7" i="19"/>
  <c r="L7" i="19"/>
  <c r="E4" i="2"/>
  <c r="A2" i="2"/>
  <c r="J93" i="1"/>
  <c r="I93" i="1"/>
  <c r="H93" i="1"/>
  <c r="G93" i="1"/>
  <c r="J92" i="1"/>
  <c r="I92" i="1"/>
  <c r="H92" i="1"/>
  <c r="G92" i="1"/>
  <c r="J91" i="1"/>
  <c r="I91" i="1"/>
  <c r="H91" i="1"/>
  <c r="G91" i="1"/>
  <c r="J90" i="1"/>
  <c r="I90" i="1"/>
  <c r="H90" i="1"/>
  <c r="G90" i="1"/>
  <c r="J89" i="1"/>
  <c r="I89" i="1"/>
  <c r="H89" i="1"/>
  <c r="G89" i="1"/>
  <c r="J88" i="1"/>
  <c r="I88" i="1"/>
  <c r="H88" i="1"/>
  <c r="G88" i="1"/>
  <c r="J87" i="1"/>
  <c r="I87" i="1"/>
  <c r="H87" i="1"/>
  <c r="G87" i="1"/>
  <c r="J86" i="1"/>
  <c r="I86" i="1"/>
  <c r="H86" i="1"/>
  <c r="G86" i="1"/>
  <c r="J85" i="1"/>
  <c r="I85" i="1"/>
  <c r="H85" i="1"/>
  <c r="G85" i="1"/>
  <c r="J84" i="1"/>
  <c r="I84" i="1"/>
  <c r="H84" i="1"/>
  <c r="G84" i="1"/>
  <c r="J83" i="1"/>
  <c r="I83" i="1"/>
  <c r="H83" i="1"/>
  <c r="G83" i="1"/>
  <c r="J82" i="1"/>
  <c r="I82" i="1"/>
  <c r="H82" i="1"/>
  <c r="G82" i="1"/>
  <c r="J81" i="1"/>
  <c r="I81" i="1"/>
  <c r="H81" i="1"/>
  <c r="G81" i="1"/>
  <c r="J80" i="1"/>
  <c r="I80" i="1"/>
  <c r="H80" i="1"/>
  <c r="G80" i="1"/>
  <c r="F75" i="1"/>
  <c r="F93" i="1"/>
  <c r="E75" i="1"/>
  <c r="E93" i="1"/>
  <c r="D75" i="1"/>
  <c r="D93" i="1"/>
  <c r="F74" i="1"/>
  <c r="F92" i="1"/>
  <c r="E74" i="1"/>
  <c r="E92" i="1"/>
  <c r="D74" i="1"/>
  <c r="D92" i="1"/>
  <c r="F73" i="1"/>
  <c r="F91" i="1"/>
  <c r="E73" i="1"/>
  <c r="E91" i="1"/>
  <c r="D73" i="1"/>
  <c r="D91" i="1"/>
  <c r="F72" i="1"/>
  <c r="F90" i="1"/>
  <c r="E72" i="1"/>
  <c r="E90" i="1"/>
  <c r="D72" i="1"/>
  <c r="D90" i="1"/>
  <c r="F71" i="1"/>
  <c r="F89" i="1"/>
  <c r="E71" i="1"/>
  <c r="E89" i="1"/>
  <c r="D71" i="1"/>
  <c r="D89" i="1"/>
  <c r="F70" i="1"/>
  <c r="F88" i="1"/>
  <c r="E70" i="1"/>
  <c r="E88" i="1"/>
  <c r="D70" i="1"/>
  <c r="D88" i="1"/>
  <c r="F69" i="1"/>
  <c r="F87" i="1"/>
  <c r="E69" i="1"/>
  <c r="E87" i="1"/>
  <c r="D69" i="1"/>
  <c r="D87" i="1"/>
  <c r="F68" i="1"/>
  <c r="F86" i="1"/>
  <c r="E68" i="1"/>
  <c r="E86" i="1"/>
  <c r="D68" i="1"/>
  <c r="D86" i="1"/>
  <c r="F67" i="1"/>
  <c r="F85" i="1"/>
  <c r="E67" i="1"/>
  <c r="E85" i="1"/>
  <c r="D67" i="1"/>
  <c r="D85" i="1"/>
  <c r="F66" i="1"/>
  <c r="F84" i="1"/>
  <c r="E66" i="1"/>
  <c r="E84" i="1"/>
  <c r="D66" i="1"/>
  <c r="D84" i="1"/>
  <c r="F65" i="1"/>
  <c r="F83" i="1"/>
  <c r="E65" i="1"/>
  <c r="E83" i="1"/>
  <c r="D65" i="1"/>
  <c r="D83" i="1"/>
  <c r="F64" i="1"/>
  <c r="F82" i="1"/>
  <c r="E64" i="1"/>
  <c r="E82" i="1"/>
  <c r="D64" i="1"/>
  <c r="D82" i="1"/>
  <c r="F63" i="1"/>
  <c r="F81" i="1"/>
  <c r="E63" i="1"/>
  <c r="E81" i="1"/>
  <c r="D63" i="1"/>
  <c r="D81" i="1"/>
  <c r="F62" i="1"/>
  <c r="F80" i="1"/>
  <c r="E62" i="1"/>
  <c r="E80" i="1"/>
  <c r="D62" i="1"/>
  <c r="D80" i="1"/>
  <c r="D12" i="1"/>
  <c r="D11" i="1"/>
  <c r="F10" i="1"/>
  <c r="E4" i="1"/>
  <c r="A2" i="1"/>
  <c r="J32" i="19"/>
  <c r="N32" i="19"/>
  <c r="I32" i="19"/>
  <c r="M32" i="19"/>
  <c r="H32" i="19"/>
  <c r="C32" i="19"/>
  <c r="L32" i="19"/>
  <c r="C31" i="19"/>
  <c r="L31" i="19"/>
  <c r="J31" i="19"/>
  <c r="N31" i="19"/>
  <c r="I31" i="19"/>
  <c r="M31" i="19"/>
  <c r="H31" i="19"/>
  <c r="J30" i="19"/>
  <c r="N30" i="19"/>
  <c r="I30" i="19"/>
  <c r="M30" i="19"/>
  <c r="H30" i="19"/>
  <c r="J29" i="19"/>
  <c r="N29" i="19"/>
  <c r="I29" i="19"/>
  <c r="M29" i="19"/>
  <c r="H29" i="19"/>
  <c r="J28" i="19"/>
  <c r="N28" i="19"/>
  <c r="I28" i="19"/>
  <c r="M28" i="19"/>
  <c r="H28" i="19"/>
  <c r="J27" i="19"/>
  <c r="N27" i="19"/>
  <c r="I27" i="19"/>
  <c r="M27" i="19"/>
  <c r="H27" i="19"/>
  <c r="M26" i="19"/>
  <c r="J26" i="19"/>
  <c r="N26" i="19"/>
  <c r="I26" i="19"/>
  <c r="H26" i="19"/>
  <c r="J25" i="19"/>
  <c r="N25" i="19"/>
  <c r="I25" i="19"/>
  <c r="M25" i="19"/>
  <c r="H25" i="19"/>
  <c r="J24" i="19"/>
  <c r="N24" i="19"/>
  <c r="I24" i="19"/>
  <c r="M24" i="19"/>
  <c r="H24" i="19"/>
  <c r="C24" i="19"/>
  <c r="L24" i="19"/>
  <c r="M23" i="19"/>
  <c r="J23" i="19"/>
  <c r="N23" i="19"/>
  <c r="I23" i="19"/>
  <c r="H23" i="19"/>
  <c r="C23" i="19"/>
  <c r="L23" i="19"/>
  <c r="N22" i="19"/>
  <c r="C22" i="19"/>
  <c r="L22" i="19"/>
  <c r="J22" i="19"/>
  <c r="I22" i="19"/>
  <c r="M22" i="19"/>
  <c r="H22" i="19"/>
  <c r="C21" i="19"/>
  <c r="L21" i="19"/>
  <c r="J21" i="19"/>
  <c r="N21" i="19"/>
  <c r="I21" i="19"/>
  <c r="M21" i="19"/>
  <c r="H21" i="19"/>
  <c r="N20" i="19"/>
  <c r="J20" i="19"/>
  <c r="I20" i="19"/>
  <c r="M20" i="19"/>
  <c r="H20" i="19"/>
  <c r="J19" i="19"/>
  <c r="N19" i="19"/>
  <c r="I19" i="19"/>
  <c r="M19" i="19"/>
  <c r="H19" i="19"/>
  <c r="J18" i="19"/>
  <c r="N18" i="19" s="1"/>
  <c r="H18" i="19"/>
  <c r="J17" i="19"/>
  <c r="N17" i="19" s="1"/>
  <c r="I17" i="19"/>
  <c r="M17" i="19" s="1"/>
  <c r="H17" i="19"/>
  <c r="M16" i="19"/>
  <c r="J16" i="19"/>
  <c r="N16" i="19"/>
  <c r="I16" i="19"/>
  <c r="H16" i="19"/>
  <c r="J15" i="19"/>
  <c r="N15" i="19"/>
  <c r="I15" i="19"/>
  <c r="M15" i="19"/>
  <c r="H15" i="19"/>
  <c r="L15" i="19"/>
  <c r="C15" i="19"/>
  <c r="J14" i="19"/>
  <c r="N14" i="19"/>
  <c r="H14" i="19"/>
  <c r="C13" i="19"/>
  <c r="L13" i="19"/>
  <c r="J13" i="19"/>
  <c r="N13" i="19"/>
  <c r="I13" i="19"/>
  <c r="M13" i="19"/>
  <c r="H13" i="19"/>
  <c r="N12" i="19"/>
  <c r="J12" i="19"/>
  <c r="I12" i="19"/>
  <c r="M12" i="19"/>
  <c r="H12" i="19"/>
  <c r="J11" i="19"/>
  <c r="N11" i="19"/>
  <c r="I11" i="19"/>
  <c r="M11" i="19"/>
  <c r="H11" i="19"/>
  <c r="J10" i="19"/>
  <c r="N10" i="19"/>
  <c r="I10" i="19"/>
  <c r="M10" i="19"/>
  <c r="H10" i="19"/>
  <c r="J9" i="19"/>
  <c r="N9" i="19"/>
  <c r="I9" i="19"/>
  <c r="M9" i="19"/>
  <c r="H9" i="19"/>
  <c r="C8" i="19"/>
  <c r="L8" i="19"/>
  <c r="J8" i="19"/>
  <c r="N8" i="19"/>
  <c r="I8" i="19"/>
  <c r="M8" i="19"/>
  <c r="H8" i="19"/>
  <c r="J7" i="19"/>
  <c r="N7" i="19"/>
  <c r="I7" i="19"/>
  <c r="M7" i="19"/>
  <c r="H7" i="19"/>
  <c r="N6" i="19"/>
  <c r="J6" i="19"/>
  <c r="I6" i="19"/>
  <c r="M6" i="19"/>
  <c r="H6" i="19"/>
  <c r="C4" i="19"/>
  <c r="A2" i="19"/>
  <c r="K7" i="36"/>
  <c r="J203" i="34"/>
  <c r="I203" i="34"/>
  <c r="J202" i="34"/>
  <c r="I202" i="34"/>
  <c r="J201" i="34"/>
  <c r="I201" i="34"/>
  <c r="J200" i="34"/>
  <c r="I200" i="34"/>
  <c r="J199" i="34"/>
  <c r="I199" i="34"/>
  <c r="J198" i="34"/>
  <c r="I198" i="34"/>
  <c r="J197" i="34"/>
  <c r="I197" i="34"/>
  <c r="S196" i="34"/>
  <c r="G195" i="34"/>
  <c r="J195" i="34" s="1"/>
  <c r="F195" i="34"/>
  <c r="I195" i="34" s="1"/>
  <c r="J194" i="34"/>
  <c r="I194" i="34"/>
  <c r="I193" i="34"/>
  <c r="J192" i="34"/>
  <c r="I192" i="34"/>
  <c r="I191" i="34"/>
  <c r="I190" i="34"/>
  <c r="G190" i="34"/>
  <c r="J190" i="34"/>
  <c r="I189" i="34"/>
  <c r="G189" i="34"/>
  <c r="N189" i="34"/>
  <c r="O189" i="34"/>
  <c r="I188" i="34"/>
  <c r="J187" i="34"/>
  <c r="I187" i="34"/>
  <c r="J186" i="34"/>
  <c r="I186" i="34"/>
  <c r="J185" i="34"/>
  <c r="I185" i="34"/>
  <c r="J184" i="34"/>
  <c r="I184" i="34"/>
  <c r="J183" i="34"/>
  <c r="I183" i="34"/>
  <c r="J182" i="34"/>
  <c r="I182" i="34"/>
  <c r="J181" i="34"/>
  <c r="I181" i="34"/>
  <c r="P179" i="34"/>
  <c r="I179" i="34"/>
  <c r="G178" i="34"/>
  <c r="J178" i="34"/>
  <c r="F178" i="34"/>
  <c r="J177" i="34"/>
  <c r="I177" i="34"/>
  <c r="J176" i="34"/>
  <c r="I176" i="34"/>
  <c r="J175" i="34"/>
  <c r="I175" i="34"/>
  <c r="J174" i="34"/>
  <c r="I174" i="34"/>
  <c r="J173" i="34"/>
  <c r="I173" i="34"/>
  <c r="J172" i="34"/>
  <c r="I172" i="34"/>
  <c r="J171" i="34"/>
  <c r="I171" i="34"/>
  <c r="J170" i="34"/>
  <c r="I170" i="34"/>
  <c r="J169" i="34"/>
  <c r="I169" i="34"/>
  <c r="J168" i="34"/>
  <c r="I168" i="34"/>
  <c r="J167" i="34"/>
  <c r="I167" i="34"/>
  <c r="J166" i="34"/>
  <c r="I166" i="34"/>
  <c r="J165" i="34"/>
  <c r="I165" i="34"/>
  <c r="J164" i="34"/>
  <c r="I164" i="34"/>
  <c r="J163" i="34"/>
  <c r="I163" i="34"/>
  <c r="J162" i="34"/>
  <c r="I162" i="34"/>
  <c r="J161" i="34"/>
  <c r="I161" i="34"/>
  <c r="J160" i="34"/>
  <c r="I160" i="34"/>
  <c r="J158" i="34"/>
  <c r="I158" i="34"/>
  <c r="J157" i="34"/>
  <c r="I157" i="34"/>
  <c r="J156" i="34"/>
  <c r="I156" i="34"/>
  <c r="J155" i="34"/>
  <c r="I155" i="34"/>
  <c r="J154" i="34"/>
  <c r="I154" i="34"/>
  <c r="J153" i="34"/>
  <c r="I153" i="34"/>
  <c r="J152" i="34"/>
  <c r="I152" i="34"/>
  <c r="J151" i="34"/>
  <c r="I151" i="34"/>
  <c r="J150" i="34"/>
  <c r="I150" i="34"/>
  <c r="J149" i="34"/>
  <c r="I149" i="34"/>
  <c r="J148" i="34"/>
  <c r="I148" i="34"/>
  <c r="J147" i="34"/>
  <c r="I147" i="34"/>
  <c r="J146" i="34"/>
  <c r="I146" i="34"/>
  <c r="J145" i="34"/>
  <c r="I145" i="34"/>
  <c r="P143" i="34"/>
  <c r="I143" i="34"/>
  <c r="I142" i="34"/>
  <c r="G142" i="34"/>
  <c r="J141" i="34"/>
  <c r="I141" i="34"/>
  <c r="J140" i="34"/>
  <c r="I140" i="34"/>
  <c r="J139" i="34"/>
  <c r="J131" i="34" s="1"/>
  <c r="J113" i="34" s="1"/>
  <c r="I139" i="34"/>
  <c r="J138" i="34"/>
  <c r="I138" i="34"/>
  <c r="J137" i="34"/>
  <c r="I137" i="34"/>
  <c r="J136" i="34"/>
  <c r="I136" i="34"/>
  <c r="J135" i="34"/>
  <c r="I135" i="34"/>
  <c r="J134" i="34"/>
  <c r="I134" i="34"/>
  <c r="J133" i="34"/>
  <c r="I133" i="34"/>
  <c r="J132" i="34"/>
  <c r="I132" i="34"/>
  <c r="G130" i="34"/>
  <c r="J130" i="34"/>
  <c r="F130" i="34"/>
  <c r="N130" i="34" s="1"/>
  <c r="O130" i="34" s="1"/>
  <c r="J129" i="34"/>
  <c r="I129" i="34"/>
  <c r="J128" i="34"/>
  <c r="I128" i="34"/>
  <c r="J127" i="34"/>
  <c r="I127" i="34"/>
  <c r="J126" i="34"/>
  <c r="I126" i="34"/>
  <c r="J125" i="34"/>
  <c r="I125" i="34"/>
  <c r="J124" i="34"/>
  <c r="I124" i="34"/>
  <c r="J123" i="34"/>
  <c r="I123" i="34"/>
  <c r="J122" i="34"/>
  <c r="I122" i="34"/>
  <c r="J121" i="34"/>
  <c r="I121" i="34"/>
  <c r="J120" i="34"/>
  <c r="I120" i="34"/>
  <c r="J119" i="34"/>
  <c r="I119" i="34"/>
  <c r="J118" i="34"/>
  <c r="I118" i="34"/>
  <c r="J117" i="34"/>
  <c r="I117" i="34"/>
  <c r="J116" i="34"/>
  <c r="I116" i="34"/>
  <c r="J115" i="34"/>
  <c r="I115" i="34"/>
  <c r="P113" i="34"/>
  <c r="I113" i="34"/>
  <c r="J112" i="34"/>
  <c r="I112" i="34"/>
  <c r="J111" i="34"/>
  <c r="I111" i="34"/>
  <c r="J110" i="34"/>
  <c r="I110" i="34"/>
  <c r="J109" i="34"/>
  <c r="I109" i="34"/>
  <c r="I106" i="34"/>
  <c r="J104" i="34"/>
  <c r="I104" i="34"/>
  <c r="J103" i="34"/>
  <c r="I103" i="34"/>
  <c r="J102" i="34"/>
  <c r="I102" i="34"/>
  <c r="J101" i="34"/>
  <c r="I101" i="34"/>
  <c r="J100" i="34"/>
  <c r="I100" i="34"/>
  <c r="J99" i="34"/>
  <c r="I99" i="34"/>
  <c r="I98" i="34"/>
  <c r="J97" i="34"/>
  <c r="I97" i="34"/>
  <c r="J96" i="34"/>
  <c r="I96" i="34"/>
  <c r="J95" i="34"/>
  <c r="I95" i="34"/>
  <c r="J94" i="34"/>
  <c r="I94" i="34"/>
  <c r="F93" i="34"/>
  <c r="I93" i="34" s="1"/>
  <c r="F92" i="34"/>
  <c r="I92" i="34" s="1"/>
  <c r="F91" i="34"/>
  <c r="I91" i="34" s="1"/>
  <c r="J89" i="34"/>
  <c r="I89" i="34"/>
  <c r="J88" i="34"/>
  <c r="I88" i="34"/>
  <c r="I87" i="34"/>
  <c r="I86" i="34"/>
  <c r="J85" i="34"/>
  <c r="I85" i="34"/>
  <c r="J84" i="34"/>
  <c r="I84" i="34"/>
  <c r="J83" i="34"/>
  <c r="I83" i="34"/>
  <c r="J82" i="34"/>
  <c r="I82" i="34"/>
  <c r="J81" i="34"/>
  <c r="I81" i="34"/>
  <c r="J80" i="34"/>
  <c r="I80" i="34"/>
  <c r="J79" i="34"/>
  <c r="I79" i="34"/>
  <c r="I78" i="34"/>
  <c r="J77" i="34"/>
  <c r="I77" i="34"/>
  <c r="I76" i="34"/>
  <c r="G76" i="34"/>
  <c r="N76" i="34"/>
  <c r="O76" i="34"/>
  <c r="J74" i="34"/>
  <c r="I74" i="34"/>
  <c r="J73" i="34"/>
  <c r="I73" i="34"/>
  <c r="J72" i="34"/>
  <c r="I72" i="34"/>
  <c r="J71" i="34"/>
  <c r="I71" i="34"/>
  <c r="I70" i="34"/>
  <c r="I69" i="34"/>
  <c r="I68" i="34"/>
  <c r="P66" i="34"/>
  <c r="I66" i="34"/>
  <c r="J65" i="34"/>
  <c r="I65" i="34"/>
  <c r="J64" i="34"/>
  <c r="I64" i="34"/>
  <c r="J63" i="34"/>
  <c r="I63" i="34"/>
  <c r="J62" i="34"/>
  <c r="I62" i="34"/>
  <c r="J61" i="34"/>
  <c r="I61" i="34"/>
  <c r="J60" i="34"/>
  <c r="I60" i="34"/>
  <c r="J59" i="34"/>
  <c r="I59" i="34"/>
  <c r="J58" i="34"/>
  <c r="I58" i="34"/>
  <c r="J57" i="34"/>
  <c r="I57" i="34"/>
  <c r="J56" i="34"/>
  <c r="J55" i="34"/>
  <c r="I55" i="34"/>
  <c r="J54" i="34"/>
  <c r="I54" i="34"/>
  <c r="I53" i="34"/>
  <c r="J52" i="34"/>
  <c r="I52" i="34"/>
  <c r="J51" i="34"/>
  <c r="I51" i="34"/>
  <c r="F50" i="34"/>
  <c r="N50" i="34" s="1"/>
  <c r="O50" i="34" s="1"/>
  <c r="I49" i="34"/>
  <c r="G49" i="34"/>
  <c r="J48" i="34"/>
  <c r="F48" i="34"/>
  <c r="I48" i="34" s="1"/>
  <c r="J47" i="34"/>
  <c r="I47" i="34"/>
  <c r="I46" i="34"/>
  <c r="I45" i="34"/>
  <c r="J44" i="34"/>
  <c r="I44" i="34"/>
  <c r="J43" i="34"/>
  <c r="I43" i="34"/>
  <c r="J42" i="34"/>
  <c r="I42" i="34"/>
  <c r="J41" i="34"/>
  <c r="I41" i="34"/>
  <c r="V40" i="34"/>
  <c r="U40" i="34"/>
  <c r="P39" i="34"/>
  <c r="I39" i="34"/>
  <c r="J38" i="34"/>
  <c r="I38" i="34"/>
  <c r="J37" i="34"/>
  <c r="I37" i="34"/>
  <c r="J36" i="34"/>
  <c r="I36" i="34"/>
  <c r="J35" i="34"/>
  <c r="I35" i="34"/>
  <c r="J34" i="34"/>
  <c r="J33" i="34"/>
  <c r="I34" i="34"/>
  <c r="I33" i="34"/>
  <c r="V32" i="34"/>
  <c r="S32" i="34"/>
  <c r="I31" i="34"/>
  <c r="O30" i="34"/>
  <c r="J30" i="34"/>
  <c r="I30" i="34"/>
  <c r="O29" i="34"/>
  <c r="J29" i="34"/>
  <c r="I29" i="34"/>
  <c r="O28" i="34"/>
  <c r="J28" i="34"/>
  <c r="I28" i="34"/>
  <c r="O27" i="34"/>
  <c r="J27" i="34"/>
  <c r="I27" i="34"/>
  <c r="O26" i="34"/>
  <c r="J26" i="34"/>
  <c r="I26" i="34"/>
  <c r="O25" i="34"/>
  <c r="J25" i="34"/>
  <c r="I25" i="34"/>
  <c r="O24" i="34"/>
  <c r="J24" i="34"/>
  <c r="I24" i="34"/>
  <c r="O23" i="34"/>
  <c r="J23" i="34"/>
  <c r="I23" i="34"/>
  <c r="O22" i="34"/>
  <c r="J22" i="34"/>
  <c r="I22" i="34"/>
  <c r="O21" i="34"/>
  <c r="J21" i="34"/>
  <c r="I21" i="34"/>
  <c r="I20" i="34"/>
  <c r="U19" i="34"/>
  <c r="N19" i="34"/>
  <c r="O19" i="34"/>
  <c r="I18" i="34"/>
  <c r="G18" i="34"/>
  <c r="J18" i="34"/>
  <c r="N17" i="34"/>
  <c r="O17" i="34"/>
  <c r="J17" i="34"/>
  <c r="I17" i="34"/>
  <c r="I16" i="34"/>
  <c r="G16" i="34"/>
  <c r="J16" i="34"/>
  <c r="N15" i="34"/>
  <c r="O15" i="34"/>
  <c r="I15" i="34"/>
  <c r="N14" i="34"/>
  <c r="O14" i="34" s="1"/>
  <c r="J14" i="34"/>
  <c r="J9" i="34" s="1"/>
  <c r="I14" i="34"/>
  <c r="N13" i="34"/>
  <c r="O13" i="34"/>
  <c r="J13" i="34"/>
  <c r="I13" i="34"/>
  <c r="I12" i="34"/>
  <c r="G12" i="34"/>
  <c r="J12" i="34"/>
  <c r="N11" i="34"/>
  <c r="O11" i="34"/>
  <c r="J11" i="34"/>
  <c r="I11" i="34"/>
  <c r="I10" i="34"/>
  <c r="V9" i="34"/>
  <c r="V8" i="34" s="1"/>
  <c r="X8" i="34" s="1"/>
  <c r="S9" i="34"/>
  <c r="P8" i="34"/>
  <c r="P204" i="34"/>
  <c r="I8" i="34"/>
  <c r="C4" i="34"/>
  <c r="A2" i="34"/>
  <c r="I204" i="34"/>
  <c r="N16" i="34"/>
  <c r="J76" i="34"/>
  <c r="J49" i="34"/>
  <c r="N49" i="34"/>
  <c r="O49" i="34"/>
  <c r="J142" i="34"/>
  <c r="N142" i="34"/>
  <c r="O142" i="34"/>
  <c r="I178" i="34"/>
  <c r="N178" i="34"/>
  <c r="O178" i="34"/>
  <c r="J189" i="34"/>
  <c r="N190" i="34"/>
  <c r="O190" i="34"/>
  <c r="N12" i="34"/>
  <c r="O12" i="34"/>
  <c r="N18" i="34"/>
  <c r="O18" i="34"/>
  <c r="L204" i="34"/>
  <c r="F24" i="33"/>
  <c r="G39" i="22" s="1"/>
  <c r="K20" i="15"/>
  <c r="K21" i="15"/>
  <c r="D8" i="15"/>
  <c r="D15" i="33"/>
  <c r="E30" i="12"/>
  <c r="F15" i="33"/>
  <c r="G30" i="12"/>
  <c r="G93" i="34"/>
  <c r="J93" i="34"/>
  <c r="C19" i="19"/>
  <c r="L19" i="19"/>
  <c r="G92" i="34"/>
  <c r="G87" i="34"/>
  <c r="C10" i="19"/>
  <c r="L10" i="19" s="1"/>
  <c r="G188" i="34"/>
  <c r="N188" i="34" s="1"/>
  <c r="O188" i="34" s="1"/>
  <c r="G20" i="34"/>
  <c r="C12" i="19"/>
  <c r="L12" i="19"/>
  <c r="J99" i="1"/>
  <c r="G98" i="1"/>
  <c r="I98" i="1"/>
  <c r="J97" i="1"/>
  <c r="G97" i="1"/>
  <c r="G99" i="1"/>
  <c r="I97" i="1"/>
  <c r="I99" i="1"/>
  <c r="J98" i="1"/>
  <c r="L16" i="19"/>
  <c r="M31" i="12"/>
  <c r="E25" i="27"/>
  <c r="E79" i="27"/>
  <c r="E15" i="33"/>
  <c r="F30" i="12"/>
  <c r="Z9" i="34"/>
  <c r="Z8" i="34" s="1"/>
  <c r="R16" i="34"/>
  <c r="R8" i="34"/>
  <c r="Z40" i="34"/>
  <c r="AA40" i="34" s="1"/>
  <c r="R39" i="34"/>
  <c r="V39" i="34" s="1"/>
  <c r="R42" i="34"/>
  <c r="R54" i="34"/>
  <c r="R47" i="34"/>
  <c r="R50" i="34"/>
  <c r="R44" i="34"/>
  <c r="R43" i="34"/>
  <c r="R52" i="34"/>
  <c r="Z56" i="34"/>
  <c r="AA56" i="34" s="1"/>
  <c r="S56" i="34"/>
  <c r="V56" i="34"/>
  <c r="R66" i="34"/>
  <c r="S66" i="34" s="1"/>
  <c r="Z67" i="34"/>
  <c r="V67" i="34"/>
  <c r="S67" i="34"/>
  <c r="R72" i="34"/>
  <c r="R71" i="34"/>
  <c r="S75" i="34"/>
  <c r="R80" i="34"/>
  <c r="R89" i="34"/>
  <c r="R77" i="34"/>
  <c r="Z75" i="34"/>
  <c r="AA75" i="34"/>
  <c r="V75" i="34"/>
  <c r="Z90" i="34"/>
  <c r="AA90" i="34" s="1"/>
  <c r="S90" i="34"/>
  <c r="V90" i="34"/>
  <c r="R93" i="34"/>
  <c r="V105" i="34"/>
  <c r="S105" i="34"/>
  <c r="Z105" i="34"/>
  <c r="AA105" i="34" s="1"/>
  <c r="Z159" i="34"/>
  <c r="AA159" i="34"/>
  <c r="R162" i="34"/>
  <c r="R166" i="34"/>
  <c r="R170" i="34"/>
  <c r="R174" i="34"/>
  <c r="R178" i="34"/>
  <c r="V159" i="34"/>
  <c r="R165" i="34"/>
  <c r="R173" i="34"/>
  <c r="R163" i="34"/>
  <c r="R171" i="34"/>
  <c r="R160" i="34"/>
  <c r="R179" i="34"/>
  <c r="R184" i="34"/>
  <c r="R190" i="34"/>
  <c r="V180" i="34"/>
  <c r="S180" i="34"/>
  <c r="R193" i="34"/>
  <c r="R194" i="34"/>
  <c r="R195" i="34"/>
  <c r="R182" i="34"/>
  <c r="R187" i="34"/>
  <c r="R181" i="34"/>
  <c r="R183" i="34"/>
  <c r="R186" i="34"/>
  <c r="Z196" i="34"/>
  <c r="AA196" i="34"/>
  <c r="V196" i="34"/>
  <c r="R201" i="34"/>
  <c r="V201" i="34" s="1"/>
  <c r="R200" i="34"/>
  <c r="V200" i="34" s="1"/>
  <c r="R198" i="34"/>
  <c r="V198" i="34" s="1"/>
  <c r="R199" i="34"/>
  <c r="V199" i="34" s="1"/>
  <c r="R203" i="34"/>
  <c r="V203" i="34" s="1"/>
  <c r="R197" i="34"/>
  <c r="V197" i="34" s="1"/>
  <c r="R202" i="34"/>
  <c r="V202" i="34" s="1"/>
  <c r="R31" i="34"/>
  <c r="R29" i="34"/>
  <c r="Q27" i="34"/>
  <c r="R25" i="34"/>
  <c r="Q21" i="34"/>
  <c r="Q24" i="34"/>
  <c r="Q18" i="34"/>
  <c r="R15" i="34"/>
  <c r="R13" i="34"/>
  <c r="Q11" i="34"/>
  <c r="R30" i="34"/>
  <c r="Q28" i="34"/>
  <c r="R26" i="34"/>
  <c r="R23" i="34"/>
  <c r="R22" i="34"/>
  <c r="R20" i="34"/>
  <c r="R17" i="34"/>
  <c r="Q14" i="34"/>
  <c r="R10" i="34"/>
  <c r="R38" i="34"/>
  <c r="V38" i="34" s="1"/>
  <c r="R36" i="34"/>
  <c r="V36" i="34" s="1"/>
  <c r="R34" i="34"/>
  <c r="V34" i="34" s="1"/>
  <c r="Q37" i="34"/>
  <c r="Q35" i="34"/>
  <c r="Q33" i="34"/>
  <c r="R51" i="34"/>
  <c r="Q46" i="34"/>
  <c r="Q49" i="34"/>
  <c r="Q48" i="34"/>
  <c r="R45" i="34"/>
  <c r="Q65" i="34"/>
  <c r="R63" i="34"/>
  <c r="Q57" i="34"/>
  <c r="R64" i="34"/>
  <c r="R58" i="34"/>
  <c r="R53" i="34"/>
  <c r="R55" i="34"/>
  <c r="Q111" i="34"/>
  <c r="R108" i="34"/>
  <c r="R106" i="34"/>
  <c r="Q92" i="34"/>
  <c r="Q95" i="34"/>
  <c r="R97" i="34"/>
  <c r="R101" i="34"/>
  <c r="R91" i="34"/>
  <c r="Q73" i="34"/>
  <c r="R69" i="34"/>
  <c r="R109" i="34"/>
  <c r="R107" i="34"/>
  <c r="R104" i="34"/>
  <c r="Q94" i="34"/>
  <c r="R96" i="34"/>
  <c r="R98" i="34"/>
  <c r="Q102" i="34"/>
  <c r="R74" i="34"/>
  <c r="R68" i="34"/>
  <c r="R86" i="34"/>
  <c r="Q84" i="34"/>
  <c r="Q81" i="34"/>
  <c r="R78" i="34"/>
  <c r="R76" i="34"/>
  <c r="R87" i="34"/>
  <c r="Q85" i="34"/>
  <c r="R79" i="34"/>
  <c r="R83" i="34"/>
  <c r="Q186" i="34"/>
  <c r="Q181" i="34"/>
  <c r="R185" i="34"/>
  <c r="T66" i="34"/>
  <c r="R191" i="34"/>
  <c r="R192" i="34"/>
  <c r="Z180" i="34"/>
  <c r="Z179" i="34" s="1"/>
  <c r="AA179" i="34" s="1"/>
  <c r="R167" i="34"/>
  <c r="R169" i="34"/>
  <c r="S159" i="34"/>
  <c r="R172" i="34"/>
  <c r="R164" i="34"/>
  <c r="Q16" i="34"/>
  <c r="Q8" i="34"/>
  <c r="Q50" i="34"/>
  <c r="Q52" i="34"/>
  <c r="Q42" i="34"/>
  <c r="Q54" i="34"/>
  <c r="Q43" i="34"/>
  <c r="Q39" i="34"/>
  <c r="Q47" i="34"/>
  <c r="Q66" i="34"/>
  <c r="Q71" i="34"/>
  <c r="Q72" i="34"/>
  <c r="Q77" i="34"/>
  <c r="Q80" i="34"/>
  <c r="Q127" i="34"/>
  <c r="Q119" i="34"/>
  <c r="Q118" i="34"/>
  <c r="Q122" i="34"/>
  <c r="Q126" i="34"/>
  <c r="Q130" i="34"/>
  <c r="Q121" i="34"/>
  <c r="Q129" i="34"/>
  <c r="Q113" i="34"/>
  <c r="Q116" i="34"/>
  <c r="Q120" i="34"/>
  <c r="Q124" i="34"/>
  <c r="Q128" i="34"/>
  <c r="Q117" i="34"/>
  <c r="Q125" i="34"/>
  <c r="Q115" i="34"/>
  <c r="R133" i="34"/>
  <c r="R137" i="34"/>
  <c r="R141" i="34"/>
  <c r="R117" i="34"/>
  <c r="R121" i="34"/>
  <c r="R125" i="34"/>
  <c r="R129" i="34"/>
  <c r="V114" i="34"/>
  <c r="R136" i="34"/>
  <c r="R116" i="34"/>
  <c r="R124" i="34"/>
  <c r="R134" i="34"/>
  <c r="R142" i="34"/>
  <c r="R135" i="34"/>
  <c r="R132" i="34"/>
  <c r="R123" i="34"/>
  <c r="R115" i="34"/>
  <c r="R140" i="34"/>
  <c r="R128" i="34"/>
  <c r="R118" i="34"/>
  <c r="R126" i="34"/>
  <c r="S114" i="34"/>
  <c r="R113" i="34"/>
  <c r="Z114" i="34"/>
  <c r="R139" i="34"/>
  <c r="R119" i="34"/>
  <c r="R127" i="34"/>
  <c r="R120" i="34"/>
  <c r="R138" i="34"/>
  <c r="R122" i="34"/>
  <c r="R130" i="34"/>
  <c r="U114" i="34"/>
  <c r="Q139" i="34"/>
  <c r="Q136" i="34"/>
  <c r="Q140" i="34"/>
  <c r="Q133" i="34"/>
  <c r="Q141" i="34"/>
  <c r="Q134" i="34"/>
  <c r="Q138" i="34"/>
  <c r="Q142" i="34"/>
  <c r="Q137" i="34"/>
  <c r="Q132" i="34"/>
  <c r="Z131" i="34"/>
  <c r="AA131" i="34" s="1"/>
  <c r="V131" i="34"/>
  <c r="Q147" i="34"/>
  <c r="Q151" i="34"/>
  <c r="Q155" i="34"/>
  <c r="Q145" i="34"/>
  <c r="Q150" i="34"/>
  <c r="Q158" i="34"/>
  <c r="Q152" i="34"/>
  <c r="Q149" i="34"/>
  <c r="Q157" i="34"/>
  <c r="Q154" i="34"/>
  <c r="Q156" i="34"/>
  <c r="Q153" i="34"/>
  <c r="Q146" i="34"/>
  <c r="Q148" i="34"/>
  <c r="Q143" i="34"/>
  <c r="Z144" i="34"/>
  <c r="AA144" i="34" s="1"/>
  <c r="V144" i="34"/>
  <c r="R148" i="34"/>
  <c r="R152" i="34"/>
  <c r="R156" i="34"/>
  <c r="S144" i="34"/>
  <c r="R151" i="34"/>
  <c r="R145" i="34"/>
  <c r="R153" i="34"/>
  <c r="R143" i="34"/>
  <c r="R146" i="34"/>
  <c r="R150" i="34"/>
  <c r="R154" i="34"/>
  <c r="R158" i="34"/>
  <c r="R147" i="34"/>
  <c r="R155" i="34"/>
  <c r="R149" i="34"/>
  <c r="R157" i="34"/>
  <c r="U144" i="34"/>
  <c r="T143" i="34"/>
  <c r="Q161" i="34"/>
  <c r="Q165" i="34"/>
  <c r="Q169" i="34"/>
  <c r="Q173" i="34"/>
  <c r="Q177" i="34"/>
  <c r="Q164" i="34"/>
  <c r="Q172" i="34"/>
  <c r="Q162" i="34"/>
  <c r="Q170" i="34"/>
  <c r="Q178" i="34"/>
  <c r="Q163" i="34"/>
  <c r="Q167" i="34"/>
  <c r="Q171" i="34"/>
  <c r="Q175" i="34"/>
  <c r="Q160" i="34"/>
  <c r="Q168" i="34"/>
  <c r="Q176" i="34"/>
  <c r="Q166" i="34"/>
  <c r="Q174" i="34"/>
  <c r="Q179" i="34"/>
  <c r="S179" i="34" s="1"/>
  <c r="Q189" i="34"/>
  <c r="Q184" i="34"/>
  <c r="Q192" i="34"/>
  <c r="Q188" i="34"/>
  <c r="Q191" i="34"/>
  <c r="Q190" i="34"/>
  <c r="Q195" i="34"/>
  <c r="Q194" i="34"/>
  <c r="Q185" i="34"/>
  <c r="T179" i="34"/>
  <c r="U179" i="34" s="1"/>
  <c r="U180" i="34"/>
  <c r="Q200" i="34"/>
  <c r="Q197" i="34"/>
  <c r="Q203" i="34"/>
  <c r="Q198" i="34"/>
  <c r="Q202" i="34"/>
  <c r="Q199" i="34"/>
  <c r="Q201" i="34"/>
  <c r="Q31" i="34"/>
  <c r="Q29" i="34"/>
  <c r="R27" i="34"/>
  <c r="Q25" i="34"/>
  <c r="R21" i="34"/>
  <c r="R24" i="34"/>
  <c r="R18" i="34"/>
  <c r="Q15" i="34"/>
  <c r="Q13" i="34"/>
  <c r="R11" i="34"/>
  <c r="Q30" i="34"/>
  <c r="R28" i="34"/>
  <c r="Q26" i="34"/>
  <c r="Q23" i="34"/>
  <c r="Q22" i="34"/>
  <c r="Q17" i="34"/>
  <c r="R14" i="34"/>
  <c r="R12" i="34"/>
  <c r="Q10" i="34"/>
  <c r="Q38" i="34"/>
  <c r="Q36" i="34"/>
  <c r="R37" i="34"/>
  <c r="V37" i="34" s="1"/>
  <c r="R35" i="34"/>
  <c r="V35" i="34" s="1"/>
  <c r="R33" i="34"/>
  <c r="V33" i="34" s="1"/>
  <c r="Q51" i="34"/>
  <c r="R46" i="34"/>
  <c r="R49" i="34"/>
  <c r="R48" i="34"/>
  <c r="Q45" i="34"/>
  <c r="R41" i="34"/>
  <c r="R65" i="34"/>
  <c r="Q63" i="34"/>
  <c r="R57" i="34"/>
  <c r="Q64" i="34"/>
  <c r="Q53" i="34"/>
  <c r="Q55" i="34"/>
  <c r="R111" i="34"/>
  <c r="Q108" i="34"/>
  <c r="Q106" i="34"/>
  <c r="R92" i="34"/>
  <c r="R95" i="34"/>
  <c r="Q97" i="34"/>
  <c r="Q101" i="34"/>
  <c r="Q91" i="34"/>
  <c r="R73" i="34"/>
  <c r="Q69" i="34"/>
  <c r="Q109" i="34"/>
  <c r="Q104" i="34"/>
  <c r="R94" i="34"/>
  <c r="Q96" i="34"/>
  <c r="Q98" i="34"/>
  <c r="R102" i="34"/>
  <c r="Q74" i="34"/>
  <c r="R70" i="34"/>
  <c r="Q68" i="34"/>
  <c r="R88" i="34"/>
  <c r="Q86" i="34"/>
  <c r="R84" i="34"/>
  <c r="R81" i="34"/>
  <c r="Q78" i="34"/>
  <c r="Q76" i="34"/>
  <c r="R85" i="34"/>
  <c r="R82" i="34"/>
  <c r="Q79" i="34"/>
  <c r="Q83" i="34"/>
  <c r="Q183" i="34"/>
  <c r="Q187" i="34"/>
  <c r="Q182" i="34"/>
  <c r="T113" i="34"/>
  <c r="U113" i="34" s="1"/>
  <c r="Q135" i="34"/>
  <c r="Q44" i="34"/>
  <c r="R189" i="34"/>
  <c r="R188" i="34"/>
  <c r="R175" i="34"/>
  <c r="R177" i="34"/>
  <c r="R161" i="34"/>
  <c r="R176" i="34"/>
  <c r="R168" i="34"/>
  <c r="J39" i="34"/>
  <c r="U39" i="34"/>
  <c r="S39" i="34"/>
  <c r="AA9" i="34"/>
  <c r="J92" i="34"/>
  <c r="Z143" i="34"/>
  <c r="AA143" i="34" s="1"/>
  <c r="AA114" i="34"/>
  <c r="S143" i="34"/>
  <c r="AA180" i="34"/>
  <c r="AA67" i="34"/>
  <c r="J20" i="34"/>
  <c r="N20" i="34"/>
  <c r="O20" i="34"/>
  <c r="J188" i="34"/>
  <c r="J87" i="34"/>
  <c r="N87" i="34"/>
  <c r="O87" i="34"/>
  <c r="G106" i="34" l="1"/>
  <c r="C25" i="19"/>
  <c r="L25" i="19" s="1"/>
  <c r="C20" i="19"/>
  <c r="L20" i="19" s="1"/>
  <c r="G98" i="34"/>
  <c r="Q23" i="14"/>
  <c r="G86" i="34" s="1"/>
  <c r="G91" i="34"/>
  <c r="J91" i="34" s="1"/>
  <c r="C17" i="19"/>
  <c r="L17" i="19" s="1"/>
  <c r="G70" i="34"/>
  <c r="E96" i="10"/>
  <c r="F96" i="10"/>
  <c r="D9" i="10" s="1"/>
  <c r="C14" i="19" s="1"/>
  <c r="L14" i="19" s="1"/>
  <c r="G96" i="10"/>
  <c r="I96" i="10"/>
  <c r="G78" i="34"/>
  <c r="G46" i="34"/>
  <c r="C11" i="19"/>
  <c r="L11" i="19" s="1"/>
  <c r="G68" i="34"/>
  <c r="V179" i="34"/>
  <c r="U143" i="34"/>
  <c r="V143" i="34"/>
  <c r="Z113" i="34"/>
  <c r="AA113" i="34" s="1"/>
  <c r="S113" i="34"/>
  <c r="Z66" i="34"/>
  <c r="AA66" i="34" s="1"/>
  <c r="V66" i="34"/>
  <c r="U66" i="34"/>
  <c r="Z39" i="34"/>
  <c r="AA39" i="34" s="1"/>
  <c r="R204" i="34"/>
  <c r="S8" i="34"/>
  <c r="AA8" i="34"/>
  <c r="Q204" i="34"/>
  <c r="U8" i="34"/>
  <c r="T204" i="34"/>
  <c r="V113" i="34"/>
  <c r="U9" i="34"/>
  <c r="S19" i="34"/>
  <c r="S40" i="34"/>
  <c r="I42" i="23"/>
  <c r="I28" i="23"/>
  <c r="E57" i="23"/>
  <c r="G193" i="34" s="1"/>
  <c r="N193" i="34" s="1"/>
  <c r="O193" i="34" s="1"/>
  <c r="G53" i="23"/>
  <c r="N195" i="34"/>
  <c r="O195" i="34" s="1"/>
  <c r="I130" i="34"/>
  <c r="I50" i="34"/>
  <c r="N92" i="34"/>
  <c r="O92" i="34" s="1"/>
  <c r="N93" i="34"/>
  <c r="O93" i="34" s="1"/>
  <c r="G31" i="34"/>
  <c r="C30" i="19"/>
  <c r="L30" i="19" s="1"/>
  <c r="G122" i="24"/>
  <c r="D8" i="24" s="1"/>
  <c r="C28" i="19" s="1"/>
  <c r="L28" i="19" s="1"/>
  <c r="C27" i="19"/>
  <c r="L27" i="19" s="1"/>
  <c r="J143" i="34"/>
  <c r="F5" i="33"/>
  <c r="H100" i="1" s="1"/>
  <c r="D8" i="1" s="1"/>
  <c r="G5" i="33"/>
  <c r="I100" i="1" s="1"/>
  <c r="E5" i="33"/>
  <c r="G100" i="1" s="1"/>
  <c r="H5" i="33"/>
  <c r="J100" i="1" s="1"/>
  <c r="N45" i="34"/>
  <c r="O45" i="34" s="1"/>
  <c r="J45" i="34"/>
  <c r="N48" i="34"/>
  <c r="O48" i="34" s="1"/>
  <c r="N106" i="34" l="1"/>
  <c r="O106" i="34" s="1"/>
  <c r="J106" i="34"/>
  <c r="J105" i="34" s="1"/>
  <c r="J98" i="34"/>
  <c r="J90" i="34" s="1"/>
  <c r="N98" i="34"/>
  <c r="O98" i="34" s="1"/>
  <c r="N91" i="34"/>
  <c r="O91" i="34" s="1"/>
  <c r="N86" i="34"/>
  <c r="O86" i="34" s="1"/>
  <c r="J86" i="34"/>
  <c r="J75" i="34" s="1"/>
  <c r="J70" i="34"/>
  <c r="N70" i="34"/>
  <c r="O70" i="34" s="1"/>
  <c r="G69" i="34"/>
  <c r="N69" i="34"/>
  <c r="O69" i="34" s="1"/>
  <c r="J69" i="34"/>
  <c r="J78" i="34"/>
  <c r="N78" i="34"/>
  <c r="O78" i="34" s="1"/>
  <c r="N68" i="34"/>
  <c r="O68" i="34" s="1"/>
  <c r="J68" i="34"/>
  <c r="J67" i="34" s="1"/>
  <c r="N46" i="34"/>
  <c r="O46" i="34" s="1"/>
  <c r="J46" i="34"/>
  <c r="S204" i="34"/>
  <c r="Z204" i="34"/>
  <c r="AA204" i="34" s="1"/>
  <c r="U204" i="34"/>
  <c r="V204" i="34"/>
  <c r="J193" i="34"/>
  <c r="J180" i="34" s="1"/>
  <c r="D8" i="23"/>
  <c r="C26" i="19" s="1"/>
  <c r="L26" i="19" s="1"/>
  <c r="J31" i="34"/>
  <c r="J8" i="34" s="1"/>
  <c r="N31" i="34"/>
  <c r="O31" i="34" s="1"/>
  <c r="J10" i="34"/>
  <c r="G191" i="34"/>
  <c r="N191" i="34" s="1"/>
  <c r="O191" i="34" s="1"/>
  <c r="J191" i="34"/>
  <c r="J179" i="34" s="1"/>
  <c r="C6" i="19"/>
  <c r="L6" i="19" s="1"/>
  <c r="G10" i="34"/>
  <c r="N10" i="34" s="1"/>
  <c r="O10" i="34" s="1"/>
  <c r="O9" i="34" s="1"/>
  <c r="O8" i="34" s="1"/>
  <c r="O204" i="34" s="1"/>
  <c r="J66" i="34" l="1"/>
  <c r="J204" i="34"/>
  <c r="F37" i="17"/>
  <c r="F36" i="17"/>
  <c r="F35"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 DARIO RAMIREZ B</author>
    <author>USUARIO 2020</author>
    <author>Preferred Customer</author>
  </authors>
  <commentList>
    <comment ref="A5" authorId="0" shapeId="0" xr:uid="{00000000-0006-0000-0100-000001000000}">
      <text>
        <r>
          <rPr>
            <b/>
            <sz val="9"/>
            <color indexed="81"/>
            <rFont val="Tahoma"/>
            <family val="2"/>
          </rPr>
          <t>IVAN DARIO RAMIREZ B:</t>
        </r>
        <r>
          <rPr>
            <sz val="9"/>
            <color indexed="81"/>
            <rFont val="Tahoma"/>
            <family val="2"/>
          </rPr>
          <t xml:space="preserve">
Algunas Corporaciones denominan a las ACTIVIDADES como METAS. Para efectos practicos esto no es una dificultad ya que es en este nivel en donde se reportan numericamente los avances de los proyectos con indicadores CUANTIFICABLES asociados a metas específicas, independiente del nombre que se desee utilizar . </t>
        </r>
      </text>
    </comment>
    <comment ref="Y9" authorId="1" shapeId="0" xr:uid="{00000000-0006-0000-0100-000002000000}">
      <text>
        <r>
          <rPr>
            <b/>
            <sz val="9"/>
            <color indexed="81"/>
            <rFont val="Tahoma"/>
            <family val="2"/>
          </rPr>
          <t>USUARIO 2020:</t>
        </r>
        <r>
          <rPr>
            <sz val="9"/>
            <color indexed="81"/>
            <rFont val="Tahoma"/>
            <family val="2"/>
          </rPr>
          <t xml:space="preserve">
Meta financiera del 2021 modificada mediante Acuerdo 0012 de 09 diciembre de 2020.
Meta inicial 2021: $394.011.000</t>
        </r>
      </text>
    </comment>
    <comment ref="Y19" authorId="1" shapeId="0" xr:uid="{00000000-0006-0000-0100-000003000000}">
      <text>
        <r>
          <rPr>
            <b/>
            <sz val="9"/>
            <color indexed="81"/>
            <rFont val="Tahoma"/>
            <family val="2"/>
          </rPr>
          <t>USUARIO 2020:</t>
        </r>
        <r>
          <rPr>
            <sz val="9"/>
            <color indexed="81"/>
            <rFont val="Tahoma"/>
            <family val="2"/>
          </rPr>
          <t xml:space="preserve">
Meta Financiera 2021 modificada mediante Acuerdo 0012 de 09 de diciembre de 2020.
Meta inicial 2021: 290.580.000</t>
        </r>
      </text>
    </comment>
    <comment ref="Y32" authorId="1" shapeId="0" xr:uid="{00000000-0006-0000-0100-000004000000}">
      <text>
        <r>
          <rPr>
            <b/>
            <sz val="9"/>
            <color indexed="81"/>
            <rFont val="Tahoma"/>
            <family val="2"/>
          </rPr>
          <t>USUARIO 2020:</t>
        </r>
        <r>
          <rPr>
            <sz val="9"/>
            <color indexed="81"/>
            <rFont val="Tahoma"/>
            <family val="2"/>
          </rPr>
          <t xml:space="preserve">
Meta Inicial 2021: $263.637.000</t>
        </r>
      </text>
    </comment>
    <comment ref="Y40" authorId="1" shapeId="0" xr:uid="{00000000-0006-0000-0100-000005000000}">
      <text>
        <r>
          <rPr>
            <b/>
            <sz val="9"/>
            <color indexed="81"/>
            <rFont val="Tahoma"/>
            <family val="2"/>
          </rPr>
          <t>USUARIO 2020:</t>
        </r>
        <r>
          <rPr>
            <sz val="9"/>
            <color indexed="81"/>
            <rFont val="Tahoma"/>
            <family val="2"/>
          </rPr>
          <t xml:space="preserve">
Meta Inicial 2021: $824.328.000</t>
        </r>
      </text>
    </comment>
    <comment ref="A53" authorId="2" shapeId="0" xr:uid="{00000000-0006-0000-0100-000006000000}">
      <text>
        <r>
          <rPr>
            <b/>
            <sz val="10"/>
            <color indexed="81"/>
            <rFont val="Tahoma"/>
            <family val="2"/>
          </rPr>
          <t xml:space="preserve">Algunas Corporaciones denominan a las ACTIVIDADES como METAS. Para efectos practicos esto no es una dificultad ya que es en este nivel en donde se reportan numericamente los avances de los proyectos con indicadores CUANTIFICABLES asociados a metas específicas, independiente del nombre que se desee utilizar . </t>
        </r>
      </text>
    </comment>
    <comment ref="A67" authorId="2" shapeId="0" xr:uid="{00000000-0006-0000-0100-000007000000}">
      <text>
        <r>
          <rPr>
            <b/>
            <sz val="10"/>
            <color indexed="81"/>
            <rFont val="Tahoma"/>
            <family val="2"/>
          </rPr>
          <t xml:space="preserve">Algunas Corporaciones denominan a las ACTIVIDADES como METAS. Para efectos practicos esto no es una dificultad ya que es en este nivel en donde se reportan numericamente los avances de los proyectos con indicadores CUANTIFICABLES asociados a metas específicas, independiente del nombre que se desee utilizar . </t>
        </r>
      </text>
    </comment>
    <comment ref="A188" authorId="2" shapeId="0" xr:uid="{00000000-0006-0000-0100-000008000000}">
      <text>
        <r>
          <rPr>
            <b/>
            <sz val="10"/>
            <color indexed="81"/>
            <rFont val="Tahoma"/>
            <family val="2"/>
          </rPr>
          <t xml:space="preserve">Algunas Corporaciones denominan a las ACTIVIDADES como METAS. Para efectos practicos esto no es una dificultad ya que es en este nivel en donde se reportan numericamente los avances de los proyectos con indicadores CUANTIFICABLES asociados a metas específicas, independiente del nombre que se desee utilizar . </t>
        </r>
      </text>
    </comment>
    <comment ref="A193" authorId="2" shapeId="0" xr:uid="{00000000-0006-0000-0100-000009000000}">
      <text>
        <r>
          <rPr>
            <b/>
            <sz val="10"/>
            <color indexed="81"/>
            <rFont val="Tahoma"/>
            <family val="2"/>
          </rPr>
          <t xml:space="preserve">Algunas Corporaciones denominan a las ACTIVIDADES como METAS. Para efectos practicos esto no es una dificultad ya que es en este nivel en donde se reportan numericamente los avances de los proyectos con indicadores CUANTIFICABLES asociados a metas específicas, independiente del nombre que se desee utilizar . </t>
        </r>
      </text>
    </comment>
    <comment ref="A199" authorId="2" shapeId="0" xr:uid="{00000000-0006-0000-0100-00000A000000}">
      <text>
        <r>
          <rPr>
            <b/>
            <sz val="10"/>
            <color indexed="81"/>
            <rFont val="Tahoma"/>
            <family val="2"/>
          </rPr>
          <t xml:space="preserve">Algunas Corporaciones denominan a las ACTIVIDADES como METAS. Para efectos practicos esto no es una dificultad ya que es en este nivel en donde se reportan numericamente los avances de los proyectos con indicadores CUANTIFICABLES asociados a metas específicas, independiente del nombre que se desee utilizar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tc={637B4FEC-1A18-4280-AA1D-6DF9DA017BC2}</author>
    <author>IVAN DARIO RAMIREZ B</author>
  </authors>
  <commentList>
    <comment ref="S6" authorId="0" shapeId="0" xr:uid="{00000000-0006-0000-0600-000001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incluyo esta columna para registrar una provisión del 5% DEL a solicitud del Consejo Directivo</t>
        </r>
      </text>
    </comment>
    <comment ref="K267" authorId="1" shapeId="0" xr:uid="{00000000-0006-0000-0600-000002000000}">
      <text>
        <r>
          <rPr>
            <b/>
            <sz val="9"/>
            <color indexed="81"/>
            <rFont val="Tahoma"/>
            <family val="2"/>
          </rPr>
          <t>IVAN DARIO RAMIREZ B:</t>
        </r>
        <r>
          <rPr>
            <sz val="9"/>
            <color indexed="81"/>
            <rFont val="Tahoma"/>
            <family val="2"/>
          </rPr>
          <t xml:space="preserve">
aprovecamiento de parques caso CAR</t>
        </r>
      </text>
    </comment>
    <comment ref="K279" authorId="1" shapeId="0" xr:uid="{00000000-0006-0000-0600-000003000000}">
      <text>
        <r>
          <rPr>
            <b/>
            <sz val="9"/>
            <color indexed="81"/>
            <rFont val="Tahoma"/>
            <family val="2"/>
          </rPr>
          <t>IVAN DARIO RAMIREZ B:</t>
        </r>
        <r>
          <rPr>
            <sz val="9"/>
            <color indexed="81"/>
            <rFont val="Tahoma"/>
            <family val="2"/>
          </rPr>
          <t>CAR CVC Arriendos</t>
        </r>
      </text>
    </comment>
    <comment ref="K570" authorId="1" shapeId="0" xr:uid="{00000000-0006-0000-0600-000004000000}">
      <text>
        <r>
          <rPr>
            <b/>
            <sz val="9"/>
            <color indexed="81"/>
            <rFont val="Tahoma"/>
            <family val="2"/>
          </rPr>
          <t>IVAN DARIO RAMIREZ B:</t>
        </r>
        <r>
          <rPr>
            <sz val="9"/>
            <color indexed="81"/>
            <rFont val="Tahoma"/>
            <family val="2"/>
          </rPr>
          <t xml:space="preserve">
A dónde se incluyen los convenios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Ingegamez</author>
  </authors>
  <commentList>
    <comment ref="M35" authorId="0" shapeId="0" xr:uid="{30C8E56F-C41B-43A5-AE72-3F1C7939E7C0}">
      <text>
        <r>
          <rPr>
            <b/>
            <sz val="9"/>
            <color indexed="81"/>
            <rFont val="Tahoma"/>
            <family val="2"/>
          </rPr>
          <t>Ingegamez:</t>
        </r>
        <r>
          <rPr>
            <sz val="9"/>
            <color indexed="81"/>
            <rFont val="Tahoma"/>
            <family val="2"/>
          </rPr>
          <t xml:space="preserve">
En este sitio se estaba realizando una campaña de monitoreo con un equipo automático (muestras diarias) que culminó el 06 de abril de 2021; por eso son 96 muestras al año.</t>
        </r>
      </text>
    </comment>
    <comment ref="N35" authorId="0" shapeId="0" xr:uid="{00000000-0006-0000-2300-000001000000}">
      <text>
        <r>
          <rPr>
            <b/>
            <sz val="9"/>
            <color indexed="81"/>
            <rFont val="Tahoma"/>
            <family val="2"/>
          </rPr>
          <t>Ingegamez:</t>
        </r>
        <r>
          <rPr>
            <sz val="9"/>
            <color indexed="81"/>
            <rFont val="Tahoma"/>
            <family val="2"/>
          </rPr>
          <t xml:space="preserve">
En este sitio se estaba realizando una campaña de monitoreo con un equipo automático (muestras diarias) que culminó el 06 de abril de 2021; por eso son 96 muestras al año.</t>
        </r>
      </text>
    </comment>
    <comment ref="E57" authorId="0" shapeId="0" xr:uid="{00000000-0006-0000-2300-000002000000}">
      <text>
        <r>
          <rPr>
            <b/>
            <sz val="9"/>
            <color indexed="81"/>
            <rFont val="Tahoma"/>
            <family val="2"/>
          </rPr>
          <t>Ingegamez:</t>
        </r>
        <r>
          <rPr>
            <sz val="9"/>
            <color indexed="81"/>
            <rFont val="Tahoma"/>
            <family val="2"/>
          </rPr>
          <t xml:space="preserve">
En este sitio se estaba realizando una campaña de monitoreo con un equipo automático (muestras diarias) que culminó el 06 de abril de 2021; por eso son 96 muestras al año.</t>
        </r>
      </text>
    </comment>
  </commentList>
</comments>
</file>

<file path=xl/sharedStrings.xml><?xml version="1.0" encoding="utf-8"?>
<sst xmlns="http://schemas.openxmlformats.org/spreadsheetml/2006/main" count="13756" uniqueCount="3541">
  <si>
    <r>
      <t>Porcentaje de avance en la formulación y/o ajuste de los Planes de Ordenación y Manejo de Cuencas (POMCAS), Planes de Manejo de Acuíferos (PMA) y Planes de Manejo de Microcuencas (PMM</t>
    </r>
    <r>
      <rPr>
        <b/>
        <sz val="9"/>
        <color rgb="FF000000"/>
        <rFont val="Calibri"/>
        <family val="2"/>
        <scheme val="minor"/>
      </rPr>
      <t>)</t>
    </r>
  </si>
  <si>
    <t>(Hoja metodológica versión 1,00)</t>
  </si>
  <si>
    <t>Metodología de cálculo</t>
  </si>
  <si>
    <t>Para su cálculo, se diligencia la siguiente información:</t>
  </si>
  <si>
    <t>Número de cuencas objeto de POMCA en la jurisdicción de la CAR según la zonificación hidrográfica:</t>
  </si>
  <si>
    <t>Número de cuencas objeto de POMCA priorizadas para el cuatrienio en la jurisdicción de la CAR:</t>
  </si>
  <si>
    <t>Datos generales de los POMCAS:</t>
  </si>
  <si>
    <t>Cuencas, acuíferos y microcuencas objeto de planes en la jurisdicción de la CAR</t>
  </si>
  <si>
    <t>Tipo de Plan (a)</t>
  </si>
  <si>
    <t>Código (b)</t>
  </si>
  <si>
    <t>Nombre de Cuenca, Microcuenca, Acuífero</t>
  </si>
  <si>
    <t>POMCA</t>
  </si>
  <si>
    <t>PMA</t>
  </si>
  <si>
    <t>PMM</t>
  </si>
  <si>
    <t>Utilice tantas líneas cuantas sean necesarias.</t>
  </si>
  <si>
    <r>
      <t>(a)</t>
    </r>
    <r>
      <rPr>
        <sz val="7"/>
        <color rgb="FF000000"/>
        <rFont val="Times New Roman"/>
        <family val="1"/>
      </rPr>
      <t xml:space="preserve">     </t>
    </r>
    <r>
      <rPr>
        <sz val="9"/>
        <color rgb="FF000000"/>
        <rFont val="Calibri"/>
        <family val="2"/>
      </rPr>
      <t>POMCA, PMA, PMM</t>
    </r>
  </si>
  <si>
    <r>
      <t>(b)</t>
    </r>
    <r>
      <rPr>
        <sz val="7"/>
        <color rgb="FF000000"/>
        <rFont val="Times New Roman"/>
        <family val="1"/>
      </rPr>
      <t xml:space="preserve">     </t>
    </r>
    <r>
      <rPr>
        <sz val="9"/>
        <color rgb="FF000000"/>
        <rFont val="Calibri"/>
        <family val="2"/>
      </rPr>
      <t>Si aplica</t>
    </r>
  </si>
  <si>
    <r>
      <t>(c)</t>
    </r>
    <r>
      <rPr>
        <sz val="7"/>
        <color rgb="FF000000"/>
        <rFont val="Times New Roman"/>
        <family val="1"/>
      </rPr>
      <t xml:space="preserve">     </t>
    </r>
    <r>
      <rPr>
        <sz val="9"/>
        <color rgb="FF000000"/>
        <rFont val="Calibri"/>
        <family val="2"/>
      </rPr>
      <t>Procesos formales previos, En Fase de Aprestamiento, Diagnóstico, En Fase de Prospectiva y Zonificación Ambiental, en Fase de Formulación y Aprobado. Si está aprobado, escriba el número del acto administrativo.</t>
    </r>
  </si>
  <si>
    <t>Meta anual de avance (%) en la formulación de cada plan</t>
  </si>
  <si>
    <t>N</t>
  </si>
  <si>
    <t>Año 1</t>
  </si>
  <si>
    <t>Año 2</t>
  </si>
  <si>
    <t>Año 3</t>
  </si>
  <si>
    <t>Año 4</t>
  </si>
  <si>
    <t>Utilice tantas líneas cuantas sean necesarias e indique las metas anuales teniendo como base la ponderación establecida para cada fase, hasta alcanzar el 100% con la aprobación del plan.</t>
  </si>
  <si>
    <t>Reporte de porcentaje de avance en la formulación de cada plan (*) (%)</t>
  </si>
  <si>
    <t>Código</t>
  </si>
  <si>
    <t>(*) Para el caso de los POMCA, el avance alcanza el 100% cuando ha sido aprobado a través del respectivo acto administrativo, pues de acuerdo con la Guía Técnica para la formulación de Planes de Ordenación y manejo de Cuencas Hidrográficas (Resolución 1907 de 2013), la fase de formulación concluye con la publicidad y aprobación del plan.</t>
  </si>
  <si>
    <t>Porcentaje de avance de la meta anual en la formulación de cada plan</t>
  </si>
  <si>
    <t>Porcentaje promedio de avance anual en la formulación de los planes</t>
  </si>
  <si>
    <t>Tipo de Plan</t>
  </si>
  <si>
    <t>Ponderación regional</t>
  </si>
  <si>
    <t>POMCAS</t>
  </si>
  <si>
    <r>
      <t xml:space="preserve">PAFP </t>
    </r>
    <r>
      <rPr>
        <vertAlign val="subscript"/>
        <sz val="9"/>
        <color rgb="FF000000"/>
        <rFont val="Calibri"/>
        <family val="2"/>
        <scheme val="minor"/>
      </rPr>
      <t>t</t>
    </r>
    <r>
      <rPr>
        <sz val="9"/>
        <color rgb="FF000000"/>
        <rFont val="Calibri"/>
        <family val="2"/>
        <scheme val="minor"/>
      </rPr>
      <t xml:space="preserve"> = Porcentaje de avance en la formulación y/o ajuste de los Planes de Ordenación y Manejo de Cuencas (POMCAS), Planes de Manejo de Acuíferos (PMA) y Planes de Manejo de Microcuencas (PMM)</t>
    </r>
  </si>
  <si>
    <t>Interpretación</t>
  </si>
  <si>
    <t>El indicador hace seguimiento a la función de planificación ambiental relacionada con el recurso hídrico a cargo de las corporaciones autónomas regionales. Cuanto más cercano a cien por ciento, mayor es el cumplimiento de las metas establecidas en la planificación de dicho recurso.</t>
  </si>
  <si>
    <t>Restricciones o Limitaciones</t>
  </si>
  <si>
    <t>Teniendo en cuenta que la formulación de los POMCAS, PMA y PMM que realizan las Corporaciones Autónomas Regionales y de Desarrollo Sostenible en el marco de sus competencias obedecen a procesos técnicos y sociales particulares de cada región, se pueden presentar situaciones de orden operativo, político y social que pueden afectar los cronogramas definidos para la formulación de dichos instrumentos de planificación.</t>
  </si>
  <si>
    <t>Responsable del reporte de las variables del indicador</t>
  </si>
  <si>
    <t>Entidad</t>
  </si>
  <si>
    <t>Dependencia</t>
  </si>
  <si>
    <t>Nombre del funcionario</t>
  </si>
  <si>
    <t>Cargo</t>
  </si>
  <si>
    <t>Correo electrónico</t>
  </si>
  <si>
    <t>Teléfono</t>
  </si>
  <si>
    <t>Dirección</t>
  </si>
  <si>
    <t>Responsable del cálculo del indicador</t>
  </si>
  <si>
    <t>Ministerio de Ambiente y Desarrollo Sostenible MADS</t>
  </si>
  <si>
    <t>Dirección de Ordenamiento Territorial y Coordinación del Sistema Ambiental – SINA</t>
  </si>
  <si>
    <t xml:space="preserve">Información sobre la Hoja Metodológica </t>
  </si>
  <si>
    <t>Fecha</t>
  </si>
  <si>
    <t>Versión</t>
  </si>
  <si>
    <t>Datos del autor o de quien ajustó la hoja metodológica</t>
  </si>
  <si>
    <t>Descripción de los ajustes</t>
  </si>
  <si>
    <r>
      <t>Hoja Metodológica de referencia:</t>
    </r>
    <r>
      <rPr>
        <sz val="9"/>
        <color rgb="FF000000"/>
        <rFont val="Calibri"/>
        <family val="2"/>
        <scheme val="minor"/>
      </rPr>
      <t xml:space="preserve"> MADS (2016). </t>
    </r>
    <r>
      <rPr>
        <i/>
        <sz val="9"/>
        <color rgb="FF000000"/>
        <rFont val="Calibri"/>
        <family val="2"/>
        <scheme val="minor"/>
      </rPr>
      <t>Hoja metodológica del Porcentaje de avance en la formulación de los Planes de Ordenación y Manejo de Cuencas (POMCAS), Planes de Manejo de Acuíferos (PMA) y Planes de Manejo de Microcuencas (PMM) (Versión 1.0).</t>
    </r>
    <r>
      <rPr>
        <sz val="9"/>
        <color rgb="FF000000"/>
        <rFont val="Calibri"/>
        <family val="2"/>
        <scheme val="minor"/>
      </rPr>
      <t xml:space="preserve"> Ministerio de Ambiente y Desarrollo Sostenible MADS, DGOAT-SINA y DRH.</t>
    </r>
  </si>
  <si>
    <t>Observaciones</t>
  </si>
  <si>
    <t>Descripción del Indicador</t>
  </si>
  <si>
    <t>Definición</t>
  </si>
  <si>
    <t>Es el porcentaje de avance en la formulación o ajuste de los Planes de Ordenación y Manejo de Cuencas (POMCAS), Planes de Manejo de Acuíferos (PMA) y Planes de Manejo de Microcuencas (PMM) priorizados por la Corporación.</t>
  </si>
  <si>
    <t>Pertinencia</t>
  </si>
  <si>
    <t>Finalidad / Propósito:</t>
  </si>
  <si>
    <t>El indicador mide el cumplimiento de las metas establecidas en relación con la formulación o ajuste de los Planes de Ordenación y Manejo de Cuencas (POMCAS), Planes de Manejo de Acuíferos (PMA) y Planes de Manejo de Microcuencas (PMM).</t>
  </si>
  <si>
    <t>Seguimiento a las metas del Plan Nacional de Desarrollo 2014-2018 (POMCAS formulados)</t>
  </si>
  <si>
    <t>Normatividad de soporte:</t>
  </si>
  <si>
    <t>Ley 99 de 1993.</t>
  </si>
  <si>
    <t>Decreto 1076 de 2015.</t>
  </si>
  <si>
    <t>Resolución 1907 de 2013.</t>
  </si>
  <si>
    <t>Resolución 509 de 2013.</t>
  </si>
  <si>
    <t>Documentación de Referencia:</t>
  </si>
  <si>
    <t>Política Nacional para la Gestión Integral del Recurso Hídrico</t>
  </si>
  <si>
    <t>Plan Nacional de Desarrollo 2014-2018</t>
  </si>
  <si>
    <t>Guía Técnica para la formulación de Planes de Ordenación y manejo de Cuencas Hidrográficas.</t>
  </si>
  <si>
    <t>Metas / Estándares</t>
  </si>
  <si>
    <t>Marco conceptual</t>
  </si>
  <si>
    <t>El Plan de Ordenación y manejo de Cuencas Hidrográficas (POMCA) es el instrumento a través del cual se realiza la planeación del uso coordinado del suelo, de las aguas, de la flora y la fauna; y el manejo de la cuenca, entendido como la ejecución de obras y tratamientos, en la perspectiva de mantener el equilibrio entre el aprovechamiento social y económico de tales recursos, y la conservación de la estructura físico -biótica de la cuenca y particularmente del recurso hídrico (Artículo 2.2.3.1.5.1 del Decreto 1076 de 2015).</t>
  </si>
  <si>
    <r>
      <t>Plan de Ordenación y Manejo de Cuenca (POMCA)</t>
    </r>
    <r>
      <rPr>
        <sz val="9"/>
        <color rgb="FF000000"/>
        <rFont val="Calibri"/>
        <family val="2"/>
        <scheme val="minor"/>
      </rPr>
      <t>:</t>
    </r>
  </si>
  <si>
    <t>Para la elaboración o ajuste de los POMCAS, las Corporaciones Autónomas Regionales y de Desarrollo Sostenible deberán desarrollar los siguientes procesos formales previos, las fases e hitos establecidos en la Resolución 1907 de 2013:</t>
  </si>
  <si>
    <r>
      <t>1.</t>
    </r>
    <r>
      <rPr>
        <sz val="7"/>
        <color rgb="FF000000"/>
        <rFont val="Times New Roman"/>
        <family val="1"/>
      </rPr>
      <t xml:space="preserve">       </t>
    </r>
    <r>
      <rPr>
        <sz val="9"/>
        <color rgb="FF000000"/>
        <rFont val="Calibri"/>
        <family val="2"/>
        <scheme val="minor"/>
      </rPr>
      <t>Procesos formales previos (Priorización de Cuencas, Conformación o Reconformación de Comisiones Conjuntas, Declaratoria de Cuencas en Ordenación)</t>
    </r>
  </si>
  <si>
    <r>
      <t>2.</t>
    </r>
    <r>
      <rPr>
        <sz val="7"/>
        <color rgb="FF000000"/>
        <rFont val="Times New Roman"/>
        <family val="1"/>
      </rPr>
      <t xml:space="preserve">       </t>
    </r>
    <r>
      <rPr>
        <sz val="9"/>
        <color rgb="FF000000"/>
        <rFont val="Calibri"/>
        <family val="2"/>
        <scheme val="minor"/>
      </rPr>
      <t>Fase de Aprestamiento</t>
    </r>
  </si>
  <si>
    <r>
      <t>3.</t>
    </r>
    <r>
      <rPr>
        <sz val="7"/>
        <color rgb="FF000000"/>
        <rFont val="Times New Roman"/>
        <family val="1"/>
      </rPr>
      <t xml:space="preserve">       </t>
    </r>
    <r>
      <rPr>
        <sz val="9"/>
        <color rgb="FF000000"/>
        <rFont val="Calibri"/>
        <family val="2"/>
        <scheme val="minor"/>
      </rPr>
      <t>Fase Diagnóstico</t>
    </r>
  </si>
  <si>
    <r>
      <t>4.</t>
    </r>
    <r>
      <rPr>
        <sz val="7"/>
        <color rgb="FF000000"/>
        <rFont val="Times New Roman"/>
        <family val="1"/>
      </rPr>
      <t xml:space="preserve">       </t>
    </r>
    <r>
      <rPr>
        <sz val="9"/>
        <color rgb="FF000000"/>
        <rFont val="Calibri"/>
        <family val="2"/>
        <scheme val="minor"/>
      </rPr>
      <t>Fase de Prospectiva y Zonificación Ambiental</t>
    </r>
  </si>
  <si>
    <r>
      <t>5.</t>
    </r>
    <r>
      <rPr>
        <sz val="7"/>
        <color rgb="FF000000"/>
        <rFont val="Times New Roman"/>
        <family val="1"/>
      </rPr>
      <t xml:space="preserve">       </t>
    </r>
    <r>
      <rPr>
        <sz val="9"/>
        <color rgb="FF000000"/>
        <rFont val="Calibri"/>
        <family val="2"/>
        <scheme val="minor"/>
      </rPr>
      <t>Fase de Formulación</t>
    </r>
  </si>
  <si>
    <r>
      <t>Plan de Manejo de Acuíferos (PMA)</t>
    </r>
    <r>
      <rPr>
        <sz val="9"/>
        <color rgb="FF000000"/>
        <rFont val="Calibri"/>
        <family val="2"/>
        <scheme val="minor"/>
      </rPr>
      <t>:</t>
    </r>
  </si>
  <si>
    <t>Para la elaboración o ajuste de PMA con base en el Decreto 1076 de 2015 (Dto 1640 de 2012), las Corporaciones Autónomas Regionales y de Desarrollo Sostenible deberán desarrollar las siguientes fases:</t>
  </si>
  <si>
    <r>
      <t>1.</t>
    </r>
    <r>
      <rPr>
        <sz val="7"/>
        <color rgb="FF000000"/>
        <rFont val="Times New Roman"/>
        <family val="1"/>
      </rPr>
      <t xml:space="preserve">       </t>
    </r>
    <r>
      <rPr>
        <sz val="9"/>
        <color rgb="FF000000"/>
        <rFont val="Calibri"/>
        <family val="2"/>
        <scheme val="minor"/>
      </rPr>
      <t>Fase de Aprestamiento</t>
    </r>
  </si>
  <si>
    <r>
      <t>2.</t>
    </r>
    <r>
      <rPr>
        <sz val="7"/>
        <color rgb="FF000000"/>
        <rFont val="Times New Roman"/>
        <family val="1"/>
      </rPr>
      <t xml:space="preserve">       </t>
    </r>
    <r>
      <rPr>
        <sz val="9"/>
        <color rgb="FF000000"/>
        <rFont val="Calibri"/>
        <family val="2"/>
        <scheme val="minor"/>
      </rPr>
      <t>Fase Diagnóstico</t>
    </r>
  </si>
  <si>
    <r>
      <t>3.</t>
    </r>
    <r>
      <rPr>
        <sz val="7"/>
        <color rgb="FF000000"/>
        <rFont val="Times New Roman"/>
        <family val="1"/>
      </rPr>
      <t xml:space="preserve">       </t>
    </r>
    <r>
      <rPr>
        <sz val="9"/>
        <color rgb="FF000000"/>
        <rFont val="Calibri"/>
        <family val="2"/>
        <scheme val="minor"/>
      </rPr>
      <t>Fase de Formulación</t>
    </r>
  </si>
  <si>
    <r>
      <t>Plan de Manejo de Microcuencas (PMM)</t>
    </r>
    <r>
      <rPr>
        <sz val="9"/>
        <color rgb="FF000000"/>
        <rFont val="Calibri"/>
        <family val="2"/>
        <scheme val="minor"/>
      </rPr>
      <t>:</t>
    </r>
  </si>
  <si>
    <t>Para la elaboración o ajuste de PMM con base en el Decreto 1076 de 2015 (Dto 1640 de 2012), las Corporaciones Autónomas Regionales y de Desarrollo Sostenible deberán desarrollar las siguientes fases:</t>
  </si>
  <si>
    <r>
      <t>3.</t>
    </r>
    <r>
      <rPr>
        <i/>
        <sz val="7"/>
        <color rgb="FF000000"/>
        <rFont val="Times New Roman"/>
        <family val="1"/>
      </rPr>
      <t xml:space="preserve">       </t>
    </r>
    <r>
      <rPr>
        <sz val="9"/>
        <color rgb="FF000000"/>
        <rFont val="Calibri"/>
        <family val="2"/>
        <scheme val="minor"/>
      </rPr>
      <t>Fase de Formulación</t>
    </r>
  </si>
  <si>
    <t>Fórmula de cálculo</t>
  </si>
  <si>
    <t>Donde:</t>
  </si>
  <si>
    <r>
      <t xml:space="preserve">PAFP </t>
    </r>
    <r>
      <rPr>
        <vertAlign val="subscript"/>
        <sz val="9"/>
        <color rgb="FF000000"/>
        <rFont val="Calibri"/>
        <family val="2"/>
        <scheme val="minor"/>
      </rPr>
      <t>t</t>
    </r>
    <r>
      <rPr>
        <sz val="9"/>
        <color rgb="FF000000"/>
        <rFont val="Calibri"/>
        <family val="2"/>
        <scheme val="minor"/>
      </rPr>
      <t xml:space="preserve"> = Porcentaje de avance en la formulación de los Planes de Ordenación y Manejo de Cuencas (POMCAS), Planes de Manejo de Acuíferos (PMA) y Planes de Manejo de Microcuencas (PMM), en el tiempo t.</t>
    </r>
  </si>
  <si>
    <r>
      <t xml:space="preserve">PPAPOMCAS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Ordenación y Manejo de Cuencas (POMCAS), en el tiempo t.</t>
    </r>
  </si>
  <si>
    <r>
      <t xml:space="preserve">PPAPMA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Manejo de Acuíferos (PMA), en el tiempo t.</t>
    </r>
  </si>
  <si>
    <r>
      <t xml:space="preserve">PPAPMM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Microcuencas (PMM), en el tiempo t.</t>
    </r>
  </si>
  <si>
    <t>a = ponderador de POMCAS</t>
  </si>
  <si>
    <t>b = ponderador de PMA</t>
  </si>
  <si>
    <t>c = ponderador de PMM</t>
  </si>
  <si>
    <t>a + b + c = 1</t>
  </si>
  <si>
    <t>Los ponderadores de POMCAS, PMA y PMM serán definidos por cada CAR teniendo en cuenta las metas de los diferentes tipos de planes y las condiciones particulares regionales.</t>
  </si>
  <si>
    <t>Los ponderadores de las fases de POMCAS, PMA y PMM en el cuatrienio son los siguientes:</t>
  </si>
  <si>
    <r>
      <t>Plan de Ordenación y Manejo de Cuenca (POMCA)</t>
    </r>
    <r>
      <rPr>
        <sz val="9"/>
        <color rgb="FF000000"/>
        <rFont val="Calibri"/>
        <family val="2"/>
        <scheme val="minor"/>
      </rPr>
      <t xml:space="preserve">: </t>
    </r>
  </si>
  <si>
    <t>Fase</t>
  </si>
  <si>
    <t>Ponderación fase</t>
  </si>
  <si>
    <t>Ponderación acumulada</t>
  </si>
  <si>
    <r>
      <t>1.</t>
    </r>
    <r>
      <rPr>
        <sz val="7"/>
        <color rgb="FF000000"/>
        <rFont val="Times New Roman"/>
        <family val="1"/>
      </rPr>
      <t xml:space="preserve"> </t>
    </r>
    <r>
      <rPr>
        <sz val="9"/>
        <color rgb="FF000000"/>
        <rFont val="Calibri"/>
        <family val="2"/>
        <scheme val="minor"/>
      </rPr>
      <t>Procesos formales previos</t>
    </r>
  </si>
  <si>
    <r>
      <t>2.</t>
    </r>
    <r>
      <rPr>
        <sz val="7"/>
        <color rgb="FF000000"/>
        <rFont val="Times New Roman"/>
        <family val="1"/>
      </rPr>
      <t xml:space="preserve"> </t>
    </r>
    <r>
      <rPr>
        <sz val="9"/>
        <color rgb="FF000000"/>
        <rFont val="Calibri"/>
        <family val="2"/>
        <scheme val="minor"/>
      </rPr>
      <t>Fase de Aprestamiento</t>
    </r>
  </si>
  <si>
    <r>
      <t>3.</t>
    </r>
    <r>
      <rPr>
        <sz val="7"/>
        <color rgb="FF000000"/>
        <rFont val="Times New Roman"/>
        <family val="1"/>
      </rPr>
      <t xml:space="preserve"> </t>
    </r>
    <r>
      <rPr>
        <sz val="9"/>
        <color rgb="FF000000"/>
        <rFont val="Calibri"/>
        <family val="2"/>
        <scheme val="minor"/>
      </rPr>
      <t>Fase Diagnóstico</t>
    </r>
  </si>
  <si>
    <r>
      <t>4.</t>
    </r>
    <r>
      <rPr>
        <sz val="7"/>
        <color rgb="FF000000"/>
        <rFont val="Times New Roman"/>
        <family val="1"/>
      </rPr>
      <t xml:space="preserve"> </t>
    </r>
    <r>
      <rPr>
        <sz val="9"/>
        <color rgb="FF000000"/>
        <rFont val="Calibri"/>
        <family val="2"/>
        <scheme val="minor"/>
      </rPr>
      <t>Fase de Prospectiva y Zonificación Ambiental</t>
    </r>
  </si>
  <si>
    <r>
      <t>5.</t>
    </r>
    <r>
      <rPr>
        <sz val="7"/>
        <color rgb="FF000000"/>
        <rFont val="Times New Roman"/>
        <family val="1"/>
      </rPr>
      <t xml:space="preserve"> </t>
    </r>
    <r>
      <rPr>
        <sz val="9"/>
        <color rgb="FF000000"/>
        <rFont val="Calibri"/>
        <family val="2"/>
        <scheme val="minor"/>
      </rPr>
      <t>Fase de Formulación</t>
    </r>
  </si>
  <si>
    <r>
      <t>1.</t>
    </r>
    <r>
      <rPr>
        <sz val="7"/>
        <color rgb="FF000000"/>
        <rFont val="Times New Roman"/>
        <family val="1"/>
      </rPr>
      <t xml:space="preserve">                </t>
    </r>
    <r>
      <rPr>
        <sz val="9"/>
        <color rgb="FF000000"/>
        <rFont val="Calibri"/>
        <family val="2"/>
        <scheme val="minor"/>
      </rPr>
      <t xml:space="preserve">Fase de Aprestamiento </t>
    </r>
  </si>
  <si>
    <r>
      <t>2.</t>
    </r>
    <r>
      <rPr>
        <sz val="7"/>
        <color rgb="FF000000"/>
        <rFont val="Times New Roman"/>
        <family val="1"/>
      </rPr>
      <t xml:space="preserve">                </t>
    </r>
    <r>
      <rPr>
        <sz val="9"/>
        <color rgb="FF000000"/>
        <rFont val="Calibri"/>
        <family val="2"/>
        <scheme val="minor"/>
      </rPr>
      <t>Fase Diagnóstico</t>
    </r>
  </si>
  <si>
    <r>
      <t>3.</t>
    </r>
    <r>
      <rPr>
        <sz val="7"/>
        <color rgb="FF000000"/>
        <rFont val="Times New Roman"/>
        <family val="1"/>
      </rPr>
      <t xml:space="preserve">                </t>
    </r>
    <r>
      <rPr>
        <sz val="9"/>
        <color rgb="FF000000"/>
        <rFont val="Calibri"/>
        <family val="2"/>
        <scheme val="minor"/>
      </rPr>
      <t>Fase de Formulación</t>
    </r>
  </si>
  <si>
    <r>
      <t>Plan de Manejo de Microcuencas</t>
    </r>
    <r>
      <rPr>
        <sz val="9"/>
        <color rgb="FF000000"/>
        <rFont val="Calibri"/>
        <family val="2"/>
        <scheme val="minor"/>
      </rPr>
      <t xml:space="preserve"> </t>
    </r>
  </si>
  <si>
    <r>
      <t>1.</t>
    </r>
    <r>
      <rPr>
        <sz val="7"/>
        <color rgb="FF000000"/>
        <rFont val="Times New Roman"/>
        <family val="1"/>
      </rPr>
      <t xml:space="preserve">                </t>
    </r>
    <r>
      <rPr>
        <sz val="9"/>
        <color rgb="FF000000"/>
        <rFont val="Calibri"/>
        <family val="2"/>
        <scheme val="minor"/>
      </rPr>
      <t>Fase de Aprestamiento</t>
    </r>
  </si>
  <si>
    <r>
      <t>Porcentaje de avance de la meta anual en la formulación de cada plan</t>
    </r>
    <r>
      <rPr>
        <sz val="9"/>
        <color rgb="FF000000"/>
        <rFont val="Calibri"/>
        <family val="2"/>
        <scheme val="minor"/>
      </rPr>
      <t xml:space="preserve"> (ejemplo: POMCA de Cuenca Río Frío)</t>
    </r>
  </si>
  <si>
    <t>Es resultado del cociente entre el avance en la formulación de cada plan y la meta anual en la formulación de un determinado plan, al cierre de cada vigencia.</t>
  </si>
  <si>
    <t xml:space="preserve"> * 100</t>
  </si>
  <si>
    <r>
      <t xml:space="preserve">PAMAP </t>
    </r>
    <r>
      <rPr>
        <vertAlign val="subscript"/>
        <sz val="9"/>
        <color rgb="FF000000"/>
        <rFont val="Calibri"/>
        <family val="2"/>
        <scheme val="minor"/>
      </rPr>
      <t>zt</t>
    </r>
    <r>
      <rPr>
        <sz val="9"/>
        <color rgb="FF000000"/>
        <rFont val="Calibri"/>
        <family val="2"/>
        <scheme val="minor"/>
      </rPr>
      <t xml:space="preserve"> = Porcentaje de avance de la meta anual del Plan z, en el tiempo t.</t>
    </r>
  </si>
  <si>
    <r>
      <t xml:space="preserve">PAFP </t>
    </r>
    <r>
      <rPr>
        <vertAlign val="subscript"/>
        <sz val="9"/>
        <color rgb="FF000000"/>
        <rFont val="Calibri"/>
        <family val="2"/>
        <scheme val="minor"/>
      </rPr>
      <t>zt</t>
    </r>
    <r>
      <rPr>
        <sz val="9"/>
        <color rgb="FF000000"/>
        <rFont val="Calibri"/>
        <family val="2"/>
        <scheme val="minor"/>
      </rPr>
      <t xml:space="preserve"> = Porcentaje de avance en la formulación del Plan z, en el tiempo t.</t>
    </r>
  </si>
  <si>
    <r>
      <t>MFP</t>
    </r>
    <r>
      <rPr>
        <vertAlign val="subscript"/>
        <sz val="9"/>
        <color rgb="FF000000"/>
        <rFont val="Calibri"/>
        <family val="2"/>
        <scheme val="minor"/>
      </rPr>
      <t xml:space="preserve"> zt</t>
    </r>
    <r>
      <rPr>
        <sz val="9"/>
        <color rgb="FF000000"/>
        <rFont val="Calibri"/>
        <family val="2"/>
        <scheme val="minor"/>
      </rPr>
      <t xml:space="preserve"> = Meta anual de avance (%) en la formulación del plan z, en el tiempo t.</t>
    </r>
  </si>
  <si>
    <r>
      <t xml:space="preserve">Porcentaje promedio de avance anual en la formulación de los planes </t>
    </r>
    <r>
      <rPr>
        <sz val="9"/>
        <color rgb="FF000000"/>
        <rFont val="Calibri"/>
        <family val="2"/>
        <scheme val="minor"/>
      </rPr>
      <t>(ejemplo: los POMCAS priorizados para el cuatrienio)</t>
    </r>
  </si>
  <si>
    <t>El cálculo del Porcentaje promedio de avance anual en la formulación de los planes se obtiene de la siguiente manera:</t>
  </si>
  <si>
    <r>
      <t xml:space="preserve">PPAP </t>
    </r>
    <r>
      <rPr>
        <vertAlign val="subscript"/>
        <sz val="9"/>
        <color rgb="FF000000"/>
        <rFont val="Calibri"/>
        <family val="2"/>
        <scheme val="minor"/>
      </rPr>
      <t>it</t>
    </r>
    <r>
      <rPr>
        <sz val="9"/>
        <color rgb="FF000000"/>
        <rFont val="Calibri"/>
        <family val="2"/>
        <scheme val="minor"/>
      </rPr>
      <t xml:space="preserve"> = Porcentaje promedio de avance anual en la formulación de los planes i, en el tiempo t.</t>
    </r>
  </si>
  <si>
    <r>
      <t xml:space="preserve">PAMAP </t>
    </r>
    <r>
      <rPr>
        <vertAlign val="subscript"/>
        <sz val="9"/>
        <color rgb="FF000000"/>
        <rFont val="Calibri"/>
        <family val="2"/>
        <scheme val="minor"/>
      </rPr>
      <t>zt</t>
    </r>
    <r>
      <rPr>
        <sz val="9"/>
        <color rgb="FF000000"/>
        <rFont val="Calibri"/>
        <family val="2"/>
        <scheme val="minor"/>
      </rPr>
      <t xml:space="preserve"> = Porcentaje de avance de la meta anual en la formulación del Plan z, en el tiempo t.</t>
    </r>
  </si>
  <si>
    <r>
      <t xml:space="preserve">N </t>
    </r>
    <r>
      <rPr>
        <vertAlign val="subscript"/>
        <sz val="9"/>
        <color rgb="FF000000"/>
        <rFont val="Calibri"/>
        <family val="2"/>
        <scheme val="minor"/>
      </rPr>
      <t>t</t>
    </r>
    <r>
      <rPr>
        <sz val="9"/>
        <color rgb="FF000000"/>
        <rFont val="Calibri"/>
        <family val="2"/>
        <scheme val="minor"/>
      </rPr>
      <t xml:space="preserve"> = número total de planes en el tiempo t</t>
    </r>
  </si>
  <si>
    <r>
      <t xml:space="preserve">i = </t>
    </r>
    <r>
      <rPr>
        <sz val="9"/>
        <color rgb="FF000000"/>
        <rFont val="Calibri"/>
        <family val="2"/>
        <scheme val="minor"/>
      </rPr>
      <t>Planes de Ordenación y Manejo de Cuencas (POMCAS), Planes de Manejo de Acuíferos (PMA) y Planes de Manejo de Microcuencas (PMM)</t>
    </r>
    <r>
      <rPr>
        <i/>
        <sz val="9"/>
        <color rgb="FF000000"/>
        <rFont val="Calibri"/>
        <family val="2"/>
        <scheme val="minor"/>
      </rPr>
      <t xml:space="preserve"> </t>
    </r>
  </si>
  <si>
    <t>Datos reportados por la Corporación</t>
  </si>
  <si>
    <t>Datos establecidos por el MADS</t>
  </si>
  <si>
    <t>Datos calculados por el sistema</t>
  </si>
  <si>
    <t>Porcentaje de cuerpos de agua con planes de ordenamiento del recurso hídrico (PORH) adoptados</t>
  </si>
  <si>
    <t>Es la relación entre el número de cuerpos de agua con planes de ordenamiento del recurso hídrico (PORH) adoptados y la meta de cuerpos de agua priorizados para la adopción de dichos planes por parte de la autoridad ambiental.</t>
  </si>
  <si>
    <t>El indicador mide el cumplimiento de las metas que la autoridad ambiental se ha propuesto alcanzar en relación con el número de cuerpos de agua con planes de ordenamiento del recurso hídrico (PORH) adoptados.</t>
  </si>
  <si>
    <t>Normatividad relacionada:</t>
  </si>
  <si>
    <t>Decreto Ley 2811/74, Decreto-Ley 1875 de 1979</t>
  </si>
  <si>
    <t>Ley 99 de 1993. Ley Marco del Medio Ambiente.</t>
  </si>
  <si>
    <t>Decreto 1076 de 2015,</t>
  </si>
  <si>
    <t>Resolución 509 de 2013. Define los lineamientos para la conformación de los Consejos de Cuenca y su participación en las fases del plan de ordenación y manejo de la cuenca</t>
  </si>
  <si>
    <t>Resolución 1907 de 2013. Expide la Guía técnica para la formulación de los planes de ordenación y manejo de cuencas hidrográficas.</t>
  </si>
  <si>
    <t>Resolución 1207 de 2014. Adopta disposiciones relacionadas con el uso de aguas residuales tratadas.</t>
  </si>
  <si>
    <t>Documentación de referencia:</t>
  </si>
  <si>
    <t>Política Nacional de Gestión Integral del Recurso Hídrico – PNGIRH.</t>
  </si>
  <si>
    <t>El Plan de Ordenamiento del Recurso Hídrico- PORH es el instrumento de planificación que se rige por lo dispuesto en el Decreto 1076 de 2015.</t>
  </si>
  <si>
    <r>
      <t xml:space="preserve">PPORHA </t>
    </r>
    <r>
      <rPr>
        <vertAlign val="subscript"/>
        <sz val="9"/>
        <color rgb="FF000000"/>
        <rFont val="Calibri"/>
        <family val="2"/>
        <scheme val="minor"/>
      </rPr>
      <t>t</t>
    </r>
    <r>
      <rPr>
        <sz val="9"/>
        <color rgb="FF000000"/>
        <rFont val="Calibri"/>
        <family val="2"/>
        <scheme val="minor"/>
      </rPr>
      <t xml:space="preserve"> = Porcentaje de cuerpos de agua con planes de ordenamiento del recurso hídrico (PORH) adoptados, en el tiempo t.</t>
    </r>
  </si>
  <si>
    <r>
      <t xml:space="preserve">PORHA </t>
    </r>
    <r>
      <rPr>
        <vertAlign val="subscript"/>
        <sz val="9"/>
        <color rgb="FF000000"/>
        <rFont val="Calibri"/>
        <family val="2"/>
        <scheme val="minor"/>
      </rPr>
      <t>t</t>
    </r>
    <r>
      <rPr>
        <sz val="9"/>
        <color rgb="FF000000"/>
        <rFont val="Calibri"/>
        <family val="2"/>
        <scheme val="minor"/>
      </rPr>
      <t xml:space="preserve"> = Número de Cuerpos de agua con planes de ordenamiento del recurso hídrico adoptados, en el tiempo t.</t>
    </r>
  </si>
  <si>
    <r>
      <t xml:space="preserve">MPORHA </t>
    </r>
    <r>
      <rPr>
        <vertAlign val="subscript"/>
        <sz val="9"/>
        <color rgb="FF000000"/>
        <rFont val="Calibri"/>
        <family val="2"/>
        <scheme val="minor"/>
      </rPr>
      <t>t</t>
    </r>
    <r>
      <rPr>
        <sz val="9"/>
        <color rgb="FF000000"/>
        <rFont val="Calibri"/>
        <family val="2"/>
        <scheme val="minor"/>
      </rPr>
      <t xml:space="preserve"> = Meta de Cuerpos de agua con plan de ordenamiento del recurso hídrico adoptados, en el tiempo t.</t>
    </r>
  </si>
  <si>
    <t>La meta de número de cuerpos de agua con planes de ordenamiento del recurso hídrico adoptados es establecida en el Plan de Acción de la Corporación.</t>
  </si>
  <si>
    <t>Número total de cuerpos de agua sujeto de reglamentación de planes de ordenamiento del recurso hídrico (PORH):</t>
  </si>
  <si>
    <t>Número total de Cuerpos de agua con plan de ordenamiento del recurso hídrico (PORH) priorizados por la Corporación para su adopción durante el cuatrienio:</t>
  </si>
  <si>
    <t>Variable</t>
  </si>
  <si>
    <t>Total</t>
  </si>
  <si>
    <t>A</t>
  </si>
  <si>
    <t>Meta de cuerpos de agua con planes de ordenamiento del recurso hídrico (PORH) adoptados MPORHA</t>
  </si>
  <si>
    <t>B</t>
  </si>
  <si>
    <t>Número de cuerpos de agua con planes de ordenamiento del recurso hídrico adoptados (PORHA)</t>
  </si>
  <si>
    <t>C</t>
  </si>
  <si>
    <t>Porcentaje de Cuerpos de agua con planes de ordenamiento del recurso hídrico adoptados (PPORHA) (C = B / A)</t>
  </si>
  <si>
    <t>Cuanto más cercano a cien por ciento, mayor es el cumplimiento de las metas que la autoridad ambiental se ha propuesto alcanzar en relación con el número de cuerpos de agua con planes de ordenamiento del recurso hídrico (PORH) adoptados.</t>
  </si>
  <si>
    <t>Se pueden presentar situaciones de orden operativo, político y social que pueden afectar la ejecución de los presupuestos y el cumplimiento de los cronogramas definidos en el Plan de Acción de la Corporación.</t>
  </si>
  <si>
    <t>Dirección de Ordenamiento Territorial y Coordinación del Sistema Ambiental - SINA</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</si>
  <si>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Cuerpos de agua con planes de ordenamiento del recurso hídrico (PORH) adoptados (Versión 1.0).</t>
    </r>
    <r>
      <rPr>
        <sz val="9"/>
        <color rgb="FF000000"/>
        <rFont val="Calibri"/>
        <family val="2"/>
        <scheme val="minor"/>
      </rPr>
      <t xml:space="preserve"> Ministerio de Ambiente y Desarrollo Sostenible, DGOAT-SINA y DRH.</t>
    </r>
  </si>
  <si>
    <t>Porcentaje de Planes de Saneamiento y Manejo de Vertimientos (PSMV) con seguimiento</t>
  </si>
  <si>
    <t>Es la relación entre el número de Planes de Saneamiento y Manejo de Vertimientos (PSMV) con seguimiento con respecto a la meta de seguimiento de dichos planes por parte de la autoridad ambiental.</t>
  </si>
  <si>
    <t>El indicador mide el cumplimiento de las metas que la autoridad ambiental se ha propuesto alcanzar en relación con el seguimiento a los Planes de Saneamiento y Manejo de Vertimientos (PSMV).</t>
  </si>
  <si>
    <t>Decreto 1076 de 2015</t>
  </si>
  <si>
    <t>Resolución SSPD 20151300054195 de 2015</t>
  </si>
  <si>
    <t>Resolución 1433 de 2004 del MAVDT</t>
  </si>
  <si>
    <t>Resolución 2145 de 2005 de MAVDT</t>
  </si>
  <si>
    <t>El prestador del servicio de alcantarillado como usuario del recurso hídrico, deberá dar cumplimiento a la norma de vertimiento vigente y contar con el respectivo permiso de vertimiento o con el Plan de Saneamiento y Manejo de Vertimientos – PSMV reglamentado por la Resolución 1433 de 2004 del Ministerio de Ambiente y Desarrollo Sostenible.</t>
  </si>
  <si>
    <t>Por su parte, las autoridades ambientales deberán realizar el seguimiento, control y verificación del cumplimiento de lo dispuesto en los permisos de vertimiento, los Planes de Cumplimiento y Planes de Saneamiento y Manejo de Vertimientos, y efectuarán inspecciones periódicas a todos los usuarios.</t>
  </si>
  <si>
    <t>El incumplimiento de los términos, condiciones y obligaciones previstos en el permiso de vertimiento, Plan de Cumplimiento o Plan de Saneamiento y Manejo de Vertimientos, dará lugar a la imposición de las medidas preventivas y sancionatorias, siguiendo el procedimiento previsto en la Ley 1333 de 2009 o la norma que la adicione, modifique o sustituya.</t>
  </si>
  <si>
    <r>
      <t xml:space="preserve">PPSMVCS </t>
    </r>
    <r>
      <rPr>
        <vertAlign val="subscript"/>
        <sz val="9"/>
        <color rgb="FF000000"/>
        <rFont val="Calibri"/>
        <family val="2"/>
        <scheme val="minor"/>
      </rPr>
      <t>t</t>
    </r>
    <r>
      <rPr>
        <sz val="9"/>
        <color rgb="FF000000"/>
        <rFont val="Calibri"/>
        <family val="2"/>
        <scheme val="minor"/>
      </rPr>
      <t xml:space="preserve"> = Porcentaje de Planes de Saneamiento y Manejo de Vertimientos (PSMV) con seguimiento, en el tiempo t.</t>
    </r>
  </si>
  <si>
    <r>
      <t xml:space="preserve">PSMVCS </t>
    </r>
    <r>
      <rPr>
        <vertAlign val="subscript"/>
        <sz val="9"/>
        <color rgb="FF000000"/>
        <rFont val="Calibri"/>
        <family val="2"/>
        <scheme val="minor"/>
      </rPr>
      <t>t</t>
    </r>
    <r>
      <rPr>
        <sz val="9"/>
        <color rgb="FF000000"/>
        <rFont val="Calibri"/>
        <family val="2"/>
        <scheme val="minor"/>
      </rPr>
      <t xml:space="preserve"> = Número de Planes de Saneamiento y Manejo de Vertimientos con seguimiento, en el tiempo t.</t>
    </r>
  </si>
  <si>
    <r>
      <t xml:space="preserve">MPSMVCS </t>
    </r>
    <r>
      <rPr>
        <vertAlign val="subscript"/>
        <sz val="9"/>
        <color rgb="FF000000"/>
        <rFont val="Calibri"/>
        <family val="2"/>
        <scheme val="minor"/>
      </rPr>
      <t>t</t>
    </r>
    <r>
      <rPr>
        <sz val="9"/>
        <color rgb="FF000000"/>
        <rFont val="Calibri"/>
        <family val="2"/>
        <scheme val="minor"/>
      </rPr>
      <t xml:space="preserve"> = Meta de Planes de Saneamiento y Manejo de Vertimientos con seguimiento, en el tiempo t.</t>
    </r>
  </si>
  <si>
    <t>La meta de número de Planes de Saneamiento y Manejo de Vertimientos sujetos a seguimiento es establecida en el Plan de Acción de la Corporación.</t>
  </si>
  <si>
    <t>Número total de Planes de Saneamiento y Manejo de Vertimientos (PSMV) aprobados por la Corporación:</t>
  </si>
  <si>
    <t>Número total de Planes de Saneamiento y Manejo de Vertimientos (PSMV) priorizados por la Corporación para hacer seguimiento en el cuatrienio:</t>
  </si>
  <si>
    <t>Meta de Planes de Saneamiento y Manejo de Vertimientos (PSMV) con seguimiento MPSMVCS</t>
  </si>
  <si>
    <t>Número de Planes de Saneamiento y Manejo de Vertimientos con seguimiento (PSMVCS)</t>
  </si>
  <si>
    <t>Porcentaje de Planes de Saneamiento y Manejo de Vertimientos con seguimiento (PPSMVCS) (C = B / A)</t>
  </si>
  <si>
    <t>Cuanto más cercano a cien por ciento, mayor es el cumplimiento de las metas que la autoridad ambiental se ha propuesto alcanzar en relación con el seguimiento a los Planes de Saneamiento y Manejo de Vertimientos (PSMV)</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</si>
  <si>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Planes de Saneamiento y Manejo de Vertimientos (PSMV) con seguimiento (Versión 1.0).</t>
    </r>
    <r>
      <rPr>
        <sz val="9"/>
        <color rgb="FF000000"/>
        <rFont val="Calibri"/>
        <family val="2"/>
        <scheme val="minor"/>
      </rPr>
      <t xml:space="preserve"> Ministerio de Ambiente y Desarrollo Sostenible, DGOAT-SINA y DRH.</t>
    </r>
  </si>
  <si>
    <t>Porcentaje de cuerpos de agua con reglamentación del uso de las aguas</t>
  </si>
  <si>
    <t>Es la relación entre el número de cuerpos de agua con reglamentación del uso de las aguas y la meta de cuerpos de agua a ser reglamentados en su uso de las aguas por parte de la autoridad ambiental.</t>
  </si>
  <si>
    <t>El indicador mide el cumplimiento de las metas que la autoridad ambiental se ha propuesto alcanzar en relación con el número de cuerpos de agua con reglamentación del uso de las aguas.</t>
  </si>
  <si>
    <t>La reglamentación del uso de las aguas es un instrumento que busca distribuir adecuadamente el agua en las corrientes hídricas, establecer obras de captación y conducción para el uso racional del recurso hídrico, legalizar el uso del agua, incentivar un manejo responsable del caudal otorgado y un uso eficiente del recurso.</t>
  </si>
  <si>
    <t>Así mismo el decreto 1076 de 2015, precisa que: “en todo caso, el Plan de Ordenamiento del Recurso Hídrico deberá definir la conveniencia de adelantar la reglamentación del uso de las aguas, de conformidad con lo establecido en el artículo 2.2.3.2.13.2 del presente Decreto o la norma que lo modifique o sustituya, y la reglamentación de vertimientos según lo dispuesto en el presente decreto o de administrar el cuerpo de agua a través de concesiones de agua y permisos de vertimiento. Así mismo, dará lugar al ajuste de la reglamentación del uso de las aguas, de la reglamentación de vertimientos, de las concesiones, de los permisos de vertimiento, de los planes de cumplimiento y de los planes de saneamiento y manejo de vertimientos y de las metas de reducción, según el caso.”</t>
  </si>
  <si>
    <t>De lo anterior se concluye que adelantar los procedimientos mencionados obedecerá a los resultados de los análisis elaborados en el PORH.</t>
  </si>
  <si>
    <r>
      <t xml:space="preserve">PRUA </t>
    </r>
    <r>
      <rPr>
        <vertAlign val="subscript"/>
        <sz val="9"/>
        <color rgb="FF000000"/>
        <rFont val="Calibri"/>
        <family val="2"/>
        <scheme val="minor"/>
      </rPr>
      <t>t</t>
    </r>
    <r>
      <rPr>
        <sz val="9"/>
        <color rgb="FF000000"/>
        <rFont val="Calibri"/>
        <family val="2"/>
        <scheme val="minor"/>
      </rPr>
      <t xml:space="preserve"> = Porcentaje de cuerpos de agua con reglamentación del uso de las aguas, en el tiempo t.</t>
    </r>
  </si>
  <si>
    <r>
      <t xml:space="preserve">RUA </t>
    </r>
    <r>
      <rPr>
        <vertAlign val="subscript"/>
        <sz val="9"/>
        <color rgb="FF000000"/>
        <rFont val="Calibri"/>
        <family val="2"/>
        <scheme val="minor"/>
      </rPr>
      <t>t</t>
    </r>
    <r>
      <rPr>
        <sz val="9"/>
        <color rgb="FF000000"/>
        <rFont val="Calibri"/>
        <family val="2"/>
        <scheme val="minor"/>
      </rPr>
      <t xml:space="preserve"> = Número de cuerpos de agua con reglamentación del uso de las aguas, en el tiempo t.</t>
    </r>
  </si>
  <si>
    <r>
      <t xml:space="preserve">MRUA </t>
    </r>
    <r>
      <rPr>
        <vertAlign val="subscript"/>
        <sz val="9"/>
        <color rgb="FF000000"/>
        <rFont val="Calibri"/>
        <family val="2"/>
        <scheme val="minor"/>
      </rPr>
      <t>t</t>
    </r>
    <r>
      <rPr>
        <sz val="9"/>
        <color rgb="FF000000"/>
        <rFont val="Calibri"/>
        <family val="2"/>
        <scheme val="minor"/>
      </rPr>
      <t xml:space="preserve"> = Meta de número de cuerpos de agua con reglamentación del uso de las aguas, en el tiempo t.</t>
    </r>
  </si>
  <si>
    <t>La meta de número de cuerpos de agua con reglamentación del uso de las aguas es establecida en el Plan de Acción de la Corporación.</t>
  </si>
  <si>
    <t>Número total de cuerpos de agua sujeto de reglamentación del uso de las aguas:</t>
  </si>
  <si>
    <t>Número total de cuerpos de agua a ser reglamentados en su uso de las aguas durante el cuatrienio:</t>
  </si>
  <si>
    <t>Meta de cuerpos de agua con reglamentación del uso de las aguas (MRUA)</t>
  </si>
  <si>
    <t>Número de cuerpos de agua con reglamentación del uso de las aguas (RUA)</t>
  </si>
  <si>
    <t>Porcentaje de Cuerpos de agua con reglamentación del uso de las aguas (PRUA) (C = B / A)</t>
  </si>
  <si>
    <t>Cuanto más cercano a cien por ciento, mayor es el cumplimiento de las metas que la autoridad ambiental se ha propuesto alcanzar en relación con el número de cuerpos de agua con reglamentación del uso de las aguas.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</si>
  <si>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Cuerpos de agua con reglamentación del uso de las aguas (Versión 1.0).</t>
    </r>
    <r>
      <rPr>
        <sz val="9"/>
        <color rgb="FF000000"/>
        <rFont val="Calibri"/>
        <family val="2"/>
        <scheme val="minor"/>
      </rPr>
      <t xml:space="preserve"> Ministerio de Ambiente y Desarrollo Sostenible, DGOAT-SINA y DRH.</t>
    </r>
  </si>
  <si>
    <t>Porcentaje de Programas de Uso Eficiente y Ahorro del Agua (PUEAA) con seguimiento</t>
  </si>
  <si>
    <t>Es la relación entre el número de Programas de Uso Eficiente y Ahorro del Agua (PUEAA) con seguimiento con respecto a la meta de seguimiento de dichos planes por parte de la autoridad ambiental.</t>
  </si>
  <si>
    <t>El indicador mide el cumplimiento de las metas que la autoridad ambiental se ha propuesto alcanzar en relación con el seguimiento a los Programas de Uso Eficiente y Ahorro del Agua (PUEAA).</t>
  </si>
  <si>
    <t>Ley 1437 de 2011</t>
  </si>
  <si>
    <t>Ley 373 de 1997</t>
  </si>
  <si>
    <t>Ley 1450 de 2011 (literal h del artículo 215) (vigente)</t>
  </si>
  <si>
    <t>La Ley 373 de 1997 define por programa para el uso eficiente y ahorro de agua el conjunto de proyectos y acciones que deben elaborar y adoptar las entidades encargadas de la prestación de los servicios de acueducto, alcantarillado, riego y drenaje, producción hidroeléctrica y demás usuarios del recurso hídrico. Así mismo, la mencionada Ley establece que todo plan ambiental regional y municipal debe incorporar obligatoriamente un programa para el uso eficiente y ahorro de agua.</t>
  </si>
  <si>
    <t>Adicionalmente, la citada Ley determina que las Corporaciones Autónomas Regionales y demás autoridades ambientales encargadas del manejo, protección y control del recurso hídrico en su respectiva jurisdicción, aprobarán la implantación y ejecución de dichos programas en coordinación con otras corporaciones autónomas que compartan las fuentes que abastecen los diferentes usos.</t>
  </si>
  <si>
    <t>El Programa de Uso Eficiente y Ahorro del Agua (PUEAA) es quinquenal y deberá estar basado en el diagnóstico de la oferta hídrica de las fuentes de abastecimiento y la demanda de agua, y contener las metas anuales de reducción de pérdidas, las campañas educativas a la comunidad, la utilización de aguas superficiales, lluvias y subterráneas, los incentivos y otros aspectos que definan las Corporaciones Autónomas Regionales y demás autoridades ambientales, las entidades prestadoras de los servicios de acueducto y alcantarillado, las que manejen proyectos de riego y drenaje, las hidroeléctricas y demás usuarios del recurso, que se consideren convenientes para el cumplimiento del programa.</t>
  </si>
  <si>
    <t>Por su parte, el literal h del artículo 215 de la Ley 1450 de 2011 (vigente) estableció la competencia de las corporaciones autónomas regionales en el seguimiento a los Planes de Uso Eficiente y Ahorro del Agua.</t>
  </si>
  <si>
    <r>
      <t xml:space="preserve">PPUEAACS </t>
    </r>
    <r>
      <rPr>
        <vertAlign val="subscript"/>
        <sz val="9"/>
        <color rgb="FF000000"/>
        <rFont val="Calibri"/>
        <family val="2"/>
        <scheme val="minor"/>
      </rPr>
      <t>t</t>
    </r>
    <r>
      <rPr>
        <sz val="9"/>
        <color rgb="FF000000"/>
        <rFont val="Calibri"/>
        <family val="2"/>
        <scheme val="minor"/>
      </rPr>
      <t xml:space="preserve"> = Porcentaje de Programas de Uso Eficiente y Ahorro del Agua (PUEAA) con seguimiento, en el tiempo t.</t>
    </r>
  </si>
  <si>
    <r>
      <t xml:space="preserve">PUEAACS </t>
    </r>
    <r>
      <rPr>
        <vertAlign val="subscript"/>
        <sz val="9"/>
        <color rgb="FF000000"/>
        <rFont val="Calibri"/>
        <family val="2"/>
        <scheme val="minor"/>
      </rPr>
      <t>t</t>
    </r>
    <r>
      <rPr>
        <sz val="9"/>
        <color rgb="FF000000"/>
        <rFont val="Calibri"/>
        <family val="2"/>
        <scheme val="minor"/>
      </rPr>
      <t xml:space="preserve"> = Número de Programas de Uso Eficiente y Ahorro del Agua con seguimiento, en el tiempo t.</t>
    </r>
  </si>
  <si>
    <r>
      <t xml:space="preserve">MPUEAACS </t>
    </r>
    <r>
      <rPr>
        <vertAlign val="subscript"/>
        <sz val="9"/>
        <color rgb="FF000000"/>
        <rFont val="Calibri"/>
        <family val="2"/>
        <scheme val="minor"/>
      </rPr>
      <t>t</t>
    </r>
    <r>
      <rPr>
        <sz val="9"/>
        <color rgb="FF000000"/>
        <rFont val="Calibri"/>
        <family val="2"/>
        <scheme val="minor"/>
      </rPr>
      <t xml:space="preserve"> = Meta de Programas de Uso Eficiente y Ahorro del Agua con seguimiento, en el tiempo t.</t>
    </r>
  </si>
  <si>
    <t>La meta de número de Programas de Uso Eficiente y Ahorro del Agua sujetos a seguimiento es establecida en el Plan de Acción de la Corporación.</t>
  </si>
  <si>
    <t>Número total de Programas de Uso Eficiente y Ahorro del Agua (PUEAA) priorizados por la Corporación para hacer seguimiento en el cuatrienio:</t>
  </si>
  <si>
    <t>Meta de Programas de Uso Eficiente y Ahorro del Agua (PUEAA) con seguimiento MPUEAACS</t>
  </si>
  <si>
    <t>Número de Programas de Uso Eficiente y Ahorro del Agua con seguimiento (PPUEAACS)</t>
  </si>
  <si>
    <t>Porcentaje de Programas de Uso Eficiente y Ahorro del Agua con seguimiento (PPUEAACS) (C = B / A)</t>
  </si>
  <si>
    <t>Cuanto más cercano a cien por ciento, mayor es el cumplimiento de las metas que la autoridad ambiental se ha propuesto alcanzar en relación con el seguimiento a los Programas de Uso Eficiente y Ahorro del Agua (PUEAA)</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</si>
  <si>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Programas de Uso Eficiente y Ahorro del Agua (PUEAA) con seguimiento (Versión 1.0).</t>
    </r>
    <r>
      <rPr>
        <sz val="9"/>
        <color rgb="FF000000"/>
        <rFont val="Calibri"/>
        <family val="2"/>
        <scheme val="minor"/>
      </rPr>
      <t xml:space="preserve"> Ministerio de Ambiente y Desarrollo Sostenible, DGOAT-SINA y DRH.</t>
    </r>
  </si>
  <si>
    <t>Porcentaje de Planes de Ordenación y Manejo de Cuencas (POMCAS), Planes de Manejo de Acuíferos (PMA) y Planes de Manejo de Microcuencas (PMM) en ejecución</t>
  </si>
  <si>
    <t>Es el porcentaje de Planes de Ordenación y Manejo de Cuencas (POMCAS), Planes de Manejo de Acuíferos (PMA) y Planes de Manejo de Microcuencas (PMM) en ejecución, en relación con los Planes de Ordenación y Manejo de Cuencas (POMCAS), Planes de Manejo de Acuíferos (PMA) y Planes de Manejo de Microcuencas (PMM) aprobados en la corporación.</t>
  </si>
  <si>
    <t>El indicador mide el cumplimiento de las metas establecidas en relación con la ejecución de los Planes de Ordenación y Manejo de Cuencas (POMCAS), Planes de Manejo de Acuíferos (PMA) y Planes de Manejo de Microcuencas (PMM).</t>
  </si>
  <si>
    <t>Seguimiento a las metas del Plan Nacional de Desarrollo 2014-2018 (Planes Estratégicos de Macrocuenca, POMCA y PMA acuíferos en implementación)</t>
  </si>
  <si>
    <r>
      <t>Normatividad de soporte</t>
    </r>
    <r>
      <rPr>
        <sz val="9"/>
        <color rgb="FF000000"/>
        <rFont val="Calibri"/>
        <family val="2"/>
        <scheme val="minor"/>
      </rPr>
      <t>:</t>
    </r>
  </si>
  <si>
    <t>Resolución 1907 de 2013</t>
  </si>
  <si>
    <t>El Plan de Ordenación y manejo de Cuencas Hidrográficas (POMCA) es el instrumento a través del cual se realiza la planeación del adecuado uso del suelo, de las aguas, de la flora y la fauna; y el manejo de la cuenca, entendido como la ejecución de obras y tratamientos, con el propósito de mantener el equilibrio entre el aprovechamiento social y el aprovechamiento económico de tales recursos, así como la conservación de la estructura físico -biótica de la cuenca y particularmente del recurso hídrico.</t>
  </si>
  <si>
    <t>La implementación de los POMCAS es resultado de un esfuerzo conjunto de diversas instituciones presentes en la región. El indicador se centra en la implementación de las acciones previstas en los POMCAS que están a cargo de las corporaciones autónomas regionales, incluyendo el seguimiento por parte de la autoridad ambiental a los compromisos de las demás entidades responsables de la ejecución de los POMCAS.</t>
  </si>
  <si>
    <r>
      <t xml:space="preserve">PPEE </t>
    </r>
    <r>
      <rPr>
        <vertAlign val="subscript"/>
        <sz val="9"/>
        <color rgb="FF000000"/>
        <rFont val="Calibri"/>
        <family val="2"/>
        <scheme val="minor"/>
      </rPr>
      <t>t</t>
    </r>
    <r>
      <rPr>
        <sz val="9"/>
        <color rgb="FF000000"/>
        <rFont val="Calibri"/>
        <family val="2"/>
        <scheme val="minor"/>
      </rPr>
      <t xml:space="preserve"> = Porcentaje de Planes de Ordenación y Manejo de Cuencas (POMCAS), Planes de Manejo de Acuíferos (PMA) y Planes de Manejo de Microcuencas (PMM) en ejecución, en el tiempo t.</t>
    </r>
  </si>
  <si>
    <r>
      <t xml:space="preserve">PPOMCASEE </t>
    </r>
    <r>
      <rPr>
        <vertAlign val="subscript"/>
        <sz val="9"/>
        <color rgb="FF000000"/>
        <rFont val="Calibri"/>
        <family val="2"/>
        <scheme val="minor"/>
      </rPr>
      <t>t</t>
    </r>
    <r>
      <rPr>
        <sz val="9"/>
        <color rgb="FF000000"/>
        <rFont val="Calibri"/>
        <family val="2"/>
        <scheme val="minor"/>
      </rPr>
      <t xml:space="preserve"> = Porcentaje de Planes de Ordenación y Manejo de Cuencas (POMCAS) en ejecución, en el tiempo t.</t>
    </r>
  </si>
  <si>
    <r>
      <t xml:space="preserve">PPMAEE </t>
    </r>
    <r>
      <rPr>
        <vertAlign val="subscript"/>
        <sz val="9"/>
        <color rgb="FF000000"/>
        <rFont val="Calibri"/>
        <family val="2"/>
        <scheme val="minor"/>
      </rPr>
      <t>t</t>
    </r>
    <r>
      <rPr>
        <sz val="9"/>
        <color rgb="FF000000"/>
        <rFont val="Calibri"/>
        <family val="2"/>
        <scheme val="minor"/>
      </rPr>
      <t xml:space="preserve"> = Porcentaje de Planes de Manejo de Acuíferos (PMA) en ejecución, en el tiempo t.</t>
    </r>
  </si>
  <si>
    <r>
      <t xml:space="preserve">PPMMME </t>
    </r>
    <r>
      <rPr>
        <vertAlign val="subscript"/>
        <sz val="9"/>
        <color rgb="FF000000"/>
        <rFont val="Calibri"/>
        <family val="2"/>
        <scheme val="minor"/>
      </rPr>
      <t>t</t>
    </r>
    <r>
      <rPr>
        <sz val="9"/>
        <color rgb="FF000000"/>
        <rFont val="Calibri"/>
        <family val="2"/>
        <scheme val="minor"/>
      </rPr>
      <t xml:space="preserve"> = Porcentaje de Planes de Manejo de Microcuencas (PMM) en ejecución, en el tiempo t.</t>
    </r>
  </si>
  <si>
    <t>a = ponderador de PPOMCASEE</t>
  </si>
  <si>
    <t>b = ponderador de PPMAEE</t>
  </si>
  <si>
    <t>c = ponderador de PPMMME</t>
  </si>
  <si>
    <r>
      <t>Nota:</t>
    </r>
    <r>
      <rPr>
        <sz val="9"/>
        <color rgb="FF000000"/>
        <rFont val="Calibri"/>
        <family val="2"/>
        <scheme val="minor"/>
      </rPr>
      <t xml:space="preserve"> los ponderadores de las acciones serán definidos por las CAR teniendo en cuenta el presupuesto asignado para cada una de ellas. Por su parte, la ejecución de cada acción corresponde a la ejecución presupuestal de la acción (compromisos / presupuesto definitivo).</t>
    </r>
  </si>
  <si>
    <r>
      <t xml:space="preserve">Porcentaje de POMCAS en ejecución </t>
    </r>
    <r>
      <rPr>
        <sz val="9"/>
        <color rgb="FF000000"/>
        <rFont val="Calibri"/>
        <family val="2"/>
        <scheme val="minor"/>
      </rPr>
      <t>(PPOMCASEE)</t>
    </r>
  </si>
  <si>
    <r>
      <t xml:space="preserve">POMCASEE </t>
    </r>
    <r>
      <rPr>
        <vertAlign val="subscript"/>
        <sz val="9"/>
        <color rgb="FF000000"/>
        <rFont val="Calibri"/>
        <family val="2"/>
        <scheme val="minor"/>
      </rPr>
      <t>t</t>
    </r>
    <r>
      <rPr>
        <sz val="9"/>
        <color rgb="FF000000"/>
        <rFont val="Calibri"/>
        <family val="2"/>
        <scheme val="minor"/>
      </rPr>
      <t xml:space="preserve"> = Número de POMCAS en ejecución, en el tiempo t.</t>
    </r>
  </si>
  <si>
    <t>POMCASF = Número de POMCAS aprobados.</t>
  </si>
  <si>
    <r>
      <t>Porcentaje de PMA en ejecución (</t>
    </r>
    <r>
      <rPr>
        <sz val="9"/>
        <color rgb="FF000000"/>
        <rFont val="Calibri"/>
        <family val="2"/>
        <scheme val="minor"/>
      </rPr>
      <t>PPMAEE)</t>
    </r>
  </si>
  <si>
    <r>
      <t xml:space="preserve">PMAEE </t>
    </r>
    <r>
      <rPr>
        <vertAlign val="subscript"/>
        <sz val="9"/>
        <color rgb="FF000000"/>
        <rFont val="Calibri"/>
        <family val="2"/>
        <scheme val="minor"/>
      </rPr>
      <t>t</t>
    </r>
    <r>
      <rPr>
        <sz val="9"/>
        <color rgb="FF000000"/>
        <rFont val="Calibri"/>
        <family val="2"/>
        <scheme val="minor"/>
      </rPr>
      <t xml:space="preserve"> = Número de POMCAS en ejecución, en el tiempo t.</t>
    </r>
  </si>
  <si>
    <t>PMAF = Número de POMCAS aprobados.</t>
  </si>
  <si>
    <r>
      <t>Porcentaje de PMM en ejecución (</t>
    </r>
    <r>
      <rPr>
        <sz val="9"/>
        <color rgb="FF000000"/>
        <rFont val="Calibri"/>
        <family val="2"/>
        <scheme val="minor"/>
      </rPr>
      <t>PPMMEE)</t>
    </r>
  </si>
  <si>
    <r>
      <t xml:space="preserve">PPMMEE </t>
    </r>
    <r>
      <rPr>
        <vertAlign val="subscript"/>
        <sz val="9"/>
        <color rgb="FF000000"/>
        <rFont val="Calibri"/>
        <family val="2"/>
        <scheme val="minor"/>
      </rPr>
      <t>t</t>
    </r>
    <r>
      <rPr>
        <sz val="9"/>
        <color rgb="FF000000"/>
        <rFont val="Calibri"/>
        <family val="2"/>
        <scheme val="minor"/>
      </rPr>
      <t xml:space="preserve"> = Porcentaje de Planes de Manejo de Microcuencas (PMM) en ejecución, en el tiempo t.</t>
    </r>
  </si>
  <si>
    <r>
      <t xml:space="preserve">PMMEE </t>
    </r>
    <r>
      <rPr>
        <vertAlign val="subscript"/>
        <sz val="9"/>
        <color rgb="FF000000"/>
        <rFont val="Calibri"/>
        <family val="2"/>
        <scheme val="minor"/>
      </rPr>
      <t>t</t>
    </r>
    <r>
      <rPr>
        <sz val="9"/>
        <color rgb="FF000000"/>
        <rFont val="Calibri"/>
        <family val="2"/>
        <scheme val="minor"/>
      </rPr>
      <t xml:space="preserve"> = Número de PMM en ejecución, en el tiempo t.</t>
    </r>
  </si>
  <si>
    <t>PMMF = Número de PMM aprobados.</t>
  </si>
  <si>
    <t>Indicador complementario:</t>
  </si>
  <si>
    <t>Ejecución presupuestal de acciones relacionadas con la implementación de los POMCAS, PMA y PMM</t>
  </si>
  <si>
    <t>.</t>
  </si>
  <si>
    <r>
      <t xml:space="preserve">EPPAM </t>
    </r>
    <r>
      <rPr>
        <vertAlign val="subscript"/>
        <sz val="9"/>
        <color rgb="FF000000"/>
        <rFont val="Calibri"/>
        <family val="2"/>
        <scheme val="minor"/>
      </rPr>
      <t>t</t>
    </r>
    <r>
      <rPr>
        <sz val="9"/>
        <color rgb="FF000000"/>
        <rFont val="Calibri"/>
        <family val="2"/>
        <scheme val="minor"/>
      </rPr>
      <t xml:space="preserve"> = Ejecución presupuestal de acciones relacionadas con la implementación de los POMCAS, PMA y PMM, en el año t.</t>
    </r>
  </si>
  <si>
    <r>
      <t xml:space="preserve">CPAM </t>
    </r>
    <r>
      <rPr>
        <vertAlign val="subscript"/>
        <sz val="9"/>
        <color rgb="FF000000"/>
        <rFont val="Calibri"/>
        <family val="2"/>
        <scheme val="minor"/>
      </rPr>
      <t>it</t>
    </r>
    <r>
      <rPr>
        <sz val="9"/>
        <color rgb="FF000000"/>
        <rFont val="Calibri"/>
        <family val="2"/>
        <scheme val="minor"/>
      </rPr>
      <t xml:space="preserve"> = Compromisos correspondientes a la acción i relacionada con la implementación de los POMCAS, PMA y PMM, en el año t.</t>
    </r>
  </si>
  <si>
    <r>
      <t xml:space="preserve">PDPAM </t>
    </r>
    <r>
      <rPr>
        <vertAlign val="subscript"/>
        <sz val="9"/>
        <color rgb="FF000000"/>
        <rFont val="Calibri"/>
        <family val="2"/>
        <scheme val="minor"/>
      </rPr>
      <t>it</t>
    </r>
    <r>
      <rPr>
        <sz val="9"/>
        <color rgb="FF000000"/>
        <rFont val="Calibri"/>
        <family val="2"/>
        <scheme val="minor"/>
      </rPr>
      <t xml:space="preserve"> = Presupuesto definitivo a la acción i relacionada con la implementación de los POMCAS, PMA y PMM, en el año t.</t>
    </r>
  </si>
  <si>
    <t>Reporte de ejecución de POMCAS, PMA y PMM</t>
  </si>
  <si>
    <t>Número / Año</t>
  </si>
  <si>
    <t>Acumulado</t>
  </si>
  <si>
    <t>Número de POMCAS aprobados</t>
  </si>
  <si>
    <t>Número de POMCAS en ejecución</t>
  </si>
  <si>
    <t>Número de PMA aprobados</t>
  </si>
  <si>
    <t>D</t>
  </si>
  <si>
    <t>Número de PMA en ejecución</t>
  </si>
  <si>
    <t>E</t>
  </si>
  <si>
    <t>Número de PMM aprobados</t>
  </si>
  <si>
    <t>F</t>
  </si>
  <si>
    <t>Número de PMM en ejecución</t>
  </si>
  <si>
    <t>G</t>
  </si>
  <si>
    <t>Porcentaje de POMCAS en ejecución (G = B / A)</t>
  </si>
  <si>
    <t>H</t>
  </si>
  <si>
    <t>Porcentaje de PMA en ejecución (H = D /C)</t>
  </si>
  <si>
    <t>I</t>
  </si>
  <si>
    <t>Porcentaje de PMM en ejecución (I = F / E)</t>
  </si>
  <si>
    <t>Nombre de acción / proyecto (*)</t>
  </si>
  <si>
    <t>Plan</t>
  </si>
  <si>
    <t>PPTO Inicial</t>
  </si>
  <si>
    <t>PPTO. Def.</t>
  </si>
  <si>
    <t>Compromisos</t>
  </si>
  <si>
    <t>Pagos</t>
  </si>
  <si>
    <t>(*) nombre del proyecto o actividad en el Plan de Acción de la Corporación. Utilice tantas filas cuantas sean necesarias</t>
  </si>
  <si>
    <t>Cuanto más cercano a cien por ciento, mayor es el cumplimiento de las metas establecidas en relación con la implementación de los Planes de Ordenación y Manejo de Cuencas (POMCAS), Planes de Manejo de Acuíferos (PMA) y Planes de Manejo de Microcuencas (PMM) aprobados.</t>
  </si>
  <si>
    <t>Se pueden presentar situaciones de orden operativo, político y social que pueden afectar los cronogramas definidos.</t>
  </si>
  <si>
    <r>
      <t>Hoja Metodológica de referencia:</t>
    </r>
    <r>
      <rPr>
        <sz val="9"/>
        <color rgb="FF000000"/>
        <rFont val="Calibri"/>
        <family val="2"/>
        <scheme val="minor"/>
      </rPr>
      <t xml:space="preserve"> MADS (2016). </t>
    </r>
    <r>
      <rPr>
        <i/>
        <sz val="9"/>
        <color rgb="FF000000"/>
        <rFont val="Calibri"/>
        <family val="2"/>
        <scheme val="minor"/>
      </rPr>
      <t>Hoja metodológica de Planes de Ordenación y Manejo de Cuencas (POMCAS), Planes de Manejo de Acuíferos (PMA) y Planes de Manejo de Microcuencas (PMM) en ejecución (Versión 1.0).</t>
    </r>
    <r>
      <rPr>
        <sz val="9"/>
        <color rgb="FF000000"/>
        <rFont val="Calibri"/>
        <family val="2"/>
        <scheme val="minor"/>
      </rPr>
      <t xml:space="preserve"> Ministerio de Ambiente y Desarrollo Sostenible MADS, DGOAT-SINA y DRH.</t>
    </r>
  </si>
  <si>
    <t>Porcentaje de entes territoriales asesorados en la incorporación, planificación y ejecución de acciones relacionadas con cambio climático en el marco de los instrumentos de planificación territorial</t>
  </si>
  <si>
    <t>Es la relación entre el número de entes territoriales asesorados en la incorporación, planificación y ejecución de acciones relacionadas con cambio climático en el marco de los instrumentos de planificación territorial, con respecto a la meta de entes territoriales a ser asesorados durante un periodo de gobierno en los departamentos y municipios.</t>
  </si>
  <si>
    <t>El indicador mide el cumplimiento de las metas establecidas, por parte de la Corporación Autónoma Regional, en relación con la asesoría a los entes territoriales en la incorporación, planificación y ejecución de acciones de cambio climático en sus instrumentos de planificación territorial.</t>
  </si>
  <si>
    <t>Cumplimiento y Seguimiento a las metas del Plan Nacional de Desarrollo 2014-2018 (Entidades territoriales que incorporan en los instrumentos de planificación acciones de cambio climático)</t>
  </si>
  <si>
    <t>Convención Marco de Cambio Climático CMCC</t>
  </si>
  <si>
    <t>Objetivos de Desarrollo Sostenible, Objetivo 13: adoptar medidas urgentes para combatir el cambio climático y sus efectos.</t>
  </si>
  <si>
    <t>Ley 99 de 1993, Artículo 31, numerales 4 y 5.</t>
  </si>
  <si>
    <t>Ley 1753 de 2015, Plan Nacional de Desarrollo (Crecimiento Verde), Artículo 170 y ss.</t>
  </si>
  <si>
    <t>Documentos de referencia:</t>
  </si>
  <si>
    <t>Plan Nacional de Desarrollo</t>
  </si>
  <si>
    <t>Acuerdo COP 21 y Guía para la incorporación de cambio climático en el ciclo del ordenamiento territorial.</t>
  </si>
  <si>
    <t>Mayor información: http://cambioclimatico.minambiente.gov.co/</t>
  </si>
  <si>
    <t>El Plan Nacional de Desarrollo 2014-2018 (crecimiento verde) establece que las entidades territoriales incorporen, en sus instrumentos formales de planificación del desarrollo y de ordenamiento territorial, acciones de adaptación y/o mitigación al cambio climático; mediante la reducción de vulnerabilidad, el incremento de la capacidad adaptativa y la reducción de la exposición y sensibilidad; así como la reducción de emisiones de Gases de Efecto Invernadero. Cabe indicar que los instrumentos formales de planificación del desarrollo y de ordenamiento territorial abarcan los Planes de Desarrollo departamentales y municipales y Planes de Ordenamiento Territorial.</t>
  </si>
  <si>
    <t>En éste mismo sentido la Ley 99 de 1993 en su Artículo 31, numerales 4 y 5, contempla que “asesorar a los Departamentos, Distritos y Municipios de su comprensión territorial en la definición de los planes de desarrollo ambiental y en sus programas y proyectos en materia de protección del medio ambiente” y “Participar con los demás organismos y entes competentes en el ámbito de su jurisdicción, en los procesos de planificación y ordenamiento territorial a fin de que el factor ambiental sea tenido en cuenta en las decisiones que se adopten”</t>
  </si>
  <si>
    <t>Las autoridades ambientales juegan un papel central como asesores técnicos de la incorporación del cambio climático en sus instrumentos de planificación de los entes territoriales, tanto a nivel departamental como municipal.</t>
  </si>
  <si>
    <t>Por asesoría se entienden las siguientes acciones:</t>
  </si>
  <si>
    <r>
      <t>·</t>
    </r>
    <r>
      <rPr>
        <sz val="7"/>
        <color rgb="FF000000"/>
        <rFont val="Times New Roman"/>
        <family val="1"/>
      </rPr>
      <t xml:space="preserve">        </t>
    </r>
    <r>
      <rPr>
        <sz val="9"/>
        <color rgb="FF000000"/>
        <rFont val="Calibri"/>
        <family val="2"/>
      </rPr>
      <t>Elaborar informes de análisis de la incorporación de cambio climático en el proceso de formulación de los Planes de Desarrollo departamentales y municipales y en los Planes de Ordenamiento Territorial.</t>
    </r>
  </si>
  <si>
    <r>
      <t>·</t>
    </r>
    <r>
      <rPr>
        <sz val="7"/>
        <color rgb="FF000000"/>
        <rFont val="Times New Roman"/>
        <family val="1"/>
      </rPr>
      <t xml:space="preserve">        </t>
    </r>
    <r>
      <rPr>
        <sz val="9"/>
        <color rgb="FF000000"/>
        <rFont val="Calibri"/>
        <family val="2"/>
      </rPr>
      <t>Entregar a los territorios documentos con recomendaciones y orientaciones específicas para la incorporación, planificación y ejecución de acciones de cambio climático en los instrumentos de planificación del desarrollo y de ordenamiento territorial</t>
    </r>
  </si>
  <si>
    <r>
      <t>·</t>
    </r>
    <r>
      <rPr>
        <sz val="7"/>
        <color rgb="FF000000"/>
        <rFont val="Times New Roman"/>
        <family val="1"/>
      </rPr>
      <t xml:space="preserve">        </t>
    </r>
    <r>
      <rPr>
        <sz val="9"/>
        <color rgb="FF000000"/>
        <rFont val="Calibri"/>
        <family val="2"/>
      </rPr>
      <t>Elaborar estudios para medir el riesgo climático en la jurisdicción y realizar la socialización con los entes territoriales.</t>
    </r>
  </si>
  <si>
    <r>
      <t>·</t>
    </r>
    <r>
      <rPr>
        <sz val="7"/>
        <color rgb="FF000000"/>
        <rFont val="Times New Roman"/>
        <family val="1"/>
      </rPr>
      <t xml:space="preserve">        </t>
    </r>
    <r>
      <rPr>
        <sz val="9"/>
        <color rgb="FF000000"/>
        <rFont val="Calibri"/>
        <family val="2"/>
      </rPr>
      <t>Elaboración y difusión de estudios sobre las oportunidades del cambio climático a nivel regional.</t>
    </r>
  </si>
  <si>
    <r>
      <t>·</t>
    </r>
    <r>
      <rPr>
        <sz val="7"/>
        <color rgb="FF000000"/>
        <rFont val="Times New Roman"/>
        <family val="1"/>
      </rPr>
      <t xml:space="preserve">        </t>
    </r>
    <r>
      <rPr>
        <sz val="9"/>
        <color rgb="FF000000"/>
        <rFont val="Calibri"/>
        <family val="2"/>
      </rPr>
      <t>Fortalecer los sistemas de información que permitan generar conocimiento del cambio climático y sus efectos a nivel regional y local.</t>
    </r>
  </si>
  <si>
    <r>
      <t>·</t>
    </r>
    <r>
      <rPr>
        <sz val="7"/>
        <color rgb="FF000000"/>
        <rFont val="Times New Roman"/>
        <family val="1"/>
      </rPr>
      <t xml:space="preserve">        </t>
    </r>
    <r>
      <rPr>
        <sz val="9"/>
        <color rgb="FF000000"/>
        <rFont val="Calibri"/>
        <family val="2"/>
      </rPr>
      <t>Realizar eventos de capacitación para la incorporación de cambio climático en los Planes de Desarrollo departamentales y municipales y en los Planes de Ordenamiento Territorial.</t>
    </r>
  </si>
  <si>
    <r>
      <t xml:space="preserve">PETACC </t>
    </r>
    <r>
      <rPr>
        <vertAlign val="subscript"/>
        <sz val="9"/>
        <color rgb="FF000000"/>
        <rFont val="Calibri"/>
        <family val="2"/>
        <scheme val="minor"/>
      </rPr>
      <t>t</t>
    </r>
    <r>
      <rPr>
        <sz val="9"/>
        <color rgb="FF000000"/>
        <rFont val="Calibri"/>
        <family val="2"/>
        <scheme val="minor"/>
      </rPr>
      <t xml:space="preserve"> = Porcentaje de entes territoriales asesorados en la incorporación, planificación y ejecución de cambio climático en los instrumentos de planificación territorial, en el tiempo t.</t>
    </r>
  </si>
  <si>
    <r>
      <t xml:space="preserve">ETACC </t>
    </r>
    <r>
      <rPr>
        <vertAlign val="subscript"/>
        <sz val="9"/>
        <color rgb="FF000000"/>
        <rFont val="Calibri"/>
        <family val="2"/>
        <scheme val="minor"/>
      </rPr>
      <t>t</t>
    </r>
    <r>
      <rPr>
        <sz val="9"/>
        <color rgb="FF000000"/>
        <rFont val="Calibri"/>
        <family val="2"/>
        <scheme val="minor"/>
      </rPr>
      <t xml:space="preserve"> = Número de entes territoriales efectivamente asesorados en la incorporación, planificación y ejecución de cambio climático en los instrumentos de planificación territorial, en el tiempo t.</t>
    </r>
  </si>
  <si>
    <r>
      <t xml:space="preserve">METACC </t>
    </r>
    <r>
      <rPr>
        <vertAlign val="subscript"/>
        <sz val="9"/>
        <color rgb="FF000000"/>
        <rFont val="Calibri"/>
        <family val="2"/>
        <scheme val="minor"/>
      </rPr>
      <t>t</t>
    </r>
    <r>
      <rPr>
        <sz val="9"/>
        <color rgb="FF000000"/>
        <rFont val="Calibri"/>
        <family val="2"/>
        <scheme val="minor"/>
      </rPr>
      <t xml:space="preserve"> = Meta de entes territoriales a ser asesorados en la incorporación, planificación y ejecución de cambio climático en los instrumentos de planificación territorial, en el tiempo t.</t>
    </r>
  </si>
  <si>
    <t>Meta de entes territoriales a ser asesorados en la incorporación, planificación y ejecución de cambio climático en los instrumentos de planificación territorial (METACC)</t>
  </si>
  <si>
    <t>Entes territoriales efectivamente asesorados en la incorporación, planificación y ejecución de cambio climático en los instrumentos de planificación territorial (ETACC)</t>
  </si>
  <si>
    <t>Porcentaje de entes territoriales asesorados en la incorporación, planificación y ejecución de cambio climático en los instrumentos de planificación territorial (PETACC)</t>
  </si>
  <si>
    <t>Detalle de acciones de asesoría realizadas en la vigencia (utilice tantas filas cuantas sean necesarias)</t>
  </si>
  <si>
    <t>Acciones</t>
  </si>
  <si>
    <t>Nombres de entidades territoriales</t>
  </si>
  <si>
    <t>Cuanto más cercano a cien por ciento, mayor es el cumplimiento de las metas establecidas en relación con la asesoría a los entes territoriales en la incorporación de cambio climático en los instrumentos de planificación territorial.</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</si>
  <si>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entes territoriales asesorados en la incorporación de cambio climático en los instrumentos de planificación territorial (Versión 1.0).</t>
    </r>
    <r>
      <rPr>
        <sz val="9"/>
        <color rgb="FF000000"/>
        <rFont val="Calibri"/>
        <family val="2"/>
        <scheme val="minor"/>
      </rPr>
      <t xml:space="preserve"> Ministerio de Ambiente y Desarrollo Sostenible MADS, DGOAT-SINA y DCC.</t>
    </r>
  </si>
  <si>
    <t xml:space="preserve">Número de entes territoriales </t>
  </si>
  <si>
    <t>Porcentaje de suelos degradados en recuperación o rehabilitación</t>
  </si>
  <si>
    <t>Es la relación entre la superficie de suelos en restauración y en rehabilitación, con respecto a la meta de suelos en restauración y rehabilitación priorizadas por la Corporación.</t>
  </si>
  <si>
    <t>El indicador mide el cumplimiento de las metas de la Corporación en materia de restauración y rehabilitación de suelos, como contribución a la implementación regional de la Política de Gestión Sostenible del Suelo.</t>
  </si>
  <si>
    <t>Normas soporte:</t>
  </si>
  <si>
    <t>Ley 99 de 1993</t>
  </si>
  <si>
    <t>Decreto 1076 de 2015. Artículo 2.2.1.1.18.7. “En todo caso los propietarios están obligados a…… cooperar en las labores de prevención o corrección que adelante la autoridad ambiental competente”</t>
  </si>
  <si>
    <t>La estrategia transversal “Crecimiento Verde” del Plan Nacional de Desarrollo 2014-2018, “Todos por un nuevo país: Paz, Equidad y Educación”, tiene entre sus objetivos: “Proteger y asegurar el uso sostenible del capital natural y mejorar la calidad y la gobernanza ambiental”, y plantea como una de sus acciones prioritarias, aprobar e implementar la política para la gestión sostenible del suelo, “(…) a través de la cual se definirán los lineamientos para su uso sostenible relacionados con 1) promover la investigación, innovación y transferencia de tecnología para el conocimiento de los suelos, su conservación, recuperación, uso y manejo sostenible; 2) articular instrumentos normativos relacionados con la gestión del suelo y; 3) adelantar procesos de monitoreo y seguimiento a la calidad de los suelos”.</t>
  </si>
  <si>
    <t>Política de Gestión Sostenible del Suelo</t>
  </si>
  <si>
    <t>La Política de Gestión Sostenible del Suelo concibe los suelos como sistemas complejos y dinámicos, que se constituyen en componente fundamental del ambiente, y cumplen múltiples funciones vitales para la supervivencia humana y las relaciones sociales. Entre los servicios ecosistémicos asociados al suelo se destacan: producción de alimentos; filtrado e intercambio de gases; depuración de la contaminación; regulación climática e hídrica; ciclado de nutrientes; filtrado de agua; soporte para industria, infraestructura y turismo; entre otros.</t>
  </si>
  <si>
    <t>Los suelos hacen parte de la diversidad natural y biológica y están compuestos por minerales, agua, aire y organismos vivos; sus usos son esencialmente culturales, según las prácticas y las costumbres de los individuos y las comunidades, las cuales están predeterminadas por normas, reglas u orientaciones sociales, comunitarias o estatales.</t>
  </si>
  <si>
    <t>Así mismo, son indispensables y determinantes para la estructura y el funcionamiento de los ciclos del agua, del aire y de los nutrientes, así como para la biodiversidad. Esto en razón a que el suelo es parte esencial de los ciclos biogeoquímicos, en los cuales hay distribución, transporte, almacenamiento y transformación de materiales y energía necesarios para la vida en el planeta.</t>
  </si>
  <si>
    <t>A pesar de su importancia, el uso insostenible del suelo, entre otras actividades antrópicas, ocasiona su degradación, la cual resulta particularmente preocupante, por el efecto negativo en los ecosistemas, los organismos y las comunidades.</t>
  </si>
  <si>
    <t>Los procesos de degradación más relevantes en Colombia son la erosión, el sellamiento de suelos, la contaminación, la pérdida de la materia orgánica, la salinización, la compactación y la desertificación.</t>
  </si>
  <si>
    <t>Los procesos de recuperación o rehabilitación de suelos degradados deben dar cuenta de las acciones adelantadas para el mejoramiento de las condiciones del suelo (propiedades físicas, químicas y bilógicas) y las acciones para el monitoreo y seguimiento al mejoramiento de su calidad de acuerdo con las orientaciones establecidas en la Política para la Gestión Sostenible del Suelo. La Corporación partiendo de la información línea base disponible deberá identificar y priorizar las áreas con suelos degradados a intervenir, las cuales serán objeto de seguimiento al presente indicador.</t>
  </si>
  <si>
    <t>Entre la información línea base, se encuentra el mapa de degradación de suelos por erosión a escala 1:100.000 elaborado por el IDEAM y el MADS, los estudios de suelos e información del IGAC, las investigaciones desarrolladas por los Institutos de Investigación y las Universidades y la generada por las Corporaciones.</t>
  </si>
  <si>
    <t>Porcentaje de suelos degradados en recuperación o rehabilitación.</t>
  </si>
  <si>
    <r>
      <t xml:space="preserve">PSER </t>
    </r>
    <r>
      <rPr>
        <vertAlign val="subscript"/>
        <sz val="9"/>
        <color rgb="FF000000"/>
        <rFont val="Calibri"/>
        <family val="2"/>
        <scheme val="minor"/>
      </rPr>
      <t>t</t>
    </r>
    <r>
      <rPr>
        <sz val="9"/>
        <color rgb="FF000000"/>
        <rFont val="Calibri"/>
        <family val="2"/>
        <scheme val="minor"/>
      </rPr>
      <t xml:space="preserve"> = Porcentaje de suelos degradados en recuperación o rehabilitación, en el tiempo t.</t>
    </r>
  </si>
  <si>
    <r>
      <t xml:space="preserve">SER </t>
    </r>
    <r>
      <rPr>
        <vertAlign val="subscript"/>
        <sz val="9"/>
        <color rgb="FF000000"/>
        <rFont val="Calibri"/>
        <family val="2"/>
        <scheme val="minor"/>
      </rPr>
      <t>it</t>
    </r>
    <r>
      <rPr>
        <sz val="9"/>
        <color rgb="FF000000"/>
        <rFont val="Calibri"/>
        <family val="2"/>
        <scheme val="minor"/>
      </rPr>
      <t xml:space="preserve"> = Superficie de suelos degradados en recuperación o rehabilitación (ha), en el tiempo t.</t>
    </r>
  </si>
  <si>
    <r>
      <t xml:space="preserve">MSER </t>
    </r>
    <r>
      <rPr>
        <vertAlign val="subscript"/>
        <sz val="9"/>
        <color rgb="FF000000"/>
        <rFont val="Calibri"/>
        <family val="2"/>
        <scheme val="minor"/>
      </rPr>
      <t>it</t>
    </r>
    <r>
      <rPr>
        <sz val="9"/>
        <color rgb="FF000000"/>
        <rFont val="Calibri"/>
        <family val="2"/>
        <scheme val="minor"/>
      </rPr>
      <t xml:space="preserve"> = Meta de suelos degradados en recuperación o rehabilitación (ha), en el tiempo t.</t>
    </r>
  </si>
  <si>
    <t>Inversión asociada a recuperación o rehabilitación de suelos degradados (Millones de $)</t>
  </si>
  <si>
    <r>
      <t xml:space="preserve">IRSD </t>
    </r>
    <r>
      <rPr>
        <vertAlign val="subscript"/>
        <sz val="9"/>
        <color rgb="FF000000"/>
        <rFont val="Calibri"/>
        <family val="2"/>
        <scheme val="minor"/>
      </rPr>
      <t>t</t>
    </r>
    <r>
      <rPr>
        <sz val="9"/>
        <color rgb="FF000000"/>
        <rFont val="Calibri"/>
        <family val="2"/>
        <scheme val="minor"/>
      </rPr>
      <t xml:space="preserve"> = Inversión asociada a recuperación o rehabilitación de suelos degradados, en el año t.</t>
    </r>
  </si>
  <si>
    <r>
      <t xml:space="preserve">PDARSD </t>
    </r>
    <r>
      <rPr>
        <vertAlign val="subscript"/>
        <sz val="9"/>
        <color rgb="FF000000"/>
        <rFont val="Calibri"/>
        <family val="2"/>
        <scheme val="minor"/>
      </rPr>
      <t>i</t>
    </r>
    <r>
      <rPr>
        <sz val="9"/>
        <color rgb="FF000000"/>
        <rFont val="Calibri"/>
        <family val="2"/>
        <scheme val="minor"/>
      </rPr>
      <t xml:space="preserve"> = Presupuesto definitivo asociado a la ejecución de la acción o proyecto i relacionado con la recuperación o rehabilitación de suelos degradados, en el año t.</t>
    </r>
  </si>
  <si>
    <t>Para su cálculo, se reporta la siguiente información:</t>
  </si>
  <si>
    <t>Meta de suelos degradados en recuperación o rehabilitación (ha)</t>
  </si>
  <si>
    <t>Áreas de suelos degradados en recuperación o rehabilitación (ha)</t>
  </si>
  <si>
    <t>Porcentaje de suelos degradados en recuperación o rehabilitación (C = B / A)</t>
  </si>
  <si>
    <t>(*) Adicione tantas filas cuantas sean necesarias.</t>
  </si>
  <si>
    <t xml:space="preserve">Tipo de acción </t>
  </si>
  <si>
    <t>Área de intervención (ha)</t>
  </si>
  <si>
    <t>Ppto. inicial</t>
  </si>
  <si>
    <t>Presupuesto Definitivo</t>
  </si>
  <si>
    <r>
      <t>Cuanto más cercano a cien por ciento, mayor es el cumplimiento de las metas establecidas por la Corporación en materia de recuperación o rehabilitación</t>
    </r>
    <r>
      <rPr>
        <b/>
        <sz val="9"/>
        <color rgb="FF000000"/>
        <rFont val="Calibri"/>
        <family val="2"/>
        <scheme val="minor"/>
      </rPr>
      <t xml:space="preserve"> </t>
    </r>
    <r>
      <rPr>
        <sz val="9"/>
        <color rgb="FF000000"/>
        <rFont val="Calibri"/>
        <family val="2"/>
        <scheme val="minor"/>
      </rPr>
      <t>de suelos degradados.</t>
    </r>
  </si>
  <si>
    <t>Se pueden presentar situaciones de orden operativo, financiero, político y social que pueden afectar los presupuestos y los cronogramas definidos en 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</si>
  <si>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suelos degradados en recuperación o rehabilitación. (Versión 1.0).</t>
    </r>
    <r>
      <rPr>
        <sz val="9"/>
        <color rgb="FF000000"/>
        <rFont val="Calibri"/>
        <family val="2"/>
        <scheme val="minor"/>
      </rPr>
      <t xml:space="preserve"> Ministerio de Ambiente y Desarrollo Sostenible MADS, DGOAT-SINA y DAASU.</t>
    </r>
  </si>
  <si>
    <t>Porcentaje de la superficie de áreas protegidas regionales declaradas, homologadas o recategorizadas, inscritas en el RUNAP</t>
  </si>
  <si>
    <t>Mide la superficie en hectáreas de las áreas protegidas regionales, declaradas homologadas o recategorizadas inscritas en el RUNAP, con respecto a la meta de áreas protegidas regionales definida en el Plan de Acción de la Corporación. Comprende las áreas protegidas tanto continentales como marinas, costeras e insulares.</t>
  </si>
  <si>
    <t>El indicador busca hacer seguimiento a la contribución de las CAR a la Política Nacional de Gestión Integral de la Biodiversidad y sus Servicios Ecosistémicos y específicamente a la estrategia de declaración de áreas protegidas.</t>
  </si>
  <si>
    <t>Contribución a la Meta del plan de desarrollo (Hectáreas de Áreas Protegidas declaradas en el SINAP)</t>
  </si>
  <si>
    <t>Resolución 1125 de 2015.</t>
  </si>
  <si>
    <t>Política Nacional de Gestión Integral de la Biodiversidad y sus Servicios Ecosistémicos.</t>
  </si>
  <si>
    <t>Ruta declaratoria de áreas protegidas del Sistema Nacional de Áreas Protegidas (SINAP).</t>
  </si>
  <si>
    <t>Plan Nacional de Desarrollo 2014-2018.</t>
  </si>
  <si>
    <t>El Convenio sobre Diversidad Biológica, aprobado por la Ley 165 de 1994, señala que los objetivos de conservación de la biodiversidad que se persiguen son: la conservación de la diversidad, la utilización sostenible de sus componentes y la participación justa y equitativa en los beneficios que se deriven del uso de recursos genéticos.</t>
  </si>
  <si>
    <t>La Decisión VII.28 de la Séptima Conferencia de las Partes -COP 7- del Convenio sobre Diversidad Biológica, aprobó el Programa Temático de Áreas Protegidas que confirma que es indispensable hacer esfuerzos para establecer y mantener sistemas de áreas protegidas, aplicando el enfoque ecosistémico con el objetivo de establecer y mantener sistemas completos, eficazmente manejados y ecológicamente representativos de áreas protegidas.</t>
  </si>
  <si>
    <r>
      <t xml:space="preserve">La Meta 11 de Aichi planteada en el marco del plan estratégico de biodiversidad definido en Nagoya establece que para </t>
    </r>
    <r>
      <rPr>
        <b/>
        <sz val="9"/>
        <color rgb="FF000000"/>
        <rFont val="Calibri"/>
        <family val="2"/>
        <scheme val="minor"/>
      </rPr>
      <t xml:space="preserve">2020, </t>
    </r>
    <r>
      <rPr>
        <sz val="9"/>
        <color rgb="FF000000"/>
        <rFont val="Calibri"/>
        <family val="2"/>
        <scheme val="minor"/>
      </rPr>
      <t xml:space="preserve">al menos el </t>
    </r>
    <r>
      <rPr>
        <b/>
        <sz val="9"/>
        <color rgb="FF000000"/>
        <rFont val="Calibri"/>
        <family val="2"/>
        <scheme val="minor"/>
      </rPr>
      <t xml:space="preserve">17 por ciento de las zonas terrestres </t>
    </r>
    <r>
      <rPr>
        <sz val="9"/>
        <color rgb="FF000000"/>
        <rFont val="Calibri"/>
        <family val="2"/>
        <scheme val="minor"/>
      </rPr>
      <t xml:space="preserve">y de aguas continentales y el </t>
    </r>
    <r>
      <rPr>
        <b/>
        <sz val="9"/>
        <color rgb="FF000000"/>
        <rFont val="Calibri"/>
        <family val="2"/>
        <scheme val="minor"/>
      </rPr>
      <t xml:space="preserve">10 por ciento de las zonas marinas y costeras, </t>
    </r>
    <r>
      <rPr>
        <sz val="9"/>
        <color rgb="FF000000"/>
        <rFont val="Calibri"/>
        <family val="2"/>
        <scheme val="minor"/>
      </rPr>
      <t xml:space="preserve">especialmente aquellas de particular importancia para la diversidad biológica y los servicios de los ecosistemas, </t>
    </r>
    <r>
      <rPr>
        <b/>
        <sz val="9"/>
        <color rgb="FF000000"/>
        <rFont val="Calibri"/>
        <family val="2"/>
        <scheme val="minor"/>
      </rPr>
      <t xml:space="preserve">se conservan por medio de sistemas de áreas protegidas administrados de manera eficaz y equitativa, ecológicamente representativos y bien conectados </t>
    </r>
    <r>
      <rPr>
        <sz val="9"/>
        <color rgb="FF000000"/>
        <rFont val="Calibri"/>
        <family val="2"/>
        <scheme val="minor"/>
      </rPr>
      <t>y otras medidas de conservación eficaces basadas en áreas, y están integradas en los paisajes terrestres y marinos más amplios.</t>
    </r>
  </si>
  <si>
    <t>En tal sentido, el Decreto 1076 de 2015 define un área protegida como una superficie definida geográficamente que haya sido designada, regulada y administrada a fin de alcanzar objetivos específicos de conservación.</t>
  </si>
  <si>
    <t>De acuerdo con el Decreto 1076 de 2015, las categorías de áreas protegidas son: Sistema de Parques Nacionales Naturales, Reserva Forestal Protectora Nacional, Distrito de Manejo Integrado Nacional, Reserva Forestal Protectora Regional, Distrito de Manejo Integrado Regional, Distrito de Conservación de Suelos, Área de Recreación y Reserva Natural de la Sociedad Civil.</t>
  </si>
  <si>
    <r>
      <t xml:space="preserve">PAPR </t>
    </r>
    <r>
      <rPr>
        <vertAlign val="subscript"/>
        <sz val="9"/>
        <color rgb="FF000000"/>
        <rFont val="Calibri"/>
        <family val="2"/>
        <scheme val="minor"/>
      </rPr>
      <t>t</t>
    </r>
    <r>
      <rPr>
        <sz val="9"/>
        <color rgb="FF000000"/>
        <rFont val="Calibri"/>
        <family val="2"/>
        <scheme val="minor"/>
      </rPr>
      <t xml:space="preserve"> = Porcentaje de áreas protegidas regionales declaradas, homologadas o recategorizadas, inscritas en el RUNAP, en el tiempo t.</t>
    </r>
  </si>
  <si>
    <r>
      <t xml:space="preserve">SAPR </t>
    </r>
    <r>
      <rPr>
        <vertAlign val="subscript"/>
        <sz val="9"/>
        <color rgb="FF000000"/>
        <rFont val="Calibri"/>
        <family val="2"/>
        <scheme val="minor"/>
      </rPr>
      <t>it</t>
    </r>
    <r>
      <rPr>
        <sz val="9"/>
        <color rgb="FF000000"/>
        <rFont val="Calibri"/>
        <family val="2"/>
        <scheme val="minor"/>
      </rPr>
      <t xml:space="preserve"> = Superficie de áreas protegidas regionales declaradas, homologadas o recategorizadas, inscritas en el RUNAP (ha), en el tiempo t.</t>
    </r>
  </si>
  <si>
    <r>
      <t xml:space="preserve">MAPR </t>
    </r>
    <r>
      <rPr>
        <vertAlign val="subscript"/>
        <sz val="9"/>
        <color rgb="FF000000"/>
        <rFont val="Calibri"/>
        <family val="2"/>
        <scheme val="minor"/>
      </rPr>
      <t>it</t>
    </r>
    <r>
      <rPr>
        <sz val="9"/>
        <color rgb="FF000000"/>
        <rFont val="Calibri"/>
        <family val="2"/>
        <scheme val="minor"/>
      </rPr>
      <t xml:space="preserve"> = Meta de áreas protegidas regionales declaradas, homologadas o recategorizadas, inscritas en el RUNAP (ha), en el tiempo t.</t>
    </r>
  </si>
  <si>
    <t>Continentales</t>
  </si>
  <si>
    <t>Meta de áreas protegidas regionales a ser homologadas o recategorizadas, e inscritas en el RUNAP en el cuatrienio (ha)</t>
  </si>
  <si>
    <t>(*) si aplica. Para evitar doble contabilidad, se clasifican en el grupo de áreas marinas, costeras e insulares, aquellas áreas protegidas con superficie tanto en áreas marinas y continentales.</t>
  </si>
  <si>
    <t>AREAS PROTEGIDAS CONTINENTALES</t>
  </si>
  <si>
    <t>Número de áreas protegidas en proceso de declaratoria (*)</t>
  </si>
  <si>
    <t>Meta de áreas inscritas en el RUNAP</t>
  </si>
  <si>
    <t>Sin iniciar</t>
  </si>
  <si>
    <t>FASE I: Preparación</t>
  </si>
  <si>
    <t>FASE II: Aprestamiento</t>
  </si>
  <si>
    <t>FASE III: Declaratoria o Ampliación</t>
  </si>
  <si>
    <t>(*) Ubique cada área protegida sólo en la última etapa que se encuentre</t>
  </si>
  <si>
    <t>La suma de las áreas protegidas debe ser igual a la meta de número de áreas protegidas en el cuatrienio</t>
  </si>
  <si>
    <t>Superficie de áreas protegidas en proceso de declaratoria (*)</t>
  </si>
  <si>
    <t>(*) Ubique la superficie de cada área protegida sólo en la última etapa que se encuentre</t>
  </si>
  <si>
    <t>La suma de las áreas protegidas debe ser igual a la meta de superficie de áreas protegidas en el cuatrienio.</t>
  </si>
  <si>
    <t>AREAS PROTEGIDAS MARINAS, COSTERAS E INSULARES</t>
  </si>
  <si>
    <t>Relación de áreas protegidas en proceso de declaración</t>
  </si>
  <si>
    <t>Nombre de área protegida</t>
  </si>
  <si>
    <t>Tipo (continental, marina, costera, insular)</t>
  </si>
  <si>
    <t>Categoría</t>
  </si>
  <si>
    <t>Superficie en acto administrativo (ha) (*)</t>
  </si>
  <si>
    <t>Superficie en shape (ha)(a)</t>
  </si>
  <si>
    <t>Estado de avance (b)</t>
  </si>
  <si>
    <t>Acto administrativo</t>
  </si>
  <si>
    <t>de declaratoria</t>
  </si>
  <si>
    <t>(a) superficie estimada</t>
  </si>
  <si>
    <t>(b) en preparación, en aprestamiento, en declaración y declarado. Si está declarado, escriba el número del acto administrativo correspondiente.</t>
  </si>
  <si>
    <t>Cuanto más cercano a cien por ciento, mayor es el cumplimiento de las metas establecidas por la Corporación en materia de declaración de nuevas áreas protegidas.</t>
  </si>
  <si>
    <t>Se pueden llegar a presentar superposiciones en áreas protegidas declaradas u homologadas, es decir, que sobre una misma área se hayan declarado una figura regional o una nacional, con distintas definiciones y regímenes de manejo. Para efectos del presente indicador sólo se cuantificará una vez el área, eliminando en el reporte de área las superposiciones, es decir, que se deberá contar solo una vez las áreas traslapadas.</t>
  </si>
  <si>
    <r>
      <t>Lo anterior teniendo en cuenta que el artículo 2.2.2.1.3.5 del Decreto 1076 de 2015 (artículo 26 del Decreto 2372 de 2010) contempla que “</t>
    </r>
    <r>
      <rPr>
        <i/>
        <sz val="9"/>
        <color rgb="FF000000"/>
        <rFont val="Calibri"/>
        <family val="2"/>
        <scheme val="minor"/>
      </rPr>
      <t>No podrán superponerse categorías de manejo de áreas públicas</t>
    </r>
    <r>
      <rPr>
        <sz val="9"/>
        <color rgb="FF000000"/>
        <rFont val="Calibri"/>
        <family val="2"/>
        <scheme val="minor"/>
      </rPr>
      <t xml:space="preserve">”. Por tal razón, recomendamos a las Autoridades Ambientales revisar la información oficial que se encuentra en el RUNAP y cotejarla con sus procesos de declaratoria para evitar traslapes que pueden llegar a limitar el registro de las áreas protegidas en el RUNAP. </t>
    </r>
  </si>
  <si>
    <r>
      <t>Hoja Metodológica de referencia:</t>
    </r>
    <r>
      <rPr>
        <sz val="9"/>
        <color rgb="FF000000"/>
        <rFont val="Calibri"/>
        <family val="2"/>
        <scheme val="minor"/>
      </rPr>
      <t xml:space="preserve"> MADS (2016). </t>
    </r>
    <r>
      <rPr>
        <i/>
        <sz val="9"/>
        <color rgb="FF000000"/>
        <rFont val="Calibri"/>
        <family val="2"/>
        <scheme val="minor"/>
      </rPr>
      <t>Hoja metodológica Porcentaje de la Superficie de áreas protegidas regionales declaradas, homologadas o recategorizadas, inscritas en el RUNAP (Versión 1.0).</t>
    </r>
    <r>
      <rPr>
        <sz val="9"/>
        <color rgb="FF000000"/>
        <rFont val="Calibri"/>
        <family val="2"/>
        <scheme val="minor"/>
      </rPr>
      <t xml:space="preserve"> Ministerio de Ambiente y Desarrollo Sostenible MADS y Parques Nacionales de Colombia.</t>
    </r>
  </si>
  <si>
    <t>Se recomienda a las Autoridades Ambientales enviar adicionalmente reportes cualitativos del avance de los procesos de declaratoria regionales de manera periódica (mensualmente) a Parques Nacionales Naturales de Colombia, dado que en el marco de la Coordinación del SINAP y Administración del RUNAP debe entregar el respectivo reporte oficial al DNP y diferentes entidades.</t>
  </si>
  <si>
    <t>Porcentaje de páramos delimitados por el MADS, con zonificación y régimen de usos adoptados por la CAR</t>
  </si>
  <si>
    <t>Es el porcentaje de páramos con zonificación y régimen de usos adoptados por la CAR, en relación con los páramos delimitados por el MADS en la jurisdicción de la Corporación.</t>
  </si>
  <si>
    <t>Mide el avance en la zonificación y en la determinación del régimen de usos, de las áreas de páramo delimitadas por el MADS, que están ubicados en la jurisdicción de la Corporación. De esta manera, el indicador busca hacer seguimiento a la contribución de las CAR a la ejecución de la Política Nacional de Gestión Integral de la Biodiversidad y sus Servicios Ecosistémicos.</t>
  </si>
  <si>
    <t>Ley 1753 de 2015</t>
  </si>
  <si>
    <t>Resolución 769 de 2002</t>
  </si>
  <si>
    <t>Resolución 839 de 2003</t>
  </si>
  <si>
    <t>Resolución 1128 de 2006</t>
  </si>
  <si>
    <t>Resolución 937 de 2011</t>
  </si>
  <si>
    <t>Los ecosistemas de páramos han sido reconocidos como áreas de especial importancia ecológica que cuentan con una protección especial por parte del Estado, toda vez que resultan de vital importancia por los servicios ecosistémicos que prestan a la población colombiana, especialmente los relacionados con la estabilidad de los ciclos climáticos e hidrológicos y con la regulación de los flujos de agua en cantidad y calidad.</t>
  </si>
  <si>
    <t>Por ello, el artículo 1° de la Ley 99 de 1993, establece entre los Principios Generales Ambientales que las zonas de páramos, subpáramos, los nacimientos de agua y las zonas de recarga de acuíferos serán objeto de protección especial.</t>
  </si>
  <si>
    <t>El artículo 173 de la Ley 1753 de 2015 determina que en las áreas delimitadas como páramos no se podrán adelantar actividades agropecuarias ni de exploración o explotación de recursos naturales no renovables, ni construcción de refinerías de hidrocarburos.</t>
  </si>
  <si>
    <t>El Parágrafo 3 del mencionado artículo establece que “dentro de los tres (3) años siguientes a la delimitación, las autoridades ambientales deberán zonificar y determinar el régimen de usos del área de páramo delimitada, de acuerdo con los lineamientos que para el efecto defina el Ministerio de Ambiente y Desarrollo Sostenible”.</t>
  </si>
  <si>
    <r>
      <t xml:space="preserve">PPDZRU </t>
    </r>
    <r>
      <rPr>
        <vertAlign val="subscript"/>
        <sz val="9"/>
        <color rgb="FF000000"/>
        <rFont val="Calibri"/>
        <family val="2"/>
        <scheme val="minor"/>
      </rPr>
      <t>t</t>
    </r>
    <r>
      <rPr>
        <sz val="9"/>
        <color rgb="FF000000"/>
        <rFont val="Calibri"/>
        <family val="2"/>
        <scheme val="minor"/>
      </rPr>
      <t xml:space="preserve"> = Porcentaje de los páramos delimitados por el MADS, a los cuales la CAR les expide el Acto Administrativo de zonificación y régimen de usos, en el tiempo t.</t>
    </r>
  </si>
  <si>
    <r>
      <t xml:space="preserve">PZRU </t>
    </r>
    <r>
      <rPr>
        <vertAlign val="subscript"/>
        <sz val="9"/>
        <color rgb="FF000000"/>
        <rFont val="Calibri"/>
        <family val="2"/>
        <scheme val="minor"/>
      </rPr>
      <t>it</t>
    </r>
    <r>
      <rPr>
        <sz val="9"/>
        <color rgb="FF000000"/>
        <rFont val="Calibri"/>
        <family val="2"/>
        <scheme val="minor"/>
      </rPr>
      <t xml:space="preserve"> = Número de páramos previamente delimitados por el MADS en la jurisdicción de la CAR, a los cuales la CAR les expide el Acto Administrativo de zonificación y régimen de usos, en el tiempo t.</t>
    </r>
  </si>
  <si>
    <r>
      <t xml:space="preserve">PD </t>
    </r>
    <r>
      <rPr>
        <vertAlign val="subscript"/>
        <sz val="9"/>
        <color rgb="FF000000"/>
        <rFont val="Calibri"/>
        <family val="2"/>
        <scheme val="minor"/>
      </rPr>
      <t>it</t>
    </r>
    <r>
      <rPr>
        <sz val="9"/>
        <color rgb="FF000000"/>
        <rFont val="Calibri"/>
        <family val="2"/>
        <scheme val="minor"/>
      </rPr>
      <t xml:space="preserve"> = Número de páramos delimitados por el MADS en la jurisdicción de la CAR, en el tiempo t.</t>
    </r>
  </si>
  <si>
    <t>Reporte de avance</t>
  </si>
  <si>
    <t>Etapa</t>
  </si>
  <si>
    <t>Páramos delimitados por el MADS (número) ubicados en la jurisdicción de la Corporación</t>
  </si>
  <si>
    <t>Actos Administrativos de la CAR que adoptan la Zonificación y régimen de usos de páramos (número)</t>
  </si>
  <si>
    <t>Cuanto más cercano a cien por ciento, mayor es el cumplimiento de las metas de la autoridad ambiental en la gestión de paramos ubicados en la jurisdicción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</si>
  <si>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páramos delimitados, con zonificación y régimen de usos (Versión 1.0).</t>
    </r>
    <r>
      <rPr>
        <sz val="9"/>
        <color rgb="FF000000"/>
        <rFont val="Calibri"/>
        <family val="2"/>
        <scheme val="minor"/>
      </rPr>
      <t xml:space="preserve"> Ministerio de Ambiente y Desarrollo Sostenible MADS, DGOAT-SINA y DBBSE.</t>
    </r>
  </si>
  <si>
    <t>Observaciones.</t>
  </si>
  <si>
    <t>Porcentaje de avance en la formulación del Plan de Ordenación Forestal</t>
  </si>
  <si>
    <t>Es el porcentaje de avance en la formulación del Plan de Ordenación Forestal, con respecto a la meta de Ordenación Forestal definida en el Plan de Acción de la Corporación.</t>
  </si>
  <si>
    <t>Mide el avance del Plan de Ordenación Forestal, con respecto a la meta de Ordenación Forestal definida en el Plan de Acción de la Corporación. De esta manera, el indicador busca hacer seguimiento a la contribución de las CAR a la Política Nacional de Gestión Integral de la Biodiversidad y sus Servicios Ecosistémicos, así como a los instrumentos de política relacionados con el recurso forestal.</t>
  </si>
  <si>
    <r>
      <t>·</t>
    </r>
    <r>
      <rPr>
        <sz val="7"/>
        <color rgb="FF000000"/>
        <rFont val="Times New Roman"/>
        <family val="1"/>
      </rPr>
      <t xml:space="preserve">        </t>
    </r>
    <r>
      <rPr>
        <sz val="9"/>
        <color rgb="FF000000"/>
        <rFont val="Calibri"/>
        <family val="2"/>
      </rPr>
      <t>Ley 2ª de 1959</t>
    </r>
  </si>
  <si>
    <r>
      <t>·</t>
    </r>
    <r>
      <rPr>
        <sz val="7"/>
        <color rgb="FF000000"/>
        <rFont val="Times New Roman"/>
        <family val="1"/>
      </rPr>
      <t xml:space="preserve">        </t>
    </r>
    <r>
      <rPr>
        <sz val="9"/>
        <color rgb="FF000000"/>
        <rFont val="Calibri"/>
        <family val="2"/>
      </rPr>
      <t>Ley 99 de 1993</t>
    </r>
  </si>
  <si>
    <r>
      <t>·</t>
    </r>
    <r>
      <rPr>
        <sz val="7"/>
        <color rgb="FF000000"/>
        <rFont val="Times New Roman"/>
        <family val="1"/>
      </rPr>
      <t xml:space="preserve">        </t>
    </r>
    <r>
      <rPr>
        <sz val="9"/>
        <color rgb="FF000000"/>
        <rFont val="Calibri"/>
        <family val="2"/>
      </rPr>
      <t>Decreto-Ley 2811 de 1974.</t>
    </r>
  </si>
  <si>
    <r>
      <t>·</t>
    </r>
    <r>
      <rPr>
        <sz val="7"/>
        <color rgb="FF000000"/>
        <rFont val="Times New Roman"/>
        <family val="1"/>
      </rPr>
      <t xml:space="preserve">        </t>
    </r>
    <r>
      <rPr>
        <sz val="9"/>
        <color rgb="FF000000"/>
        <rFont val="Calibri"/>
        <family val="2"/>
      </rPr>
      <t>Decreto 1076 de 2015.</t>
    </r>
  </si>
  <si>
    <t>Los artículos 8°, 79 y 80 de la Constitución Política de Colombia, señalan que es deber del Estado proteger la diversidad e integridad del ambiente, conservar las áreas de especial importancia ecológica, fomentar la educación para el logro de estos fines, planificar el manejo y aprovechamiento de los recursos naturales para garantizar su desarrollo sostenible, su conservación, restauración o sustitución.</t>
  </si>
  <si>
    <t>El Plan de ordenación forestal es el estudio elaborado por las Corporaciones que, fundamentado en la descripción de los aspectos bióticos, abióticos, sociales y económicos, tiene por objeto asegurar que el interesado en utilizar el recurso en un área forestal productora, desarrolle su actividad en forma planificada para así garantizar el manejo adecuado y el aprovechamiento sostenible del recurso</t>
  </si>
  <si>
    <r>
      <t xml:space="preserve">PAPOF </t>
    </r>
    <r>
      <rPr>
        <vertAlign val="subscript"/>
        <sz val="9"/>
        <color rgb="FF000000"/>
        <rFont val="Calibri"/>
        <family val="2"/>
        <scheme val="minor"/>
      </rPr>
      <t>t</t>
    </r>
    <r>
      <rPr>
        <sz val="9"/>
        <color rgb="FF000000"/>
        <rFont val="Calibri"/>
        <family val="2"/>
        <scheme val="minor"/>
      </rPr>
      <t xml:space="preserve"> = Porcentaje de avance en la formulación del Plan de Ordenación Forestal, en el tiempo t.</t>
    </r>
  </si>
  <si>
    <r>
      <t xml:space="preserve">APOF </t>
    </r>
    <r>
      <rPr>
        <vertAlign val="subscript"/>
        <sz val="9"/>
        <color rgb="FF000000"/>
        <rFont val="Calibri"/>
        <family val="2"/>
        <scheme val="minor"/>
      </rPr>
      <t>it</t>
    </r>
    <r>
      <rPr>
        <sz val="9"/>
        <color rgb="FF000000"/>
        <rFont val="Calibri"/>
        <family val="2"/>
        <scheme val="minor"/>
      </rPr>
      <t xml:space="preserve"> = Superficie de avance en la formulación del Plan de Ordenación Forestal (ha), en el tiempo t.</t>
    </r>
  </si>
  <si>
    <r>
      <t xml:space="preserve">MAPOF </t>
    </r>
    <r>
      <rPr>
        <vertAlign val="subscript"/>
        <sz val="9"/>
        <color rgb="FF000000"/>
        <rFont val="Calibri"/>
        <family val="2"/>
        <scheme val="minor"/>
      </rPr>
      <t>it</t>
    </r>
    <r>
      <rPr>
        <sz val="9"/>
        <color rgb="FF000000"/>
        <rFont val="Calibri"/>
        <family val="2"/>
        <scheme val="minor"/>
      </rPr>
      <t xml:space="preserve"> = Meta de avance en la formulación del Plan de Ordenación Forestal (ha), en el tiempo t.</t>
    </r>
  </si>
  <si>
    <t>Meta de nuevas hectáreas forestales a ser ordenadas en el Plan de Ordenación Forestal en el cuatrienio (ha)</t>
  </si>
  <si>
    <t>Meta de hectáreas forestales a ser actualizadas en el Plan de Ordenación Forestal en el cuatrienio (ha) -si aplica-</t>
  </si>
  <si>
    <t>Meta: hectáreas forestales sujeto de ordenación en el cuatrienio (ha) (B+C)</t>
  </si>
  <si>
    <t>Superficie a ser ordenada en el Plan de Ordenación Forestal (*)</t>
  </si>
  <si>
    <t>Meta: hectáreas forestales sujeto de ordenación (a)</t>
  </si>
  <si>
    <t>En formulación</t>
  </si>
  <si>
    <t>En actualización</t>
  </si>
  <si>
    <t>Plan forestal adoptado</t>
  </si>
  <si>
    <t>(*) Ubique cada superficie sólo en la última etapa que se encuentre</t>
  </si>
  <si>
    <t>La suma de la superficie de las áreas en proceso de ordenación debe ser igual a la meta de hectáreas forestales a ser ordenadas.</t>
  </si>
  <si>
    <t>Relación de áreas a ser ordenadas en el Plan de Ordenación Forestal</t>
  </si>
  <si>
    <t>Nombre del área a ser ordenada</t>
  </si>
  <si>
    <t>Municipios donde se ubica</t>
  </si>
  <si>
    <t>Superficie (ha)</t>
  </si>
  <si>
    <t>Estado de avance (a)</t>
  </si>
  <si>
    <t>Acto administrativo de adopción</t>
  </si>
  <si>
    <t>(a) en formulación, en actualización, en adopción, adoptado. Si está adoptado, escriba el número del acto administrativo correspondiente.</t>
  </si>
  <si>
    <t>Cuanto más cercano a cien por ciento, mayor es el cumplimiento de las metas establecidas por la Corporación en materia de ordenación de las áreas forestales.</t>
  </si>
  <si>
    <r>
      <t>Hoja Metodológica de referencia:</t>
    </r>
    <r>
      <rPr>
        <sz val="9"/>
        <color rgb="FF000000"/>
        <rFont val="Calibri"/>
        <family val="2"/>
        <scheme val="minor"/>
      </rPr>
      <t xml:space="preserve"> MADS (2016). </t>
    </r>
    <r>
      <rPr>
        <i/>
        <sz val="9"/>
        <color rgb="FF000000"/>
        <rFont val="Calibri"/>
        <family val="2"/>
        <scheme val="minor"/>
      </rPr>
      <t>Hoja metodológica Porcentaje de avance en la formulación del Plan de Ordenación Forestal (Versión 1.0).</t>
    </r>
    <r>
      <rPr>
        <sz val="9"/>
        <color rgb="FF000000"/>
        <rFont val="Calibri"/>
        <family val="2"/>
        <scheme val="minor"/>
      </rPr>
      <t xml:space="preserve"> Ministerio de Ambiente y Desarrollo Sostenible MADS, DGOAT-SINA y DBBSE.</t>
    </r>
  </si>
  <si>
    <t>Porcentaje de áreas protegidas con planes de manejo en ejecución</t>
  </si>
  <si>
    <t xml:space="preserve">Descripción del Indicador </t>
  </si>
  <si>
    <t>Es la relación entre el número de áreas protegidas con planes de manejo en ejecución y el número de áreas protegidas regionales en jurisdicción de la Corporación registradas en el RUNAP, cuya administración es responsabilidad de la autoridad ambiental. Comprende áreas protegidas tanto continentales como marinas, costeras e insulares.</t>
  </si>
  <si>
    <t>El indicador mide que la autoridad ambiental realice acciones dirigidas a la implementación de los planes de manejo de las áreas protegidas, cuya administración es responsabilidad de la autoridad ambiental. De esta manera, la Corporación contribuye a la ejecución a nivel regional de la Política Nacional de Gestión de la Biodiversidad y sus Servicios Ecosistémicos.</t>
  </si>
  <si>
    <t>Política Nacional de Gestión Integral de la Biodiversidad y sus Servicios Ecosistémicos</t>
  </si>
  <si>
    <t>El mencionado Decreto, establece las categorías de áreas protegidas nacionales y regionales.</t>
  </si>
  <si>
    <t>Adicionalmente, el Decreto ibídem, establece que cada una de las áreas protegidas que integran el SINAP contarán con un plan de manejo que será el principal instrumento de planificación que orienta su gestión de conservación para un periodo de cinco (5) años de manera que se evidencien resultados frente al logro de los objetivos de conservación que motivaron su designación y su contribución al desarrollo del SINAP. Este plan deberá formularse dentro del año siguiente a la declaratoria o en el caso de las áreas existentes que se integren al SINAP dentro del año siguiente al registro.</t>
  </si>
  <si>
    <t>Indicador Porcentaje de áreas protegidas con planes de manejo en ejecución</t>
  </si>
  <si>
    <r>
      <t xml:space="preserve">PAPME </t>
    </r>
    <r>
      <rPr>
        <vertAlign val="subscript"/>
        <sz val="9"/>
        <color rgb="FF000000"/>
        <rFont val="Calibri"/>
        <family val="2"/>
        <scheme val="minor"/>
      </rPr>
      <t>t</t>
    </r>
    <r>
      <rPr>
        <sz val="9"/>
        <color rgb="FF000000"/>
        <rFont val="Calibri"/>
        <family val="2"/>
        <scheme val="minor"/>
      </rPr>
      <t xml:space="preserve"> = Porcentaje de áreas protegidas con planes de manejo en ejecución, en el tiempo t.</t>
    </r>
  </si>
  <si>
    <r>
      <t xml:space="preserve">APME </t>
    </r>
    <r>
      <rPr>
        <vertAlign val="subscript"/>
        <sz val="9"/>
        <color rgb="FF000000"/>
        <rFont val="Calibri"/>
        <family val="2"/>
        <scheme val="minor"/>
      </rPr>
      <t>it</t>
    </r>
    <r>
      <rPr>
        <sz val="9"/>
        <color rgb="FF000000"/>
        <rFont val="Calibri"/>
        <family val="2"/>
        <scheme val="minor"/>
      </rPr>
      <t xml:space="preserve"> = Número de áreas protegidas </t>
    </r>
    <r>
      <rPr>
        <i/>
        <sz val="9"/>
        <color rgb="FF000000"/>
        <rFont val="Calibri"/>
        <family val="2"/>
        <scheme val="minor"/>
      </rPr>
      <t>i</t>
    </r>
    <r>
      <rPr>
        <sz val="9"/>
        <color rgb="FF000000"/>
        <rFont val="Calibri"/>
        <family val="2"/>
        <scheme val="minor"/>
      </rPr>
      <t xml:space="preserve"> con planes de manejo en ejecución, en el tiempo t.</t>
    </r>
  </si>
  <si>
    <r>
      <t xml:space="preserve">APCAR </t>
    </r>
    <r>
      <rPr>
        <vertAlign val="subscript"/>
        <sz val="9"/>
        <color rgb="FF000000"/>
        <rFont val="Calibri"/>
        <family val="2"/>
        <scheme val="minor"/>
      </rPr>
      <t>it</t>
    </r>
    <r>
      <rPr>
        <sz val="9"/>
        <color rgb="FF000000"/>
        <rFont val="Calibri"/>
        <family val="2"/>
        <scheme val="minor"/>
      </rPr>
      <t xml:space="preserve"> = Número de áreas protegidas </t>
    </r>
    <r>
      <rPr>
        <i/>
        <sz val="9"/>
        <color rgb="FF000000"/>
        <rFont val="Calibri"/>
        <family val="2"/>
        <scheme val="minor"/>
      </rPr>
      <t>i</t>
    </r>
    <r>
      <rPr>
        <sz val="9"/>
        <color rgb="FF000000"/>
        <rFont val="Calibri"/>
        <family val="2"/>
        <scheme val="minor"/>
      </rPr>
      <t xml:space="preserve"> cuya administración es responsabilidad de la Corporación Autónoma Regional, en el tiempo t.</t>
    </r>
  </si>
  <si>
    <t>Inversión asociada a la ejecución de los planes de manejo de áreas protegidas</t>
  </si>
  <si>
    <r>
      <t xml:space="preserve">IPMAP </t>
    </r>
    <r>
      <rPr>
        <vertAlign val="subscript"/>
        <sz val="9"/>
        <color rgb="FF000000"/>
        <rFont val="Calibri"/>
        <family val="2"/>
        <scheme val="minor"/>
      </rPr>
      <t>t</t>
    </r>
    <r>
      <rPr>
        <sz val="9"/>
        <color rgb="FF000000"/>
        <rFont val="Calibri"/>
        <family val="2"/>
        <scheme val="minor"/>
      </rPr>
      <t xml:space="preserve"> = Inversión asociada a la ejecución de los planes de manejo de las áreas protegidas a cargo de la Corporación Autónoma Regional, en el año t.</t>
    </r>
  </si>
  <si>
    <r>
      <t xml:space="preserve">PDAP </t>
    </r>
    <r>
      <rPr>
        <vertAlign val="subscript"/>
        <sz val="9"/>
        <color rgb="FF000000"/>
        <rFont val="Calibri"/>
        <family val="2"/>
        <scheme val="minor"/>
      </rPr>
      <t>i</t>
    </r>
    <r>
      <rPr>
        <sz val="9"/>
        <color rgb="FF000000"/>
        <rFont val="Calibri"/>
        <family val="2"/>
        <scheme val="minor"/>
      </rPr>
      <t xml:space="preserve"> = Presupuesto definitivo asociado a la ejecución del plan de manejo del área protegida i, en el año t.</t>
    </r>
  </si>
  <si>
    <t>VARIABLE</t>
  </si>
  <si>
    <t>CONTINENTALES</t>
  </si>
  <si>
    <t>MARINAS, COSTERAS E INSULARES</t>
  </si>
  <si>
    <t>TOTAL</t>
  </si>
  <si>
    <t xml:space="preserve">Número de áreas protegidas cuya administración es responsabilidad de la Corporación Autónoma Regional </t>
  </si>
  <si>
    <t>Número de áreas protegidas con plan de manejo adoptado</t>
  </si>
  <si>
    <t>Número de áreas protegidas con plan de manejo en ejecución</t>
  </si>
  <si>
    <t>Inversión asociada a la ejecución de los planes de manejo de áreas protegidas (Millones de $)</t>
  </si>
  <si>
    <t>Nombre de AP</t>
  </si>
  <si>
    <t>Categoría de AP</t>
  </si>
  <si>
    <t>Ppto.</t>
  </si>
  <si>
    <t>Inicial</t>
  </si>
  <si>
    <t>Presupuesto</t>
  </si>
  <si>
    <t>Definitivo</t>
  </si>
  <si>
    <t>Cuanto más cercano a cien por ciento, mayores son las acciones que la autoridad ambiental realiza para la ejecución de los planes de manejo de las áreas protegidas que están a cargo de la Corporación Autónoma Regional.</t>
  </si>
  <si>
    <r>
      <t>Hoja Metodológica de referencia:</t>
    </r>
    <r>
      <rPr>
        <sz val="9"/>
        <color rgb="FF000000"/>
        <rFont val="Calibri"/>
        <family val="2"/>
        <scheme val="minor"/>
      </rPr>
      <t xml:space="preserve"> MADS (2016). </t>
    </r>
    <r>
      <rPr>
        <i/>
        <sz val="9"/>
        <color rgb="FF000000"/>
        <rFont val="Calibri"/>
        <family val="2"/>
        <scheme val="minor"/>
      </rPr>
      <t>Hoja metodológica Porcentaje de áreas protegidas con planes de manejo en ejecución (Versión 1.0).</t>
    </r>
    <r>
      <rPr>
        <sz val="9"/>
        <color rgb="FF000000"/>
        <rFont val="Calibri"/>
        <family val="2"/>
        <scheme val="minor"/>
      </rPr>
      <t xml:space="preserve"> Ministerio de Ambiente y Desarrollo Sostenible y Parques Nacionales Naturales.</t>
    </r>
  </si>
  <si>
    <t>Se recomienda a las autoridades ambientales que una vez el plan de manejo ya esté aprobado y soportado bajo acto administrativo este sea cargado en la Plataforma del RUNAP. http://runap.parquesnacionales.gov.co)</t>
  </si>
  <si>
    <t>Porcentaje de especies amenazadas con medidas de conservación y manejo en ejecución</t>
  </si>
  <si>
    <t>Es la relación entre el número de especies amenazadas con medidas de conservación y manejo en ejecución y el número de especies que cuentan con medidas de manejo formuladas, tanto para fauna y flora como en el medio continental y marino.</t>
  </si>
  <si>
    <t>El indicador mide que la autoridad ambiental realice acciones dirigidas a la implementación de las medidas de conservación y manejo de especies amenazadas. De esta manera, la Corporación contribuye a la ejecución a nivel regional de la Política Nacional de Gestión de la Biodiversidad y sus Servicios Ecosistémicos, así como de las Metas Aichi.</t>
  </si>
  <si>
    <t>Decreto 1071 de 2015, compilatorio del Decreto 1124 de 2013, por el cual se adopta el Plan de Acción Nacional para la Conservación y Manejo de Tiburones, Rayas y Quimeras de Colombia – PAN Tiburones Colombia</t>
  </si>
  <si>
    <t>Resolución 2210 de 2010</t>
  </si>
  <si>
    <t>Resolución 0192 de 2014</t>
  </si>
  <si>
    <t>El Plan Estratégico para la Diversidad Biológica 2011-2020 y las Metas de Aichi se agrupan en los siguientes objetivos estratégicos:</t>
  </si>
  <si>
    <r>
      <t>A.</t>
    </r>
    <r>
      <rPr>
        <sz val="7"/>
        <color rgb="FF000000"/>
        <rFont val="Times New Roman"/>
        <family val="1"/>
      </rPr>
      <t xml:space="preserve">    </t>
    </r>
    <r>
      <rPr>
        <sz val="9"/>
        <color rgb="FF000000"/>
        <rFont val="Calibri"/>
        <family val="2"/>
      </rPr>
      <t>Abordar las causas subyacentes de la pérdida de diversidad biológica mediante la incorporación de la diversidad biológica en todos los ámbitos gubernamentales y de la sociedad.</t>
    </r>
  </si>
  <si>
    <r>
      <t>B.</t>
    </r>
    <r>
      <rPr>
        <sz val="7"/>
        <color rgb="FF000000"/>
        <rFont val="Times New Roman"/>
        <family val="1"/>
      </rPr>
      <t xml:space="preserve">    </t>
    </r>
    <r>
      <rPr>
        <sz val="9"/>
        <color rgb="FF000000"/>
        <rFont val="Calibri"/>
        <family val="2"/>
      </rPr>
      <t>Reducir las presiones directas sobre la diversidad biológica y promover la utilización sostenible.</t>
    </r>
  </si>
  <si>
    <r>
      <t>C.</t>
    </r>
    <r>
      <rPr>
        <sz val="7"/>
        <color rgb="FF000000"/>
        <rFont val="Times New Roman"/>
        <family val="1"/>
      </rPr>
      <t xml:space="preserve">    </t>
    </r>
    <r>
      <rPr>
        <sz val="9"/>
        <color rgb="FF000000"/>
        <rFont val="Calibri"/>
        <family val="2"/>
      </rPr>
      <t>Mejorar la situación de la diversidad biológica salvaguardando los ecosistemas, las especies y la diversidad genética.</t>
    </r>
  </si>
  <si>
    <r>
      <t>D.</t>
    </r>
    <r>
      <rPr>
        <sz val="7"/>
        <color rgb="FF000000"/>
        <rFont val="Times New Roman"/>
        <family val="1"/>
      </rPr>
      <t xml:space="preserve">    </t>
    </r>
    <r>
      <rPr>
        <sz val="9"/>
        <color rgb="FF000000"/>
        <rFont val="Calibri"/>
        <family val="2"/>
      </rPr>
      <t>Aumentar los beneficios de la diversidad biológica y los servicios de los ecosistemas para todos</t>
    </r>
  </si>
  <si>
    <t>La Resolución 192 de 2014 define Especie Amenazada, como aquella que ha sido declarada como tal por Tratados o Convenios Internacionales aprobados y ratificados por Colombia o haya sido declarada en alguna categoría de amenaza por el Ministerio de Ambiente y Desarrollo Sostenible.</t>
  </si>
  <si>
    <t>Especie en Peligro Crítico (CR): Aquellas que están enfrentando un riesgo de extinción extremadamente alto en estado de vida silvestre.</t>
  </si>
  <si>
    <t>Especie en Peligro (EN): Aquellas que están enfrentando un riesgo de extinción muy alto en estado de vida silvestre.</t>
  </si>
  <si>
    <t>Especie Vulnerable (VU): Aquellas que están enfrentando un riesgo de extinción alto en estado de vida silvestre.</t>
  </si>
  <si>
    <t>Adicionalmente, la Resolución 192 de 2014 establece que “el Ministerio de Ambiente y Desarrollo Sostenible en conjunto con las demás entidades del SINA, definirán las medidas de conservación y manejo de las especies amenazadas, sin perjuicio de las funciones y competencias asignadas a otras entidades públicas”</t>
  </si>
  <si>
    <t>Indicador Porcentaje de especies amenazadas con medidas de manejo en ejecución</t>
  </si>
  <si>
    <t xml:space="preserve"> x 100</t>
  </si>
  <si>
    <r>
      <t xml:space="preserve">PEAMME </t>
    </r>
    <r>
      <rPr>
        <vertAlign val="subscript"/>
        <sz val="9"/>
        <color rgb="FF000000"/>
        <rFont val="Calibri"/>
        <family val="2"/>
        <scheme val="minor"/>
      </rPr>
      <t>t</t>
    </r>
    <r>
      <rPr>
        <sz val="9"/>
        <color rgb="FF000000"/>
        <rFont val="Calibri"/>
        <family val="2"/>
        <scheme val="minor"/>
      </rPr>
      <t xml:space="preserve"> = Porcentaje de especies amenazadas con medidas de conservación y manejo en ejecución, en tiempo t.</t>
    </r>
  </si>
  <si>
    <r>
      <t xml:space="preserve">EAMME </t>
    </r>
    <r>
      <rPr>
        <vertAlign val="subscript"/>
        <sz val="9"/>
        <color rgb="FF000000"/>
        <rFont val="Calibri"/>
        <family val="2"/>
        <scheme val="minor"/>
      </rPr>
      <t>it</t>
    </r>
    <r>
      <rPr>
        <sz val="9"/>
        <color rgb="FF000000"/>
        <rFont val="Calibri"/>
        <family val="2"/>
        <scheme val="minor"/>
      </rPr>
      <t xml:space="preserve"> = Número de especies amenazadas </t>
    </r>
    <r>
      <rPr>
        <i/>
        <sz val="9"/>
        <color rgb="FF000000"/>
        <rFont val="Calibri"/>
        <family val="2"/>
        <scheme val="minor"/>
      </rPr>
      <t>i</t>
    </r>
    <r>
      <rPr>
        <sz val="9"/>
        <color rgb="FF000000"/>
        <rFont val="Calibri"/>
        <family val="2"/>
        <scheme val="minor"/>
      </rPr>
      <t xml:space="preserve"> con medidas de conservación y manejo en ejecución, en el tiempo t.</t>
    </r>
  </si>
  <si>
    <r>
      <t xml:space="preserve">EAMMF </t>
    </r>
    <r>
      <rPr>
        <vertAlign val="subscript"/>
        <sz val="9"/>
        <color rgb="FF000000"/>
        <rFont val="Calibri"/>
        <family val="2"/>
        <scheme val="minor"/>
      </rPr>
      <t>it</t>
    </r>
    <r>
      <rPr>
        <sz val="9"/>
        <color rgb="FF000000"/>
        <rFont val="Calibri"/>
        <family val="2"/>
        <scheme val="minor"/>
      </rPr>
      <t xml:space="preserve"> = Número de especies amenazadas </t>
    </r>
    <r>
      <rPr>
        <i/>
        <sz val="9"/>
        <color rgb="FF000000"/>
        <rFont val="Calibri"/>
        <family val="2"/>
        <scheme val="minor"/>
      </rPr>
      <t>i</t>
    </r>
    <r>
      <rPr>
        <sz val="9"/>
        <color rgb="FF000000"/>
        <rFont val="Calibri"/>
        <family val="2"/>
        <scheme val="minor"/>
      </rPr>
      <t xml:space="preserve"> con medidas de conservación y manejo formuladas, en el tiempo t.</t>
    </r>
  </si>
  <si>
    <t>Inversión asociada a la ejecución de las medidas de conservación y manejo de especies amenazadas</t>
  </si>
  <si>
    <r>
      <t xml:space="preserve">IMMEA </t>
    </r>
    <r>
      <rPr>
        <vertAlign val="subscript"/>
        <sz val="9"/>
        <color rgb="FF000000"/>
        <rFont val="Calibri"/>
        <family val="2"/>
        <scheme val="minor"/>
      </rPr>
      <t>t</t>
    </r>
    <r>
      <rPr>
        <sz val="9"/>
        <color rgb="FF000000"/>
        <rFont val="Calibri"/>
        <family val="2"/>
        <scheme val="minor"/>
      </rPr>
      <t xml:space="preserve"> = Inversión asociada a la ejecución de las medidas de conservación y manejo de especies amenazadas, en el año t.</t>
    </r>
  </si>
  <si>
    <r>
      <t xml:space="preserve">PDEA </t>
    </r>
    <r>
      <rPr>
        <vertAlign val="subscript"/>
        <sz val="9"/>
        <color rgb="FF000000"/>
        <rFont val="Calibri"/>
        <family val="2"/>
        <scheme val="minor"/>
      </rPr>
      <t>i</t>
    </r>
    <r>
      <rPr>
        <sz val="9"/>
        <color rgb="FF000000"/>
        <rFont val="Calibri"/>
        <family val="2"/>
        <scheme val="minor"/>
      </rPr>
      <t xml:space="preserve"> = Presupuesto definitivo asociado a la ejecución de medidas de conservación y manejo de la especie amenazada i, en el año t.</t>
    </r>
  </si>
  <si>
    <t>ESPECIES AMENAZADAS CONTINENTALES</t>
  </si>
  <si>
    <t>ESPECIES AMENAZADAS MARINAS</t>
  </si>
  <si>
    <t>FLORA</t>
  </si>
  <si>
    <t>FAUNA</t>
  </si>
  <si>
    <t>CR</t>
  </si>
  <si>
    <t>EN</t>
  </si>
  <si>
    <t>VU</t>
  </si>
  <si>
    <t>Número de especies amenazadas presentes en la jurisdicción</t>
  </si>
  <si>
    <t>Número de especies amenazadas con medidas de conservación y manejo formulado</t>
  </si>
  <si>
    <t>Número de especies amenazadas con medidas de conservación y manejo en ejecución</t>
  </si>
  <si>
    <t>(CR) Especie en peligro crítico</t>
  </si>
  <si>
    <t>(EN) Especie en peligro</t>
  </si>
  <si>
    <t>(VU) Especie vulnerable</t>
  </si>
  <si>
    <t>Inversión asociada a la ejecución de las medidas de conservación y manejo de especies amenazadas (Millones de $)</t>
  </si>
  <si>
    <t>Tipo (Continental o marina)</t>
  </si>
  <si>
    <t>Tipo (Flora o fauna)</t>
  </si>
  <si>
    <t>Nombre (común y/o científico)</t>
  </si>
  <si>
    <t>Cuanto más cercano a cien por ciento, mayores son las acciones que la autoridad ambiental realiza para la ejecución de las medidas de conservación y manejo de las especies amenazadas que cuentan con plan de manejo, dadas las prioridades regionales que se han definido en este campo.</t>
  </si>
  <si>
    <t>Ministerio de Ambiente y Desarrollo Sostenible - MADS</t>
  </si>
  <si>
    <r>
      <t>Hoja Metodológica de referencia:</t>
    </r>
    <r>
      <rPr>
        <sz val="9"/>
        <color rgb="FF000000"/>
        <rFont val="Calibri"/>
        <family val="2"/>
        <scheme val="minor"/>
      </rPr>
      <t xml:space="preserve"> MADS (2016). </t>
    </r>
    <r>
      <rPr>
        <i/>
        <sz val="9"/>
        <color rgb="FF000000"/>
        <rFont val="Calibri"/>
        <family val="2"/>
        <scheme val="minor"/>
      </rPr>
      <t>Hoja metodológica Porcentaje de especies amenazadas con medidas de manejo en ejecución (Versión 1.0).</t>
    </r>
    <r>
      <rPr>
        <sz val="9"/>
        <color rgb="FF000000"/>
        <rFont val="Calibri"/>
        <family val="2"/>
        <scheme val="minor"/>
      </rPr>
      <t xml:space="preserve"> Ministerio de Ambiente y Desarrollo Sostenible MADS, DGOAT-SINA, DBBSE y DAMCRA.</t>
    </r>
  </si>
  <si>
    <t>- La formulación de las medidas de conservación y manejo estaran a cargo del MADS y/o de las CARs.</t>
  </si>
  <si>
    <t>- Como limitación tambien se identifica la información disponible que sobre estas especies pueda tener cada CAR.</t>
  </si>
  <si>
    <t>Porcentaje de especies invasoras con medidas de prevención, control y manejo en ejecución</t>
  </si>
  <si>
    <t>Es la relación entre el número de especies invasoras con medidas de prevención, control y manejo en ejecución y el número de especies que cuentan con medidas de prevención, control y manejo formulado, tanto para fauna y flora como en el medio continental y marino.</t>
  </si>
  <si>
    <t>El indicador mide que la autoridad ambiental realice acciones dirigidas a la implementación de las medidas de prevención, control y manejo de especies invasoras. De esta manera, la Corporación contribuye a la ejecución a nivel regional de la Política Nacional de Gestión de la Biodiversidad y sus Servicios Ecosistémicos, así como al cumplimiento de las Metas Aichi.</t>
  </si>
  <si>
    <t>Resolución 848 de 2008, especies exóticas invasoras.</t>
  </si>
  <si>
    <t>Resolución 132 de 2010, pez león.</t>
  </si>
  <si>
    <t>Resolución 207 de 2010, pez león y caracol tigre.</t>
  </si>
  <si>
    <t>Resolución 654 de 2011, caracol gigante africano.</t>
  </si>
  <si>
    <t>Resolución 675 de 2013, adopta el Plan y Protocolo de manejo del pez león.</t>
  </si>
  <si>
    <t>Plan de Acción para la Prevención, Manejo y Control de las Especies Introducidas, Trasplantadas e Invasoras.</t>
  </si>
  <si>
    <t>Baptiste M.P., Castaño N., Cárdenas D., Gutiérrez F. P., Gil D.L. y Lasso C.A. (eds). 2010. Análisis de riesgo y propuesta de categorización de especies introducidas para Colombia. Instituto de Investigación de Recursos Biológicos Alexander von Humboldt. Bogotá, D. C., Colombia. 200 p.</t>
  </si>
  <si>
    <t>Las especies invasoras, son la segunda causa de pérdida de biodiversidad en el mundo, ya que afectan su funcionalidad y estructura además de traer consecuencias de alto impacto en el ámbito económico, la salud pública y la cultura (Baptiste et al., 2010).</t>
  </si>
  <si>
    <t>El Convenio sobre Diversidad Biológica, aprobado en Colombia a través de la Ley 165 de 1994, se refiere en el artículo 8° a las obligaciones de los países parte y en su literal h) establece: “impedirá que se introduzcan, controlará o erradicará las especies exóticas que amenacen a ecosistemas, hábitats o especies.</t>
  </si>
  <si>
    <t>Se entiende por especies exóticas de carácter invasor aquellas que han sido capaces de colonizar efectivamente un área en donde se ha interrumpido la barrera geográfica y se han propagado sin asistencia humana directa en hábitats naturales o seminaturales y cuyo establecimiento y expansión amenaza los ecosistemas, hábitats o especies con daños económicos o ambientales (Resolución 848 de 2008).</t>
  </si>
  <si>
    <t>El artículo 3° de la Resolución 848 de 2008 establece que las autoridades ambientales regionales deberán tomar medidas para la prevención, control y manejo de las especies introducidas exóticas, invasoras y trasplantadas presentes en el territorio nacional, que se estimen pertinentes, tales como el otorgamiento de permisos de caza de control y demás medidas de manejo que resulten aplicables conforme a las disposiciones legales vigentes.</t>
  </si>
  <si>
    <r>
      <t xml:space="preserve">PEIME </t>
    </r>
    <r>
      <rPr>
        <vertAlign val="subscript"/>
        <sz val="9"/>
        <color rgb="FF000000"/>
        <rFont val="Calibri"/>
        <family val="2"/>
        <scheme val="minor"/>
      </rPr>
      <t>t</t>
    </r>
    <r>
      <rPr>
        <sz val="9"/>
        <color rgb="FF000000"/>
        <rFont val="Calibri"/>
        <family val="2"/>
        <scheme val="minor"/>
      </rPr>
      <t xml:space="preserve"> = Porcentaje de especies invasoras con medidas de prevención, control y manejo en ejecución, en tiempo t.</t>
    </r>
  </si>
  <si>
    <r>
      <t xml:space="preserve">EIPMEE </t>
    </r>
    <r>
      <rPr>
        <vertAlign val="subscript"/>
        <sz val="9"/>
        <color rgb="FF000000"/>
        <rFont val="Calibri"/>
        <family val="2"/>
        <scheme val="minor"/>
      </rPr>
      <t>it</t>
    </r>
    <r>
      <rPr>
        <sz val="9"/>
        <color rgb="FF000000"/>
        <rFont val="Calibri"/>
        <family val="2"/>
        <scheme val="minor"/>
      </rPr>
      <t xml:space="preserve"> = Número de especies invasoras </t>
    </r>
    <r>
      <rPr>
        <i/>
        <sz val="9"/>
        <color rgb="FF000000"/>
        <rFont val="Calibri"/>
        <family val="2"/>
        <scheme val="minor"/>
      </rPr>
      <t>i</t>
    </r>
    <r>
      <rPr>
        <sz val="9"/>
        <color rgb="FF000000"/>
        <rFont val="Calibri"/>
        <family val="2"/>
        <scheme val="minor"/>
      </rPr>
      <t xml:space="preserve"> con medidas de prevención, control y manejo en ejecución, en tiempo t.</t>
    </r>
  </si>
  <si>
    <r>
      <t xml:space="preserve">EIPMEF </t>
    </r>
    <r>
      <rPr>
        <vertAlign val="subscript"/>
        <sz val="9"/>
        <color rgb="FF000000"/>
        <rFont val="Calibri"/>
        <family val="2"/>
        <scheme val="minor"/>
      </rPr>
      <t>it</t>
    </r>
    <r>
      <rPr>
        <sz val="9"/>
        <color rgb="FF000000"/>
        <rFont val="Calibri"/>
        <family val="2"/>
        <scheme val="minor"/>
      </rPr>
      <t xml:space="preserve"> = Número de especies invasoras </t>
    </r>
    <r>
      <rPr>
        <i/>
        <sz val="9"/>
        <color rgb="FF000000"/>
        <rFont val="Calibri"/>
        <family val="2"/>
        <scheme val="minor"/>
      </rPr>
      <t>i</t>
    </r>
    <r>
      <rPr>
        <sz val="9"/>
        <color rgb="FF000000"/>
        <rFont val="Calibri"/>
        <family val="2"/>
        <scheme val="minor"/>
      </rPr>
      <t xml:space="preserve"> con medidas de prevención, control y manejo formulado, en el tiempo t.</t>
    </r>
  </si>
  <si>
    <t>Inversión asociada a la ejecución de medidas de manejo de especies invasoras</t>
  </si>
  <si>
    <r>
      <t xml:space="preserve">IPMEI </t>
    </r>
    <r>
      <rPr>
        <vertAlign val="subscript"/>
        <sz val="9"/>
        <color rgb="FF000000"/>
        <rFont val="Calibri"/>
        <family val="2"/>
        <scheme val="minor"/>
      </rPr>
      <t>t</t>
    </r>
    <r>
      <rPr>
        <sz val="9"/>
        <color rgb="FF000000"/>
        <rFont val="Calibri"/>
        <family val="2"/>
        <scheme val="minor"/>
      </rPr>
      <t xml:space="preserve"> = Inversión asociada a la ejecución de las medidas de prevención, control y manejo de especies invasoras, en el año t.</t>
    </r>
  </si>
  <si>
    <r>
      <t xml:space="preserve">PDEI </t>
    </r>
    <r>
      <rPr>
        <vertAlign val="subscript"/>
        <sz val="9"/>
        <color rgb="FF000000"/>
        <rFont val="Calibri"/>
        <family val="2"/>
        <scheme val="minor"/>
      </rPr>
      <t>i</t>
    </r>
    <r>
      <rPr>
        <sz val="9"/>
        <color rgb="FF000000"/>
        <rFont val="Calibri"/>
        <family val="2"/>
        <scheme val="minor"/>
      </rPr>
      <t xml:space="preserve"> = Presupuesto definitivo asociado a la ejecución de las medidas de prevención, control y manejo de la especie invasora i, en el año t.</t>
    </r>
  </si>
  <si>
    <t>CONTINENTAL</t>
  </si>
  <si>
    <t>MARINA</t>
  </si>
  <si>
    <t>SUBTOTAL</t>
  </si>
  <si>
    <t>Número de especies invasoras en la jurisdicción</t>
  </si>
  <si>
    <t>Número de especies invasoras con medidas de prevención, control y manejo formulado</t>
  </si>
  <si>
    <t>Número de especies invasoras con medidas de prevención, control y manejo en ejecución</t>
  </si>
  <si>
    <t>Inversión asociada a la ejecución de las medidas de prevención, control y manejo de especies invasoras (Millones de $)</t>
  </si>
  <si>
    <t>Cuanto más cercano a cien por ciento, mayores son las acciones que la autoridad ambiental realiza para la ejecución de las medidas de prevención, control y manejo de las especies invasoras que cuentan con medidas de prevención, control y manejo, dadas las prioridades regionales que se han definido en este campo.</t>
  </si>
  <si>
    <t>Se pueden presentar situaciones de orden operativo, financiero, político y social que pueden afectar los presupuestos y los cronogramas definidos en el Plan de Acción de la Corporación. Así mismo, pueden existir limitaciones de información sobre las especies invasoras presentes en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</si>
  <si>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especies invasoras con medidas de manejo en ejecución (Versión 1.0).</t>
    </r>
    <r>
      <rPr>
        <sz val="9"/>
        <color rgb="FF000000"/>
        <rFont val="Calibri"/>
        <family val="2"/>
        <scheme val="minor"/>
      </rPr>
      <t xml:space="preserve"> Ministerio de Ambiente y Desarrollo Sostenible MADS, DGOAT-SINA, DBBSE y DAMCRA.</t>
    </r>
  </si>
  <si>
    <t>La formulación de las medidas de prevención, control y manejo estarán a cargo del MADS y/o las CARs.</t>
  </si>
  <si>
    <t>Porcentaje de áreas de ecosistemas en restauración, rehabilitación y reforestación</t>
  </si>
  <si>
    <t>Mide la superficie de ecosistemas en restauración, rehabilitación y reforestación, con respecto a la meta de áreas en restauración, rehabilitación y recuperación priorizadas por la Corporación.</t>
  </si>
  <si>
    <t>El indicador busca hacer seguimiento a la contribución de las CAR a la Política Nacional de Gestión Integral de la Biodiversidad y sus Servicios Ecosistémicos y específicamente las acciones relacionadas con la restauración, recuperación y rehabilitación de ecosistemas.</t>
  </si>
  <si>
    <t>Contribución a la Meta del plan de desarrollo (Hectáreas en Proceso de Restauración)</t>
  </si>
  <si>
    <t>Plan Nacional de Restauración</t>
  </si>
  <si>
    <t>El Plan Nacional de Restauración concibe la restauración, en su visión amplia, como el restablecimiento parcial o totalmente la composición, estructura y función de la biodiversidad, que hayan sido alterados o degradados.</t>
  </si>
  <si>
    <t>La restauración ecológica, por su parte, es el proceso de ayudar al restablecimiento de un ecosistema que se ha degradado, dañado o destruido. Es una actividad deliberada que inicia o acelera la recuperación de un ecosistema con respecto a su salud, integridad y sostenibilidad y busca iniciar o facilitar la reanudación de estos procesos, los cuales retornarán el ecosistema a la trayectoria deseada.</t>
  </si>
  <si>
    <t>La rehabilitación de ecosistemas enfatiza la reparación de los procesos, la productividad y los servicios de un ecosistema. Comparte con la restauración un enfoque fundamental en los ecosistemas históricos o preexistentes como modelos o referencias, pero las dos actividades difieren en sus metas y estrategias.</t>
  </si>
  <si>
    <t>La recuperación de ecosistemas incluye la estabilización del terreno, el aseguramiento de la seguridad pública, el mejoramiento estético y, por lo general, el retorno de las tierras a lo que se consideraría un propósito útil dentro del contexto regional.</t>
  </si>
  <si>
    <t>Se debe tener en cuenta que la restauración es un proceso a largo plazo por lo que sólo el establecimiento (revegetación) no significa que el ecosistema haya sido restaurado, si no que corresponde a una fase en el proceso, por lo tanto, las hectáreas establecidas se encuentran en “Proceso de restauración”.</t>
  </si>
  <si>
    <t>Se considera que el proyecto de restauración, en este caso el área, se encuentra en proceso de restauración cuando se han realizado las etapas de un proyecto de restauración.</t>
  </si>
  <si>
    <t>Las mencionadas etapas de un proyecto de restauración, identificadas en el Plan Nacional de Restauración, son: a. planeación del proyecto de restauración; b. ejecución; c. mantenimiento; d. monitoreo; y e. divulgación de modelos regionales.</t>
  </si>
  <si>
    <r>
      <t xml:space="preserve">PAERRR </t>
    </r>
    <r>
      <rPr>
        <vertAlign val="subscript"/>
        <sz val="9"/>
        <color rgb="FF000000"/>
        <rFont val="Calibri"/>
        <family val="2"/>
        <scheme val="minor"/>
      </rPr>
      <t>t</t>
    </r>
    <r>
      <rPr>
        <sz val="9"/>
        <color rgb="FF000000"/>
        <rFont val="Calibri"/>
        <family val="2"/>
        <scheme val="minor"/>
      </rPr>
      <t xml:space="preserve"> = Porcentaje de áreas de ecosistemas en restauración, rehabilitación y recuperación, en el tiempo t.</t>
    </r>
  </si>
  <si>
    <r>
      <t xml:space="preserve">AERRR </t>
    </r>
    <r>
      <rPr>
        <vertAlign val="subscript"/>
        <sz val="9"/>
        <color rgb="FF000000"/>
        <rFont val="Calibri"/>
        <family val="2"/>
        <scheme val="minor"/>
      </rPr>
      <t>it</t>
    </r>
    <r>
      <rPr>
        <sz val="9"/>
        <color rgb="FF000000"/>
        <rFont val="Calibri"/>
        <family val="2"/>
        <scheme val="minor"/>
      </rPr>
      <t xml:space="preserve"> = Superficie de áreas en restauración, rehabilitación y recuperación (ha), en el tiempo t.</t>
    </r>
  </si>
  <si>
    <r>
      <t xml:space="preserve">MAERRR </t>
    </r>
    <r>
      <rPr>
        <vertAlign val="subscript"/>
        <sz val="9"/>
        <color rgb="FF000000"/>
        <rFont val="Calibri"/>
        <family val="2"/>
        <scheme val="minor"/>
      </rPr>
      <t>it</t>
    </r>
    <r>
      <rPr>
        <sz val="9"/>
        <color rgb="FF000000"/>
        <rFont val="Calibri"/>
        <family val="2"/>
        <scheme val="minor"/>
      </rPr>
      <t xml:space="preserve"> = Meta de áreas en restauración, rehabilitación y recuperación (ha), en el tiempo t.</t>
    </r>
  </si>
  <si>
    <t>Inversión asociada a restauración, rehabilitación y recuperación de los ecosistemas naturales</t>
  </si>
  <si>
    <t>(Millones de $)</t>
  </si>
  <si>
    <r>
      <t xml:space="preserve">IRRR </t>
    </r>
    <r>
      <rPr>
        <vertAlign val="subscript"/>
        <sz val="9"/>
        <color rgb="FF000000"/>
        <rFont val="Calibri"/>
        <family val="2"/>
        <scheme val="minor"/>
      </rPr>
      <t>t</t>
    </r>
    <r>
      <rPr>
        <sz val="9"/>
        <color rgb="FF000000"/>
        <rFont val="Calibri"/>
        <family val="2"/>
        <scheme val="minor"/>
      </rPr>
      <t xml:space="preserve"> = Inversión asociada a restauración, rehabilitación y recuperación de los ecosistemas naturales, en el año t.</t>
    </r>
  </si>
  <si>
    <r>
      <t xml:space="preserve">PDIRRR </t>
    </r>
    <r>
      <rPr>
        <vertAlign val="subscript"/>
        <sz val="9"/>
        <color rgb="FF000000"/>
        <rFont val="Calibri"/>
        <family val="2"/>
        <scheme val="minor"/>
      </rPr>
      <t>i</t>
    </r>
    <r>
      <rPr>
        <sz val="9"/>
        <color rgb="FF000000"/>
        <rFont val="Calibri"/>
        <family val="2"/>
        <scheme val="minor"/>
      </rPr>
      <t xml:space="preserve"> = Presupuesto definitivo asociado a la ejecución de la acción o proyecto i relacionado con la restauración, rehabilitación y recuperación de los ecosistemas naturales, en el año t.</t>
    </r>
  </si>
  <si>
    <t>Meta de áreas de ecosistemas en restauración, rehabilitación y recuperación (ha)</t>
  </si>
  <si>
    <t>Áreas de ecosistemas en restauración ecológica</t>
  </si>
  <si>
    <t>Áreas de ecosistemas en rehabilitación</t>
  </si>
  <si>
    <t>Áreas de ecosistemas en recuperación</t>
  </si>
  <si>
    <t>Inversión asociada a restauración, rehabilitación y recuperación de los ecosistemas (Millones de $)</t>
  </si>
  <si>
    <t>Tipo de acción (restauración, rehabilitación o recuperación)</t>
  </si>
  <si>
    <t>Área en restauración, rehabilitación o recuperación (ha)</t>
  </si>
  <si>
    <t>Cuanto más cercano a cien por ciento, mayor es el cumplimiento de las metas establecidas por la Corporación en materia de restauración, rehabilitación y reforestación.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</si>
  <si>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áreas de ecosistemas en restauración, rehabilitación y reforestación (Versión 1.0).</t>
    </r>
    <r>
      <rPr>
        <sz val="9"/>
        <color rgb="FF000000"/>
        <rFont val="Calibri"/>
        <family val="2"/>
        <scheme val="minor"/>
      </rPr>
      <t xml:space="preserve"> Ministerio de Ambiente y Desarrollo Sostenible MADS, DGOAT-SINA, DBBSE y DAMCRA.</t>
    </r>
  </si>
  <si>
    <t>Implementación de acciones en manejo integrado de zonas costeras</t>
  </si>
  <si>
    <t>Es el porcentaje de avance en la ejecución, por parte de la corporación autónoma regional, de las acciones relacionadas con el manejo integrado de zonas costeras en el marco del Plan de Acción.</t>
  </si>
  <si>
    <t>El indicador mide el cumplimiento de las metas que la autoridad ambiental se ha propuesto alcanzar en relación con el manejo integrado de zonas costeras, en el marco del Plan de Acción de la Corporación. De esta manera, contribuye a la implementación regional de la Política nacional ambiental para el desarrollo sostenible de los espacios oceánicos y las zonas costeras e insulares de Colombia.</t>
  </si>
  <si>
    <t>Ley 99 de 1993, Ley Marco de Medio Ambiente.</t>
  </si>
  <si>
    <t>Ley 1450 de 2011 (artículos 207 y 208) (vigentes).</t>
  </si>
  <si>
    <t>Decreto 1076 de 2015, Decreto Único Reglamentario.</t>
  </si>
  <si>
    <t>Resolución 1602 de 1995, manglares</t>
  </si>
  <si>
    <t>Resolución 20 de 1996, manglares</t>
  </si>
  <si>
    <t>Resolución 924 de 1997, manglares</t>
  </si>
  <si>
    <t>Política nacional ambiental para el desarrollo sostenible de los espacios oceánicos y las zonas costeras e insulares de Colombia – PNAOCI 2000</t>
  </si>
  <si>
    <t>La Política Nacional Ambiental para el Desarrollo Sostenible de los Espacios Oceánicos y las Zonas Costeras e Insulares de Colombia- PNAOCI-, , señala que el manejo integrado costero es un proceso de planificación especial dirigido hacia un área compleja y dinámica, que se enfoca en la interfase mar – tierra y que considera los siguientes aspectos: algunos conceptos fijos y otros flexibles que la demarcan, una ética de conservación de los ecosistemas, metas socioeconómicas, un estilo de manejo activo participativo y de solución de problemas, y una fuerte base científica.</t>
  </si>
  <si>
    <t>La mencionada política promueve el ordenamiento territorial para asignar usos sostenibles al territorio marítimo y costero nacional, la formas mejoradas de gobierno que armonicen y articulen la planificación del desarrollo costero sectorial, la conservación y restauración de los bienes y servicios que proveen sus ecosistemas, la generación de conocimiento que permita la obtención de información estratégica para la toma de decisiones de manejo integrado de esta áreas, y los procesos de autogestión comunitaria y de aprendizaje que permitan integrar a los múltiples usuarios de la zona costera en la gestión de su manejo sostenible.</t>
  </si>
  <si>
    <t>Las principales temáticas en el Manejo Integrado de Zonas Costeras en las que tienen competencia las Corporaciones Autónomas Regionales son:</t>
  </si>
  <si>
    <r>
      <t>1)</t>
    </r>
    <r>
      <rPr>
        <sz val="7"/>
        <color rgb="FF000000"/>
        <rFont val="Times New Roman"/>
        <family val="1"/>
      </rPr>
      <t xml:space="preserve">      </t>
    </r>
    <r>
      <rPr>
        <sz val="9"/>
        <color rgb="FF000000"/>
        <rFont val="Calibri"/>
        <family val="2"/>
        <scheme val="minor"/>
      </rPr>
      <t>Planificación y ordenamiento de la Unidad Ambiental Costera UAC</t>
    </r>
  </si>
  <si>
    <r>
      <t>a)</t>
    </r>
    <r>
      <rPr>
        <sz val="7"/>
        <color rgb="FF000000"/>
        <rFont val="Times New Roman"/>
        <family val="1"/>
      </rPr>
      <t xml:space="preserve">      </t>
    </r>
    <r>
      <rPr>
        <sz val="9"/>
        <color rgb="FF000000"/>
        <rFont val="Calibri"/>
        <family val="2"/>
        <scheme val="minor"/>
      </rPr>
      <t>Participación en la Formulación del POMIUAC en el marco de la Unidad Ambiental Costera correspondiente a su jurisdicción y en el Diagnóstico y Zonificación de los Manglares.</t>
    </r>
  </si>
  <si>
    <r>
      <t>2)</t>
    </r>
    <r>
      <rPr>
        <sz val="7"/>
        <color rgb="FF000000"/>
        <rFont val="Times New Roman"/>
        <family val="1"/>
      </rPr>
      <t xml:space="preserve">      </t>
    </r>
    <r>
      <rPr>
        <sz val="9"/>
        <color rgb="FF000000"/>
        <rFont val="Calibri"/>
        <family val="2"/>
        <scheme val="minor"/>
      </rPr>
      <t>Gestión ambiental en las zonas costeras de su jurisdicción</t>
    </r>
  </si>
  <si>
    <r>
      <t>a)</t>
    </r>
    <r>
      <rPr>
        <sz val="7"/>
        <color rgb="FF000000"/>
        <rFont val="Times New Roman"/>
        <family val="1"/>
      </rPr>
      <t xml:space="preserve">      </t>
    </r>
    <r>
      <rPr>
        <sz val="9"/>
        <color rgb="FF000000"/>
        <rFont val="Calibri"/>
        <family val="2"/>
        <scheme val="minor"/>
      </rPr>
      <t>Manejo de ecosistemas marinos y costeros.</t>
    </r>
  </si>
  <si>
    <r>
      <t>3)</t>
    </r>
    <r>
      <rPr>
        <sz val="7"/>
        <color rgb="FF000000"/>
        <rFont val="Times New Roman"/>
        <family val="1"/>
      </rPr>
      <t xml:space="preserve">      </t>
    </r>
    <r>
      <rPr>
        <sz val="9"/>
        <color rgb="FF000000"/>
        <rFont val="Calibri"/>
        <family val="2"/>
        <scheme val="minor"/>
      </rPr>
      <t>Articulación junto con los entes territoriales en el manejo integrado de zonas costeras.</t>
    </r>
  </si>
  <si>
    <r>
      <t>4)</t>
    </r>
    <r>
      <rPr>
        <sz val="7"/>
        <color rgb="FF000000"/>
        <rFont val="Times New Roman"/>
        <family val="1"/>
      </rPr>
      <t xml:space="preserve">      </t>
    </r>
    <r>
      <rPr>
        <sz val="9"/>
        <color rgb="FF000000"/>
        <rFont val="Calibri"/>
        <family val="2"/>
        <scheme val="minor"/>
      </rPr>
      <t>Educación y participación en manejo integrado de zonas costeras.</t>
    </r>
  </si>
  <si>
    <r>
      <t>5)</t>
    </r>
    <r>
      <rPr>
        <sz val="7"/>
        <color rgb="FF000000"/>
        <rFont val="Times New Roman"/>
        <family val="1"/>
      </rPr>
      <t xml:space="preserve">      </t>
    </r>
    <r>
      <rPr>
        <sz val="9"/>
        <color rgb="FF000000"/>
        <rFont val="Calibri"/>
        <family val="2"/>
        <scheme val="minor"/>
      </rPr>
      <t>Gestión de Información en manejo integrado de zonas costeras</t>
    </r>
  </si>
  <si>
    <r>
      <t>a)</t>
    </r>
    <r>
      <rPr>
        <sz val="7"/>
        <color rgb="FF000000"/>
        <rFont val="Times New Roman"/>
        <family val="1"/>
      </rPr>
      <t xml:space="preserve">      </t>
    </r>
    <r>
      <rPr>
        <sz val="9"/>
        <color rgb="FF000000"/>
        <rFont val="Calibri"/>
        <family val="2"/>
        <scheme val="minor"/>
      </rPr>
      <t>Monitoreo de la calidad ambiental en las zonas marinas y costeras</t>
    </r>
  </si>
  <si>
    <r>
      <t>b)</t>
    </r>
    <r>
      <rPr>
        <sz val="7"/>
        <color rgb="FF000000"/>
        <rFont val="Times New Roman"/>
        <family val="1"/>
      </rPr>
      <t xml:space="preserve">      </t>
    </r>
    <r>
      <rPr>
        <sz val="9"/>
        <color rgb="FF000000"/>
        <rFont val="Calibri"/>
        <family val="2"/>
        <scheme val="minor"/>
      </rPr>
      <t>Fortalecimiento de los sistemas de información regional ambiental en el ámbito marino-costero</t>
    </r>
  </si>
  <si>
    <r>
      <t>c)</t>
    </r>
    <r>
      <rPr>
        <sz val="7"/>
        <color rgb="FF000000"/>
        <rFont val="Times New Roman"/>
        <family val="1"/>
      </rPr>
      <t xml:space="preserve">       </t>
    </r>
    <r>
      <rPr>
        <sz val="9"/>
        <color rgb="FF000000"/>
        <rFont val="Calibri"/>
        <family val="2"/>
        <scheme val="minor"/>
      </rPr>
      <t>Monitoreo de ecosistemas y recursos acuáticos marinos y costeros</t>
    </r>
  </si>
  <si>
    <t>Cabe señalar que las acciones a ser realizadas por las Corporaciones deben corresponder a las competencias otorgadas por la normatividad y en el marco de sus funciones misionales.</t>
  </si>
  <si>
    <t>Porcentaje de ejecución de acciones relacionadas con el manejo integrado de zonas costeras</t>
  </si>
  <si>
    <t>Es el promedio ponderado de la ejecución de acciones relacionadas con el manejo integrado de las zonas costeras.</t>
  </si>
  <si>
    <r>
      <t xml:space="preserve">ETAMIZC </t>
    </r>
    <r>
      <rPr>
        <vertAlign val="subscript"/>
        <sz val="9"/>
        <color rgb="FF000000"/>
        <rFont val="Calibri"/>
        <family val="2"/>
        <scheme val="minor"/>
      </rPr>
      <t>t</t>
    </r>
    <r>
      <rPr>
        <sz val="9"/>
        <color rgb="FF000000"/>
        <rFont val="Calibri"/>
        <family val="2"/>
        <scheme val="minor"/>
      </rPr>
      <t xml:space="preserve"> = Porcentaje de ejecución total de acciones en manejo integrado de zonas costeras, en el tiempo t.</t>
    </r>
  </si>
  <si>
    <r>
      <t xml:space="preserve">EAMIZC </t>
    </r>
    <r>
      <rPr>
        <vertAlign val="subscript"/>
        <sz val="9"/>
        <color rgb="FF000000"/>
        <rFont val="Calibri"/>
        <family val="2"/>
        <scheme val="minor"/>
      </rPr>
      <t>It</t>
    </r>
    <r>
      <rPr>
        <sz val="9"/>
        <color rgb="FF000000"/>
        <rFont val="Calibri"/>
        <family val="2"/>
        <scheme val="minor"/>
      </rPr>
      <t xml:space="preserve"> = Porcentaje de ejecución de la acción </t>
    </r>
    <r>
      <rPr>
        <i/>
        <sz val="9"/>
        <color rgb="FF000000"/>
        <rFont val="Calibri"/>
        <family val="2"/>
        <scheme val="minor"/>
      </rPr>
      <t>i</t>
    </r>
    <r>
      <rPr>
        <sz val="9"/>
        <color rgb="FF000000"/>
        <rFont val="Calibri"/>
        <family val="2"/>
        <scheme val="minor"/>
      </rPr>
      <t xml:space="preserve"> relacionada con el manejo integrado de zonas costeras, en el tiempo t.</t>
    </r>
  </si>
  <si>
    <r>
      <t xml:space="preserve"> a </t>
    </r>
    <r>
      <rPr>
        <vertAlign val="subscript"/>
        <sz val="9"/>
        <color rgb="FF000000"/>
        <rFont val="Calibri"/>
        <family val="2"/>
        <scheme val="minor"/>
      </rPr>
      <t>i</t>
    </r>
    <r>
      <rPr>
        <sz val="9"/>
        <color rgb="FF000000"/>
        <rFont val="Calibri"/>
        <family val="2"/>
        <scheme val="minor"/>
      </rPr>
      <t xml:space="preserve"> = ponderador de la acción i de manejo integrado de zonas costeras</t>
    </r>
  </si>
  <si>
    <r>
      <t xml:space="preserve">Σ a </t>
    </r>
    <r>
      <rPr>
        <vertAlign val="subscript"/>
        <sz val="9"/>
        <color rgb="FF000000"/>
        <rFont val="Calibri"/>
        <family val="2"/>
        <scheme val="minor"/>
      </rPr>
      <t>i</t>
    </r>
    <r>
      <rPr>
        <sz val="9"/>
        <color rgb="FF000000"/>
        <rFont val="Calibri"/>
        <family val="2"/>
        <scheme val="minor"/>
      </rPr>
      <t xml:space="preserve"> = 1.</t>
    </r>
  </si>
  <si>
    <r>
      <t>Nota:</t>
    </r>
    <r>
      <rPr>
        <sz val="9"/>
        <color rgb="FF000000"/>
        <rFont val="Calibri"/>
        <family val="2"/>
        <scheme val="minor"/>
      </rPr>
      <t xml:space="preserve"> los ponderadores de las acciones serán definidos por las CAR teniendo en cuenta el peso asignado para cada una de ellas.</t>
    </r>
  </si>
  <si>
    <t>Porcentaje de ejecución de acciones relacionadas con el manejo integrado de zonas costeras.</t>
  </si>
  <si>
    <t>Número de acciones relacionadas con el manejo integrado de zonas Costeras</t>
  </si>
  <si>
    <t>Ejecución física de las acciones relacionadas con el manejo integrado de zonas costeras</t>
  </si>
  <si>
    <t>Temática</t>
  </si>
  <si>
    <t>Ejecución Física (%)</t>
  </si>
  <si>
    <t>% Ejecución Física Cuatrienal</t>
  </si>
  <si>
    <t>% Ejecución Física Anual</t>
  </si>
  <si>
    <t>Ponderación (100%)</t>
  </si>
  <si>
    <t>Ejecución ponderada (%)</t>
  </si>
  <si>
    <t>Articulación junto con los entes territoriales en el manejo integrado de zonas costeras</t>
  </si>
  <si>
    <t>Educación y participación en MIZC</t>
  </si>
  <si>
    <t>(*) Nombre de la acción, actividad o proyecto en el Plan de Acción de la Corporación.</t>
  </si>
  <si>
    <t>Cuanto más cercano a cien por ciento, mayor es el cumplimiento de las metas que la autoridad ambiental se ha propuesto alcanzar en relación con el manejo integrado de zonas costeras, en el marco del Plan de Acción de la Corporación.</t>
  </si>
  <si>
    <t>Se pueden presentar situaciones de orden operativo, financiero, político y social que pueden afectar los presupuestos y los cronogramas definidos en el Plan de Acción de la Corporación. Así mismo, pueden existir limitaciones sobre la disponibilidad de información.</t>
  </si>
  <si>
    <r>
      <t xml:space="preserve">Hoja Metodológica de referencia: MADS (2016). </t>
    </r>
    <r>
      <rPr>
        <i/>
        <sz val="9"/>
        <color rgb="FF000000"/>
        <rFont val="Calibri"/>
        <family val="2"/>
        <scheme val="minor"/>
      </rPr>
      <t>Hoja metodológica Ejecución de acciones en Manejo Integrado de Zonas Costeras (Versión 1.0).</t>
    </r>
    <r>
      <rPr>
        <sz val="9"/>
        <color rgb="FF000000"/>
        <rFont val="Calibri"/>
        <family val="2"/>
        <scheme val="minor"/>
      </rPr>
      <t xml:space="preserve"> Ministerio de Ambiente y Desarrollo Sostenible MADS, DGOAT-SINA y DAMCRA.</t>
    </r>
  </si>
  <si>
    <t>Porcentaje de Planes de Gestión Integral de Residuos Sólidos (PGIRS) con seguimiento a metas de aprovechamiento</t>
  </si>
  <si>
    <t>Es la relación entre el número de Planes de Gestión Integral de Residuos Sólidos (PGIRS) con seguimiento con respecto a la meta de seguimiento de dichos planes por parte de la autoridad ambiental, exclusivamente en lo relacionado con las metas de aprovechamiento.</t>
  </si>
  <si>
    <t>El indicador mide el cumplimiento de las metas que la autoridad ambiental se ha propuesto alcanzar en relación con el seguimiento a los Planes de Gestión Integral de Residuos Sólidos (PGIRS), exclusivamente en lo relacionado con las metas de aprovechamiento.</t>
  </si>
  <si>
    <t>Decreto 1076 de 2015, Decreto Único Reglamentario Sector Ambiente, Articulo 2.2.6.1.1.1 al 2.2.7.3.1.7.</t>
  </si>
  <si>
    <t>Decreto 1077 de 2015. Artículo 2.3.2.2.3.90. Programa de aprovechamiento.</t>
  </si>
  <si>
    <t>Resolución 754 de 2014</t>
  </si>
  <si>
    <t>Metodología para la formulación, implementación, evaluación, seguimiento, control y actualización de los Planes de Gestión Integral de Residuos Sólidos (PGIRS)</t>
  </si>
  <si>
    <t>El Decreto 1077 de 2015 define el Plan de Gestión Integral de Residuos Sólidos como el “instrumento de planeación municipal o regional que contiene un conjunto ordenado de objetivos, metas, programas, proyectos, actividades y recursos definidos por uno o más entes territoriales para el manejo de los residuos sólidos, basado en la política de gestión integral de los mismos, el cual se ejecutará durante un período determinado, basándose en un diagnóstico inicial, en su proyección hacia el futuro y en un plan financiero viable que permita garantizar el mejoramiento continuo del manejo de residuos y la prestación del servicio de aseo a nivel municipal o regional, evaluado a través de la medición de resultados. Corresponde a la entidad territorial la formulación, implementación, evaluación, seguimiento y control y actualización del PGIRS”.</t>
  </si>
  <si>
    <t>El parágrafo del artículo 2.3.2.2.3.90 del mencionado decreto determina que “a las autoridades ambientales competentes, les corresponde realizar el control y seguimiento de la ejecución del PGIRS, exclusivamente en lo relacionado con las metas de aprovechamiento y las autorizaciones ambientales que requiera el prestador del servicio de aseo, de conformidad con la normatividad ambiental vigente”.</t>
  </si>
  <si>
    <t>Por su parte, la Resolución 754 de 2014 adopta la metodología para la formulación, implementación, evaluación, seguimiento, control y actualización de los Planes de Gestión Integral de Residuos Sólidos (PGIRS).</t>
  </si>
  <si>
    <r>
      <t xml:space="preserve">PPGIRSCS </t>
    </r>
    <r>
      <rPr>
        <vertAlign val="subscript"/>
        <sz val="9"/>
        <color rgb="FF000000"/>
        <rFont val="Calibri"/>
        <family val="2"/>
        <scheme val="minor"/>
      </rPr>
      <t>t</t>
    </r>
    <r>
      <rPr>
        <sz val="9"/>
        <color rgb="FF000000"/>
        <rFont val="Calibri"/>
        <family val="2"/>
        <scheme val="minor"/>
      </rPr>
      <t xml:space="preserve"> = Porcentaje de Planes de Gestión Integral de Residuos Sólidos (PGIRS) con seguimiento, exclusivamente en lo relacionado con las metas de aprovechamiento en el tiempo t.</t>
    </r>
  </si>
  <si>
    <r>
      <t xml:space="preserve">PGIRSCS </t>
    </r>
    <r>
      <rPr>
        <vertAlign val="subscript"/>
        <sz val="9"/>
        <color rgb="FF000000"/>
        <rFont val="Calibri"/>
        <family val="2"/>
        <scheme val="minor"/>
      </rPr>
      <t>t</t>
    </r>
    <r>
      <rPr>
        <sz val="9"/>
        <color rgb="FF000000"/>
        <rFont val="Calibri"/>
        <family val="2"/>
        <scheme val="minor"/>
      </rPr>
      <t xml:space="preserve"> = Número de Planes de Gestión Integral de Residuos Sólidos con seguimiento a las metas de aprovechamiento, en el tiempo t.</t>
    </r>
  </si>
  <si>
    <r>
      <t xml:space="preserve">MPGIRSCS </t>
    </r>
    <r>
      <rPr>
        <vertAlign val="subscript"/>
        <sz val="9"/>
        <color rgb="FF000000"/>
        <rFont val="Calibri"/>
        <family val="2"/>
        <scheme val="minor"/>
      </rPr>
      <t>t</t>
    </r>
    <r>
      <rPr>
        <sz val="9"/>
        <color rgb="FF000000"/>
        <rFont val="Calibri"/>
        <family val="2"/>
        <scheme val="minor"/>
      </rPr>
      <t xml:space="preserve"> = Meta de Planes de Gestión Integral de Residuos Sólidos con seguimiento a las metas de aprovechamiento, en el tiempo t.</t>
    </r>
  </si>
  <si>
    <t>La meta de número de Planes de Gestión Integral de Residuos Sólidos sujetos a seguimiento es establecida en el Plan de Acción de la Corporación. (Exclusivamente en lo relacionado con las metas de aprovechamiento)</t>
  </si>
  <si>
    <t>Número total de Planes de Gestión Integral de Residuos Sólidos (PGIRS) de la jurisdicción de la Corporación:</t>
  </si>
  <si>
    <t>Número total de Planes de Gestión Integral de Residuos Sólidos (PGIRS) priorizados por la Corporación para hacer seguimiento, exclusivamente en lo relacionado con las metas de aprovechamiento, en el cuatrienio:</t>
  </si>
  <si>
    <t>Meta de Planes de Gestión Integral de Residuos Sólidos (PGIRS) con seguimiento a las metas de aprovechamiento MPGIRSCS</t>
  </si>
  <si>
    <t>Número de Planes de Gestión Integral de Residuos Sólidos con seguimiento a las metas de aprovechamiento (PPGIRSCS)</t>
  </si>
  <si>
    <t>Porcentaje de Planes de Gestión Integral de Residuos Sólidos con seguimiento exclusivamente en lo relacionado con las metas de aprovechamiento (PPGIRSCS)</t>
  </si>
  <si>
    <t>Cuanto más cercano a cien por ciento, mayor es el cumplimiento de las metas que la autoridad ambiental se ha propuesto alcanzar en relación con el seguimiento a los Planes de Gestión Integral de Residuos Sólidos (PGIRS)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</si>
  <si>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Planes de Gestión Integral de Residuos Sólidos (PGIRS) con seguimiento (Versión 1.0).</t>
    </r>
    <r>
      <rPr>
        <sz val="9"/>
        <color rgb="FF000000"/>
        <rFont val="Calibri"/>
        <family val="2"/>
        <scheme val="minor"/>
      </rPr>
      <t xml:space="preserve"> Ministerio de Ambiente y Desarrollo Sostenible, DGOAT-SINA y DAASU.</t>
    </r>
  </si>
  <si>
    <t>Porcentaje de sectores con acompañamiento para la reconversión hacia sistemas sostenibles de producción</t>
  </si>
  <si>
    <t>Es la relación entre el número de sectores acompañados por la Corporación Autónoma Regional en la reconversión hacia sistemas sostenibles de producción, y la meta de sectores priorizados por la autoridad ambiental para dicho acompañamiento.</t>
  </si>
  <si>
    <t>El indicador mide el cumplimiento de las metas establecidas en relación con los sectores priorizados por la Corporación para hacerles acompañamiento en la reconversión hacia sistemas sostenibles de producción. De esta manera, contribuye a la implementación de la Política de Producción y Consumo Sostenible y de la Estrategia de Crecimiento Verde del Plan Nacional de Desarrollo 2014-2018.</t>
  </si>
  <si>
    <t>Decreto 1076 de 2016.</t>
  </si>
  <si>
    <t>Ley 1753 de 2015, Plan Nacional de Desarrollo.</t>
  </si>
  <si>
    <t>Política de Producción y Consumo Sostenible (PPyCS)</t>
  </si>
  <si>
    <t>Plan Nacional de Desarrollo PND 2015-2018</t>
  </si>
  <si>
    <r>
      <t xml:space="preserve">El Ministerio de Ambiente formuló en 2010 la </t>
    </r>
    <r>
      <rPr>
        <b/>
        <sz val="9"/>
        <color rgb="FF000000"/>
        <rFont val="Calibri"/>
        <family val="2"/>
        <scheme val="minor"/>
      </rPr>
      <t>Política Nacional de Producción y Consumo Sostenible (PPyCS)</t>
    </r>
    <r>
      <rPr>
        <sz val="9"/>
        <color rgb="FF000000"/>
        <rFont val="Calibri"/>
        <family val="2"/>
        <scheme val="minor"/>
      </rPr>
      <t>, con el propósito de orientar el cambio de los patrones de producción y consumo de la economía colombiana hacia la sostenibilidad ambiental y consecuente con ello, contribuir al mejoramiento de la competitividad empresarial.</t>
    </r>
  </si>
  <si>
    <t>Los sectores prioritarios de la PPyCS son:</t>
  </si>
  <si>
    <r>
      <t xml:space="preserve">Sector </t>
    </r>
    <r>
      <rPr>
        <b/>
        <sz val="9"/>
        <color rgb="FF000000"/>
        <rFont val="Calibri"/>
        <family val="2"/>
        <scheme val="minor"/>
      </rPr>
      <t xml:space="preserve">público </t>
    </r>
    <r>
      <rPr>
        <sz val="9"/>
        <color rgb="FF000000"/>
        <rFont val="Calibri"/>
        <family val="2"/>
        <scheme val="minor"/>
      </rPr>
      <t>(obras de infraestructura, vivienda social, tecnologías, transporte público, generación de energía). (i) Con perspectivas de incidir en avances de sostenibilidad de obras y proyectos de gran impacto; (ii) Con potencial de que sea considerado como ejemplo en las prácticas de producción y consumo sostenible.</t>
    </r>
  </si>
  <si>
    <r>
      <t xml:space="preserve">Sector de la </t>
    </r>
    <r>
      <rPr>
        <b/>
        <sz val="9"/>
        <color rgb="FF000000"/>
        <rFont val="Calibri"/>
        <family val="2"/>
        <scheme val="minor"/>
      </rPr>
      <t>construcción</t>
    </r>
    <r>
      <rPr>
        <sz val="9"/>
        <color rgb="FF000000"/>
        <rFont val="Calibri"/>
        <family val="2"/>
        <scheme val="minor"/>
      </rPr>
      <t>. (i) Con perspectivas de incidir a través de su diseño, en el consumo de energía y agua y en el manejo de residuos en el sector doméstico. (ii) Gran escala y crecimiento. (iii) Con perspectivas de utilizar materiales sostenibles y estimular a los proveedores hacia procesos de producción más sostenibles.</t>
    </r>
  </si>
  <si>
    <r>
      <t xml:space="preserve">Sector </t>
    </r>
    <r>
      <rPr>
        <b/>
        <sz val="9"/>
        <color rgb="FF000000"/>
        <rFont val="Calibri"/>
        <family val="2"/>
        <scheme val="minor"/>
      </rPr>
      <t>manufacturero</t>
    </r>
    <r>
      <rPr>
        <sz val="9"/>
        <color rgb="FF000000"/>
        <rFont val="Calibri"/>
        <family val="2"/>
        <scheme val="minor"/>
      </rPr>
      <t xml:space="preserve"> (envases y empaques, alimentos, productos químicos, metalurgia). (i)Con perspectivas de optimizar en sus procesos productivos el uso eficiente de energía, agua y materias primas. (ii) Con potencial para la reducción y el aprovechamiento de los residuos. (iii) Con potencial de reducir su huella de carbono.</t>
    </r>
  </si>
  <si>
    <r>
      <t xml:space="preserve">Sector </t>
    </r>
    <r>
      <rPr>
        <b/>
        <sz val="9"/>
        <color rgb="FF000000"/>
        <rFont val="Calibri"/>
        <family val="2"/>
        <scheme val="minor"/>
      </rPr>
      <t>agroindustrial</t>
    </r>
    <r>
      <rPr>
        <sz val="9"/>
        <color rgb="FF000000"/>
        <rFont val="Calibri"/>
        <family val="2"/>
        <scheme val="minor"/>
      </rPr>
      <t xml:space="preserve"> (azúcar, flores, banano, biocombustibles). (i) Con alto potencial de exportación. (ii) Sector en crecimiento, especialmente en relación con los biocombustibles. (iii) Sector intensivo en el uso de recursos y con alto potencial de optimización.</t>
    </r>
  </si>
  <si>
    <r>
      <t xml:space="preserve">Sector </t>
    </r>
    <r>
      <rPr>
        <b/>
        <sz val="9"/>
        <color rgb="FF000000"/>
        <rFont val="Calibri"/>
        <family val="2"/>
        <scheme val="minor"/>
      </rPr>
      <t>turismo</t>
    </r>
    <r>
      <rPr>
        <sz val="9"/>
        <color rgb="FF000000"/>
        <rFont val="Calibri"/>
        <family val="2"/>
        <scheme val="minor"/>
      </rPr>
      <t>. (i) Sector estratégico dentro las políticas de competitividad nacional. (ii) Con potencial para hacer uso eficiente de energía y agua y manejo adecuado de residuos. (iii) Con potencial para ser ejemplo por el uso racional de los recursos.</t>
    </r>
  </si>
  <si>
    <r>
      <t xml:space="preserve">Sector de </t>
    </r>
    <r>
      <rPr>
        <b/>
        <sz val="9"/>
        <color rgb="FF000000"/>
        <rFont val="Calibri"/>
        <family val="2"/>
        <scheme val="minor"/>
      </rPr>
      <t>alimentos ecológicos</t>
    </r>
    <r>
      <rPr>
        <sz val="9"/>
        <color rgb="FF000000"/>
        <rFont val="Calibri"/>
        <family val="2"/>
        <scheme val="minor"/>
      </rPr>
      <t>. (i) Con potencial de crecimiento hacia la exportación. (ii) Con potencial de ser considerado como ejemplo para prácticas de producción y consumo sostenible. Sector de productos y servicios provenientes de la biodiversidad. (i) Con potencial de crecimiento hacia la exportación. (ii) Con potencial de ser considerado como ejemplo para prácticas de producción, consumo y aprovechamiento sostenible. Pymes proveedoras de grandes empresas. (i) Con potencial de difusión de prácticas entre grupos de empresas. (ii) Con potencial de generación y conservación de empleo (iii) Con potencial para implementar prácticas de producción y consumo sostenible.</t>
    </r>
  </si>
  <si>
    <r>
      <t xml:space="preserve">Por su parte, el Plan Nacional de Desarrollo 2014-2018 incluyó la </t>
    </r>
    <r>
      <rPr>
        <b/>
        <sz val="9"/>
        <color rgb="FF000000"/>
        <rFont val="Calibri"/>
        <family val="2"/>
        <scheme val="minor"/>
      </rPr>
      <t>Estrategia Transversal y Envolvente de Crecimiento Verde</t>
    </r>
    <r>
      <rPr>
        <sz val="9"/>
        <color rgb="FF000000"/>
        <rFont val="Calibri"/>
        <family val="2"/>
        <scheme val="minor"/>
      </rPr>
      <t xml:space="preserve"> con el fin de alcanzar una Colombia en paz y un desarrollo económico sostenible. El crecimiento verde propende por un desarrollo sostenible que garantice el bienestar económico y social de la población en el largo plazo, asegurando que la base de los recursos provea los bienes y servicios ecosistémicos que el país necesita y el ambiente natural sea capaz de recuperarse ante los impactos de las actividades productivas (DNP 2014)</t>
    </r>
  </si>
  <si>
    <t>La Estrategia Nacional de Crecimiento Verde cuenta con tres objetivos:</t>
  </si>
  <si>
    <r>
      <t>1.</t>
    </r>
    <r>
      <rPr>
        <sz val="7"/>
        <color rgb="FF000000"/>
        <rFont val="Times New Roman"/>
        <family val="1"/>
      </rPr>
      <t xml:space="preserve">       </t>
    </r>
    <r>
      <rPr>
        <sz val="9"/>
        <color rgb="FF000000"/>
        <rFont val="Calibri"/>
        <family val="2"/>
      </rPr>
      <t>Avanzar hacia un crecimiento sostenible y bajo en carbono</t>
    </r>
  </si>
  <si>
    <r>
      <t>2.</t>
    </r>
    <r>
      <rPr>
        <sz val="7"/>
        <color rgb="FF000000"/>
        <rFont val="Times New Roman"/>
        <family val="1"/>
      </rPr>
      <t xml:space="preserve">       </t>
    </r>
    <r>
      <rPr>
        <sz val="9"/>
        <color rgb="FF000000"/>
        <rFont val="Calibri"/>
        <family val="2"/>
      </rPr>
      <t>Proteger y asegurar el uso sostenible del capital natural y mejorar la calidad y gobernanza ambiental</t>
    </r>
  </si>
  <si>
    <r>
      <t>3.</t>
    </r>
    <r>
      <rPr>
        <sz val="7"/>
        <color rgb="FF000000"/>
        <rFont val="Times New Roman"/>
        <family val="1"/>
      </rPr>
      <t xml:space="preserve">       </t>
    </r>
    <r>
      <rPr>
        <sz val="9"/>
        <color rgb="FF000000"/>
        <rFont val="Calibri"/>
        <family val="2"/>
      </rPr>
      <t>lograr un crecimiento resiliente y reducir la vulnerabilidad frente a los riesgos de desastres y al cambio climático.</t>
    </r>
  </si>
  <si>
    <t>En particular, la Estrategia promueve la adopción de prácticas de generación de valor agregado por parte de todos los sectores productivos; así como la identificación y aprovechamiento de las oportunidades de aumento en la competitividad, productividad y eficiencia, que a su vez reduzcan las emisiones de GEI en los diferentes sectores de la economía nacional y promuevan la resiliencia a los efectos adversos del cambio climático.</t>
  </si>
  <si>
    <t>Ahora bien, el papel de las Corporaciones Autónomas Regionales en este campo es acompañar los sectores productivos hacia la reconversión a sistemas sostenibles de producción.</t>
  </si>
  <si>
    <t>Se entiende por acompañamiento a los sectores productivos contiene las siguientes acciones:</t>
  </si>
  <si>
    <r>
      <t>·</t>
    </r>
    <r>
      <rPr>
        <sz val="7"/>
        <color rgb="FF000000"/>
        <rFont val="Times New Roman"/>
        <family val="1"/>
      </rPr>
      <t xml:space="preserve">        </t>
    </r>
    <r>
      <rPr>
        <sz val="9"/>
        <color rgb="FF000000"/>
        <rFont val="Calibri"/>
        <family val="2"/>
      </rPr>
      <t>Reuniones de construcción de agendas conjuntas de trabajo y de actualización de los convenios sectoriales de producción más limpia firmados como espacios de concertación</t>
    </r>
  </si>
  <si>
    <r>
      <t>·</t>
    </r>
    <r>
      <rPr>
        <sz val="7"/>
        <color rgb="FF000000"/>
        <rFont val="Times New Roman"/>
        <family val="1"/>
      </rPr>
      <t xml:space="preserve">        </t>
    </r>
    <r>
      <rPr>
        <sz val="9"/>
        <color rgb="FF000000"/>
        <rFont val="Calibri"/>
        <family val="2"/>
      </rPr>
      <t>Informes de seguimiento al cumplimiento de las agendas sectoriales.</t>
    </r>
  </si>
  <si>
    <r>
      <t>·</t>
    </r>
    <r>
      <rPr>
        <sz val="7"/>
        <color rgb="FF000000"/>
        <rFont val="Times New Roman"/>
        <family val="1"/>
      </rPr>
      <t xml:space="preserve">        </t>
    </r>
    <r>
      <rPr>
        <sz val="9"/>
        <color rgb="FF000000"/>
        <rFont val="Calibri"/>
        <family val="2"/>
      </rPr>
      <t>Eventos de capacitación a los sectores sobre producción y consumo sostenible.</t>
    </r>
  </si>
  <si>
    <r>
      <t>·</t>
    </r>
    <r>
      <rPr>
        <sz val="7"/>
        <color rgb="FF000000"/>
        <rFont val="Times New Roman"/>
        <family val="1"/>
      </rPr>
      <t xml:space="preserve">        </t>
    </r>
    <r>
      <rPr>
        <sz val="9"/>
        <color rgb="FF000000"/>
        <rFont val="Calibri"/>
        <family val="2"/>
      </rPr>
      <t>Eventos de socialización de experiencias exitosas de sistemas productivos sostenibles.</t>
    </r>
  </si>
  <si>
    <t>Número de sectores con acompañamiento para la reconversión hacia sistemas sostenibles de producción</t>
  </si>
  <si>
    <r>
      <t>PSA</t>
    </r>
    <r>
      <rPr>
        <vertAlign val="subscript"/>
        <sz val="9"/>
        <color rgb="FF000000"/>
        <rFont val="Calibri"/>
        <family val="2"/>
        <scheme val="minor"/>
      </rPr>
      <t xml:space="preserve"> t</t>
    </r>
    <r>
      <rPr>
        <sz val="9"/>
        <color rgb="FF000000"/>
        <rFont val="Calibri"/>
        <family val="2"/>
        <scheme val="minor"/>
      </rPr>
      <t xml:space="preserve"> = Porcentaje de sectores con acompañamiento para la reconversión hacia sistemas sostenibles de producción (PSA)</t>
    </r>
  </si>
  <si>
    <r>
      <t xml:space="preserve">SA </t>
    </r>
    <r>
      <rPr>
        <vertAlign val="subscript"/>
        <sz val="9"/>
        <color rgb="FF000000"/>
        <rFont val="Calibri"/>
        <family val="2"/>
        <scheme val="minor"/>
      </rPr>
      <t>it</t>
    </r>
    <r>
      <rPr>
        <sz val="9"/>
        <color rgb="FF000000"/>
        <rFont val="Calibri"/>
        <family val="2"/>
        <scheme val="minor"/>
      </rPr>
      <t xml:space="preserve"> = Sectores acompañados en la reconversión hacia sistemas sostenibles de producción (SA)</t>
    </r>
  </si>
  <si>
    <r>
      <t xml:space="preserve">SPA </t>
    </r>
    <r>
      <rPr>
        <vertAlign val="subscript"/>
        <sz val="9"/>
        <color rgb="FF000000"/>
        <rFont val="Calibri"/>
        <family val="2"/>
        <scheme val="minor"/>
      </rPr>
      <t>it</t>
    </r>
    <r>
      <rPr>
        <sz val="9"/>
        <color rgb="FF000000"/>
        <rFont val="Calibri"/>
        <family val="2"/>
        <scheme val="minor"/>
      </rPr>
      <t xml:space="preserve"> = Número de sectores priorizados para acompañamiento en la reconversión hacia sistemas sostenibles de producción (SPA)</t>
    </r>
  </si>
  <si>
    <t>Ejecución presupuestal de acciones relacionadas con el acompañamiento para la reconversión hacia sistemas sostenibles de producción</t>
  </si>
  <si>
    <r>
      <t xml:space="preserve">EPAARSSP </t>
    </r>
    <r>
      <rPr>
        <vertAlign val="subscript"/>
        <sz val="9"/>
        <color rgb="FF000000"/>
        <rFont val="Calibri"/>
        <family val="2"/>
        <scheme val="minor"/>
      </rPr>
      <t>t</t>
    </r>
    <r>
      <rPr>
        <sz val="9"/>
        <color rgb="FF000000"/>
        <rFont val="Calibri"/>
        <family val="2"/>
        <scheme val="minor"/>
      </rPr>
      <t xml:space="preserve"> = Ejecución presupuestal de acciones relacionadas con el acompañamiento para la reconversión hacia sistemas sostenibles de producción, en el tiempo t</t>
    </r>
  </si>
  <si>
    <r>
      <t xml:space="preserve">CARSSP </t>
    </r>
    <r>
      <rPr>
        <vertAlign val="subscript"/>
        <sz val="9"/>
        <color rgb="FF000000"/>
        <rFont val="Calibri"/>
        <family val="2"/>
        <scheme val="minor"/>
      </rPr>
      <t>it</t>
    </r>
    <r>
      <rPr>
        <sz val="9"/>
        <color rgb="FF000000"/>
        <rFont val="Calibri"/>
        <family val="2"/>
        <scheme val="minor"/>
      </rPr>
      <t xml:space="preserve"> = Compromisos correspondientes a la acción i relacionada con el acompañamiento para la reconversión hacia sistemas sostenibles de producción, en el tiempo t.</t>
    </r>
  </si>
  <si>
    <r>
      <t xml:space="preserve">PDAARSSP </t>
    </r>
    <r>
      <rPr>
        <vertAlign val="subscript"/>
        <sz val="9"/>
        <color rgb="FF000000"/>
        <rFont val="Calibri"/>
        <family val="2"/>
        <scheme val="minor"/>
      </rPr>
      <t>it</t>
    </r>
    <r>
      <rPr>
        <sz val="9"/>
        <color rgb="FF000000"/>
        <rFont val="Calibri"/>
        <family val="2"/>
        <scheme val="minor"/>
      </rPr>
      <t xml:space="preserve"> = Presupuesto definitivo a la acción i relacionada con el acompañamiento para la reconversión hacia sistemas sostenibles de producción, en el tiempo t.</t>
    </r>
  </si>
  <si>
    <t>Número de sectores priorizados para acompañamiento en la reconversión hacia sistemas sostenibles de producción (SPA)</t>
  </si>
  <si>
    <t>Indicador Complementario:</t>
  </si>
  <si>
    <t>Sector(es)</t>
  </si>
  <si>
    <t>Ejecución Presupuestal (%)</t>
  </si>
  <si>
    <t>inicial</t>
  </si>
  <si>
    <t>Ppto. Definitivo</t>
  </si>
  <si>
    <t>Cálculo de la ejecución física y presupuestal de acciones relacionadas con el acompañamiento para la reconversión hacia sistemas sostenibles de producción</t>
  </si>
  <si>
    <t>Ponderador</t>
  </si>
  <si>
    <t>Ejecución Presupuestal</t>
  </si>
  <si>
    <t>Compromisos / Ppto. Definitivo</t>
  </si>
  <si>
    <t>Pagos /</t>
  </si>
  <si>
    <t>Cuanto más cercano a cien por ciento, mayor es el cumplimiento de las metas establecidas en relación con los sectores priorizados por la Corporación para hacerles acompañamiento en la reconversión hacia sistemas sostenibles de producción.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</si>
  <si>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sectores con acompañamiento para la reconversión hacia sistemas sostenibles de producción (Versión 1.0).</t>
    </r>
    <r>
      <rPr>
        <sz val="9"/>
        <color rgb="FF000000"/>
        <rFont val="Calibri"/>
        <family val="2"/>
        <scheme val="minor"/>
      </rPr>
      <t xml:space="preserve"> Ministerio de Ambiente y Desarrollo Sostenible MADS, DGOAT-SINA y DAASU.</t>
    </r>
  </si>
  <si>
    <t>Porcentaje de ejecución de acciones en Gestión Ambiental Urbana</t>
  </si>
  <si>
    <t>Es el porcentaje de avance en la ejecución, por parte de la corporación autónoma regional, de las acciones relacionadas con la gestión ambiental urbana en el marco del Plan de Acción.</t>
  </si>
  <si>
    <t>El indicador mide el cumplimiento de las metas que la autoridad ambiental se ha propuesto alcanzar en relación con la gestión ambiental urbana, en el marco del Plan de Acción de la Corporación. De esta manera, contribuye a la ejecución, a nivel regional y local, de la Política de Gestión Ambiental Urbana (2008).</t>
  </si>
  <si>
    <t>Ley 1753 de 2015.</t>
  </si>
  <si>
    <t>Espacio público: Decreto 1077 de 2015.</t>
  </si>
  <si>
    <t>Estructura Ecológica Principal: Decreto 1077 de 2015.</t>
  </si>
  <si>
    <t>Política de Gestión Ambiental Urbana.</t>
  </si>
  <si>
    <t>Política para la Prevención y Control de la Contaminación del Aire.</t>
  </si>
  <si>
    <t>Política para la Gestión Integral de Residuos Sólidos.</t>
  </si>
  <si>
    <t>Política para la Gestión Integral de la Biodiversidad y sus servicios ecosistémicos.</t>
  </si>
  <si>
    <t>CONPES 3718 de 2012, Espacio público.</t>
  </si>
  <si>
    <t>CONPES 3819 de 2014</t>
  </si>
  <si>
    <t>Circular 8000-2-344415 de 2013, ICAU.</t>
  </si>
  <si>
    <t>La gestión ambiental urbana se refiere a la “gestión de los recursos naturales renovables y los problemas ambientales urbanos y sus efectos en la región o regiones vecinas. La gestión ambiental urbana es una acción conjunta entre el Estado y los actores sociales, que se articula con la gestión territorial, las políticas ambientales y las políticas o planes sectoriales que tienen relación o afectan el medio ambiente en el ámbito urbano regional. Esta gestión, demanda el uso selectivo y combinado de herramientas jurídicas, de planeación, técnicas, económicas, financieras y administrativas para lograr la protección y funcionamiento de los ecosistemas y el mejoramiento de la calidad de vida de la población, dentro de un marco de ciudad sostenible” (Política de Gestión Ambiental Urbana).</t>
  </si>
  <si>
    <t>La gestión ambiental urbana se centra en dos ejes principales:</t>
  </si>
  <si>
    <r>
      <t>1)</t>
    </r>
    <r>
      <rPr>
        <sz val="7"/>
        <color rgb="FF000000"/>
        <rFont val="Times New Roman"/>
        <family val="1"/>
      </rPr>
      <t xml:space="preserve">      </t>
    </r>
    <r>
      <rPr>
        <sz val="9"/>
        <color rgb="FF000000"/>
        <rFont val="Calibri"/>
        <family val="2"/>
        <scheme val="minor"/>
      </rPr>
      <t>La gestión ambiental de los componentes constitutivos del medio ambiente, comúnmente denominados recursos naturales renovables: agua (en cualquier estado), atmósfera (troposfera y estratosfera), suelo y subsuelo, biodiversidad (ecosistemas, especies, recursos genéticos), fuentes primarias de energía no agotable y paisaje.</t>
    </r>
  </si>
  <si>
    <r>
      <t>2)</t>
    </r>
    <r>
      <rPr>
        <sz val="7"/>
        <color rgb="FF000000"/>
        <rFont val="Times New Roman"/>
        <family val="1"/>
      </rPr>
      <t xml:space="preserve">      </t>
    </r>
    <r>
      <rPr>
        <sz val="9"/>
        <color rgb="FF000000"/>
        <rFont val="Calibri"/>
        <family val="2"/>
        <scheme val="minor"/>
      </rPr>
      <t>La gestión ambiental de los problemas ambientales, entendida como la gestión sobre los elementos o factores que interactúan e inciden sobre el ambiente en las áreas urbanas, entre los cuales se pueden mencionar: factores que ocasionan contaminación y deterioro de los recursos naturales renovables; factores que ocasionan pérdida o deterioro de la biodiversidad; factores que ocasionan pérdida o deterioro del espacio público y del paisaje; inadecuada gestión y disposición de residuos sólidos, líquidos y gaseosos; uso ineficiente de la energía y falta de uso de fuentes no convencionales de energía; riesgos de origen natural y antrópico; pasivos ambientales, patrones insostenibles de ocupación del territorio, patrones insostenibles de producción y consumo; baja o falta de conciencia y cultura ambiental de la población de las áreas urbanas; pérdida de valores socio - culturales de la población urbana, que puede llevar a la pérdida de su identidad cultural y en consecuencia de su sentido de pertenencia del entorno; e insuficiente respuesta institucional del SINA, en términos de escasos niveles de coordinación y baja capacidad técnica y operativa para atender la problemática urbana (PGAU)</t>
    </r>
  </si>
  <si>
    <t>Cabe aclarar que la gestión para el manejo de estos recursos, elementos y factores en las áreas urbanas involucra, de manera diferenciada, a las autoridades ambientales: (Corporaciones autónomas regionales y de desarrollo sostenible); Grandes Centros Urbanos a que se refiere el artículo 66 de la Ley 99 de 1993, a los establecimientos públicos de que trata del artículo 13 de la Ley 768 de 2003; el artículo 124 de la Ley 1617 de 2013; las áreas metropolitanas a que se refiere el literal J del artículo 7 de la Ley 1625 de 2013 y a los entes territoriales, dentro de su respectivo marco de competencias y jurisdicción.</t>
  </si>
  <si>
    <t>Dicha gestión se realiza en el marco de la Política de Gestión Ambiental Urbana. En tal sentido, las principales temáticas en gestión ambiental urbana en las que tienen competencia las Corporaciones Autónomas Regionales son:</t>
  </si>
  <si>
    <r>
      <t>1)</t>
    </r>
    <r>
      <rPr>
        <sz val="7"/>
        <color rgb="FF000000"/>
        <rFont val="Times New Roman"/>
        <family val="1"/>
      </rPr>
      <t xml:space="preserve">      </t>
    </r>
    <r>
      <rPr>
        <sz val="9"/>
        <color rgb="FF000000"/>
        <rFont val="Calibri"/>
        <family val="2"/>
        <scheme val="minor"/>
      </rPr>
      <t>Planificación y ordenamiento ambiental en áreas urbanas</t>
    </r>
  </si>
  <si>
    <r>
      <t>2)</t>
    </r>
    <r>
      <rPr>
        <sz val="7"/>
        <color rgb="FF000000"/>
        <rFont val="Times New Roman"/>
        <family val="1"/>
      </rPr>
      <t xml:space="preserve">      </t>
    </r>
    <r>
      <rPr>
        <sz val="9"/>
        <color rgb="FF000000"/>
        <rFont val="Calibri"/>
        <family val="2"/>
        <scheme val="minor"/>
      </rPr>
      <t>Gestión ambiental del Riesgo en áreas urbanas</t>
    </r>
  </si>
  <si>
    <r>
      <t>3)</t>
    </r>
    <r>
      <rPr>
        <sz val="7"/>
        <color rgb="FF000000"/>
        <rFont val="Times New Roman"/>
        <family val="1"/>
      </rPr>
      <t xml:space="preserve">      </t>
    </r>
    <r>
      <rPr>
        <sz val="9"/>
        <color rgb="FF000000"/>
        <rFont val="Calibri"/>
        <family val="2"/>
        <scheme val="minor"/>
      </rPr>
      <t>Gestión ambiental del Espacio Público en áreas urbanas</t>
    </r>
  </si>
  <si>
    <r>
      <t>4)</t>
    </r>
    <r>
      <rPr>
        <sz val="7"/>
        <color rgb="FF000000"/>
        <rFont val="Times New Roman"/>
        <family val="1"/>
      </rPr>
      <t xml:space="preserve">      </t>
    </r>
    <r>
      <rPr>
        <sz val="9"/>
        <color rgb="FF000000"/>
        <rFont val="Calibri"/>
        <family val="2"/>
        <scheme val="minor"/>
      </rPr>
      <t>Prevención y Control de la Contaminación del Aire en áreas urbanas (fenómeno de acumulación o concentración de contaminantes en el aire generado por diferentes tipos entre ellos contaminantes criterio, ruido y olores ofensivos)</t>
    </r>
  </si>
  <si>
    <r>
      <t>5)</t>
    </r>
    <r>
      <rPr>
        <sz val="7"/>
        <color rgb="FF000000"/>
        <rFont val="Times New Roman"/>
        <family val="1"/>
      </rPr>
      <t xml:space="preserve">      </t>
    </r>
    <r>
      <rPr>
        <sz val="9"/>
        <color rgb="FF000000"/>
        <rFont val="Calibri"/>
        <family val="2"/>
        <scheme val="minor"/>
      </rPr>
      <t>Gestión del Recurso Hídrico en áreas urbanas</t>
    </r>
  </si>
  <si>
    <r>
      <t>6)</t>
    </r>
    <r>
      <rPr>
        <sz val="7"/>
        <color rgb="FF000000"/>
        <rFont val="Times New Roman"/>
        <family val="1"/>
      </rPr>
      <t xml:space="preserve">      </t>
    </r>
    <r>
      <rPr>
        <sz val="9"/>
        <color rgb="FF000000"/>
        <rFont val="Calibri"/>
        <family val="2"/>
        <scheme val="minor"/>
      </rPr>
      <t>Gestión de Residuos sólidos en áreas urbanas</t>
    </r>
  </si>
  <si>
    <r>
      <t>7)</t>
    </r>
    <r>
      <rPr>
        <sz val="7"/>
        <color rgb="FF000000"/>
        <rFont val="Times New Roman"/>
        <family val="1"/>
      </rPr>
      <t xml:space="preserve">      </t>
    </r>
    <r>
      <rPr>
        <sz val="9"/>
        <color rgb="FF000000"/>
        <rFont val="Calibri"/>
        <family val="2"/>
        <scheme val="minor"/>
      </rPr>
      <t>Índice de calidad ambiental urbana</t>
    </r>
  </si>
  <si>
    <r>
      <t>8)</t>
    </r>
    <r>
      <rPr>
        <sz val="7"/>
        <color rgb="FF000000"/>
        <rFont val="Times New Roman"/>
        <family val="1"/>
      </rPr>
      <t xml:space="preserve">      </t>
    </r>
    <r>
      <rPr>
        <sz val="9"/>
        <color rgb="FF000000"/>
        <rFont val="Calibri"/>
        <family val="2"/>
        <scheme val="minor"/>
      </rPr>
      <t>Participación en gestión ambiental urbana</t>
    </r>
  </si>
  <si>
    <t>Las principales acciones relacionadas con la gestión ambiental urbana son las siguientes:</t>
  </si>
  <si>
    <r>
      <t>1)</t>
    </r>
    <r>
      <rPr>
        <sz val="7"/>
        <color rgb="FF000000"/>
        <rFont val="Times New Roman"/>
        <family val="1"/>
      </rPr>
      <t xml:space="preserve">      </t>
    </r>
    <r>
      <rPr>
        <sz val="9"/>
        <color rgb="FF000000"/>
        <rFont val="Calibri"/>
        <family val="2"/>
        <scheme val="minor"/>
      </rPr>
      <t>Planificación y ordenamiento ambiental en áreas urbanas, que incluye:</t>
    </r>
  </si>
  <si>
    <r>
      <t>a)</t>
    </r>
    <r>
      <rPr>
        <sz val="7"/>
        <color rgb="FF000000"/>
        <rFont val="Times New Roman"/>
        <family val="1"/>
      </rPr>
      <t xml:space="preserve">      </t>
    </r>
    <r>
      <rPr>
        <sz val="9"/>
        <color rgb="FF000000"/>
        <rFont val="Calibri"/>
        <family val="2"/>
        <scheme val="minor"/>
      </rPr>
      <t>Identificar y gestionar la estructura ecológica urbana</t>
    </r>
  </si>
  <si>
    <r>
      <t>b)</t>
    </r>
    <r>
      <rPr>
        <sz val="7"/>
        <color rgb="FF000000"/>
        <rFont val="Times New Roman"/>
        <family val="1"/>
      </rPr>
      <t xml:space="preserve">      </t>
    </r>
    <r>
      <rPr>
        <sz val="9"/>
        <color rgb="FF000000"/>
        <rFont val="Calibri"/>
        <family val="2"/>
        <scheme val="minor"/>
      </rPr>
      <t>Asesorar a los entes territoriales en la inclusión del componente ambiental urbano en los procesos de planificación y ordenamiento territorial, incluyendo el establecimiento de determinantes ambientales urbanos.</t>
    </r>
  </si>
  <si>
    <r>
      <t>c)</t>
    </r>
    <r>
      <rPr>
        <sz val="7"/>
        <color rgb="FF000000"/>
        <rFont val="Times New Roman"/>
        <family val="1"/>
      </rPr>
      <t xml:space="preserve">       </t>
    </r>
    <r>
      <rPr>
        <sz val="9"/>
        <color rgb="FF000000"/>
        <rFont val="Calibri"/>
        <family val="2"/>
        <scheme val="minor"/>
      </rPr>
      <t>Implementar estrategias de conservación y uso sostenible de los recursos naturales renovables que conforman la base natural.</t>
    </r>
  </si>
  <si>
    <r>
      <t>2)</t>
    </r>
    <r>
      <rPr>
        <sz val="7"/>
        <color rgb="FF000000"/>
        <rFont val="Times New Roman"/>
        <family val="1"/>
      </rPr>
      <t xml:space="preserve">      </t>
    </r>
    <r>
      <rPr>
        <sz val="9"/>
        <color rgb="FF000000"/>
        <rFont val="Calibri"/>
        <family val="2"/>
        <scheme val="minor"/>
      </rPr>
      <t>Gestión ambiental del Espacio Público en áreas urbanas, sin perjuicio de las competencias de las entidades territoriales.</t>
    </r>
  </si>
  <si>
    <r>
      <t>a)</t>
    </r>
    <r>
      <rPr>
        <sz val="7"/>
        <color rgb="FF000000"/>
        <rFont val="Times New Roman"/>
        <family val="1"/>
      </rPr>
      <t xml:space="preserve">      </t>
    </r>
    <r>
      <rPr>
        <sz val="9"/>
        <color rgb="FF000000"/>
        <rFont val="Calibri"/>
        <family val="2"/>
        <scheme val="minor"/>
      </rPr>
      <t>Conservar, manejar y restaurar elementos naturales del espacio público urbano.</t>
    </r>
  </si>
  <si>
    <r>
      <t>b)</t>
    </r>
    <r>
      <rPr>
        <sz val="7"/>
        <color rgb="FF000000"/>
        <rFont val="Times New Roman"/>
        <family val="1"/>
      </rPr>
      <t xml:space="preserve">      </t>
    </r>
    <r>
      <rPr>
        <sz val="9"/>
        <color rgb="FF000000"/>
        <rFont val="Calibri"/>
        <family val="2"/>
        <scheme val="minor"/>
      </rPr>
      <t>Prevenir y controlar la afectación ambiental en el espacio público.</t>
    </r>
  </si>
  <si>
    <r>
      <t>c)</t>
    </r>
    <r>
      <rPr>
        <sz val="7"/>
        <color rgb="FF000000"/>
        <rFont val="Times New Roman"/>
        <family val="1"/>
      </rPr>
      <t xml:space="preserve">       </t>
    </r>
    <r>
      <rPr>
        <sz val="9"/>
        <color rgb="FF000000"/>
        <rFont val="Calibri"/>
        <family val="2"/>
        <scheme val="minor"/>
      </rPr>
      <t>Promover, orientar y acompañar la gestión ambiental del espacio público por parte de las entidades territoriales.</t>
    </r>
  </si>
  <si>
    <r>
      <t>3)</t>
    </r>
    <r>
      <rPr>
        <sz val="7"/>
        <color rgb="FF000000"/>
        <rFont val="Times New Roman"/>
        <family val="1"/>
      </rPr>
      <t xml:space="preserve">      </t>
    </r>
    <r>
      <rPr>
        <sz val="9"/>
        <color rgb="FF000000"/>
        <rFont val="Calibri"/>
        <family val="2"/>
        <scheme val="minor"/>
      </rPr>
      <t>Prevención y Control de la Contaminación del Aire en áreas urbanas.</t>
    </r>
  </si>
  <si>
    <r>
      <t>a)</t>
    </r>
    <r>
      <rPr>
        <sz val="7"/>
        <color rgb="FF000000"/>
        <rFont val="Times New Roman"/>
        <family val="1"/>
      </rPr>
      <t xml:space="preserve">      </t>
    </r>
    <r>
      <rPr>
        <sz val="9"/>
        <color rgb="FF000000"/>
        <rFont val="Calibri"/>
        <family val="2"/>
        <scheme val="minor"/>
      </rPr>
      <t>Diseñar y ejecutar acciones integrales para la prevención y control de la contaminación del aire.</t>
    </r>
  </si>
  <si>
    <r>
      <t>b)</t>
    </r>
    <r>
      <rPr>
        <sz val="7"/>
        <color rgb="FF000000"/>
        <rFont val="Times New Roman"/>
        <family val="1"/>
      </rPr>
      <t xml:space="preserve">      </t>
    </r>
    <r>
      <rPr>
        <sz val="9"/>
        <color rgb="FF000000"/>
        <rFont val="Calibri"/>
        <family val="2"/>
        <scheme val="minor"/>
      </rPr>
      <t>Fortalecer la capacidad institucional para el control y seguimiento de la contaminación del aire.</t>
    </r>
  </si>
  <si>
    <r>
      <t>c)</t>
    </r>
    <r>
      <rPr>
        <sz val="7"/>
        <color rgb="FF000000"/>
        <rFont val="Times New Roman"/>
        <family val="1"/>
      </rPr>
      <t xml:space="preserve">       </t>
    </r>
    <r>
      <rPr>
        <sz val="9"/>
        <color rgb="FF000000"/>
        <rFont val="Calibri"/>
        <family val="2"/>
        <scheme val="minor"/>
      </rPr>
      <t>Establecer e implementar programas de reducción de la contaminación del aire, cuando se requiera.</t>
    </r>
  </si>
  <si>
    <r>
      <t>d)</t>
    </r>
    <r>
      <rPr>
        <sz val="7"/>
        <color rgb="FF000000"/>
        <rFont val="Times New Roman"/>
        <family val="1"/>
      </rPr>
      <t xml:space="preserve">      </t>
    </r>
    <r>
      <rPr>
        <sz val="9"/>
        <color rgb="FF000000"/>
        <rFont val="Calibri"/>
        <family val="2"/>
        <scheme val="minor"/>
      </rPr>
      <t>Fortalecer las mesas regionales de calidad del aire donde se establezca la articulación entre las diferentes entidades relacionadas con la prevención y el control de la contaminación del aire.</t>
    </r>
  </si>
  <si>
    <r>
      <t>e)</t>
    </r>
    <r>
      <rPr>
        <sz val="7"/>
        <color rgb="FF000000"/>
        <rFont val="Times New Roman"/>
        <family val="1"/>
      </rPr>
      <t xml:space="preserve">      </t>
    </r>
    <r>
      <rPr>
        <sz val="9"/>
        <color rgb="FF000000"/>
        <rFont val="Calibri"/>
        <family val="2"/>
        <scheme val="minor"/>
      </rPr>
      <t>Asesorar a los entes territoriales para el mejor cumplimiento de sus funciones de control y vigilancia de los fenómenos de contaminación del aire.</t>
    </r>
  </si>
  <si>
    <r>
      <t>4)</t>
    </r>
    <r>
      <rPr>
        <sz val="7"/>
        <color rgb="FF000000"/>
        <rFont val="Times New Roman"/>
        <family val="1"/>
      </rPr>
      <t xml:space="preserve">      </t>
    </r>
    <r>
      <rPr>
        <sz val="9"/>
        <color rgb="FF000000"/>
        <rFont val="Calibri"/>
        <family val="2"/>
        <scheme val="minor"/>
      </rPr>
      <t>Gestión del Recurso Hídrico en áreas urbanas.</t>
    </r>
  </si>
  <si>
    <r>
      <t>a)</t>
    </r>
    <r>
      <rPr>
        <sz val="7"/>
        <color rgb="FF000000"/>
        <rFont val="Times New Roman"/>
        <family val="1"/>
      </rPr>
      <t xml:space="preserve">      </t>
    </r>
    <r>
      <rPr>
        <sz val="9"/>
        <color rgb="FF000000"/>
        <rFont val="Calibri"/>
        <family val="2"/>
        <scheme val="minor"/>
      </rPr>
      <t>Promover el uso eficiente y ahorro de agua.</t>
    </r>
  </si>
  <si>
    <r>
      <t>5)</t>
    </r>
    <r>
      <rPr>
        <sz val="7"/>
        <color rgb="FF000000"/>
        <rFont val="Times New Roman"/>
        <family val="1"/>
      </rPr>
      <t xml:space="preserve">      </t>
    </r>
    <r>
      <rPr>
        <sz val="9"/>
        <color rgb="FF000000"/>
        <rFont val="Calibri"/>
        <family val="2"/>
        <scheme val="minor"/>
      </rPr>
      <t>Gestión de Residuos sólidos en áreas urbanas.</t>
    </r>
  </si>
  <si>
    <r>
      <t>a)</t>
    </r>
    <r>
      <rPr>
        <sz val="7"/>
        <color rgb="FF000000"/>
        <rFont val="Times New Roman"/>
        <family val="1"/>
      </rPr>
      <t xml:space="preserve">      </t>
    </r>
    <r>
      <rPr>
        <sz val="9"/>
        <color rgb="FF000000"/>
        <rFont val="Calibri"/>
        <family val="2"/>
        <scheme val="minor"/>
      </rPr>
      <t>Promover el aprovechamiento de residuos sólidos.</t>
    </r>
  </si>
  <si>
    <r>
      <t>6)</t>
    </r>
    <r>
      <rPr>
        <sz val="7"/>
        <color rgb="FF000000"/>
        <rFont val="Times New Roman"/>
        <family val="1"/>
      </rPr>
      <t xml:space="preserve">      </t>
    </r>
    <r>
      <rPr>
        <sz val="9"/>
        <color rgb="FF000000"/>
        <rFont val="Calibri"/>
        <family val="2"/>
        <scheme val="minor"/>
      </rPr>
      <t>Compilar y reportar la información relacionada con los indicadores que conformar el Índice de Calidad Ambiental Urbana (ICAU)</t>
    </r>
  </si>
  <si>
    <r>
      <t>7)</t>
    </r>
    <r>
      <rPr>
        <sz val="7"/>
        <color rgb="FF000000"/>
        <rFont val="Times New Roman"/>
        <family val="1"/>
      </rPr>
      <t xml:space="preserve">      </t>
    </r>
    <r>
      <rPr>
        <sz val="9"/>
        <color rgb="FF000000"/>
        <rFont val="Calibri"/>
        <family val="2"/>
        <scheme val="minor"/>
      </rPr>
      <t>Participación en gestión ambiental urbana</t>
    </r>
  </si>
  <si>
    <r>
      <t>a)</t>
    </r>
    <r>
      <rPr>
        <sz val="7"/>
        <color rgb="FF000000"/>
        <rFont val="Times New Roman"/>
        <family val="1"/>
      </rPr>
      <t xml:space="preserve">      </t>
    </r>
    <r>
      <rPr>
        <sz val="9"/>
        <color rgb="FF000000"/>
        <rFont val="Calibri"/>
        <family val="2"/>
        <scheme val="minor"/>
      </rPr>
      <t xml:space="preserve">Promover y fortalecer los espacios de participación social en gestión ambiental urbana </t>
    </r>
  </si>
  <si>
    <t>Porcentaje de ejecución de acciones relacionadas con la gestión ambiental urbana.</t>
  </si>
  <si>
    <r>
      <t xml:space="preserve">ETAGAU </t>
    </r>
    <r>
      <rPr>
        <vertAlign val="subscript"/>
        <sz val="9"/>
        <color rgb="FF000000"/>
        <rFont val="Calibri"/>
        <family val="2"/>
        <scheme val="minor"/>
      </rPr>
      <t>t</t>
    </r>
    <r>
      <rPr>
        <sz val="9"/>
        <color rgb="FF000000"/>
        <rFont val="Calibri"/>
        <family val="2"/>
        <scheme val="minor"/>
      </rPr>
      <t xml:space="preserve"> = Porcentaje de ejecución total de acciones en gestión ambiental urbana, en el tiempo t.</t>
    </r>
  </si>
  <si>
    <r>
      <t xml:space="preserve">EAGAU </t>
    </r>
    <r>
      <rPr>
        <vertAlign val="subscript"/>
        <sz val="9"/>
        <color rgb="FF000000"/>
        <rFont val="Calibri"/>
        <family val="2"/>
        <scheme val="minor"/>
      </rPr>
      <t>t1t</t>
    </r>
    <r>
      <rPr>
        <sz val="9"/>
        <color rgb="FF000000"/>
        <rFont val="Calibri"/>
        <family val="2"/>
        <scheme val="minor"/>
      </rPr>
      <t xml:space="preserve"> = Porcentaje de ejecución de la acción </t>
    </r>
    <r>
      <rPr>
        <i/>
        <sz val="9"/>
        <color rgb="FF000000"/>
        <rFont val="Calibri"/>
        <family val="2"/>
        <scheme val="minor"/>
      </rPr>
      <t>1</t>
    </r>
    <r>
      <rPr>
        <sz val="9"/>
        <color rgb="FF000000"/>
        <rFont val="Calibri"/>
        <family val="2"/>
        <scheme val="minor"/>
      </rPr>
      <t xml:space="preserve"> relacionada con la gestión ambiental urbana, en el tiempo t.</t>
    </r>
  </si>
  <si>
    <r>
      <t xml:space="preserve">EAGAU </t>
    </r>
    <r>
      <rPr>
        <vertAlign val="subscript"/>
        <sz val="9"/>
        <color rgb="FF000000"/>
        <rFont val="Calibri"/>
        <family val="2"/>
        <scheme val="minor"/>
      </rPr>
      <t>2t</t>
    </r>
    <r>
      <rPr>
        <sz val="9"/>
        <color rgb="FF000000"/>
        <rFont val="Calibri"/>
        <family val="2"/>
        <scheme val="minor"/>
      </rPr>
      <t xml:space="preserve"> = Porcentaje de ejecución de la acción </t>
    </r>
    <r>
      <rPr>
        <i/>
        <sz val="9"/>
        <color rgb="FF000000"/>
        <rFont val="Calibri"/>
        <family val="2"/>
        <scheme val="minor"/>
      </rPr>
      <t>2</t>
    </r>
    <r>
      <rPr>
        <sz val="9"/>
        <color rgb="FF000000"/>
        <rFont val="Calibri"/>
        <family val="2"/>
        <scheme val="minor"/>
      </rPr>
      <t xml:space="preserve"> relacionada con la gestión ambiental urbana, en el tiempo t.</t>
    </r>
  </si>
  <si>
    <r>
      <t xml:space="preserve">EAGAU </t>
    </r>
    <r>
      <rPr>
        <vertAlign val="subscript"/>
        <sz val="9"/>
        <color rgb="FF000000"/>
        <rFont val="Calibri"/>
        <family val="2"/>
        <scheme val="minor"/>
      </rPr>
      <t>nt</t>
    </r>
    <r>
      <rPr>
        <sz val="9"/>
        <color rgb="FF000000"/>
        <rFont val="Calibri"/>
        <family val="2"/>
        <scheme val="minor"/>
      </rPr>
      <t xml:space="preserve"> = Porcentaje de ejecución de la acción </t>
    </r>
    <r>
      <rPr>
        <i/>
        <sz val="9"/>
        <color rgb="FF000000"/>
        <rFont val="Calibri"/>
        <family val="2"/>
        <scheme val="minor"/>
      </rPr>
      <t>n</t>
    </r>
    <r>
      <rPr>
        <sz val="9"/>
        <color rgb="FF000000"/>
        <rFont val="Calibri"/>
        <family val="2"/>
        <scheme val="minor"/>
      </rPr>
      <t xml:space="preserve"> relacionada con la gestión ambiental urbana, en el tiempo t.</t>
    </r>
  </si>
  <si>
    <r>
      <t>a = ponderador de EAGAU</t>
    </r>
    <r>
      <rPr>
        <vertAlign val="subscript"/>
        <sz val="9"/>
        <color rgb="FF000000"/>
        <rFont val="Calibri"/>
        <family val="2"/>
        <scheme val="minor"/>
      </rPr>
      <t>1</t>
    </r>
    <r>
      <rPr>
        <sz val="9"/>
        <color rgb="FF000000"/>
        <rFont val="Calibri"/>
        <family val="2"/>
        <scheme val="minor"/>
      </rPr>
      <t>.</t>
    </r>
  </si>
  <si>
    <r>
      <t>b = ponderador de EAGAU</t>
    </r>
    <r>
      <rPr>
        <vertAlign val="subscript"/>
        <sz val="9"/>
        <color rgb="FF000000"/>
        <rFont val="Calibri"/>
        <family val="2"/>
        <scheme val="minor"/>
      </rPr>
      <t>2</t>
    </r>
    <r>
      <rPr>
        <sz val="9"/>
        <color rgb="FF000000"/>
        <rFont val="Calibri"/>
        <family val="2"/>
        <scheme val="minor"/>
      </rPr>
      <t>.</t>
    </r>
  </si>
  <si>
    <r>
      <t>z = ponderador de EAGAU</t>
    </r>
    <r>
      <rPr>
        <vertAlign val="subscript"/>
        <sz val="9"/>
        <color rgb="FF000000"/>
        <rFont val="Calibri"/>
        <family val="2"/>
        <scheme val="minor"/>
      </rPr>
      <t>n</t>
    </r>
    <r>
      <rPr>
        <sz val="9"/>
        <color rgb="FF000000"/>
        <rFont val="Calibri"/>
        <family val="2"/>
        <scheme val="minor"/>
      </rPr>
      <t>.</t>
    </r>
  </si>
  <si>
    <t>a + b + c+…+z = 1.</t>
  </si>
  <si>
    <t>Ejecución presupuestal de acciones relacionadas con la gestión ambiental urbana.</t>
  </si>
  <si>
    <r>
      <t xml:space="preserve">EPAGAU </t>
    </r>
    <r>
      <rPr>
        <vertAlign val="subscript"/>
        <sz val="9"/>
        <color rgb="FF000000"/>
        <rFont val="Calibri"/>
        <family val="2"/>
        <scheme val="minor"/>
      </rPr>
      <t>t</t>
    </r>
    <r>
      <rPr>
        <sz val="9"/>
        <color rgb="FF000000"/>
        <rFont val="Calibri"/>
        <family val="2"/>
        <scheme val="minor"/>
      </rPr>
      <t xml:space="preserve"> = Ejecución presupuestal de acciones en gestión ambiental urbana, en el año t.</t>
    </r>
  </si>
  <si>
    <r>
      <t xml:space="preserve">CGAU </t>
    </r>
    <r>
      <rPr>
        <vertAlign val="subscript"/>
        <sz val="9"/>
        <color rgb="FF000000"/>
        <rFont val="Calibri"/>
        <family val="2"/>
        <scheme val="minor"/>
      </rPr>
      <t>it</t>
    </r>
    <r>
      <rPr>
        <sz val="9"/>
        <color rgb="FF000000"/>
        <rFont val="Calibri"/>
        <family val="2"/>
        <scheme val="minor"/>
      </rPr>
      <t xml:space="preserve"> = Compromisos correspondientes a la acción i en gestión ambiental urbana, en el año t.</t>
    </r>
  </si>
  <si>
    <r>
      <t xml:space="preserve">PDAGAU </t>
    </r>
    <r>
      <rPr>
        <vertAlign val="subscript"/>
        <sz val="9"/>
        <color rgb="FF000000"/>
        <rFont val="Calibri"/>
        <family val="2"/>
        <scheme val="minor"/>
      </rPr>
      <t>it</t>
    </r>
    <r>
      <rPr>
        <sz val="9"/>
        <color rgb="FF000000"/>
        <rFont val="Calibri"/>
        <family val="2"/>
        <scheme val="minor"/>
      </rPr>
      <t xml:space="preserve"> = Presupuesto definitivo a la acción i en gestión ambiental urbana, en el año t.</t>
    </r>
  </si>
  <si>
    <t>Número de acciones relacionadas con gestión ambiental urbana</t>
  </si>
  <si>
    <t>Ejecución física de las acciones relacionadas con la gestión ambiental urbana</t>
  </si>
  <si>
    <t>Ejecución presupuestal de acciones relacionadas con la gestión ambiental urbana (utilice tantas filas cuantas sean necesarias)</t>
  </si>
  <si>
    <t>Presupuesto inicial</t>
  </si>
  <si>
    <t>Compromisos / Ppto Def.</t>
  </si>
  <si>
    <t>Pagos / Compromisos</t>
  </si>
  <si>
    <t>Cuanto más cercano a cien por ciento, mayor es el cumplimiento de las metas que la autoridad ambiental se ha propuesto alcanzar en relación con la gestión ambiental urbana, en el marco del Plan de Acción de la Corporación.</t>
  </si>
  <si>
    <r>
      <t xml:space="preserve">Hoja Metodológica de referencia: MADS (2016). </t>
    </r>
    <r>
      <rPr>
        <i/>
        <sz val="9"/>
        <color rgb="FF000000"/>
        <rFont val="Calibri"/>
        <family val="2"/>
        <scheme val="minor"/>
      </rPr>
      <t>Hoja metodológica Ejecución de Acciones en Gestión Ambiental Urbana (Versión 1.0).</t>
    </r>
    <r>
      <rPr>
        <sz val="9"/>
        <color rgb="FF000000"/>
        <rFont val="Calibri"/>
        <family val="2"/>
        <scheme val="minor"/>
      </rPr>
      <t xml:space="preserve"> Ministerio de Ambiente y Desarrollo Sostenible MADS, DGOAT-SINA y DAASU.</t>
    </r>
  </si>
  <si>
    <t>Implementación del Programa Regional de Negocios Verdes por la autoridad ambiental</t>
  </si>
  <si>
    <t>Es el porcentaje de avance en la implementación de las acciones a cargo de la Corporación en el marco del Programa Regional de Negocios Verdes</t>
  </si>
  <si>
    <t>El indicador mide el cumplimiento de las metas, a cargo de la Autoridad Ambiental, en el marco del Plan Nacional de Negocios Verdes y el Plan Regional de Negocios Verdes. De esta forma contribuye a la implementación del Plan Nacional de Negocios Verdes y de la Estrategia Crecimiento Verde del Plan Nacional de Desarrollo 2014-2018</t>
  </si>
  <si>
    <r>
      <t xml:space="preserve"> </t>
    </r>
    <r>
      <rPr>
        <b/>
        <sz val="9"/>
        <color rgb="FF000000"/>
        <rFont val="Calibri"/>
        <family val="2"/>
        <scheme val="minor"/>
      </rPr>
      <t>Normatividad de soporte:</t>
    </r>
  </si>
  <si>
    <t>Decreto 1076 de 2016, Decreto Único Reglamentario.</t>
  </si>
  <si>
    <t>Ley 1753 de 2015, Plan Nacional de Desarrollo PND 2014-2018.</t>
  </si>
  <si>
    <t>Política Nacional de Producción y Consumo Sostenible.</t>
  </si>
  <si>
    <t>Plan Nacional de Negocios Verdes PNNV.</t>
  </si>
  <si>
    <t>Política Nacional para la Gestión Integral de la Biodiversidad y sus Servicios Ecosistémicos.</t>
  </si>
  <si>
    <t>Declaración de Crecimiento Verde de la Organización para la Cooperación y el Desarrollo Económico OCDE.</t>
  </si>
  <si>
    <t>Estrategia de Crecimiento Verde del Plan Nacional de Desarrollo.</t>
  </si>
  <si>
    <t>Metodología para la Implementación de los PRNV, elaborada y publicada con la Agencia de Cooperación Alemana- GIZ, en coordinación con el MADS.</t>
  </si>
  <si>
    <t>Programas Regionales de Negocios Verdes PRNV para las Regiones: Caribe, Pacifico, Central, Amazonia, y Orinoquia.</t>
  </si>
  <si>
    <t>Programa Nacional de Biocomercio Sostenible</t>
  </si>
  <si>
    <t>Guía de Verificación y Evaluación de Criterios de Negocios Verdes.</t>
  </si>
  <si>
    <t>https://www.minambiente.gov.co/index.php/ambientes-y-desarrollos-sostenibles/negocios-verdes-y-sostenibles</t>
  </si>
  <si>
    <t>Los Negocios Verdes y Sostenibles comprenden las actividades económicas en las que se ofrecen bienes o servicios que generan impactos ambientales positivos y que, además, incorporan buenas prácticas ambientales, sociales y económicas, con enfoque de ciclo de vida, contribuyendo a la conservación del ambiente como capital natural que soporta el desarrollo del territorio (Oficina de Negocios Verdes Sostenibles ONVS, 2014)</t>
  </si>
  <si>
    <t>El Objetivo 2 de la Estrategia Crecimiento Verde, incorporada en el PND 2014-2018, busca proteger y asegurar el uso sostenible del capital natural y mejorar la calidad y gobernanza ambiental. Para ello la Estrategia tiene como fin mejorar la calidad ambiental a partir del fortalecimiento del desempeño ambiental de los sectores productivos, buscando mejorar su competitividad; en la cual se inscribe la Meta Nacional Estratégica No. 13: Cinco (5) Programas Regionales de Negocios Verdes implementados para el aumento de la competitividad, a cargo de las CAR y la ONVS.</t>
  </si>
  <si>
    <r>
      <t xml:space="preserve">La implementación de los </t>
    </r>
    <r>
      <rPr>
        <b/>
        <sz val="9"/>
        <color rgb="FF000000"/>
        <rFont val="Calibri"/>
        <family val="2"/>
        <scheme val="minor"/>
      </rPr>
      <t>Programas Regionales de Negocios Verdes</t>
    </r>
    <r>
      <rPr>
        <sz val="9"/>
        <color rgb="FF000000"/>
        <rFont val="Calibri"/>
        <family val="2"/>
        <scheme val="minor"/>
      </rPr>
      <t>- PRNV se evaluará de acuerdo a tres (3) criterios:</t>
    </r>
  </si>
  <si>
    <t>1) Formulación de Planes de acción para la ejecución del PRNV en la jurisdicción de cada Autoridad Ambiental</t>
  </si>
  <si>
    <t>2) Conformación de la Ventanilla/Nodo de Negocios Verdes o realización de alianzas o acuerdos con otras instituciones.</t>
  </si>
  <si>
    <t>3) Contar con mínimo dos pilotos de Negocios Verdes verificados bajo los criterios descritos en el Plan Nacional de Negocios Verdes y PRNV</t>
  </si>
  <si>
    <t>Las principales acciones relacionadas con la ejecución Implementación del Programa Regional de Negocios Verdes por la autoridad ambiental son:</t>
  </si>
  <si>
    <r>
      <t>1)</t>
    </r>
    <r>
      <rPr>
        <sz val="7"/>
        <color rgb="FF000000"/>
        <rFont val="Times New Roman"/>
        <family val="1"/>
      </rPr>
      <t xml:space="preserve">      </t>
    </r>
    <r>
      <rPr>
        <sz val="9"/>
        <color rgb="FF000000"/>
        <rFont val="Calibri"/>
        <family val="2"/>
      </rPr>
      <t>Formulación de los Planes de Acción para la ejecución del Programa Regional de Negocios Verdes</t>
    </r>
  </si>
  <si>
    <r>
      <t>a)</t>
    </r>
    <r>
      <rPr>
        <sz val="7"/>
        <color rgb="FF000000"/>
        <rFont val="Times New Roman"/>
        <family val="1"/>
      </rPr>
      <t xml:space="preserve">      </t>
    </r>
    <r>
      <rPr>
        <sz val="9"/>
        <color rgb="FF000000"/>
        <rFont val="Calibri"/>
        <family val="2"/>
      </rPr>
      <t>Talleres de construcción del plan de trabajo, de la Corporación en el marco de la etapa de planeación.</t>
    </r>
  </si>
  <si>
    <r>
      <t>b)</t>
    </r>
    <r>
      <rPr>
        <sz val="7"/>
        <color rgb="FF000000"/>
        <rFont val="Times New Roman"/>
        <family val="1"/>
      </rPr>
      <t xml:space="preserve">      </t>
    </r>
    <r>
      <rPr>
        <sz val="9"/>
        <color rgb="FF000000"/>
        <rFont val="Calibri"/>
        <family val="2"/>
      </rPr>
      <t>Capacitación en criterios de Negocios Verdes</t>
    </r>
  </si>
  <si>
    <r>
      <t>c)</t>
    </r>
    <r>
      <rPr>
        <sz val="7"/>
        <color rgb="FF000000"/>
        <rFont val="Times New Roman"/>
        <family val="1"/>
      </rPr>
      <t xml:space="preserve">       </t>
    </r>
    <r>
      <rPr>
        <sz val="9"/>
        <color rgb="FF000000"/>
        <rFont val="Calibri"/>
        <family val="2"/>
      </rPr>
      <t>Levantamiento Línea Base de Negocios Verdes en la región</t>
    </r>
  </si>
  <si>
    <r>
      <t>2)</t>
    </r>
    <r>
      <rPr>
        <sz val="7"/>
        <color rgb="FF000000"/>
        <rFont val="Times New Roman"/>
        <family val="1"/>
      </rPr>
      <t xml:space="preserve">      </t>
    </r>
    <r>
      <rPr>
        <sz val="9"/>
        <color rgb="FF000000"/>
        <rFont val="Calibri"/>
        <family val="2"/>
      </rPr>
      <t>Conformación de la ventanilla o nodo de negocios verdes o realización de alianzas o acuerdos con otras instituciones para la implementación en la AA</t>
    </r>
  </si>
  <si>
    <r>
      <t>a)</t>
    </r>
    <r>
      <rPr>
        <sz val="7"/>
        <color rgb="FF000000"/>
        <rFont val="Times New Roman"/>
        <family val="1"/>
      </rPr>
      <t xml:space="preserve">      </t>
    </r>
    <r>
      <rPr>
        <sz val="9"/>
        <color rgb="FF000000"/>
        <rFont val="Calibri"/>
        <family val="2"/>
      </rPr>
      <t>Protocolización de la creación de la ventanilla o nodo de negocios verdes en la A.A.</t>
    </r>
  </si>
  <si>
    <r>
      <t>b)</t>
    </r>
    <r>
      <rPr>
        <sz val="7"/>
        <color rgb="FF000000"/>
        <rFont val="Times New Roman"/>
        <family val="1"/>
      </rPr>
      <t xml:space="preserve">      </t>
    </r>
    <r>
      <rPr>
        <sz val="9"/>
        <color rgb="FF000000"/>
        <rFont val="Calibri"/>
        <family val="2"/>
      </rPr>
      <t>Suscripción de alianzas o acuerdos publico privadas para la ejecución del PRNV (*)</t>
    </r>
  </si>
  <si>
    <r>
      <t>3)</t>
    </r>
    <r>
      <rPr>
        <sz val="7"/>
        <color rgb="FF000000"/>
        <rFont val="Times New Roman"/>
        <family val="1"/>
      </rPr>
      <t xml:space="preserve">      </t>
    </r>
    <r>
      <rPr>
        <sz val="9"/>
        <color rgb="FF000000"/>
        <rFont val="Calibri"/>
        <family val="2"/>
      </rPr>
      <t>Identificación de la línea base de negocios verdes verificados bajo la herramienta de negocios verdes (Guía de Verificación y Evaluación de Criterios de Negocios Verdes).</t>
    </r>
  </si>
  <si>
    <r>
      <t>a)</t>
    </r>
    <r>
      <rPr>
        <sz val="7"/>
        <color rgb="FF000000"/>
        <rFont val="Times New Roman"/>
        <family val="1"/>
      </rPr>
      <t xml:space="preserve">      </t>
    </r>
    <r>
      <rPr>
        <sz val="9"/>
        <color rgb="FF000000"/>
        <rFont val="Calibri"/>
        <family val="2"/>
      </rPr>
      <t>Al menos dos (2) pilotos verificados por la autoridad ambiental</t>
    </r>
  </si>
  <si>
    <r>
      <t>b)</t>
    </r>
    <r>
      <rPr>
        <sz val="7"/>
        <color rgb="FF000000"/>
        <rFont val="Times New Roman"/>
        <family val="1"/>
      </rPr>
      <t xml:space="preserve">      </t>
    </r>
    <r>
      <rPr>
        <sz val="9"/>
        <color rgb="FF000000"/>
        <rFont val="Calibri"/>
        <family val="2"/>
      </rPr>
      <t>Acompañamiento en la implementación de los planes de mejora</t>
    </r>
  </si>
  <si>
    <r>
      <t>4)</t>
    </r>
    <r>
      <rPr>
        <sz val="7"/>
        <color rgb="FF000000"/>
        <rFont val="Times New Roman"/>
        <family val="1"/>
      </rPr>
      <t xml:space="preserve">      </t>
    </r>
    <r>
      <rPr>
        <sz val="9"/>
        <color rgb="FF000000"/>
        <rFont val="Calibri"/>
        <family val="2"/>
      </rPr>
      <t>Comercialización:</t>
    </r>
  </si>
  <si>
    <r>
      <t>a)</t>
    </r>
    <r>
      <rPr>
        <sz val="7"/>
        <color rgb="FF000000"/>
        <rFont val="Times New Roman"/>
        <family val="1"/>
      </rPr>
      <t xml:space="preserve">      </t>
    </r>
    <r>
      <rPr>
        <sz val="9"/>
        <color rgb="FF000000"/>
        <rFont val="Calibri"/>
        <family val="2"/>
      </rPr>
      <t>Construcción de la estrategia regional de N.V. teniendo en cuenta la oferta y demanda regional.</t>
    </r>
  </si>
  <si>
    <r>
      <t>b)</t>
    </r>
    <r>
      <rPr>
        <sz val="7"/>
        <color rgb="FF000000"/>
        <rFont val="Times New Roman"/>
        <family val="1"/>
      </rPr>
      <t xml:space="preserve">      </t>
    </r>
    <r>
      <rPr>
        <sz val="9"/>
        <color rgb="FF000000"/>
        <rFont val="Calibri"/>
        <family val="2"/>
      </rPr>
      <t>Base de datos de N.V. verificados para alimentar el portafolio de bienes y servicios de negocios del MADS</t>
    </r>
  </si>
  <si>
    <r>
      <t>c)</t>
    </r>
    <r>
      <rPr>
        <sz val="7"/>
        <color rgb="FF000000"/>
        <rFont val="Times New Roman"/>
        <family val="1"/>
      </rPr>
      <t xml:space="preserve">       </t>
    </r>
    <r>
      <rPr>
        <sz val="9"/>
        <color rgb="FF000000"/>
        <rFont val="Calibri"/>
        <family val="2"/>
      </rPr>
      <t>Identificación, Participación y/o realización de ferias de promoción de los N.V.</t>
    </r>
  </si>
  <si>
    <t>* Nota: De manera consistente con el Indicador de Meta Nacional del Plan Nacional de Desarrollo "Programa Regional de Negocios Verdes". Este incluye en la "Metodología de Medición" la conformación de la ventanilla o nodo de negocios o la realización de alianzas o acuerdos con otras instituciones para la implementación del Programa Regional de Negocios Verdes en la autoridad ambiental. Adicionalmente, la publicación "Metodología para implementar el Programa Regional de Negocios Verdes" incluye el proceso de articulación de actores con el objetivo de iniciar el proceso con la autoridad ambiental y entes territoriales para la conformación de la Ventanilla/Nodo de NV o realización de alianzas o acuerdos con otras instituciones para la implementación del PRNV.</t>
  </si>
  <si>
    <t>El listado anterior es indicativo. Las acciones a ser realizadas por las Corporaciones deben corresponder a las acciones priorizadas en el respectivo PRNV.</t>
  </si>
  <si>
    <r>
      <t xml:space="preserve">IPRVAA </t>
    </r>
    <r>
      <rPr>
        <vertAlign val="subscript"/>
        <sz val="9"/>
        <color rgb="FF000000"/>
        <rFont val="Calibri"/>
        <family val="2"/>
        <scheme val="minor"/>
      </rPr>
      <t>t</t>
    </r>
    <r>
      <rPr>
        <sz val="9"/>
        <color rgb="FF000000"/>
        <rFont val="Calibri"/>
        <family val="2"/>
        <scheme val="minor"/>
      </rPr>
      <t xml:space="preserve"> = Implementación del Programa Regional de Negocios Verdes por la autoridad ambiental, en el tiempo t.</t>
    </r>
  </si>
  <si>
    <r>
      <t xml:space="preserve">EAPRNV </t>
    </r>
    <r>
      <rPr>
        <vertAlign val="subscript"/>
        <sz val="9"/>
        <color rgb="FF000000"/>
        <rFont val="Calibri"/>
        <family val="2"/>
        <scheme val="minor"/>
      </rPr>
      <t>1t</t>
    </r>
    <r>
      <rPr>
        <sz val="9"/>
        <color rgb="FF000000"/>
        <rFont val="Calibri"/>
        <family val="2"/>
        <scheme val="minor"/>
      </rPr>
      <t xml:space="preserve"> = Ejecución de acción 1 relacionada con el Programa Regional de Negocios Verdes, en el tiempo t.</t>
    </r>
  </si>
  <si>
    <r>
      <t xml:space="preserve">EAPRNV </t>
    </r>
    <r>
      <rPr>
        <vertAlign val="subscript"/>
        <sz val="9"/>
        <color rgb="FF000000"/>
        <rFont val="Calibri"/>
        <family val="2"/>
        <scheme val="minor"/>
      </rPr>
      <t>2t</t>
    </r>
    <r>
      <rPr>
        <sz val="9"/>
        <color rgb="FF000000"/>
        <rFont val="Calibri"/>
        <family val="2"/>
        <scheme val="minor"/>
      </rPr>
      <t xml:space="preserve"> = Ejecución de acción 2 relacionada con el Programa Regional de Negocios Verdes, en el tiempo t.</t>
    </r>
  </si>
  <si>
    <r>
      <t xml:space="preserve">EAPRNV </t>
    </r>
    <r>
      <rPr>
        <vertAlign val="subscript"/>
        <sz val="9"/>
        <color rgb="FF000000"/>
        <rFont val="Calibri"/>
        <family val="2"/>
        <scheme val="minor"/>
      </rPr>
      <t>nt</t>
    </r>
    <r>
      <rPr>
        <sz val="9"/>
        <color rgb="FF000000"/>
        <rFont val="Calibri"/>
        <family val="2"/>
        <scheme val="minor"/>
      </rPr>
      <t xml:space="preserve"> = Ejecución de acción N relacionada con el Programa Regional de Negocios Verdes, en el tiempo t.</t>
    </r>
  </si>
  <si>
    <r>
      <t>a = ponderador de EAPRNV</t>
    </r>
    <r>
      <rPr>
        <vertAlign val="subscript"/>
        <sz val="9"/>
        <color rgb="FF000000"/>
        <rFont val="Calibri"/>
        <family val="2"/>
        <scheme val="minor"/>
      </rPr>
      <t>1</t>
    </r>
  </si>
  <si>
    <r>
      <t>b = ponderador de EAPRNV</t>
    </r>
    <r>
      <rPr>
        <vertAlign val="subscript"/>
        <sz val="9"/>
        <color rgb="FF000000"/>
        <rFont val="Calibri"/>
        <family val="2"/>
        <scheme val="minor"/>
      </rPr>
      <t>2</t>
    </r>
  </si>
  <si>
    <r>
      <t>z = ponderador de EAPRNV</t>
    </r>
    <r>
      <rPr>
        <vertAlign val="subscript"/>
        <sz val="9"/>
        <color rgb="FF000000"/>
        <rFont val="Calibri"/>
        <family val="2"/>
        <scheme val="minor"/>
      </rPr>
      <t>n</t>
    </r>
  </si>
  <si>
    <t>a + b + c+…+z = 1</t>
  </si>
  <si>
    <t>Ejecución presupuestal de las acciones relacionadas con la Implementación del Programa Regional de Negocios Verdes por la autoridad ambiental</t>
  </si>
  <si>
    <r>
      <t xml:space="preserve">EAPRNV </t>
    </r>
    <r>
      <rPr>
        <vertAlign val="subscript"/>
        <sz val="9"/>
        <color rgb="FF000000"/>
        <rFont val="Calibri"/>
        <family val="2"/>
        <scheme val="minor"/>
      </rPr>
      <t>i</t>
    </r>
    <r>
      <rPr>
        <sz val="9"/>
        <color rgb="FF000000"/>
        <rFont val="Calibri"/>
        <family val="2"/>
        <scheme val="minor"/>
      </rPr>
      <t xml:space="preserve"> = Ejecución presupuestal de la acción </t>
    </r>
    <r>
      <rPr>
        <i/>
        <sz val="9"/>
        <color rgb="FF000000"/>
        <rFont val="Calibri"/>
        <family val="2"/>
        <scheme val="minor"/>
      </rPr>
      <t>i</t>
    </r>
    <r>
      <rPr>
        <sz val="9"/>
        <color rgb="FF000000"/>
        <rFont val="Calibri"/>
        <family val="2"/>
        <scheme val="minor"/>
      </rPr>
      <t xml:space="preserve"> asociada al Programa Regional de Negocios Verdes por la autoridad ambiental, en el año t.</t>
    </r>
  </si>
  <si>
    <r>
      <t xml:space="preserve">CAPRNV </t>
    </r>
    <r>
      <rPr>
        <vertAlign val="subscript"/>
        <sz val="9"/>
        <color rgb="FF000000"/>
        <rFont val="Calibri"/>
        <family val="2"/>
        <scheme val="minor"/>
      </rPr>
      <t>it</t>
    </r>
    <r>
      <rPr>
        <sz val="9"/>
        <color rgb="FF000000"/>
        <rFont val="Calibri"/>
        <family val="2"/>
        <scheme val="minor"/>
      </rPr>
      <t xml:space="preserve"> = Compromisos correspondientes a la acción i en el marco del Programa Regional de Negocios Verdes, en el año t.</t>
    </r>
  </si>
  <si>
    <r>
      <t xml:space="preserve">PDAPRNV </t>
    </r>
    <r>
      <rPr>
        <vertAlign val="subscript"/>
        <sz val="9"/>
        <color rgb="FF000000"/>
        <rFont val="Calibri"/>
        <family val="2"/>
        <scheme val="minor"/>
      </rPr>
      <t>it</t>
    </r>
    <r>
      <rPr>
        <sz val="9"/>
        <color rgb="FF000000"/>
        <rFont val="Calibri"/>
        <family val="2"/>
        <scheme val="minor"/>
      </rPr>
      <t xml:space="preserve"> = Presupuesto definitivo a la acción i en el marco del Programa Regional de Negocios Verdes, en el año t.</t>
    </r>
  </si>
  <si>
    <t>Número de acciones relacionadas con la implementación del Programa Regional de Negocios Verdes por la autoridad ambiental</t>
  </si>
  <si>
    <t>Presupuesto definitivo</t>
  </si>
  <si>
    <t>Ejecución física y financiera de acciones relacionadas con la implementación del Programa Regional de Negocios Verdes por la autoridad ambiental</t>
  </si>
  <si>
    <t>Protocolizar la creación de la ventanilla o nodo de negocios verdes y/o la suscripción de alianza, en la A.A</t>
  </si>
  <si>
    <t>Seguimiento a los planes de acción de la A.A. y a los planes de mejora</t>
  </si>
  <si>
    <t>(*) Nombre de la acción, actividad o proyecto en el Plan de Acción de la Corporación</t>
  </si>
  <si>
    <t>Cálculo de la ejecución física y financiera de acciones relacionadas con la implementación del Programa Regional de Negocios Verdes por la autoridad ambiental</t>
  </si>
  <si>
    <t>Avance Físico</t>
  </si>
  <si>
    <t>Ejecución Anual</t>
  </si>
  <si>
    <t>El indicador hace seguimiento a la contribución de las CAR a la ejecución del Plan Nacional de Negocios Verdes y el Plan Regional de Negocios Verdes. Cuanto más cercano a cien por ciento, mayor es el cumplimiento de las metas, a cargo de la Autoridad Ambiental, en el marco del Plan Nacional de Negocios Verdes y el Plan Regional de Negocios Verdes.</t>
  </si>
  <si>
    <r>
      <t>Hoja Metodológica de referencia:</t>
    </r>
    <r>
      <rPr>
        <sz val="9"/>
        <color rgb="FF000000"/>
        <rFont val="Calibri"/>
        <family val="2"/>
        <scheme val="minor"/>
      </rPr>
      <t xml:space="preserve"> MADS (2016). </t>
    </r>
    <r>
      <rPr>
        <i/>
        <sz val="9"/>
        <color rgb="FF000000"/>
        <rFont val="Calibri"/>
        <family val="2"/>
        <scheme val="minor"/>
      </rPr>
      <t>Hoja metodológica Implementación del programa regional de negocios verdes por la autoridad ambiental (Versión 1.0).</t>
    </r>
    <r>
      <rPr>
        <sz val="9"/>
        <color rgb="FF000000"/>
        <rFont val="Calibri"/>
        <family val="2"/>
        <scheme val="minor"/>
      </rPr>
      <t xml:space="preserve"> Ministerio de Ambiente y Desarrollo Sostenible MADS, DGOAT-SINA y ONV.</t>
    </r>
  </si>
  <si>
    <t>Tiempo promedio de trámite para la resolución de autorizaciones ambientales otorgadas por la corporación</t>
  </si>
  <si>
    <t>El tiempo promedio de trámite o procedimiento para la resolución de autorizaciones ambientales otorgadas por las autoridades ambientales es el resultado de la suma de los tiempos de cada trámite (licencias ambientales, concesiones de agua, permisos de aprovechamiento forestal, permisos de emisiones atmosféricas y permisos de vertimiento de agua), dividido en el número de trámites resueltos por la autoridad ambiental.</t>
  </si>
  <si>
    <t xml:space="preserve">Se entiende por tiempo efectivo, el periodo de tiempo en días que dura el proceso en manos de la Corporación, que resulta de descontar del tiempo total desde la radicación de la solicitud hasta la manifestación final de la autoridad ambiental, descontado el tiempo utilizado por el peticionario para atender los actos de trámites expedidos en el proceso. </t>
  </si>
  <si>
    <t>El indicador mide los cambios en la eficiencia por parte de la autoridad ambiental en la resolución de las solicitudes de autorizaciones ambientales (licencias ambientales, concesiones de agua, permisos de aprovechamiento forestal, permisos de emisiones atmosféricas y permisos de vertimiento de agua).</t>
  </si>
  <si>
    <t>Resolución 2202 de 2006.</t>
  </si>
  <si>
    <t>Licencias ambientales: Decreto 1076 de 2015</t>
  </si>
  <si>
    <t>Concesiones de agua: Decreto Ley 2811 de 1974, Decreto 1076 de 2015</t>
  </si>
  <si>
    <t>Permisos de vertimiento de agua: Decreto Ley 2811 de 1974, Decreto 1076 de 2015.</t>
  </si>
  <si>
    <t>Permisos de emisión: Decreto Ley 2811 de 1974, Decreto 1076 de 2015, Resolución 619 de 1997 y sus modificaciones, Resolución 909 de 2008 y sus modificaciones.</t>
  </si>
  <si>
    <t>Permisos de aprovechamiento forestal: Decreto Ley 2811 de 1974, Decreto 1076 de 2015, entre otros.</t>
  </si>
  <si>
    <r>
      <t>Las autorizaciones administrativas son 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t>
    </r>
    <r>
      <rPr>
        <i/>
        <sz val="9"/>
        <color rgb="FF000000"/>
        <rFont val="Calibri"/>
        <family val="2"/>
        <scheme val="minor"/>
      </rPr>
      <t xml:space="preserve">, </t>
    </r>
    <r>
      <rPr>
        <sz val="9"/>
        <color rgb="FF000000"/>
        <rFont val="Calibri"/>
        <family val="2"/>
        <scheme val="minor"/>
      </rPr>
      <t>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t>
    </r>
  </si>
  <si>
    <t>A manera de ejemplo encontramos: concesiones de agua, permisos para la exploración y ocupación de cauces, playas y lechos, permisos de aprovechamiento forestal, permiso de emisiones atmosféricas y otros.</t>
  </si>
  <si>
    <t>La Ley 99 de 1993 en su artículo 70 establece como todo trámite ambiental requiere auto de iniciación para comenzar la evaluación hasta la fecha de emisión del acto administrativo definitivo que resuelve la solicitud.</t>
  </si>
  <si>
    <t>Sin embargo, cada autorización administrativa posee un procedimiento propio. El tiempo promedio de trámite para la evaluación de las licencias ambientales, permisos y autorizaciones otorgadas por las autoridades ambientales, se refiere al tiempo efectivo utilizado por la Corporación para manifestarse de manera positiva o negativa sobre la solicitud de licenciamiento o aprovechamiento de recursos, a partir de la fecha de radicación de la solicitud.</t>
  </si>
  <si>
    <t>Se debe entender como tiempo efectivo, el periodo de tiempo en días que dura el proceso en manos de la autoridad ambiental, que resulta de descontar del tiempo total desde la radicación de la solicitud hasta la manifestación final de la autoridad ambiental, descontado el tiempo utilizado por el peticionario para atender los actos de trámites expedidos en el proceso. En los casos de audiencias Públicas o consultas previas también se suspenden términos, los cuales se descuentan del tiempo efectivo de la evaluación.</t>
  </si>
  <si>
    <t xml:space="preserve">En el cálculo de las Solicitudes con vencimiento de términos dentro del periodo de reporte (Denominador del indicador), no se contabilizan las solicitudes que debieron ser resueltas en periodos de reporte anteriores, o que se resuelven antes de términos en los periodos anteriores del periodo de reporte. </t>
  </si>
  <si>
    <t>De igual forma, se aplicará la misma lógica para las solicitudes de concesiones de agua, permisos de aprovechamiento forestal, emisiones atmosféricas y permisos de vertimiento.</t>
  </si>
  <si>
    <t>Tx: Tiempo promedio efectivo de duración del trámite x.</t>
  </si>
  <si>
    <t>Ti: Tiempo de duración de cada trámite i en la categoría x.</t>
  </si>
  <si>
    <t>x = Licencias ambientales, concesiones de agua, permisos de aprovechamiento forestal, permisos de emisiones atmosféricas y permisos de vertimiento de agua.</t>
  </si>
  <si>
    <t>n: Número de trámites atendidos de cada una de las categorías analizadas (Licencia ambiental, concesión de agua, permiso de vertimiento de agua, aprovechamiento forestal, permiso de emisión).</t>
  </si>
  <si>
    <r>
      <t>Definición de las variables del indicador</t>
    </r>
    <r>
      <rPr>
        <sz val="9"/>
        <color rgb="FF000000"/>
        <rFont val="Calibri"/>
        <family val="2"/>
        <scheme val="minor"/>
      </rPr>
      <t>: Los procesos a analizar corresponderán a los trámites más comunes que se adelantan ante la autoridad ambiental, determinando su tiempo de duración así:</t>
    </r>
  </si>
  <si>
    <t>TL.A. = Tiempo efectivo de duración del trámite de otorgamiento de licencias ambientales</t>
  </si>
  <si>
    <t>TC.A. = Tiempo efectivo de duración del trámite de otorgamiento de una concesión de agua</t>
  </si>
  <si>
    <t>T.P.V. = Tiempo efectivo de duración del trámite de otorgamiento de un permiso de vertimiento</t>
  </si>
  <si>
    <t>T.A.F. = Tiempo efectivo de duración del trámite de otorgamiento de un aprovechamiento Forestal</t>
  </si>
  <si>
    <t xml:space="preserve">T.P.E. = Tiempo efectivo de duración del trámite de otorgamiento de un permiso de emisión </t>
  </si>
  <si>
    <t>Licencias ambientales</t>
  </si>
  <si>
    <t>TL.A. Tiempo efectivo de duración del trámite de otorgamiento de licencias ambientales (número de días)</t>
  </si>
  <si>
    <t xml:space="preserve">N L.A.: Número de solicitudes de licencia ambiental atendidos </t>
  </si>
  <si>
    <t>Tx L.A. Tiempo promedio efectivo de duración del trámite de licencias ambientales</t>
  </si>
  <si>
    <t>Concesiones de agua</t>
  </si>
  <si>
    <t xml:space="preserve">N C.A.S.: Número de solicitudes de concesión de agua recibidas en el periodo. </t>
  </si>
  <si>
    <t>Tx C.A.S. Tiempo promedio efectivo de duración del trámite de Concesiones de Agua.</t>
  </si>
  <si>
    <t>Permisos de vertimiento de agua</t>
  </si>
  <si>
    <t>TP.V. Tiempo efectivo de duración del trámite de otorgamiento de un permiso de vertimiento (número de días)</t>
  </si>
  <si>
    <t>N P.V.: Número de solicitudes de permisos de vertimiento recibidas en el periodo.</t>
  </si>
  <si>
    <t>Tx P.V. Tiempo promedio efectivo de duración del trámite de otorgamiento de un permiso de vertimiento.</t>
  </si>
  <si>
    <t>Permisos de aprovechamiento forestal</t>
  </si>
  <si>
    <t>TP.E. Tiempo efectivo de duración del trámite de otorgamiento de un permiso de emisión (número de días)</t>
  </si>
  <si>
    <t>N A.F. Número de solicitudes de permisos de aprovechamiento forestal recibidas en el periodo</t>
  </si>
  <si>
    <t xml:space="preserve">Tx A.F. Tiempo promedio efectivo de duración del trámite de otorgamiento de un permiso de aprovechamiento forestal </t>
  </si>
  <si>
    <t>Permisos de emisiones atmosféricas</t>
  </si>
  <si>
    <t xml:space="preserve">TP.E. Tiempo efectivo de duración del trámite de otorgamiento de un permiso de emisión (número de días) </t>
  </si>
  <si>
    <t>N P.E. Número de solicitudes de permisos de emisiones atmosféricas recibidas en el periodo</t>
  </si>
  <si>
    <t>Tx P.E. Tiempo promedio efectivo de duración del trámite de otorgamiento de un permiso de emisión</t>
  </si>
  <si>
    <t>Cuanto menor sea el tiempo promedio, teniendo como referencia los tiempos establecidos en la normativa, mayor es el cumplimiento por parte de la autoridad ambiental en la eficiencia en la resolución de las solicitudes de autorizaciones ambientales (licencias ambientales, concesiones de agua, permisos de aprovechamiento forestal, permisos de emisiones atmosféricas y permisos de vertimiento de agua).</t>
  </si>
  <si>
    <r>
      <t>Hoja Metodológica de referencia:</t>
    </r>
    <r>
      <rPr>
        <sz val="9"/>
        <color rgb="FF000000"/>
        <rFont val="Calibri"/>
        <family val="2"/>
        <scheme val="minor"/>
      </rPr>
      <t xml:space="preserve"> MADS (2016). </t>
    </r>
    <r>
      <rPr>
        <b/>
        <i/>
        <sz val="9"/>
        <color rgb="FF000000"/>
        <rFont val="Calibri"/>
        <family val="2"/>
        <scheme val="minor"/>
      </rPr>
      <t>Tiempo promedio de trámite para la resolución de autorizaciones ambientales otorgadas por la corporación</t>
    </r>
    <r>
      <rPr>
        <i/>
        <sz val="9"/>
        <color rgb="FF000000"/>
        <rFont val="Calibri"/>
        <family val="2"/>
        <scheme val="minor"/>
      </rPr>
      <t xml:space="preserve"> (Versión 1.0).</t>
    </r>
    <r>
      <rPr>
        <sz val="9"/>
        <color rgb="FF000000"/>
        <rFont val="Calibri"/>
        <family val="2"/>
        <scheme val="minor"/>
      </rPr>
      <t xml:space="preserve"> Ministerio de Ambiente y Desarrollo Sostenible MADS, DGOAT-SINA.</t>
    </r>
  </si>
  <si>
    <t>Porcentaje de autorizaciones ambientales con seguimiento</t>
  </si>
  <si>
    <t xml:space="preserve"> </t>
  </si>
  <si>
    <t>Es la relación entre el número de Autorizaciones ambientales con seguimiento con respecto a la meta de seguimiento de dichas autorizaciones por parte de la autoridad ambiental.</t>
  </si>
  <si>
    <t>El indicador mide el cumplimiento de las metas que la autoridad ambiental se ha propuesto alcanzar en relación con el seguimiento a las autorizaciones ambientales (Licencias ambientales, concesiones de agua, permisos de aprovechamiento forestal, permisos de emisiones atmosféricas y permisos de vertimiento de agua).</t>
  </si>
  <si>
    <t>Resolución 619 de 1997 modificada por la Res 1377 de 2015 y Resolución 909 de 2008 y sus modificaciones.</t>
  </si>
  <si>
    <r>
      <t>Las autorizaciones administrativas son</t>
    </r>
    <r>
      <rPr>
        <i/>
        <sz val="9"/>
        <color rgb="FF000000"/>
        <rFont val="Calibri"/>
        <family val="2"/>
        <scheme val="minor"/>
      </rPr>
      <t xml:space="preserve"> </t>
    </r>
    <r>
      <rPr>
        <sz val="9"/>
        <color rgb="FF000000"/>
        <rFont val="Calibri"/>
        <family val="2"/>
        <scheme val="minor"/>
      </rPr>
      <t>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t>
    </r>
    <r>
      <rPr>
        <i/>
        <sz val="9"/>
        <color rgb="FF000000"/>
        <rFont val="Calibri"/>
        <family val="2"/>
        <scheme val="minor"/>
      </rPr>
      <t xml:space="preserve">, </t>
    </r>
    <r>
      <rPr>
        <sz val="9"/>
        <color rgb="FF000000"/>
        <rFont val="Calibri"/>
        <family val="2"/>
        <scheme val="minor"/>
      </rPr>
      <t>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 A manera de ejemplo encontramos: concesiones de agua, permisos para la exploración y ocupación de cauces, playas y lechos, permisos de aprovechamiento forestal, permiso de emisiones atmosféricas y otros.</t>
    </r>
  </si>
  <si>
    <t>Una vez otorgadas las autorizaciones administrativas corresponde a la autoridad ambiental realizar su respectivo seguimiento. A manera de ejemplo en licencias ambientales la autoridad ambiental define una priorización de los sectores y/o de los proyectos, obras o actividades licenciados, durante su construcción, operación, desmantelamiento o abandono, que son objeto de control y seguimiento. Esto con el fin de: 1. Verificar la implementación del Plan de Manejo Ambiental, seguimiento y monitoreo, y de contingencia, así como la eficiencia y eficacia de las medidas de manejo implementadas; 2. Constatar y exigir el cumplimiento de todos los términos, obligaciones y condiciones que se deriven de la licencia ambiental o Plan de Manejo Ambiental; 3. Corroborar cómo es el comportamiento real del medio ambiente y de los recursos naturales frente al desarrollo del proyecto; y 4. Evaluar el desempeño ambiental considerando las medidas de manejo establecidas para controlar los impactos ambientales.</t>
  </si>
  <si>
    <t>En el desarrollo de dicha gestión, la autoridad ambiental puede realizar entre otras actividades, visitas al lugar donde se desarrolla el proyecto, hacer requerimientos de información, corroborar, técnicamente o a través de pruebas, los resultados de los monitoreos realizados por el beneficiario de la licencia.</t>
  </si>
  <si>
    <t>Así mismo, para las concesiones de agua, los permisos de aprovechamiento forestal, las emisiones atmosféricas y los permisos de vertimiento de agua, la Corporación una meta cuatrienal y para cada una de las vigencias.</t>
  </si>
  <si>
    <r>
      <t xml:space="preserve">PTAACS </t>
    </r>
    <r>
      <rPr>
        <vertAlign val="subscript"/>
        <sz val="9"/>
        <color rgb="FF000000"/>
        <rFont val="Calibri"/>
        <family val="2"/>
        <scheme val="minor"/>
      </rPr>
      <t>t</t>
    </r>
    <r>
      <rPr>
        <sz val="9"/>
        <color rgb="FF000000"/>
        <rFont val="Calibri"/>
        <family val="2"/>
        <scheme val="minor"/>
      </rPr>
      <t xml:space="preserve"> = Porcentaje total de autorizaciones ambientales con seguimiento, en el tiempo t.</t>
    </r>
  </si>
  <si>
    <r>
      <t xml:space="preserve">PAACS </t>
    </r>
    <r>
      <rPr>
        <vertAlign val="subscript"/>
        <sz val="9"/>
        <color rgb="FF000000"/>
        <rFont val="Calibri"/>
        <family val="2"/>
        <scheme val="minor"/>
      </rPr>
      <t>i</t>
    </r>
    <r>
      <rPr>
        <sz val="9"/>
        <color rgb="FF000000"/>
        <rFont val="Calibri"/>
        <family val="2"/>
        <scheme val="minor"/>
      </rPr>
      <t xml:space="preserve"> = Porcentaje de la autorización ambiental </t>
    </r>
    <r>
      <rPr>
        <i/>
        <sz val="9"/>
        <color rgb="FF000000"/>
        <rFont val="Calibri"/>
        <family val="2"/>
        <scheme val="minor"/>
      </rPr>
      <t>i</t>
    </r>
    <r>
      <rPr>
        <sz val="9"/>
        <color rgb="FF000000"/>
        <rFont val="Calibri"/>
        <family val="2"/>
        <scheme val="minor"/>
      </rPr>
      <t xml:space="preserve"> con seguimiento, en el tiempo t.</t>
    </r>
  </si>
  <si>
    <t>i = Licencias ambientales, concesiones de agua, permisos de aprovechamiento forestal, permisos de emisiones atmosféricas y permisos de vertimiento de agua.</t>
  </si>
  <si>
    <r>
      <t>a</t>
    </r>
    <r>
      <rPr>
        <vertAlign val="subscript"/>
        <sz val="9"/>
        <color rgb="FF000000"/>
        <rFont val="Calibri"/>
        <family val="2"/>
        <scheme val="minor"/>
      </rPr>
      <t xml:space="preserve">i = </t>
    </r>
    <r>
      <rPr>
        <sz val="9"/>
        <color rgb="FF000000"/>
        <rFont val="Calibri"/>
        <family val="2"/>
        <scheme val="minor"/>
      </rPr>
      <t>Ponderación correspondiente a cada autorización ambiental (licencias ambientales, las concesiones de agua, los permisos de aprovechamiento forestal, los permisos de emisiones atmosféricas y los permisos de vertimiento de agua y PSMV). La suma de los ponderadores es igual a 1.</t>
    </r>
  </si>
  <si>
    <t>Porcentaje de seguimiento de cada autorización ambiental</t>
  </si>
  <si>
    <r>
      <t xml:space="preserve">PAACS </t>
    </r>
    <r>
      <rPr>
        <vertAlign val="subscript"/>
        <sz val="9"/>
        <color rgb="FF000000"/>
        <rFont val="Calibri"/>
        <family val="2"/>
        <scheme val="minor"/>
      </rPr>
      <t>it</t>
    </r>
    <r>
      <rPr>
        <sz val="9"/>
        <color rgb="FF000000"/>
        <rFont val="Calibri"/>
        <family val="2"/>
        <scheme val="minor"/>
      </rPr>
      <t xml:space="preserve"> = Porcentaje de la autorización ambiental </t>
    </r>
    <r>
      <rPr>
        <i/>
        <sz val="9"/>
        <color rgb="FF000000"/>
        <rFont val="Calibri"/>
        <family val="2"/>
        <scheme val="minor"/>
      </rPr>
      <t>i</t>
    </r>
    <r>
      <rPr>
        <sz val="9"/>
        <color rgb="FF000000"/>
        <rFont val="Calibri"/>
        <family val="2"/>
        <scheme val="minor"/>
      </rPr>
      <t xml:space="preserve"> con seguimiento, en el tiempo t.</t>
    </r>
  </si>
  <si>
    <r>
      <t xml:space="preserve">AACS </t>
    </r>
    <r>
      <rPr>
        <vertAlign val="subscript"/>
        <sz val="9"/>
        <color rgb="FF000000"/>
        <rFont val="Calibri"/>
        <family val="2"/>
        <scheme val="minor"/>
      </rPr>
      <t>it</t>
    </r>
    <r>
      <rPr>
        <sz val="9"/>
        <color rgb="FF000000"/>
        <rFont val="Calibri"/>
        <family val="2"/>
        <scheme val="minor"/>
      </rPr>
      <t xml:space="preserve"> = Número de autorizaciones ambientales</t>
    </r>
    <r>
      <rPr>
        <i/>
        <sz val="9"/>
        <color rgb="FF000000"/>
        <rFont val="Calibri"/>
        <family val="2"/>
        <scheme val="minor"/>
      </rPr>
      <t xml:space="preserve"> i</t>
    </r>
    <r>
      <rPr>
        <sz val="9"/>
        <color rgb="FF000000"/>
        <rFont val="Calibri"/>
        <family val="2"/>
        <scheme val="minor"/>
      </rPr>
      <t xml:space="preserve"> con seguimiento, en el tiempo t.</t>
    </r>
  </si>
  <si>
    <r>
      <t xml:space="preserve">MAACS </t>
    </r>
    <r>
      <rPr>
        <vertAlign val="subscript"/>
        <sz val="9"/>
        <color rgb="FF000000"/>
        <rFont val="Calibri"/>
        <family val="2"/>
        <scheme val="minor"/>
      </rPr>
      <t>it</t>
    </r>
    <r>
      <rPr>
        <sz val="9"/>
        <color rgb="FF000000"/>
        <rFont val="Calibri"/>
        <family val="2"/>
        <scheme val="minor"/>
      </rPr>
      <t xml:space="preserve"> = Meta de autorizaciones ambientales </t>
    </r>
    <r>
      <rPr>
        <i/>
        <sz val="9"/>
        <color rgb="FF000000"/>
        <rFont val="Calibri"/>
        <family val="2"/>
        <scheme val="minor"/>
      </rPr>
      <t>i</t>
    </r>
    <r>
      <rPr>
        <sz val="9"/>
        <color rgb="FF000000"/>
        <rFont val="Calibri"/>
        <family val="2"/>
        <scheme val="minor"/>
      </rPr>
      <t xml:space="preserve"> con seguimiento, en el tiempo t.</t>
    </r>
  </si>
  <si>
    <t>La meta de número de autorizaciones ambientales sujetos a seguimiento es establecida por la Corporación tanto para el cuatrienio como para cada una de las vigencias.</t>
  </si>
  <si>
    <t>Seguimiento de licencias ambientales</t>
  </si>
  <si>
    <t>Número total de licencias ambientales priorizadas por la Corporación para hacer seguimiento en el cuatrienio:</t>
  </si>
  <si>
    <t>Meta de licencias ambientales con seguimiento (MLACS)</t>
  </si>
  <si>
    <t>Número de licencias ambientales con seguimiento (LACS)</t>
  </si>
  <si>
    <t>Porcentaje de licencias ambientales con seguimiento (PLACS)</t>
  </si>
  <si>
    <t>Detalle de seguimiento a licencias ambientales en la vigencia</t>
  </si>
  <si>
    <t>Sector</t>
  </si>
  <si>
    <t>Número de licencias por sector</t>
  </si>
  <si>
    <t>Número de expedientes activos</t>
  </si>
  <si>
    <t>Meta de seguimiento (número)</t>
  </si>
  <si>
    <t>Licencias con seguimiento</t>
  </si>
  <si>
    <t>(número)</t>
  </si>
  <si>
    <t>Seguimiento de concesiones de agua</t>
  </si>
  <si>
    <t>Valor</t>
  </si>
  <si>
    <t>Seguimiento de concesiones de agua (número)</t>
  </si>
  <si>
    <t>Meta de número de concesiones de agua con seguimiento (MCACS)</t>
  </si>
  <si>
    <t>Número de concesiones de agua con seguimiento (CACS)</t>
  </si>
  <si>
    <t>Porcentaje de concesiones de agua con seguimiento (PCACS)</t>
  </si>
  <si>
    <t>Seguimiento de concesiones de agua (metros cúbicos / segundo)</t>
  </si>
  <si>
    <t>Meta de concesiones de agua con seguimiento (MCACSMC)</t>
  </si>
  <si>
    <t>Concesiones de agua con seguimiento (CACSMC)</t>
  </si>
  <si>
    <t>Porcentaje de concesiones de agua con seguimiento (PCACSMC)</t>
  </si>
  <si>
    <t>Seguimiento de permisos de vertimiento de agua (número)</t>
  </si>
  <si>
    <t>Meta de número de permisos de vertimiento de agua con seguimiento (MVACS)</t>
  </si>
  <si>
    <t>Número de permisos de vertimiento de agua con seguimiento (VACS)</t>
  </si>
  <si>
    <t>Porcentaje de permisos de vertimiento de agua con seguimiento (PVACS)</t>
  </si>
  <si>
    <t>Seguimiento de permisos de vertimiento de agua (metros cúbicos / segundo) y PSMV</t>
  </si>
  <si>
    <t>Meta de permisos de vertimiento de agua con seguimiento (MVACSMC)</t>
  </si>
  <si>
    <t>Permisos de vertimiento de agua con seguimiento (VACSMC)</t>
  </si>
  <si>
    <t>Porcentaje de permisos de vertimiento de agua con seguimiento (PVACSMC)</t>
  </si>
  <si>
    <t>Seguimiento de permisos de aprovechamiento forestal</t>
  </si>
  <si>
    <t>Seguimiento de permisos de aprovechamiento forestal (número)</t>
  </si>
  <si>
    <t>Meta de número de permisos de aprovechamiento forestal con seguimiento (MPAFCS)</t>
  </si>
  <si>
    <t>Número de permisos de aprovechamiento forestal con seguimiento (PAFCS)</t>
  </si>
  <si>
    <t>Porcentaje de permisos de aprovechamiento forestal con seguimiento (PPAFCS)</t>
  </si>
  <si>
    <t>Seguimiento de permisos de aprovechamiento forestal (metros cúbicos)</t>
  </si>
  <si>
    <t>Meta de permisos de aprovechamiento forestal con seguimiento (MPACFSMC)</t>
  </si>
  <si>
    <t>Permisos de aprovechamiento forestal con seguimiento (PAFCSMC)</t>
  </si>
  <si>
    <t>Porcentaje de permisos de aprovechamiento forestal con seguimiento (PPAFCSMC)</t>
  </si>
  <si>
    <t>Seguimiento de permisos de emisiones atmosféricas</t>
  </si>
  <si>
    <t>Seguimiento de permisos de emisiones atmosféricas (número)</t>
  </si>
  <si>
    <t>Meta de número de permisos de emisiones atmosféricas con seguimiento (MPEACS)</t>
  </si>
  <si>
    <t>Número de permisos de emisiones atmosféricas con seguimiento (EACS)</t>
  </si>
  <si>
    <t>Porcentaje de permisos de emisiones atmosféricas con seguimiento (PEACS)</t>
  </si>
  <si>
    <t>Cuanto más cercano a cien por ciento, mayor es el cumplimiento de las metas que la autoridad ambiental se ha propuesto alcanzar en relación con el seguimiento a las autorizaciones ambientales (licencias ambientales, concesiones de agua, aprovechamiento forestal, emisiones atmosféricas y permisos de vertimiento).</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</si>
  <si>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autorizaciones ambientales con seguimiento (Versión 1.0).</t>
    </r>
    <r>
      <rPr>
        <sz val="9"/>
        <color rgb="FF000000"/>
        <rFont val="Calibri"/>
        <family val="2"/>
        <scheme val="minor"/>
      </rPr>
      <t xml:space="preserve"> Ministerio de Ambiente y Desarrollo Sostenible, DGOAT-SINA.</t>
    </r>
  </si>
  <si>
    <t>Porcentaje de Procesos Sancionatorios Resueltos</t>
  </si>
  <si>
    <t>Es la relación entre el número de actos administrativos de determinación de la responsabilidad o de cesación de procedimiento expedidos, con respecto al número de actos administrativos de iniciación de procedimiento sancionatorio expedidos por la autoridad ambiental.</t>
  </si>
  <si>
    <r>
      <t>E</t>
    </r>
    <r>
      <rPr>
        <sz val="9"/>
        <color rgb="FF000000"/>
        <rFont val="Calibri"/>
        <family val="2"/>
        <scheme val="minor"/>
      </rPr>
      <t>l indicador mide el cumplimiento por parte de la autoridad ambiental en la gestión de los procesos sancionatorios abiertos, con relación a la ocurrencia de infracciones en materia ambiental en su jurisdicción.</t>
    </r>
  </si>
  <si>
    <t>Ley 99 de 1993, Ley Marco del Medio Ambiente</t>
  </si>
  <si>
    <t>Ley 1333 de 2009, Procedimiento sancionatorio ambiental</t>
  </si>
  <si>
    <t>La autoridad ambiental está en la obligación de establecer la ocurrencia o no de presuntas infracciones ambientales y de determinar la existencia o no de responsabilidad, y en caso afirmativo, sancionar a los responsables de manera oportuna, de tal manera que se garantice el cumplimiento de la normatividad ambiental vigente en las respectivas jurisdicciones de las autoridades ambientales.</t>
  </si>
  <si>
    <t>De conformidad con lo establecido en el artículo 5° de la Ley 1333 de 2009, se considera infracción en materia ambiental “toda acción u omisión que constituya violación de las normas contenidas en el Código de Recursos Naturales Renovables, Decreto-ley 2811 de 1974, en la Ley 99 de 1993, en la Ley 165 de 1994 y en las demás disposiciones ambientales vigentes en que las sustituyan o modifiquen y en los actos administrativos emanados de la autoridad ambiental competente. Será también constitutivo de infracción ambiental la comisión de un daño al medio ambiente, con las mismas condiciones que para configurar la responsabilidad civil extracontractual establece el Código Civil y la legislación complementaria, a saber: El daño, el hecho generador con culpa o dolo y el vínculo causal entre los dos. Cuando estos elementos se configuren darán lugar a una sanción administrativa ambiental, sin perjuicio de la responsabilidad que para terceros pueda generar el hecho en materia civil”.</t>
  </si>
  <si>
    <t>El acto administrativo de iniciación, es el acto mediante el cual se ordena el inicio del procedimiento sancionatorio para verificar los hechos u omisiones constitutivas de infracción a las normas ambientales, de conformidad con el art. 18 de la Ley 1333 de 2009.</t>
  </si>
  <si>
    <t>Cuando aparezca plenamente demostrada alguna de las causales de cesación del procedimiento, se expide un acto administrativo en tal sentido, de conformidad con el artículo 23 de la Ley 1333 de 2009.</t>
  </si>
  <si>
    <t>El acto administrativo de determinación de responsabilidad, es el acto mediante el cual se declara o no la responsabilidad del infractor por violación de la norma ambiental.</t>
  </si>
  <si>
    <r>
      <t xml:space="preserve">PPSR </t>
    </r>
    <r>
      <rPr>
        <vertAlign val="subscript"/>
        <sz val="9"/>
        <color rgb="FF000000"/>
        <rFont val="Calibri"/>
        <family val="2"/>
        <scheme val="minor"/>
      </rPr>
      <t>t</t>
    </r>
    <r>
      <rPr>
        <sz val="9"/>
        <color rgb="FF000000"/>
        <rFont val="Calibri"/>
        <family val="2"/>
        <scheme val="minor"/>
      </rPr>
      <t xml:space="preserve"> = Porcentaje de Procesos Sancionatorios Resueltos, en el tiempo t.</t>
    </r>
  </si>
  <si>
    <r>
      <t xml:space="preserve">ADR </t>
    </r>
    <r>
      <rPr>
        <vertAlign val="subscript"/>
        <sz val="9"/>
        <color rgb="FF000000"/>
        <rFont val="Calibri"/>
        <family val="2"/>
        <scheme val="minor"/>
      </rPr>
      <t>t</t>
    </r>
    <r>
      <rPr>
        <sz val="9"/>
        <color rgb="FF000000"/>
        <rFont val="Calibri"/>
        <family val="2"/>
        <scheme val="minor"/>
      </rPr>
      <t xml:space="preserve"> = Número de actos administrativos de determinación de la responsabilidad expedidos, en el tiempo t.</t>
    </r>
  </si>
  <si>
    <r>
      <t xml:space="preserve">ACP </t>
    </r>
    <r>
      <rPr>
        <vertAlign val="subscript"/>
        <sz val="9"/>
        <color rgb="FF000000"/>
        <rFont val="Calibri"/>
        <family val="2"/>
        <scheme val="minor"/>
      </rPr>
      <t>t</t>
    </r>
    <r>
      <rPr>
        <sz val="9"/>
        <color rgb="FF000000"/>
        <rFont val="Calibri"/>
        <family val="2"/>
        <scheme val="minor"/>
      </rPr>
      <t xml:space="preserve"> = Número de actos administrativos de cesación de procedimiento expedidos, en el tiempo t.</t>
    </r>
  </si>
  <si>
    <t>AIPS = Número de actos administrativos de iniciación de procedimiento sancionatorio expedidos.</t>
  </si>
  <si>
    <t>La variable AIPS comprende el total de los actos administrativos de iniciación de procedimiento sancionatorio expedidos en la vigencia respectiva, más los actos administrativos de iniciación de procedimiento cuyo proceso sancionatorio que se encuentre sin acto administrativo de determinación de la responsabilidad o de cesación de procedimiento expedido, a 31 de diciembre de la vigencia anterior.</t>
  </si>
  <si>
    <t>Número de actos administrativos de iniciación de procedimiento sancionatorio expedidos (AIPS)</t>
  </si>
  <si>
    <t>Número de actos administrativos de determinación de la responsabilidad expedidos en la vigencia (ADR)</t>
  </si>
  <si>
    <t>Número de actos administrativos de cesación de procedimiento expedidos en la vigencia (ACP)</t>
  </si>
  <si>
    <t>Porcentaje de Procesos Sancionatorios Resueltos (PPSR)</t>
  </si>
  <si>
    <t>Cuanto más cercano a cien por ciento, mayor es el cumplimiento por parte de la autoridad ambiental de su función de adelantar los procesos sancionatorios por la comisión de infracciones en materia ambiental.</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</si>
  <si>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Procesos Sancionatorios Resueltos (Versión 1.0).</t>
    </r>
    <r>
      <rPr>
        <sz val="9"/>
        <color rgb="FF000000"/>
        <rFont val="Calibri"/>
        <family val="2"/>
        <scheme val="minor"/>
      </rPr>
      <t xml:space="preserve"> Ministerio de Ambiente y Desarrollo Sostenible, DGOAT-SINA.</t>
    </r>
  </si>
  <si>
    <t>Porcentaje de municipios asesorados o asistidos en la inclusión del componente ambiental en los procesos de planificación y ordenamiento territorial, con énfasis en la incorporación de las determinantes ambientales para la revisión y ajuste de los POT</t>
  </si>
  <si>
    <t>Es la relación entre el número de municipios asesorados o asistidos en temas relacionados con la inclusión del componente ambiental en los procesos de planificación y ordenamiento territorial, con énfasis en la incorporación de las determinantes ambientales para la revisión y ajuste de los POT, con respecto a la meta de municipios a ser asesorados en dicha incorporación.</t>
  </si>
  <si>
    <t>El indicador mide el cumplimiento de las metas establecidas, por parte de la Corporación Autónoma Regional, en relación con la asesoría a los municipios en la inclusión del componente ambiental en los procesos de planificación y ordenamiento territorial, con énfasis en la incorporación de las determinantes ambientales en la actualización o revisión de los planes de ordenamiento territorial. (Incluye POT, PBOT, EOT)</t>
  </si>
  <si>
    <t>Ley 99 de 1993, Ley Marco del Medio Ambiente. artículo 31, Numerales 4) , 5) y 29) en cuanto a funciones de las CAR (Coordinar el proceso de preparación de los planes, programas y proyectos de desarrollo medioambiental que deban formular los diferentes organismos y entidades integrantes del Sistema Nacional Ambiental (SINA) en el área de su jurisdicción y en especial, asesorar a los Departamentos, Distritos y Municipios de su comprensión territorial en la definición de los planes de desarrollo ambiental y en sus programas y proyectos en materia de protección del medio ambiente y los recursos naturales renovables, de manera que se asegure la armonía y coherencia de las políticas y acciones adoptadas por las distintas entidades territoriales; Participar con los demás organismos y entes competentes en el ámbito de su jurisdicción, en los procesos de planificación y ordenamiento territorial a fin de que el factor ambiental sea tenido en cuenta en las decisiones que se adopten; y Apoyar a los concejos municipales, a las asambleas departamentales y a los consejos de las entidades territoriales indígenas en las funciones de planificación que les otorga la Constitución Nacional).</t>
  </si>
  <si>
    <t>Ley 388 de 1997, Planes de Ordenamiento Territorial. Artículo 10, numeral 1) Determinantes de los planes de ordenamiento territorial. En la elaboración y adopción de sus planes de ordenamiento territorial los municipios y distritos deberán tener en cuenta las siguientes determinantes, que constituyen normas de superior jerarquía, en sus propios ámbitos de competencia, de acuerdo con la Constitución y las leyes: 1.) Las relacionadas con la conservación y protección del medio ambiente, los recursos naturales la prevención de amenazas y riesgos naturales; Artículo 24) Instancias de concertación y consulta. El alcalde distrital o municipal, a través de las oficinas de planeación o de la dependencia que haga sus veces, será responsable de coordinar la formulación oportuna del proyecto del plan de Ordenamiento Territorial, y de someterlo a consideración del Consejo de Gobierno. En todo caso, antes de la presentación del proyecto de plan de ordenamiento territorial a consideración del concejo distrital o municipal, se surtirán los trámites de concertación interinstitucional y consulta ciudadana.</t>
  </si>
  <si>
    <t>Ley 507 de 1999, Artículo 1, parágrafo 6. Parágrafo 6. El Proyecto de Plan de Ordenamiento Territorial (POT) se someterá a consideración de la Corporación Autónoma Regional o autoridad ambiental competente a efectos de que conjuntamente con el municipio y/o distrito concerten lo concerniente a los asuntos exclusivamente ambientales, dentro del ámbito de su competencia de acuerdo con lo dispuesto en la Ley 99 de 1993, para lo cual dispondrán, de treinta (30) días. En relación con los temas sobre los cuales no se logre la concertación, el Ministerio del Medio Ambiente intervendrá con el fin de decidir sobre los puntos de desacuerdo para lo cual dispondrá de un término máximo de treinta (30) días contados a partir del vencimiento del plazo anteriormente señalado en este parágrafo.</t>
  </si>
  <si>
    <t>Ley 1753 de 2015, Plan Nacional de Desarrollo, bases PND estrategia Territorial A y E</t>
  </si>
  <si>
    <t>Decreto 1076 de 2015, Decreto Único Reglamentario del Ambiente.</t>
  </si>
  <si>
    <t>De acuerdo con la Ley 99 de 1993, el objeto de las Corporaciones Autónomas Regionales y las de Desarrollo Sostenible, es la ejecución de políticas, planes, programas y proyectos sobre medio ambiente y recursos naturales renovables en lo relacionado con su administración, manejo y aprovechamiento. Así, las corporaciones son las encargadas de administrar, dentro del área de su jurisdicción, el medio ambiente y los recursos naturales renovables y propender por su desarrollo sostenible, de conformidad con las disposiciones legales y las políticas del Ministerio del Medio Ambiente. Esto significa que las CAR tienen un rol preponderante en la incorporación de los temas ambientales en los ejercicios de planificación y ordenamiento territorial de los municipios y distritos, principalmente, en los modelos de ocupación territorial por ellos propuestos. Para lo anterior, las CAR en conjunto con los organismos nacionales adscritos y vinculados al MADS y con las entidades técnicas y científicas del SINA, deben adelantar estudios e investigaciones, enfocadas al análisis territorial que le permita tomar decisiones y emprender las acciones pertinentes para identificar las determinantes ambientales de su jurisdicción.</t>
  </si>
  <si>
    <t>El factor ambiental es fundamental para asegurar el desarrollo sostenible y la resiliencia territorial de los ejercicios de planificación territorial de los municipios y distritos. Complementario a lo anterior, la Ley 388 de 1997 fijó los objetivos, principios y fines del ordenamiento territorial que rigen las actuaciones de las autoridades municipales y distritales para alcanzar el objeto del ordenamiento del territorio municipal o distrital, esto es, complementar la planificación económica y social con la dimensión territorial, racionalizar las intervenciones sobre el territorio y orientar su desarrollo y aprovechamiento sostenible en los términos de los artículos 1 º, 2 º, 3 º y 6 º de la mencionada ley.</t>
  </si>
  <si>
    <t>La ley 388 de 1997 en su artículo 10º establece los Determinantes ambientales, los constituyen un conjunto de directrices, orientaciones, conceptos y normas que permiten el adecuado reconocimiento del Componente Ambiental en los Planes, Planes Básicos y Esquemas de Ordenamiento Territorial, y su articulación con otros instrumentos de planificación y uso del territorio.</t>
  </si>
  <si>
    <t>La mencionada Ley plantea que en la elaboración y adopción de los planes de ordenamiento territorial los municipios y distritos deberán tener en cuenta, entre otros determinantes, los relacionadas con la conservación y protección del medio ambiente, los recursos naturales la prevención de amenazas y riesgos naturales.</t>
  </si>
  <si>
    <t>Las autoridades ambientales juegan un papel central como asesores técnicos para procurar la inclusión del componente ambiental en los procesos de planificación y ordenamiento de las entidades territoriales, en especial en lo relacionado con la incorporación de las determinantes ambientales en los instrumentos de planificación territorial de los municipios. Una asistencia técnica de las CAR a los municipios y distritos en este sentido, permite a la autoridad ambiental incidir favorablemente en las decisiones sobre aprovechamiento racional de recursos naturales renovables y en su inclusión como elementos estructurantes y articuladores del territorio municipal o distrital, buscando de esta forma garantizar que los procesos de desarrollo territorial sean ambientalmente sostenibles.</t>
  </si>
  <si>
    <t>Por acciones de asesoría y asistencia por parte de la Corporación Autónoma Regional, se entienden las siguientes acciones:</t>
  </si>
  <si>
    <r>
      <t>·</t>
    </r>
    <r>
      <rPr>
        <sz val="7"/>
        <color rgb="FF000000"/>
        <rFont val="Times New Roman"/>
        <family val="1"/>
      </rPr>
      <t xml:space="preserve">        </t>
    </r>
    <r>
      <rPr>
        <sz val="9"/>
        <color rgb="FF000000"/>
        <rFont val="Calibri"/>
        <family val="2"/>
      </rPr>
      <t>Realizar eventos de socialización y capacitación a los municipios y distritos en la inclusión del componente ambiental en los procesos de planificación y ordenamiento territorial, con énfasis en la incorporación de las determinantes ambientales para el ordenamiento territorial municipal.</t>
    </r>
  </si>
  <si>
    <r>
      <t>·</t>
    </r>
    <r>
      <rPr>
        <sz val="7"/>
        <color rgb="FF000000"/>
        <rFont val="Times New Roman"/>
        <family val="1"/>
      </rPr>
      <t xml:space="preserve">        </t>
    </r>
    <r>
      <rPr>
        <sz val="9"/>
        <color rgb="FF000000"/>
        <rFont val="Calibri"/>
        <family val="2"/>
      </rPr>
      <t>Socializar con los municipios de su jurisdicción la información derivada de sus sistemas de información, relacionado con el conocimiento del estado del ambiente a nivel regional y local.</t>
    </r>
  </si>
  <si>
    <r>
      <t>·</t>
    </r>
    <r>
      <rPr>
        <sz val="7"/>
        <color rgb="FF000000"/>
        <rFont val="Times New Roman"/>
        <family val="1"/>
      </rPr>
      <t xml:space="preserve">        </t>
    </r>
    <r>
      <rPr>
        <sz val="9"/>
        <color rgb="FF000000"/>
        <rFont val="Calibri"/>
        <family val="2"/>
      </rPr>
      <t>Capacitar a los municipios y Distritos en lo relacionado con el proceso de Concertación de los asuntos exclusivamente ambientales de los POT</t>
    </r>
    <r>
      <rPr>
        <sz val="12"/>
        <color rgb="FF000000"/>
        <rFont val="Calibri"/>
        <family val="2"/>
      </rPr>
      <t>.</t>
    </r>
  </si>
  <si>
    <t>Porcentaje de municipios asesorados o asistidos en la incorporación de los determinantes ambientales para la revisión y ajuste de los POT</t>
  </si>
  <si>
    <r>
      <t xml:space="preserve">PMAPOT </t>
    </r>
    <r>
      <rPr>
        <vertAlign val="subscript"/>
        <sz val="9"/>
        <color rgb="FF000000"/>
        <rFont val="Calibri"/>
        <family val="2"/>
        <scheme val="minor"/>
      </rPr>
      <t>t</t>
    </r>
    <r>
      <rPr>
        <sz val="9"/>
        <color rgb="FF000000"/>
        <rFont val="Calibri"/>
        <family val="2"/>
        <scheme val="minor"/>
      </rPr>
      <t xml:space="preserve"> = Porcentaje de municipios asesorados o asistidos asesorados o asistidos en la inclusión del componente ambiental en los procesos de planificación y ordenamiento territorial, con énfasis en la incorporación de las determinantes ambientales para la revisión y ajuste de los POT, en el tiempo t.</t>
    </r>
  </si>
  <si>
    <r>
      <t xml:space="preserve">MAPOT </t>
    </r>
    <r>
      <rPr>
        <vertAlign val="subscript"/>
        <sz val="9"/>
        <color rgb="FF000000"/>
        <rFont val="Calibri"/>
        <family val="2"/>
        <scheme val="minor"/>
      </rPr>
      <t>t</t>
    </r>
    <r>
      <rPr>
        <sz val="9"/>
        <color rgb="FF000000"/>
        <rFont val="Calibri"/>
        <family val="2"/>
        <scheme val="minor"/>
      </rPr>
      <t xml:space="preserve"> = Número de municipios asesorados en la inclusión del componente ambiental en los procesos de planificación y ordenamiento territorial, con énfasis en la incorporación de las determinantes ambientales para la revisión y ajuste de los POT, en el tiempo t.</t>
    </r>
  </si>
  <si>
    <r>
      <t xml:space="preserve">MMAPOT </t>
    </r>
    <r>
      <rPr>
        <vertAlign val="subscript"/>
        <sz val="9"/>
        <color rgb="FF000000"/>
        <rFont val="Calibri"/>
        <family val="2"/>
        <scheme val="minor"/>
      </rPr>
      <t>t</t>
    </r>
    <r>
      <rPr>
        <sz val="9"/>
        <color rgb="FF000000"/>
        <rFont val="Calibri"/>
        <family val="2"/>
        <scheme val="minor"/>
      </rPr>
      <t xml:space="preserve"> = Meta de municipios a ser asesorados en la inclusión del componente ambiental en los procesos de planificación y ordenamiento territorial, con énfasis en la incorporación de las determinantes ambientales para la revisión y ajuste de los POT, en el tiempo t.</t>
    </r>
  </si>
  <si>
    <t>Meta de municipios a ser asesorados o asistidos en la inclusión del componente ambiental en los procesos de planificación y ordenamiento territorial, con énfasis en la incorporación de las determinantes ambientales para la revisión y ajuste de los POT (MMAPOT)</t>
  </si>
  <si>
    <t>Municipios asesorados o asistidos en la inclusión del componente ambiental en los procesos de planificación y ordenamiento territorial, con énfasis en la incorporación de las determinantes ambientales para la revisión y ajuste de los POT (MAPOT)</t>
  </si>
  <si>
    <t>Porcentaje de municipios asesorados o asistidos en la inclusión del componente ambiental en los procesos de planificación y ordenamiento territorial, con énfasis en la incorporación de las determinantes ambientales para la revisión y ajuste de los POT (PMAPOT) (C = B / A)</t>
  </si>
  <si>
    <t>Detalle de acciones de asesoría o asistencia a los municipios o distritos, realizadas en la vigencia (utilice tantas filas cuantas sean necesarias)</t>
  </si>
  <si>
    <t xml:space="preserve">Número de municipios </t>
  </si>
  <si>
    <t>Nombres de municipios</t>
  </si>
  <si>
    <t>Cuanto más cercano a cien por ciento, mayor es el cumplimiento de las metas establecidas en relación con la asesoría a los municipios en la incorporación de los determinantes ambientales para la revisión y ajuste de los POT.</t>
  </si>
  <si>
    <r>
      <t>Hoja Metodológica de referencia:</t>
    </r>
    <r>
      <rPr>
        <sz val="9"/>
        <color rgb="FF000000"/>
        <rFont val="Calibri"/>
        <family val="2"/>
        <scheme val="minor"/>
      </rPr>
      <t xml:space="preserve"> MADS (2016). </t>
    </r>
    <r>
      <rPr>
        <i/>
        <sz val="9"/>
        <color rgb="FF000000"/>
        <rFont val="Calibri"/>
        <family val="2"/>
        <scheme val="minor"/>
      </rPr>
      <t xml:space="preserve">Hoja metodológica de Porcentaje de municipios asesorados o asistidos en la inclusión del componente ambiental en los procesos de planificación y ordenamiento territorial, con énfasis en la incorporación de las determinantes ambientales para la revisión y ajuste de los POT (Versión 1.0). Ministerio de Ambiente y Desarrollo Sostenible </t>
    </r>
    <r>
      <rPr>
        <sz val="9"/>
        <color rgb="FF000000"/>
        <rFont val="Calibri"/>
        <family val="2"/>
        <scheme val="minor"/>
      </rPr>
      <t>MADS, DGOAT-SINA.</t>
    </r>
  </si>
  <si>
    <t>Porcentaje de redes y estaciones de monitoreo en operación</t>
  </si>
  <si>
    <t>Es el número de redes y estaciones de monitoreo que están en operación y que cumplen con la representatividad de los datos en relación con el número de redes y estaciones de monitoreo instaladas de la Corporación.</t>
  </si>
  <si>
    <t>El indicador mide la gestión de la corporación para el mantenimiento de las redes de monitoreo, el cumplimiento de las metas que la autoridad ambiental se ha propuesto alcanzar en relación con la operación de redes y estaciones de monitoreo, que satisfacen la representatividad temporal de los datos y sigue los protocolos establecidos.</t>
  </si>
  <si>
    <t>SIRH: Decreto 1076 de 2015.</t>
  </si>
  <si>
    <t>SISAIRE: Resolución 601 de 2006, Resolución 650 de 2010, Resolución 651 de 2010, Resolución 760 de 2010, Resolución 2153 de 2010, Resolución 2154 de 2010.</t>
  </si>
  <si>
    <t>www.sisaire.gov.co</t>
  </si>
  <si>
    <t>www.sirh.ideam.gov.co</t>
  </si>
  <si>
    <t>La información sobre la cantidad y calidad de los recursos naturales y del ambiente es la herramienta necesaria para una planificación y administración adecuada de dichos recursos, que garantice su sostenibilidad ambiental.</t>
  </si>
  <si>
    <t>Por ello, el Decreto 1076 de 2015 crea el Sistema de Información del Recurso Hídrico - SIRH, como parte del Sistema de Información Ambiental para Colombia - SIAC, en lo relacionado con aguas superficiales, subterráneas, marinas y estuarinas. El Decreto 1076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t>
  </si>
  <si>
    <t>Adicionalmente, el Decreto 1076 de 2015, establece que las autoridades ambientales deberán realizar el Registro de Usuarios del Recurso Hídrico de manera gradual en las cuencas hidrográficas priorizadas en su jurisdicción.</t>
  </si>
  <si>
    <t>Por otra parte, la Resolución 651 de 2010 crea el Subsistema de Información sobre Calidad del Aire – Sisaire, como parte del Sistema de Información Ambiental para Colombia, SIAC, en lo referente a la información para el diseño, evaluación y ajuste de la política y las estrategias para la prevención y control de la contaminación del aire. La resolución estipula que las corporaciones autónomas regionales que operen Sistemas de Vigilancia de la Calidad del Aire (SVCA) deben realizar el reporte de la información de calidad del aire a nivel de inmisión. Las autoridades ambientales tienen la obligación de reportar al Sisaire la información de calidad del aire, meteorológica y de ruido.</t>
  </si>
  <si>
    <r>
      <t xml:space="preserve">PREMO </t>
    </r>
    <r>
      <rPr>
        <vertAlign val="subscript"/>
        <sz val="9"/>
        <color rgb="FF000000"/>
        <rFont val="Calibri"/>
        <family val="2"/>
        <scheme val="minor"/>
      </rPr>
      <t>t</t>
    </r>
    <r>
      <rPr>
        <sz val="9"/>
        <color rgb="FF000000"/>
        <rFont val="Calibri"/>
        <family val="2"/>
        <scheme val="minor"/>
      </rPr>
      <t xml:space="preserve"> = Porcentaje de redes y estaciones de monitoreo en operación, en el tiempo t.</t>
    </r>
  </si>
  <si>
    <r>
      <t xml:space="preserve">PREMOAG </t>
    </r>
    <r>
      <rPr>
        <vertAlign val="subscript"/>
        <sz val="9"/>
        <color rgb="FF000000"/>
        <rFont val="Calibri"/>
        <family val="2"/>
        <scheme val="minor"/>
      </rPr>
      <t>t</t>
    </r>
    <r>
      <rPr>
        <sz val="9"/>
        <color rgb="FF000000"/>
        <rFont val="Calibri"/>
        <family val="2"/>
        <scheme val="minor"/>
      </rPr>
      <t xml:space="preserve"> = Porcentaje de estaciones de monitoreo de calidad del agua en operación, en el tiempo t.</t>
    </r>
  </si>
  <si>
    <r>
      <t xml:space="preserve">PREMOAR </t>
    </r>
    <r>
      <rPr>
        <vertAlign val="subscript"/>
        <sz val="9"/>
        <color rgb="FF000000"/>
        <rFont val="Calibri"/>
        <family val="2"/>
        <scheme val="minor"/>
      </rPr>
      <t>t</t>
    </r>
    <r>
      <rPr>
        <sz val="9"/>
        <color rgb="FF000000"/>
        <rFont val="Calibri"/>
        <family val="2"/>
        <scheme val="minor"/>
      </rPr>
      <t xml:space="preserve"> = Porcentaje de redes y estaciones de monitoreo de calidad del aire en operación, en el tiempo t.</t>
    </r>
  </si>
  <si>
    <r>
      <t xml:space="preserve">PREMOO </t>
    </r>
    <r>
      <rPr>
        <vertAlign val="subscript"/>
        <sz val="9"/>
        <color rgb="FF000000"/>
        <rFont val="Calibri"/>
        <family val="2"/>
        <scheme val="minor"/>
      </rPr>
      <t>t</t>
    </r>
    <r>
      <rPr>
        <sz val="9"/>
        <color rgb="FF000000"/>
        <rFont val="Calibri"/>
        <family val="2"/>
        <scheme val="minor"/>
      </rPr>
      <t xml:space="preserve"> = Porcentaje de otras redes y estaciones de monitoreo en operación, en el tiempo t.</t>
    </r>
  </si>
  <si>
    <r>
      <t xml:space="preserve">a = ponderador de PREMOAG </t>
    </r>
    <r>
      <rPr>
        <vertAlign val="subscript"/>
        <sz val="9"/>
        <color rgb="FF000000"/>
        <rFont val="Calibri"/>
        <family val="2"/>
        <scheme val="minor"/>
      </rPr>
      <t>t</t>
    </r>
  </si>
  <si>
    <r>
      <t xml:space="preserve">b = ponderador de PREMOAR </t>
    </r>
    <r>
      <rPr>
        <vertAlign val="subscript"/>
        <sz val="9"/>
        <color rgb="FF000000"/>
        <rFont val="Calibri"/>
        <family val="2"/>
        <scheme val="minor"/>
      </rPr>
      <t>t</t>
    </r>
  </si>
  <si>
    <r>
      <t xml:space="preserve">c = ponderador de PREMOO </t>
    </r>
    <r>
      <rPr>
        <vertAlign val="subscript"/>
        <sz val="9"/>
        <color rgb="FF000000"/>
        <rFont val="Calibri"/>
        <family val="2"/>
        <scheme val="minor"/>
      </rPr>
      <t>t</t>
    </r>
  </si>
  <si>
    <t>Nota: los ponderadores serán definidos por cada CAR teniendo en cuenta la proporción de redes y estaciones de monitoreo a cargo de la autoridad ambiental regional.</t>
  </si>
  <si>
    <t>AGUA</t>
  </si>
  <si>
    <t>Información de estaciones hidrometeorológicas</t>
  </si>
  <si>
    <t>Tipo de estación</t>
  </si>
  <si>
    <t>Automáticas</t>
  </si>
  <si>
    <t>Manuales</t>
  </si>
  <si>
    <t>Instaladas</t>
  </si>
  <si>
    <t>En operación</t>
  </si>
  <si>
    <t>Estaciones hidrometeorológicas</t>
  </si>
  <si>
    <t>Número total de estaciones hidrometeorológicas instaladas:</t>
  </si>
  <si>
    <t>Número total de estaciones hidrometeorológicas en operación:</t>
  </si>
  <si>
    <t>Porcentaje de estaciones hidrometeorológicas en operación:</t>
  </si>
  <si>
    <t>AIRE</t>
  </si>
  <si>
    <t>MONITOREO DE PM10</t>
  </si>
  <si>
    <t>Número de Sistemas de Vigilancia de Calidad del Aire:</t>
  </si>
  <si>
    <t>Número de estaciones de monitoreo del aire instaladas:</t>
  </si>
  <si>
    <t>Número de Sistemas de Vigilancia de Calidad del Aire acreditados:</t>
  </si>
  <si>
    <t>Información de estaciones de monitoreo de aire</t>
  </si>
  <si>
    <t>Número de red</t>
  </si>
  <si>
    <t>Estación</t>
  </si>
  <si>
    <t>Localización</t>
  </si>
  <si>
    <t>Número de días con datos esperados al año</t>
  </si>
  <si>
    <t>Número de días con datos reportados al año</t>
  </si>
  <si>
    <t>Representatividad temporal igual o superior a 75%</t>
  </si>
  <si>
    <t>(E = D/ C). Si E≥75%, escriba 1; si no, escriba 0.</t>
  </si>
  <si>
    <t>Observaciones / comentarios</t>
  </si>
  <si>
    <t>Información de redes (Sistemas de Vigilancia de Calidad del Aire)</t>
  </si>
  <si>
    <t>Número / red</t>
  </si>
  <si>
    <t>Redes instaladas en la Corporación</t>
  </si>
  <si>
    <t>Red1</t>
  </si>
  <si>
    <t>Red2</t>
  </si>
  <si>
    <t>Red3</t>
  </si>
  <si>
    <t>Número de estaciones en operación</t>
  </si>
  <si>
    <t xml:space="preserve">Número de estaciones con representatividad temporal igual o superior a 75%. </t>
  </si>
  <si>
    <t>J</t>
  </si>
  <si>
    <t>Redes con representatividad temporal a 75%</t>
  </si>
  <si>
    <t>J = I / H. Si J≥75%, escriba 1; si no, escriba 0.</t>
  </si>
  <si>
    <t>K</t>
  </si>
  <si>
    <t>Porcentaje de redes en operación (K = ΣJ / G)</t>
  </si>
  <si>
    <t>MONITOREO DE PM2,5</t>
  </si>
  <si>
    <t>(E = D/ C) Si E≥75%, escriba 1; si no, escriba 0.</t>
  </si>
  <si>
    <t>Número de estaciones con representatividad temporal igual o superior a 75%</t>
  </si>
  <si>
    <t>SUBTOTAL RECURSO AIRE</t>
  </si>
  <si>
    <t>L</t>
  </si>
  <si>
    <t>Porcentaje de redes en operación PM 10</t>
  </si>
  <si>
    <t>M</t>
  </si>
  <si>
    <t>Porcentaje de redes en operación PM 2,5</t>
  </si>
  <si>
    <t>Subtotal monitoreo aire: Porcentaje de redes de monitoreo del recurso aire en operación (N = Promedio (M, N)</t>
  </si>
  <si>
    <t>CALCULO FINAL DEL INDICADOR</t>
  </si>
  <si>
    <t>Porcentaje</t>
  </si>
  <si>
    <t>Ponderación</t>
  </si>
  <si>
    <t>Porcentaje de estaciones hidrometeorológicas en operación</t>
  </si>
  <si>
    <t>Porcentaje de redes de monitoreo del recurso aire en operación</t>
  </si>
  <si>
    <t>Cuanto más cercano a cien por ciento, mayor es el cumplimiento de las metas que la autoridad ambiental se ha propuesto alcanzar en relación con la operación de redes y estaciones de monitoreo, en el marco del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</si>
  <si>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Porcentaje de redes y estaciones de monitoreo en operación (Versión 1.0).</t>
    </r>
    <r>
      <rPr>
        <sz val="9"/>
        <color rgb="FF000000"/>
        <rFont val="Calibri"/>
        <family val="2"/>
        <scheme val="minor"/>
      </rPr>
      <t xml:space="preserve"> Ministerio de Ambiente y Desarrollo Sostenible, DGOAT-SINA.</t>
    </r>
  </si>
  <si>
    <t>Porcentaje de actualización y reporte de la información en el SIAC</t>
  </si>
  <si>
    <t>Es la relación entre el número de registros que la Corporación migra a los diferentes subsistemas del SIAC y el número de registros esperados reportados en dichos subsistemas.</t>
  </si>
  <si>
    <t>El indicador mide el cumplimiento de los requerimientos de reporte por parte de las Corporaciones Autónomas Regionales a los diferentes subsistemas del SIAC.</t>
  </si>
  <si>
    <t>SIUR, RUA Manufacturero: Resolución 1023 de 2010.</t>
  </si>
  <si>
    <t>RESPEL: Resolución 1362 de 2007.</t>
  </si>
  <si>
    <t>Documentación de soporte:</t>
  </si>
  <si>
    <t>Protocolo para la utilización y reporte de información para las diferentes redes de monitoreo de calidad del aire en Colombia. Protocolo para el monitoreo y seguimiento del agua.</t>
  </si>
  <si>
    <t>100% de los registros esperados reportados en el SIAC</t>
  </si>
  <si>
    <t>El Sistema de Información Ambiental de Colombia SIAC se define como el “conjunto integrado de actores, políticas, procesos, y tecnologías involucrados en la gestión de información ambiental del país, para facilitar la generación de conocimiento, la toma de decisiones, la educación y la participación social para el desarrollo sostenible”.</t>
  </si>
  <si>
    <t>La información sobre la cantidad y calidad de los recursos naturales y del ambiente es la herramienta necesaria para una planificación y administración adecuada de dichos recursos, que garantice su sostenibilidad ambiental. En tal sentido, el SIAC ha desarrollado, entre otros subsistemas, el Sistema de Información del Recurso Hídrico – SIRH, el Sistema de información sobre Calidad de Aire – SISAIRE (IDEAM), el Sistema Nacional de Información Forestal – SNIF y el Sistema de Información sobre Uso de Recursos Naturales – SIUR. Como parte del SIUR, se dispone del Registro Único Ambiental RUA para diferentes sectores, entre otros, el manufacturero.</t>
  </si>
  <si>
    <t>En efecto, el Decreto 1076 de 2015 crea el Sistema de Información del Recurso Hídrico, SIRH, como parte del Sistema de Información Ambiental para Colombia, SIAC, en lo relacionado con aguas superficiales, subterráneas, marinas y estuarinas. El Artículo 2.2.3.5.1.9 de dicho Decreto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 (Artículo 2.2.3.5.1.10).</t>
  </si>
  <si>
    <t>Adicionalmente, el Decreto 1076 de 2015, art. 2.2.3.4.1.1. establece que las autoridades ambientales deberán realizar el Registro de Usuarios del Recurso Hídrico de manera gradual en las cuencas hidrográficas priorizadas en su jurisdicción.</t>
  </si>
  <si>
    <t>El Sistema Nacional de Información Forestal- SNIF constituye la herramienta informática para el montaje y operación del Sistema de Información del Programa de Monitoreo de Bosques. Propende por la captura, análisis, procesamiento y difusión de la información sobre aprovechamientos de productos forestales, maderables y no maderables, movilizaciones de productos forestales maderables y no maderables, decomisos forestales, plantaciones forestales productoras y protectoras, remisiones de madera de plantaciones forestales e incendios de la cobertura vegetal.</t>
  </si>
  <si>
    <t>La Resolución 1362 de 2007 establecen los requisitos y el procedimiento para el Registro de Generadores de Residuos o Desechos Peligrosos, y la Directiva Ministerial 8000-2-25332 de 2015, por su parte, recuerda a las Corporaciones a reportar y mantener actualizada la información sobre residuos peligrosos en el marco del SIAC, en cumplimiento de la Política Ambiental para la Gestión Integral de Residuos Peligrosos.</t>
  </si>
  <si>
    <t>Porcentaje de actualización y reporte de la información al SIAC</t>
  </si>
  <si>
    <r>
      <t xml:space="preserve">PARSIAC </t>
    </r>
    <r>
      <rPr>
        <vertAlign val="subscript"/>
        <sz val="9"/>
        <color rgb="FF000000"/>
        <rFont val="Calibri"/>
        <family val="2"/>
        <scheme val="minor"/>
      </rPr>
      <t>t</t>
    </r>
    <r>
      <rPr>
        <sz val="9"/>
        <color rgb="FF000000"/>
        <rFont val="Calibri"/>
        <family val="2"/>
        <scheme val="minor"/>
      </rPr>
      <t xml:space="preserve"> = Porcentaje de actualización y reporte de la información al SIAC, en el tiempo t.</t>
    </r>
  </si>
  <si>
    <r>
      <t xml:space="preserve">PARS </t>
    </r>
    <r>
      <rPr>
        <vertAlign val="subscript"/>
        <sz val="9"/>
        <color rgb="FF000000"/>
        <rFont val="Calibri"/>
        <family val="2"/>
        <scheme val="minor"/>
      </rPr>
      <t>i</t>
    </r>
    <r>
      <rPr>
        <sz val="9"/>
        <color rgb="FF000000"/>
        <rFont val="Calibri"/>
        <family val="2"/>
        <scheme val="minor"/>
      </rPr>
      <t xml:space="preserve"> = Porcentaje de actualización y reporte de la información al Subsistema </t>
    </r>
    <r>
      <rPr>
        <i/>
        <sz val="9"/>
        <color rgb="FF000000"/>
        <rFont val="Calibri"/>
        <family val="2"/>
        <scheme val="minor"/>
      </rPr>
      <t>i</t>
    </r>
    <r>
      <rPr>
        <sz val="9"/>
        <color rgb="FF000000"/>
        <rFont val="Calibri"/>
        <family val="2"/>
        <scheme val="minor"/>
      </rPr>
      <t xml:space="preserve"> del SIAC, en el tiempo t</t>
    </r>
  </si>
  <si>
    <t>i = SIRH, SISAIRE, SNIF, RESPEL.</t>
  </si>
  <si>
    <r>
      <t>a</t>
    </r>
    <r>
      <rPr>
        <vertAlign val="subscript"/>
        <sz val="9"/>
        <color rgb="FF000000"/>
        <rFont val="Calibri"/>
        <family val="2"/>
        <scheme val="minor"/>
      </rPr>
      <t xml:space="preserve">i = </t>
    </r>
    <r>
      <rPr>
        <sz val="9"/>
        <color rgb="FF000000"/>
        <rFont val="Calibri"/>
        <family val="2"/>
        <scheme val="minor"/>
      </rPr>
      <t>Ponderación correspondiente a cada subsistema del SIAC (SIRH, SISAIRE, SNIF, RESPEL, SIUR). La suma de los ponderadores es igual a 1.</t>
    </r>
  </si>
  <si>
    <t>Nota: los ponderadores para cada subsistema son establecidos por cada Corporación con base en los registros esperados o estimados por cada subsistema.</t>
  </si>
  <si>
    <t>En términos generales, el porcentaje de actualización y reporte de la información por cada subsistema se calcula de la siguiente manera:</t>
  </si>
  <si>
    <t>Porcentaje de actualización y reporte de la información por cada subsistema</t>
  </si>
  <si>
    <r>
      <t xml:space="preserve">PARS </t>
    </r>
    <r>
      <rPr>
        <vertAlign val="subscript"/>
        <sz val="9"/>
        <color rgb="FF000000"/>
        <rFont val="Calibri"/>
        <family val="2"/>
        <scheme val="minor"/>
      </rPr>
      <t>it</t>
    </r>
    <r>
      <rPr>
        <sz val="9"/>
        <color rgb="FF000000"/>
        <rFont val="Calibri"/>
        <family val="2"/>
        <scheme val="minor"/>
      </rPr>
      <t xml:space="preserve"> = Porcentaje de actualización y reporte de la información al Subsistema </t>
    </r>
    <r>
      <rPr>
        <i/>
        <sz val="9"/>
        <color rgb="FF000000"/>
        <rFont val="Calibri"/>
        <family val="2"/>
        <scheme val="minor"/>
      </rPr>
      <t>i</t>
    </r>
    <r>
      <rPr>
        <sz val="9"/>
        <color rgb="FF000000"/>
        <rFont val="Calibri"/>
        <family val="2"/>
        <scheme val="minor"/>
      </rPr>
      <t xml:space="preserve"> del SIAC, en el tiempo t.</t>
    </r>
  </si>
  <si>
    <r>
      <t xml:space="preserve">RRS </t>
    </r>
    <r>
      <rPr>
        <vertAlign val="subscript"/>
        <sz val="9"/>
        <color rgb="FF000000"/>
        <rFont val="Calibri"/>
        <family val="2"/>
        <scheme val="minor"/>
      </rPr>
      <t>it</t>
    </r>
    <r>
      <rPr>
        <sz val="9"/>
        <color rgb="FF000000"/>
        <rFont val="Calibri"/>
        <family val="2"/>
        <scheme val="minor"/>
      </rPr>
      <t xml:space="preserve"> = Número de registros reportados en el subsistema </t>
    </r>
    <r>
      <rPr>
        <i/>
        <sz val="9"/>
        <color rgb="FF000000"/>
        <rFont val="Calibri"/>
        <family val="2"/>
        <scheme val="minor"/>
      </rPr>
      <t>i</t>
    </r>
    <r>
      <rPr>
        <sz val="9"/>
        <color rgb="FF000000"/>
        <rFont val="Calibri"/>
        <family val="2"/>
        <scheme val="minor"/>
      </rPr>
      <t xml:space="preserve"> del SIAC, en el tiempo t.</t>
    </r>
  </si>
  <si>
    <r>
      <t xml:space="preserve">RES </t>
    </r>
    <r>
      <rPr>
        <vertAlign val="subscript"/>
        <sz val="9"/>
        <color rgb="FF000000"/>
        <rFont val="Calibri"/>
        <family val="2"/>
        <scheme val="minor"/>
      </rPr>
      <t>it</t>
    </r>
    <r>
      <rPr>
        <sz val="9"/>
        <color rgb="FF000000"/>
        <rFont val="Calibri"/>
        <family val="2"/>
        <scheme val="minor"/>
      </rPr>
      <t xml:space="preserve"> = Número de registros esperados reportados en el subsistema </t>
    </r>
    <r>
      <rPr>
        <i/>
        <sz val="9"/>
        <color rgb="FF000000"/>
        <rFont val="Calibri"/>
        <family val="2"/>
        <scheme val="minor"/>
      </rPr>
      <t>i</t>
    </r>
    <r>
      <rPr>
        <sz val="9"/>
        <color rgb="FF000000"/>
        <rFont val="Calibri"/>
        <family val="2"/>
        <scheme val="minor"/>
      </rPr>
      <t xml:space="preserve"> del SIAC, en el tiempo t.</t>
    </r>
  </si>
  <si>
    <r>
      <t>i</t>
    </r>
    <r>
      <rPr>
        <sz val="9"/>
        <color rgb="FF000000"/>
        <rFont val="Calibri"/>
        <family val="2"/>
        <scheme val="minor"/>
      </rPr>
      <t xml:space="preserve"> = SIRH, SISAIRE, SNIF</t>
    </r>
  </si>
  <si>
    <t>Para el caso de la información validada por parte de las corporaciones autónomas regionales, el porcentaje de actualización y reporte de la información por cada subsistema se calcula de la siguiente manera:</t>
  </si>
  <si>
    <t>Porcentaje de actualización y reporte de la información por cada subsistema (información validada)</t>
  </si>
  <si>
    <r>
      <t xml:space="preserve">PARSIV </t>
    </r>
    <r>
      <rPr>
        <vertAlign val="subscript"/>
        <sz val="9"/>
        <color rgb="FF000000"/>
        <rFont val="Calibri"/>
        <family val="2"/>
        <scheme val="minor"/>
      </rPr>
      <t>it</t>
    </r>
    <r>
      <rPr>
        <sz val="9"/>
        <color rgb="FF000000"/>
        <rFont val="Calibri"/>
        <family val="2"/>
        <scheme val="minor"/>
      </rPr>
      <t xml:space="preserve"> = Porcentaje de actualización y reporte de la información por cada subsistema (información validada), en el tiempo t.</t>
    </r>
  </si>
  <si>
    <r>
      <t xml:space="preserve">RVS </t>
    </r>
    <r>
      <rPr>
        <vertAlign val="subscript"/>
        <sz val="9"/>
        <color rgb="FF000000"/>
        <rFont val="Calibri"/>
        <family val="2"/>
        <scheme val="minor"/>
      </rPr>
      <t>it</t>
    </r>
    <r>
      <rPr>
        <sz val="9"/>
        <color rgb="FF000000"/>
        <rFont val="Calibri"/>
        <family val="2"/>
        <scheme val="minor"/>
      </rPr>
      <t xml:space="preserve"> = Número de registros validados en el Subsistema </t>
    </r>
    <r>
      <rPr>
        <i/>
        <sz val="9"/>
        <color rgb="FF000000"/>
        <rFont val="Calibri"/>
        <family val="2"/>
        <scheme val="minor"/>
      </rPr>
      <t>i</t>
    </r>
    <r>
      <rPr>
        <sz val="9"/>
        <color rgb="FF000000"/>
        <rFont val="Calibri"/>
        <family val="2"/>
        <scheme val="minor"/>
      </rPr>
      <t xml:space="preserve"> del SIAC relacionados con las funciones en gestión de información de la Corporación, en el tiempo t.</t>
    </r>
  </si>
  <si>
    <r>
      <t xml:space="preserve">RTVS </t>
    </r>
    <r>
      <rPr>
        <vertAlign val="subscript"/>
        <sz val="9"/>
        <color rgb="FF000000"/>
        <rFont val="Calibri"/>
        <family val="2"/>
        <scheme val="minor"/>
      </rPr>
      <t>it</t>
    </r>
    <r>
      <rPr>
        <sz val="9"/>
        <color rgb="FF000000"/>
        <rFont val="Calibri"/>
        <family val="2"/>
        <scheme val="minor"/>
      </rPr>
      <t xml:space="preserve"> = Número de registros totales a ser validados por la Corporación en el Subsistema </t>
    </r>
    <r>
      <rPr>
        <i/>
        <sz val="9"/>
        <color rgb="FF000000"/>
        <rFont val="Calibri"/>
        <family val="2"/>
        <scheme val="minor"/>
      </rPr>
      <t>i</t>
    </r>
    <r>
      <rPr>
        <sz val="9"/>
        <color rgb="FF000000"/>
        <rFont val="Calibri"/>
        <family val="2"/>
        <scheme val="minor"/>
      </rPr>
      <t xml:space="preserve"> del SIAC, en el tiempo t.</t>
    </r>
  </si>
  <si>
    <t>i = SIRH, SISAIRE, SNIF, RESPEL, SIUR (RUA).</t>
  </si>
  <si>
    <t>Información reportada por las CAR:</t>
  </si>
  <si>
    <t>Subsistema</t>
  </si>
  <si>
    <t>SIRH</t>
  </si>
  <si>
    <t>SISAIRE</t>
  </si>
  <si>
    <t>SNIF</t>
  </si>
  <si>
    <t>Número de registros reportados en el año (RRS)</t>
  </si>
  <si>
    <t>Número de registros esperados reportados en el año (RES)</t>
  </si>
  <si>
    <t>Porcentaje de actualización y reporte por subsistema (C = B / A) (PARS)</t>
  </si>
  <si>
    <t>RESPEL</t>
  </si>
  <si>
    <t>SIUR (RUA)</t>
  </si>
  <si>
    <t>Número de registros validados al año (RVS)</t>
  </si>
  <si>
    <t>Número de registros totales a ser validados por la Corporación (RTVS)</t>
  </si>
  <si>
    <t>Cuanto más cercano a cien por ciento, mayor es el cumplimiento de los requerimientos de reporte por parte de las Corporaciones Autónomas Regionales a los diferentes subsistemas del SIAC.</t>
  </si>
  <si>
    <t>Se pueden presentar situaciones de orden operativo, político y social que pueden afectar la ejecución de los presupuestos y el cumplimiento de los cronogramas definidos en el Plan de Acción de la Corporación. Pueden existir limitaciones de la información disponible para el cálculo de los indicadores.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</si>
  <si>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actualización y reporte de la información en el SIAC (Versión 1.0).</t>
    </r>
    <r>
      <rPr>
        <sz val="9"/>
        <color rgb="FF000000"/>
        <rFont val="Calibri"/>
        <family val="2"/>
        <scheme val="minor"/>
      </rPr>
      <t xml:space="preserve"> Ministerio de Ambiente y Desarrollo Sostenible, DGOAT-SINA.</t>
    </r>
  </si>
  <si>
    <t>Ejecución de Acciones en Educación Ambiental</t>
  </si>
  <si>
    <t>Es el porcentaje de avance en la implementación, por parte de la corporación autónoma regional, de las acciones relacionadas con la Educación Ambiental en el marco del Plan de Acción.</t>
  </si>
  <si>
    <t>El indicador mide el cumplimiento de las metas relacionadas con la educación ambiental, en el marco del Plan de Acción de la Corporación. De esta manera, contribuye a la implementación de Política de Educación Ambiental a nivel regional.</t>
  </si>
  <si>
    <t>Ley 1549 de 2012, Educación Ambiental</t>
  </si>
  <si>
    <t>Política Nacional de Educación Ambiental</t>
  </si>
  <si>
    <t>La Ley 1549 de 2012 define la Educación Ambiental como “un proceso dinámico y participativo, orientado a la formación de personas críticas y reflexivas, con capacidades para comprender las problemáticas ambientales de sus contextos (locales, regionales y nacionales)”.</t>
  </si>
  <si>
    <t>La mencionada Ley, en su artículo 5º., establece como una “responsabilidad de las entidades territoriales y de las Corporaciones Autónomas Regionales y de Desarrollo Sostenible: a) Desarrollar instrumentos técnico-políticos, que contextualicen la política y la adecúen a las necesidades de construcción de una cultura ambiental para el desarrollo sostenible; b) Promover la creación de estrategias económicas, fondos u otros mecanismos de cooperación, que permitan viabilizar la instalación efectiva del tema en el territorio, y c) Generar y apoyar mecanismos para el cumplimiento, seguimiento y control, de las acciones que se implementen en este marco político”.</t>
  </si>
  <si>
    <t>Adicionalmente, el artículo 9º. estipula que todos los sectores e instituciones que conforman el Sistema Nacional Ambiental (SINA), deben participar técnica y financieramente, en: a) el acompañamiento e implementación de los PRAE, de los Proyectos Ciudadanos y Comunitarios de Educación Ambiental (Proceda), y de los Comités Técnicos Interinstitucionales de Educación Ambiental (Cidea); estos últimos, concebidos como mecanismos de apoyo a la articulación e institucionalización del tema y de cualificación de la gestión ambiental del territorio, y b) En la puesta en marcha de las demás estrategias de esta política, en el marco de los propósitos de construcción de un proyecto de sociedad ambientalmente sostenible.</t>
  </si>
  <si>
    <t>El Artículo 2.2.8.6.1.3 del Decreto 1076 de 2015 establece que “las Corporaciones promoverán en los municipios y distritos, programas de educación ambiental y de planificación, acorde con la Constitución, la Ley 99 de 1993, la Ley 152 de 1994 y las normas que las complementen o adicione”.</t>
  </si>
  <si>
    <t>Las principales acciones relacionadas con la Educación Ambiental son las siguientes:</t>
  </si>
  <si>
    <r>
      <t>a)</t>
    </r>
    <r>
      <rPr>
        <sz val="7"/>
        <color rgb="FF000000"/>
        <rFont val="Times New Roman"/>
        <family val="1"/>
      </rPr>
      <t xml:space="preserve">      </t>
    </r>
    <r>
      <rPr>
        <sz val="9"/>
        <color rgb="FF000000"/>
        <rFont val="Calibri"/>
        <family val="2"/>
        <scheme val="minor"/>
      </rPr>
      <t>Participación en los Comités Técnicos Interinstitucionales de Educación Ambiental (Cidea).</t>
    </r>
  </si>
  <si>
    <r>
      <t>b)</t>
    </r>
    <r>
      <rPr>
        <sz val="7"/>
        <color rgb="FF000000"/>
        <rFont val="Times New Roman"/>
        <family val="1"/>
      </rPr>
      <t xml:space="preserve">      </t>
    </r>
    <r>
      <rPr>
        <sz val="9"/>
        <color rgb="FF000000"/>
        <rFont val="Calibri"/>
        <family val="2"/>
        <scheme val="minor"/>
      </rPr>
      <t>Suscripción de acuerdos o alianzas para la implementación de estrategias de educación ambiental.</t>
    </r>
  </si>
  <si>
    <r>
      <t>c)</t>
    </r>
    <r>
      <rPr>
        <sz val="7"/>
        <color rgb="FF000000"/>
        <rFont val="Times New Roman"/>
        <family val="1"/>
      </rPr>
      <t xml:space="preserve">       </t>
    </r>
    <r>
      <rPr>
        <sz val="9"/>
        <color rgb="FF000000"/>
        <rFont val="Calibri"/>
        <family val="2"/>
        <scheme val="minor"/>
      </rPr>
      <t>Acompañamiento e implementación de los PRAE.</t>
    </r>
  </si>
  <si>
    <r>
      <t>d)</t>
    </r>
    <r>
      <rPr>
        <sz val="7"/>
        <color rgb="FF000000"/>
        <rFont val="Times New Roman"/>
        <family val="1"/>
      </rPr>
      <t xml:space="preserve">      </t>
    </r>
    <r>
      <rPr>
        <sz val="9"/>
        <color rgb="FF000000"/>
        <rFont val="Calibri"/>
        <family val="2"/>
        <scheme val="minor"/>
      </rPr>
      <t>Acompañamiento de los Proyectos Ciudadanos y Comunitarios de Educación Ambiental (Proceda).</t>
    </r>
  </si>
  <si>
    <r>
      <t>e)</t>
    </r>
    <r>
      <rPr>
        <sz val="7"/>
        <color rgb="FF000000"/>
        <rFont val="Times New Roman"/>
        <family val="1"/>
      </rPr>
      <t xml:space="preserve">      </t>
    </r>
    <r>
      <rPr>
        <sz val="9"/>
        <color rgb="FF000000"/>
        <rFont val="Calibri"/>
        <family val="2"/>
        <scheme val="minor"/>
      </rPr>
      <t>Acciones específicas de educación ambiental a cargo de las autoridades ambientales regionales.</t>
    </r>
  </si>
  <si>
    <t>El listado anterior es indicativo. Las acciones a ser realizadas por las Corporaciones deben corresponder a las competencias otorgadas por la normatividad y en el marco de sus funciones misionales.</t>
  </si>
  <si>
    <t>Ejecución de acciones relacionadas con la Educación Ambiental</t>
  </si>
  <si>
    <r>
      <t xml:space="preserve">ETAEA </t>
    </r>
    <r>
      <rPr>
        <vertAlign val="subscript"/>
        <sz val="9"/>
        <color rgb="FF000000"/>
        <rFont val="Calibri"/>
        <family val="2"/>
        <scheme val="minor"/>
      </rPr>
      <t>t</t>
    </r>
    <r>
      <rPr>
        <sz val="9"/>
        <color rgb="FF000000"/>
        <rFont val="Calibri"/>
        <family val="2"/>
        <scheme val="minor"/>
      </rPr>
      <t xml:space="preserve"> = Ejecución total de acciones en Educación Ambiental, en el tiempo t.</t>
    </r>
  </si>
  <si>
    <r>
      <t xml:space="preserve">EAEA </t>
    </r>
    <r>
      <rPr>
        <vertAlign val="subscript"/>
        <sz val="9"/>
        <color rgb="FF000000"/>
        <rFont val="Calibri"/>
        <family val="2"/>
        <scheme val="minor"/>
      </rPr>
      <t>1t</t>
    </r>
    <r>
      <rPr>
        <sz val="9"/>
        <color rgb="FF000000"/>
        <rFont val="Calibri"/>
        <family val="2"/>
        <scheme val="minor"/>
      </rPr>
      <t xml:space="preserve"> = Ejecución de acción </t>
    </r>
    <r>
      <rPr>
        <i/>
        <sz val="9"/>
        <color rgb="FF000000"/>
        <rFont val="Calibri"/>
        <family val="2"/>
        <scheme val="minor"/>
      </rPr>
      <t>1</t>
    </r>
    <r>
      <rPr>
        <sz val="9"/>
        <color rgb="FF000000"/>
        <rFont val="Calibri"/>
        <family val="2"/>
        <scheme val="minor"/>
      </rPr>
      <t xml:space="preserve"> relacionada con la Educación Ambiental, en el tiempo t.</t>
    </r>
  </si>
  <si>
    <r>
      <t xml:space="preserve">EAEA </t>
    </r>
    <r>
      <rPr>
        <vertAlign val="subscript"/>
        <sz val="9"/>
        <color rgb="FF000000"/>
        <rFont val="Calibri"/>
        <family val="2"/>
        <scheme val="minor"/>
      </rPr>
      <t>2t</t>
    </r>
    <r>
      <rPr>
        <sz val="9"/>
        <color rgb="FF000000"/>
        <rFont val="Calibri"/>
        <family val="2"/>
        <scheme val="minor"/>
      </rPr>
      <t xml:space="preserve"> = Ejecución de acción </t>
    </r>
    <r>
      <rPr>
        <i/>
        <sz val="9"/>
        <color rgb="FF000000"/>
        <rFont val="Calibri"/>
        <family val="2"/>
        <scheme val="minor"/>
      </rPr>
      <t>2</t>
    </r>
    <r>
      <rPr>
        <sz val="9"/>
        <color rgb="FF000000"/>
        <rFont val="Calibri"/>
        <family val="2"/>
        <scheme val="minor"/>
      </rPr>
      <t xml:space="preserve"> relacionada con la Educación Ambiental, en el tiempo t.</t>
    </r>
  </si>
  <si>
    <r>
      <t xml:space="preserve">EAEU </t>
    </r>
    <r>
      <rPr>
        <vertAlign val="subscript"/>
        <sz val="9"/>
        <color rgb="FF000000"/>
        <rFont val="Calibri"/>
        <family val="2"/>
        <scheme val="minor"/>
      </rPr>
      <t>nt</t>
    </r>
    <r>
      <rPr>
        <sz val="9"/>
        <color rgb="FF000000"/>
        <rFont val="Calibri"/>
        <family val="2"/>
        <scheme val="minor"/>
      </rPr>
      <t xml:space="preserve"> = Ejecución de acción </t>
    </r>
    <r>
      <rPr>
        <i/>
        <sz val="9"/>
        <color rgb="FF000000"/>
        <rFont val="Calibri"/>
        <family val="2"/>
        <scheme val="minor"/>
      </rPr>
      <t>n</t>
    </r>
    <r>
      <rPr>
        <sz val="9"/>
        <color rgb="FF000000"/>
        <rFont val="Calibri"/>
        <family val="2"/>
        <scheme val="minor"/>
      </rPr>
      <t xml:space="preserve"> relacionada con la Educación Ambiental, en el tiempo t.</t>
    </r>
  </si>
  <si>
    <r>
      <t>a = ponderador de EAEA</t>
    </r>
    <r>
      <rPr>
        <vertAlign val="subscript"/>
        <sz val="9"/>
        <color rgb="FF000000"/>
        <rFont val="Calibri"/>
        <family val="2"/>
        <scheme val="minor"/>
      </rPr>
      <t>1</t>
    </r>
  </si>
  <si>
    <r>
      <t>b = ponderador de EAEA</t>
    </r>
    <r>
      <rPr>
        <vertAlign val="subscript"/>
        <sz val="9"/>
        <color rgb="FF000000"/>
        <rFont val="Calibri"/>
        <family val="2"/>
        <scheme val="minor"/>
      </rPr>
      <t>2</t>
    </r>
  </si>
  <si>
    <r>
      <t>z = ponderador de EAEA</t>
    </r>
    <r>
      <rPr>
        <vertAlign val="subscript"/>
        <sz val="9"/>
        <color rgb="FF000000"/>
        <rFont val="Calibri"/>
        <family val="2"/>
        <scheme val="minor"/>
      </rPr>
      <t>n</t>
    </r>
  </si>
  <si>
    <t>Ejecución presupuestal de acciones relacionadas con la Educación Ambiental</t>
  </si>
  <si>
    <r>
      <t xml:space="preserve">EPAEA </t>
    </r>
    <r>
      <rPr>
        <vertAlign val="subscript"/>
        <sz val="9"/>
        <color rgb="FF000000"/>
        <rFont val="Calibri"/>
        <family val="2"/>
        <scheme val="minor"/>
      </rPr>
      <t>t</t>
    </r>
    <r>
      <rPr>
        <sz val="9"/>
        <color rgb="FF000000"/>
        <rFont val="Calibri"/>
        <family val="2"/>
        <scheme val="minor"/>
      </rPr>
      <t xml:space="preserve"> = Ejecución presupuestal de acciones en Educación Ambiental, en el año t.</t>
    </r>
  </si>
  <si>
    <r>
      <t xml:space="preserve">CAEA </t>
    </r>
    <r>
      <rPr>
        <vertAlign val="subscript"/>
        <sz val="9"/>
        <color rgb="FF000000"/>
        <rFont val="Calibri"/>
        <family val="2"/>
        <scheme val="minor"/>
      </rPr>
      <t>it</t>
    </r>
    <r>
      <rPr>
        <sz val="9"/>
        <color rgb="FF000000"/>
        <rFont val="Calibri"/>
        <family val="2"/>
        <scheme val="minor"/>
      </rPr>
      <t xml:space="preserve"> = Compromisos correspondientes a la acción i en Educación Ambiental, en el año t.</t>
    </r>
  </si>
  <si>
    <r>
      <t xml:space="preserve">PDAEA </t>
    </r>
    <r>
      <rPr>
        <vertAlign val="subscript"/>
        <sz val="9"/>
        <color rgb="FF000000"/>
        <rFont val="Calibri"/>
        <family val="2"/>
        <scheme val="minor"/>
      </rPr>
      <t>it</t>
    </r>
    <r>
      <rPr>
        <sz val="9"/>
        <color rgb="FF000000"/>
        <rFont val="Calibri"/>
        <family val="2"/>
        <scheme val="minor"/>
      </rPr>
      <t xml:space="preserve"> = Presupuesto definitivo a la acción i en Educación Ambiental, en el año t.</t>
    </r>
  </si>
  <si>
    <t>Número de acciones relacionadas con Educación Ambiental</t>
  </si>
  <si>
    <t>Ejecución física y financiera de acciones relacionadas con la Educación Ambiental</t>
  </si>
  <si>
    <t>Cálculo de la ejecución física y financiera de acciones relacionadas con la Educación Ambiental</t>
  </si>
  <si>
    <t>Ejecución Anual (%)</t>
  </si>
  <si>
    <t>Cuanto más cercano a cien por ciento, mayor es el cumplimiento de las metas relacionadas con la Educación Ambiental, en el marco del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</si>
  <si>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Ejecución de Acciones en Educación Ambiental (Versión 1.0).</t>
    </r>
    <r>
      <rPr>
        <sz val="9"/>
        <color rgb="FF000000"/>
        <rFont val="Calibri"/>
        <family val="2"/>
        <scheme val="minor"/>
      </rPr>
      <t xml:space="preserve"> Ministerio de Ambiente y Desarrollo Sostenible MADS, DGOAT-SINA.</t>
    </r>
  </si>
  <si>
    <t>1.</t>
  </si>
  <si>
    <t>Porcentaje de avance en la formulación y/o ajuste de los Planes de Ordenación y Manejo de Cuencas (POMCAS), Planes de Manejo de Acuíferos (PMA) y Planes de Manejo de Microcuencas (PMM)</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</si>
  <si>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</si>
  <si>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</si>
  <si>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</si>
  <si>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</si>
  <si>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</si>
  <si>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</si>
  <si>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</si>
  <si>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</si>
  <si>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</si>
  <si>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</si>
  <si>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</si>
  <si>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</si>
  <si>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</si>
  <si>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</si>
  <si>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</si>
  <si>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</si>
  <si>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</si>
  <si>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</si>
  <si>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</si>
  <si>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</si>
  <si>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</si>
  <si>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</si>
  <si>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</si>
  <si>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</si>
  <si>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</si>
  <si>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</si>
  <si>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Marinas, costeras  e Insulares (*)</t>
  </si>
  <si>
    <t>Porcentaje de sectores con acompañamiento para la reconversión hacia sistemas sostenibles de producción (PSA = SA / SPA)</t>
  </si>
  <si>
    <t>Sectores acompañados en la reconversión hacia sistemas sostenibles de producción (SA)</t>
  </si>
  <si>
    <t>BORRE O AGREGUE REDES</t>
  </si>
  <si>
    <t>Porcentaje de información validada por la Corporación (PARSIV ) (C = B / A)</t>
  </si>
  <si>
    <t>Observación</t>
  </si>
  <si>
    <t>No. Hoja</t>
  </si>
  <si>
    <t>Indicador</t>
  </si>
  <si>
    <t>Observaciones para la mejora de la aplicación de los indicadores</t>
  </si>
  <si>
    <t xml:space="preserve">Año </t>
  </si>
  <si>
    <t>VOLVER AL INDICE</t>
  </si>
  <si>
    <t>Área (Has)</t>
  </si>
  <si>
    <t>Hoja de fórmulas</t>
  </si>
  <si>
    <t>Relación de páramos delimitados por el MADS, con zonificación y régimen de usos adoptados por la CAR</t>
  </si>
  <si>
    <t>Nombre del páramo</t>
  </si>
  <si>
    <t>Estado de avance</t>
  </si>
  <si>
    <t>* Valor Acumulado</t>
  </si>
  <si>
    <t>Variable  (*)</t>
  </si>
  <si>
    <t>Minero</t>
  </si>
  <si>
    <t>*</t>
  </si>
  <si>
    <t>Promedio de Planes en ejecución</t>
  </si>
  <si>
    <t>Inscrita en el RUNAP</t>
  </si>
  <si>
    <t>Inscritas en el RUNAP</t>
  </si>
  <si>
    <t>Resumen del Indicador</t>
  </si>
  <si>
    <t>Meta de áreas inscritas en el RUNAP (ha)</t>
  </si>
  <si>
    <t>Superficie total de áreas protegidas regionales declaradas, homologadas o recategorizadas, inscritas en el RUNAP</t>
  </si>
  <si>
    <t xml:space="preserve">Meta total de nuevas áreas protegidas a ser inscritas en el RUNAP en el cuatrienio (ha) </t>
  </si>
  <si>
    <t>Superfice de avance anual (ha)</t>
  </si>
  <si>
    <t>Avance Cuatrienal (%)</t>
  </si>
  <si>
    <t>Ponderador acumulado esperado en cada fase</t>
  </si>
  <si>
    <t>Ponderaciones de referencia</t>
  </si>
  <si>
    <t>Formulación</t>
  </si>
  <si>
    <t>Aprestamiento</t>
  </si>
  <si>
    <t>Logística</t>
  </si>
  <si>
    <t>Oficina</t>
  </si>
  <si>
    <t>Preparación</t>
  </si>
  <si>
    <t>Avance (Ponderación acumulada)</t>
  </si>
  <si>
    <t>Meta de avance anual (%)</t>
  </si>
  <si>
    <t>Determinación de la Meta de Avance Anual</t>
  </si>
  <si>
    <t>Hectareas</t>
  </si>
  <si>
    <t>Avance esperado (Ponderación acumulada)</t>
  </si>
  <si>
    <t>Meta de avance anual (ha)</t>
  </si>
  <si>
    <t>Meta de avance anual ponderada (ha)</t>
  </si>
  <si>
    <t>Descripción</t>
  </si>
  <si>
    <t xml:space="preserve">Definición de la unidad objeto de ordenación forestal
Asignación de recursos
Inicio del proceso pre y contractual
Conformación del equipo de trabajo  </t>
  </si>
  <si>
    <t>Actividades de referencia  en el proceso de formulación, implementación y seguimiento del Plan de Ordenación Forestal</t>
  </si>
  <si>
    <t>Consulta, validación y digitalización de información secundaria
Procesamiento e interpretación de imágenes satelitales
Generación de información cartográfica preliminar
Definición de metodología para levantamiento de información primaria</t>
  </si>
  <si>
    <t>Socialización y acuerdos con actores regionales y locales
Chequeo cartografía en campo
Desarrollo del premuestreo, ajuste y realización del inventario forestal
Desarrollo del componente fauna
Desarrollo del componente socieconomico
Desarrollo del componente suelos</t>
  </si>
  <si>
    <t xml:space="preserve">Procesamiento y análisis de información primaria
Propuesta zonificación inicial de la UOF
Propuesta de zonificación de las áreas forestales que componen la UOF
 Formulación del POF para cada área forestal de la UOF
</t>
  </si>
  <si>
    <t>Socialización versión premiminar de los POF
Armonización de los POF con actores locales y regionales
Edición y ajustes de los POF</t>
  </si>
  <si>
    <t>Aprobación de los POF por el Consejo Directivo de la autoridad ambiental competente</t>
  </si>
  <si>
    <t>Aprobación</t>
  </si>
  <si>
    <t>Seguimiento de permisos de vertimiento de agua</t>
  </si>
  <si>
    <t>Porcentaje de autorizaciones ambientales con seguimiento (promedio simple)</t>
  </si>
  <si>
    <t>Cálculo del indicador global</t>
  </si>
  <si>
    <t>% Seguimiento</t>
  </si>
  <si>
    <t>Seguimiento ponderado</t>
  </si>
  <si>
    <t>Tiempo Promedio</t>
  </si>
  <si>
    <t>Meta anual</t>
  </si>
  <si>
    <t>% Meta alcanzada</t>
  </si>
  <si>
    <t>Porcentaje de actualización y reporte de la información al SIAC (Promedio)</t>
  </si>
  <si>
    <t>NO APLICA</t>
  </si>
  <si>
    <t>SI APLICA</t>
  </si>
  <si>
    <t>NO SE REPORTA</t>
  </si>
  <si>
    <t>SI SE REPORTA</t>
  </si>
  <si>
    <t xml:space="preserve"> ¿El Indicador aplica por las especificades ambientales regionales? </t>
  </si>
  <si>
    <t>Acuerdo Consejo Directivo</t>
  </si>
  <si>
    <t xml:space="preserve">Observaciones </t>
  </si>
  <si>
    <t>Acuerdo</t>
  </si>
  <si>
    <t>Programas</t>
  </si>
  <si>
    <t>Programa o Proyecto asociado</t>
  </si>
  <si>
    <t>PAFP t =</t>
  </si>
  <si>
    <t>COMPORTAMIENTO META FISICA 
PLAN DE ACCION</t>
  </si>
  <si>
    <t>META FINANCIERA                                                                                                  PLAN DE ACCION</t>
  </si>
  <si>
    <t xml:space="preserve">   (2)                                      UNIDAD DE MEDIDA</t>
  </si>
  <si>
    <t>(3)                                      META FISICA ANUAL             (Según unidad de medida)</t>
  </si>
  <si>
    <t xml:space="preserve">(5)
PORCENTAJE DE AVANCE 
FISICO %
(Periodo Evaluado)
((4/3)*100)
</t>
  </si>
  <si>
    <t>(5-A) DESCRIPCIÓN DEL AVANCE 
(Se puede describir en texto lo que se desea aclarar del avance númerico respectivo)</t>
  </si>
  <si>
    <t>(6)
PORCENTAJE DE AVANCE PROCESO DE GESTION DE LA META
FISICA
(aplica unicamente para el informe del primer semestre)</t>
  </si>
  <si>
    <t xml:space="preserve"> (7)                                                    META FISICA DEL PLAN             (Según unidad de medida)</t>
  </si>
  <si>
    <t>(8)
ACUMULADO DE LA META
FISICA
(Según unidad de medida)</t>
  </si>
  <si>
    <t xml:space="preserve">(9)
PORCENTAJE DE AVANCE 
FISICO ACUMULADO %
((8/7)*100)
</t>
  </si>
  <si>
    <t>(10)               PONDERACIONES DE PROGRAMAS  Y PROYECTOS (OPCIONAL DE ACUERDO AL PLAN DE ACCIÓN)</t>
  </si>
  <si>
    <t>(11)                          META FINANCIERA ANUAL             ($)</t>
  </si>
  <si>
    <t xml:space="preserve">(12)
AVANCE DE LA META
FINANCIERA
(Recursos comprometidos periodo Evaluado)
($)
</t>
  </si>
  <si>
    <t>(13)                           PORCENTAJE DEL AVANCE 
FINANCIERO %
(Periodo Evaluado)
((12/11)*100)</t>
  </si>
  <si>
    <t>(18) TOTAL METAS FISICAS Y FINANCIERAS*</t>
  </si>
  <si>
    <t>*El total de las metas fisicas y financieras sera el resultado de una sumatoria, promedios aritmetico o ponderados segun el caso y solo se aplica para las columnas relacionadas con porcentajes de avance y metas financieras.</t>
  </si>
  <si>
    <t>ANEXO No. 2.PROTOCOLO O GUÍA DE DILIGENCIAMIENTO</t>
  </si>
  <si>
    <t xml:space="preserve">MATRIZ DE SEGUIMIENTO A LA GESTIÓN Y DE AVANCE EN LAS METAS FÍSICAS Y FINANCIERAS DEL PLAN DE ACCIÓN </t>
  </si>
  <si>
    <t xml:space="preserve">ITEM </t>
  </si>
  <si>
    <t>DEFINICIONES</t>
  </si>
  <si>
    <t>Enuncie el nombre del total de los programas y proyectos aprobados en el Plan de Acción, utilizando la misma estructura jerárquica del Plan.  Se plantea una estructura inicial de Programas con proyectos relacionados, no obstante esta estructura es solo indicativa. Inserte filas cuando sea necesario ingresar mas programas y proyectos.  Recuerde que jerárquicamente los programas están integrados por proyectos y estos por actividades y la matriz pretende conocer hasta la escala de proyectos.</t>
  </si>
  <si>
    <t>(2) UNIDAD DE MEDIDA</t>
  </si>
  <si>
    <t>(3) META FÍSICA ANUAL</t>
  </si>
  <si>
    <t>Identifique el valor de la meta anual programada para el año que se este evaluando, con relación al programa o proyecto reportado en la columna (1). Ejemplo: hectáreas reforestadas, microcuencas con plan de ordenamiento formulado, # de vertimientos reglamentados, etc.</t>
  </si>
  <si>
    <t>(4) AVANCE DE LA META FISICA  (Según unidad de medida y Periodo Evaluado)</t>
  </si>
  <si>
    <t>Reporte el avance acumulado para el periodo evaluado, en la ejecución física de la respectiva meta anual programada en la columna (3). Ejemplo: 35 hectáreas reforestadas, 3 microcuencas con plan de ordenamiento formulado, etc.  Si no se presenta avance en el programa o proyecto, se deberá diligenciar la matriz con ceros (0,0) y en ningún caso dejar celdas en blanco.</t>
  </si>
  <si>
    <t>(5) PORCENTAJE DE AVANCE FISICO (Periodo Evaluado)</t>
  </si>
  <si>
    <t>Calcule el porcentaje del avance anual de la Meta física programada. Divida el valor de la columna  (4) con el valor de la columna (3) y multiplique por 100. Para el caso, cuando el resultado del avance de una meta física de un programa o proyecto se reporte como el promedio ponderado o aritmético de las metas de los proyectos relacionados con dicho programa o proyecto, es importante indicar esta condición en la columna 10.   Si no se presenta avance en el programa o proyecto, se deberá diligenciar la matriz con ceros (0,0) y en ningún caso dejar celdas en blanco.</t>
  </si>
  <si>
    <t>(6) PORCENTAJE DE AVANCE PROCESO DE GESTION DE LA META FISICA (aplica unicamente para el informe del primer semestre)</t>
  </si>
  <si>
    <t>Cuando el avance de la meta física prevista para cada proyecto no es cuantificable, para el corte del periodo evaluado, reporte en porcentaje, el equivalente a la gestión realizada.  Esta columna solamente aplica para el primer semestre de cada año, dado que en el informe anualizado se debe contar con algún tipo de producto o parte de este, de acuerdo con la meta planteada, por lo tanto en el informe anualizado esta columna debera ser diligenciada con NA. correspondiente</t>
  </si>
  <si>
    <t>(7) META FÍSICA DEL PLAN</t>
  </si>
  <si>
    <t>Identifique el valor  (en numero) de la meta del plan de acción con relación al programa y/o proyecto reportado en la columna (1). Ejemplo: hectáreas reforestadas, microcuencas con plan de ordenamiento formulado, # de vertimientos reglamentados, etc.</t>
  </si>
  <si>
    <t>(8) ACUMULADO DE LA META FISICA</t>
  </si>
  <si>
    <t>(9) PORCENTAJE DE AVANCE FISICO ACUMULADO</t>
  </si>
  <si>
    <t>Calcule el porcentaje del avance de la Meta física acumulada. Divida el valor de la columna  (8) con el valor de la columna (7) y multiplique por 100.</t>
  </si>
  <si>
    <t>(10) PONDERACIONES DE PROGRAMAS (OPCIONAL DE ACUERDO AL Plan de Acción)</t>
  </si>
  <si>
    <t>Si el Plan de Acción contempla ponderaciones de programas o proyectos, relacione aquí las ponderaciones o pesos dados a cada programa, de acuerdo al porcentaje o valor asignado.</t>
  </si>
  <si>
    <t xml:space="preserve">Relacione aquí de acuerdo al plan de inversión vigente (incluye adiciones o modificaciones) los montos de inversión anual previstos para cada programa o proyecto </t>
  </si>
  <si>
    <t>(12) AVANCE DE LA META FINANCIERA PROGRAMADA (Periodo Evaluado)</t>
  </si>
  <si>
    <r>
      <t>Reporte el avance acumulado para el periodo evaluado, en la ejecución financiera de la respectiva meta anual programada en la columna (11). Para el caso de los recursos de inversión ejecutados, se deben relacionar específicamente los montos que esten afectados bajo un</t>
    </r>
    <r>
      <rPr>
        <u/>
        <sz val="7"/>
        <rFont val="Arial Narrow"/>
        <family val="2"/>
      </rPr>
      <t xml:space="preserve"> registro presupuestal</t>
    </r>
    <r>
      <rPr>
        <sz val="7"/>
        <rFont val="Arial Narrow"/>
        <family val="2"/>
      </rPr>
      <t>, es decir, los recursos que han surtido todos lo pasos de destinación y efectivamente están designados para la ejecución de un proyecto o actividad.</t>
    </r>
  </si>
  <si>
    <t>(13)  PORCENTAJE DE AVANCE FINANCIERO (Periodo evaluado)</t>
  </si>
  <si>
    <t xml:space="preserve">Calcule el porcentaje del avance anual de la Meta financiera programada. Divida el valor de la columna  (12) con el valor de la columna (11) y multiplique por 100. </t>
  </si>
  <si>
    <t>Realice las respectivas observaciones que sean necesarias, principalmente cuando se requiera hacer alguna precisión sobre el avance de las metas físicas y financieras..</t>
  </si>
  <si>
    <t>(18) TOTAL DE  METAS  FISICAS Y FINANCIERAS</t>
  </si>
  <si>
    <t>Sume los recursos de las metas financieras del plan, anual y de avance del periodo para cada proyecto, en las columnas respectivas (11, 12, 14 y 15). Es importante cuidarse de no sumar subtotales de los programas con las metas financieras de los proyectos, para evitar  sumas dobles de un mismo proyecto. 
Calcule el % de avance total de los programas mediante el promedio de cada uno de los porcentajes de avance de los programas. Es importante recordar que no es aplicable para metas financieras realizar ponderaciones.
Para el caso de las metas físicas, se deben totalizar las columnas  5 y 9, calculando el promedio de los porcentajes de avance de cada programa, es decir, el porcentaje de avance de las metas físicas del Plan de Acción en el periodo evaluado y el acumulado, así: sume el porcentaje de avance de cada programa y dividalo en el número de programas, con los datos respectivos, en las columnas 5 y 9  (Si es el caso, tenga en cuenta las ponderaciones que estén estipuladas en el Plan de Acción, las cuales debe quedar registradas en la columna 10).</t>
  </si>
  <si>
    <t xml:space="preserve">RECURSOS VIGENCIA :  </t>
  </si>
  <si>
    <t>NIVEL RENTISTICO</t>
  </si>
  <si>
    <t>Convenios</t>
  </si>
  <si>
    <t>Multas y sanciones</t>
  </si>
  <si>
    <t>Donaciones</t>
  </si>
  <si>
    <t>CONCEPTO</t>
  </si>
  <si>
    <t>GASTOS DE PERSONAL</t>
  </si>
  <si>
    <t>TRANSFERENCIAS CORRIENTES</t>
  </si>
  <si>
    <t>SENTENCIAS Y CONCILIACIONES</t>
  </si>
  <si>
    <t>Nombre de la Corporación</t>
  </si>
  <si>
    <t>Corporación Autónoma Regional del Alto Magdalena - CAM</t>
  </si>
  <si>
    <t>Corporación Autónoma Regional de Cundinamarca – CAR</t>
  </si>
  <si>
    <t>Corporación Autónoma Regional del Canal del Dique – CARDIQUE</t>
  </si>
  <si>
    <t>Corporación Autónoma Regional de Sucre – CARSUCRE</t>
  </si>
  <si>
    <t>Corporación Autónoma Regional de Santander – CAS</t>
  </si>
  <si>
    <t>Corporación para el Desarrollo Sostenible del Norte y el Oriente Amazónico – CDA</t>
  </si>
  <si>
    <t>Corporación Autónoma Regional para la Defensa de la Meseta de Bucaramanga – CDMB</t>
  </si>
  <si>
    <t>Corporación Autónoma Regional para el Desarrollo Sostenible del Chocó – CODECHOCÓ</t>
  </si>
  <si>
    <t>Corporación para el Desarrollo Sostenible del Archipiélago de San Andrés, Providencia y Santa Catalina – CORALINA</t>
  </si>
  <si>
    <t>Corporación Autónoma Regional del Centro de Antioquia – CORANTIOQUIA</t>
  </si>
  <si>
    <t>Corporación para el Desarrollo Sostenible del Área de Manejo Especial de La Macarena – CORMACARENA</t>
  </si>
  <si>
    <t>Corporación Autónoma Regional de las Cuencas de los Ríos Negro y Nare – CORNARE</t>
  </si>
  <si>
    <t>Corporación Autónoma Regional del Magdalena – CORPAMAG</t>
  </si>
  <si>
    <t>Corporación para el Desarrollo Sostenible del Sur de la Amazonia – CORPOAMAZONIA</t>
  </si>
  <si>
    <t>Corporación Autónoma Regional de Boyacá – CORPOBOYACÁ</t>
  </si>
  <si>
    <t>Corporación Autónoma Regional de Caldas – CORPOCALDAS</t>
  </si>
  <si>
    <t>Corporación Autónoma Regional del Cesar – CORPOCESAR</t>
  </si>
  <si>
    <t>Corporación Autónoma Regional de Chivor – CORPOCHIVOR</t>
  </si>
  <si>
    <t>Corporación Autónoma Regional de La Guajira – CORPOGUAJIRA</t>
  </si>
  <si>
    <t>Corporación Autónoma Regional del Guavio – CORPOGUAVIO</t>
  </si>
  <si>
    <t>Corporación para el Desarrollo Sostenible de La Mojana y El San Jorge – CORPOMOJANA</t>
  </si>
  <si>
    <t>Corporación Autónoma Regional de Nariño – CORPONARIÑO</t>
  </si>
  <si>
    <t>Corporación Autónoma Regional de la Frontera Nororiental – CORPONOR</t>
  </si>
  <si>
    <t>Corporación Autónoma Regional de la Orinoquia – CORPORINOQUIA</t>
  </si>
  <si>
    <t>Corporación para el Desarrollo Sostenible del Urabá – CORPOURABA</t>
  </si>
  <si>
    <t>Corporación Autónoma Regional del Tolima – CORTOLIMA</t>
  </si>
  <si>
    <t>Corporación Autónoma Regional del Atlántico – CRA</t>
  </si>
  <si>
    <t>Corporación Autónoma Regional del Cauca – CRC</t>
  </si>
  <si>
    <t>Corporación Autónoma Regional del Quindío – CRQ</t>
  </si>
  <si>
    <t>Corporación Autónoma Regional del Sur de Bolívar – CSB</t>
  </si>
  <si>
    <t>Corporación Autónoma Regional del Valle del Cauca – CVC</t>
  </si>
  <si>
    <t>Corporación Autónoma Regional de los Valles del Sinú y del San Jorge – CVS</t>
  </si>
  <si>
    <t>2016-I</t>
  </si>
  <si>
    <t>2016-II</t>
  </si>
  <si>
    <t>2017-I</t>
  </si>
  <si>
    <t>2017-II</t>
  </si>
  <si>
    <t>2018-I</t>
  </si>
  <si>
    <t>2018-II</t>
  </si>
  <si>
    <t>2019-I</t>
  </si>
  <si>
    <t>2019-II</t>
  </si>
  <si>
    <t>Periodo a reportar</t>
  </si>
  <si>
    <t>Nombre de la persona responsable del reporte</t>
  </si>
  <si>
    <t xml:space="preserve">MATRIZ DE SEGUIMIENTO DEL PLAN DE ACCIÓN
ANEXO No. 1. AVANCE EN LAS METAS FÍSICAS Y FINANCIERAS DEL PLAN DE ACCIÓN  </t>
  </si>
  <si>
    <t>PERIODO REPORTADO:</t>
  </si>
  <si>
    <t xml:space="preserve">ANEXO NO. 3. MATRIZ DE REPORTE DE AVANCE DE INDICADORES MÍNIMOS DE GESTIÓN INCORPORADOS EN LA RESOLUCIÓN 667 DE 2016  </t>
  </si>
  <si>
    <t>CORPORACIÓN AUTÓMA REGIONAL DE XXXXX</t>
  </si>
  <si>
    <t>(1)
ESTRUCTURA RENTISTICA</t>
  </si>
  <si>
    <t>(2)
CONCEPTO</t>
  </si>
  <si>
    <t>(3)
PROYECTADO PLAN FINANCIERO</t>
  </si>
  <si>
    <t>MODIFICACIONES</t>
  </si>
  <si>
    <t xml:space="preserve">(6)
APROPIACIÓN FINAL
(3+4-5)
</t>
  </si>
  <si>
    <t>DISTRIBUCIÓN</t>
  </si>
  <si>
    <t>(11)
DERECHOS POR COBRAR</t>
  </si>
  <si>
    <t>(12)
RECAUDO
EFECTIVO</t>
  </si>
  <si>
    <t>(13)
% DE RECAUDO</t>
  </si>
  <si>
    <t>(14)
OBSERVACIONES</t>
  </si>
  <si>
    <t>DEFINICIÓN</t>
  </si>
  <si>
    <t>SOPORTE LEGAL</t>
  </si>
  <si>
    <t>NIVEL ESTRUCTURAL</t>
  </si>
  <si>
    <t>SUBNIVEL RENTISTICO</t>
  </si>
  <si>
    <t>NIVEL 1</t>
  </si>
  <si>
    <t>NIVEL 2</t>
  </si>
  <si>
    <t>NIVEL 3</t>
  </si>
  <si>
    <t>NIVEL 4</t>
  </si>
  <si>
    <t>NIVEL 5</t>
  </si>
  <si>
    <t>(4)
ADICIÓN</t>
  </si>
  <si>
    <t>(5)
REDUCCIÓN</t>
  </si>
  <si>
    <t>(7)
FUNCIONAMIENTO</t>
  </si>
  <si>
    <t>(8)
INVERSIÓN</t>
  </si>
  <si>
    <t>(9)
FCA</t>
  </si>
  <si>
    <t>(10)
SERVICIO A LA DEUDA</t>
  </si>
  <si>
    <t>1</t>
  </si>
  <si>
    <t>Ingresos</t>
  </si>
  <si>
    <t>-</t>
  </si>
  <si>
    <t>Los ingresos son recursos monetarios recaudados en una vigencia fiscal por quienes corresponda administrarlos según la ley.
Se consideran ingresos las entradas de caja efectivas, en moneda nacional, que incrementan las disponibilidades para el gasto. Así, se deben cumplir las siguientes condiciones para reconocer una transacción como ingreso:
1.	Afectación efectiva de caja. Los ingresos se reconocen bajo el principio de caja. Es decir, cuando hay desembolso de los recursos a favor de las entidades beneficiarias.
2.	La afectación de caja se produce en moneda nacional.
3.	Respaldo de un gasto. No se reconocen como ingresos aquellas entradas efectivas de caja que no están habilitadas para realizar gastos.</t>
  </si>
  <si>
    <t>01</t>
  </si>
  <si>
    <t>Ingresos Corrientes</t>
  </si>
  <si>
    <t>Se reconocen por su regularidad, además se caracterizan porque: i) su base de cálculo y su trayectoria histórica permiten estimar con cierto grado de certidumbre el volumen de ingresos; ii) si bien pueden constituir una base aproximada, esta sirve de referente para la elaboración del presupuesto anual.</t>
  </si>
  <si>
    <t>Ingresos tributarios</t>
  </si>
  <si>
    <t>Son aquellos establecidos como impuestos y estampillas por la ley. Estos representan la obligación de hacer un pago, sin que exista una retribución particular por parte del Estado.</t>
  </si>
  <si>
    <t>Corte Constitucional, Sentencia C-545/1994.</t>
  </si>
  <si>
    <t>Impuestos directos</t>
  </si>
  <si>
    <t>Son aquellos que gravan directamente los ingresos o el patrimonio de las personas naturales y jurídicas, es decir, recaen sobre la capacidad económica de los sujetos. En los impuestos directos se identifica al contribuyente respectivo, y se conoce su capacidad de pago,  mediante las informaciones relativas a sus rentas y patrimonio.</t>
  </si>
  <si>
    <t>Corte Constitucional, Sentencia C- 426/2005.</t>
  </si>
  <si>
    <t>Sobretasa ambiental - Peajes</t>
  </si>
  <si>
    <t xml:space="preserve">la Sobretasa Ambiental se creó como un mecanismo de compensación a la afectación y deterioro derivado de las vías del orden nacional actualmente construidas y que llegaren a construirse, próximas o situadas en Areas de Conservación y Protección Municipal, sitios de Ramsar o Humedales de Importancia Internacional definidos en la Ley 357 de 1997 y Reservas de Biosfera, así como sus respectivas Zonas de Amortiguación de conformidad con los criterios técnicos que para el efecto establezca el Ministerio de Ambiente, Vivienda y Desarrollo Territorial. </t>
  </si>
  <si>
    <t>Ley 981 de 2005 modificada por Ley 1718 de 2014 y Ley 1753 de 2015</t>
  </si>
  <si>
    <t>Sobretasa ambiental - Peajes (vigencia actual)</t>
  </si>
  <si>
    <t>02</t>
  </si>
  <si>
    <t>Sobretasa ambiental - Peajes (vigencia anterior)</t>
  </si>
  <si>
    <t>Participación de intereses de mora sobre la sobretasa ambiental-peajes</t>
  </si>
  <si>
    <t>Son las transferencias de recursos de los intereses recaudados por la mora en el pago de la sobretasa ambiental. Los intereses que se causen por mora en el pago del Impuesto Predial Unificado, también se causan para el pago y transferencia de la sobretasa ambiental.</t>
  </si>
  <si>
    <t>Decreto Reglamentario 1339 de 1994, artículo 2.</t>
  </si>
  <si>
    <t>Participación de intereses de mora sobre la sobretasa ambiental-peajes (vigencia actual)</t>
  </si>
  <si>
    <t>Participación de intereses de mora sobre la sobretasa ambiental-peajes (vigencia anterior)</t>
  </si>
  <si>
    <t>Ingresos no tributarios</t>
  </si>
  <si>
    <t>Son los ingresos corrientes que por ley no están definidos como impuestos y comprenderán las tasas y las multas. Los ingresos no tributarios se clasifican en: 
1) Contribuciones 
2) Tasas y derechos administrativos 
3) Multas, sanciones e intereses de mora 
4) Derechos económicos por uso de recursos naturales 
5) Venta de bienes y servicios 
6) Transferencias corrientes
7) Participación y derechos de monopolio</t>
  </si>
  <si>
    <t>Decreto 111 de 1996, art. 27</t>
  </si>
  <si>
    <t>Contribuciones</t>
  </si>
  <si>
    <t xml:space="preserve">Las contribuciones son “las cargas fiscales al patrimonio particular, sustentadas en la potestad tributaria del Estado”. Las contribuciones corresponden a “la recuperación de los costos de los servicios que les presten o participación en los beneficios que les proporcionen”. El principio de legalidad del tributo se extiende a las contribuciones, razón por cual y como establece la Constitución Política, el método de definición de costos y beneficios y su forma de reparto deben ser definidos por Ley. Asimismo, la ley, ordenanza o acuerdo, debe definir los sujetos pasivos y activos, y la base gravable aplicable a la contribución. Sin embargo, la ley puede dar potestad administrativa a las autoridades para que fijen la tarifa que cobren a los contribuyentes. La unica excepción al principio de legalidad del tributo son las contribuciones especiales, las cuales no están definidas como contribuciones, pero de acuerdo con sentencia emitida por la Corte Constitucional, se ajusta a su definición.
</t>
  </si>
  <si>
    <t xml:space="preserve">Corte Constitucional, Sentencia C-545/1994.
Constitución política Art. 338 </t>
  </si>
  <si>
    <t>Contribuciones diversas</t>
  </si>
  <si>
    <t>Las contribuciones diversas comprenden los ingresos por concepto de las demás contribuciones que no se clasifican dentro de las demás categorías de contribuciones descritas anteriormente, es decir, a las contribuciones sociales 1-01-02-01-001, contribuciones inherentes a la nómina 1-01-02-01-002, contribuciones especiales 1-01-02-01-003, contribuciones parafiscales, agropecuarias y pesqueras 1-01-02-01-004.</t>
  </si>
  <si>
    <t>Contribución sector eléctrico</t>
  </si>
  <si>
    <t>Son los recursos por contribución del sector eléctrico a las que se refiere el artículo 45 de la Ley 99 de 1993. De acuerdo con este artículo, las empresas generadoras de energía hidroeléctrica cuya potencia nominal supera los 10.000 kilovatios, deben transferir el 6% de las ventas brutas de energia por generación propia de acuerdo con las distribuciones establecidas por la ley. En el caso de centrales térmicas el porcentaje de los recursos a transferir es del 4%. Los destinatarios de estos recursos son: las Corporaciones Autonómas Regionales o los Parques Nacionales Naturales que tengan jurisdicción en el área donde se encuentra localizada la cuenca hidrográfica y del área de influencia del proyecto o el área donde este ubicada la central térmica; y los municipios y distritos localizados de la cuenca que surte el embalse de las generadoras de energía hidroeléctrica o el municipio donde este ubicada la central térmica. COMPLEMENTAR PLAN DE DESARROLLO ART.289 DE 2019</t>
  </si>
  <si>
    <t xml:space="preserve"> Ley 99 de 1993, art. 45</t>
  </si>
  <si>
    <t>Contribución sector eléctrico - Hidroeléctrica</t>
  </si>
  <si>
    <t>Contribución sector eléctrico - Hidroeléctrica (vigencia actual)</t>
  </si>
  <si>
    <t>Contribución sector eléctrico - Hidroeléctrica (vigencia anterior)</t>
  </si>
  <si>
    <t>Contribución sector eléctrico - Termoeléctrica</t>
  </si>
  <si>
    <t>Contribución sector eléctrico - Termoeléctrica (vigencia actual)</t>
  </si>
  <si>
    <t>Contribución sector eléctrico - Termoeléctrica (vigencia anterior)</t>
  </si>
  <si>
    <t>03</t>
  </si>
  <si>
    <t>Contribución sector eléctrico - Energia Alternativa</t>
  </si>
  <si>
    <t>Contribución sector eléctrico - Energia Alternativa (vigencia actual)</t>
  </si>
  <si>
    <t>Contribución sector eléctrico - Energia Alternativa (vigencia anterior)</t>
  </si>
  <si>
    <t>04</t>
  </si>
  <si>
    <t>Participación de intereses de mora sobre contribución sector eléctrico</t>
  </si>
  <si>
    <t>Participación de intereses de mora sobre contribución sector eléctrico (vigencia actual)</t>
  </si>
  <si>
    <t>Participación de intereses de mora sobre contribución sector eléctrico (vigencia anterior)</t>
  </si>
  <si>
    <t>Tasas y derechos administrativos</t>
  </si>
  <si>
    <t>Tasas</t>
  </si>
  <si>
    <t>Tasas retributivas y compensatorias</t>
  </si>
  <si>
    <t>Tasa retributiva</t>
  </si>
  <si>
    <t xml:space="preserve">Corresponden a las tasas retributivas por la utilización directa o indirecta de la atmósfera, del agua y del suelo, para introducir o arrojar desechos o desperdicios agrícolas, mineros o industriales, aguas negras o servidas de cualquier origen, humos, vapores y sustancias nocivas que sean resultado de actividades antrópicas o propiciadas por el hombre, o actividades económicas o de servicio, sean o no lucrativas. También a las tasas para compensar los gastos de mantenimiento de la renovabilidad de los recursos naturales renovables.  </t>
  </si>
  <si>
    <t>Ley 99 de 1993, art. 42. Decreto 1390 de 2018. Decreto 1272 de 2016</t>
  </si>
  <si>
    <t>Tasa retributiva (vigencia actual)</t>
  </si>
  <si>
    <t>Tasa retributiva (vigencia anterior)</t>
  </si>
  <si>
    <t>Tasa por el uso del agua</t>
  </si>
  <si>
    <t>Recursos recibidos por concepto del uso y aprovechamiento que hacen las personas naturales, jurídicas, públicas o privadas, de las aguas que componen los recursos naturales renovables asociados a cualquier área del Sistema de Parques Nacionales Naturales. Estos recursos, están destinados por Ley al pago de los gastos de protección y renovación de los recursos hídricos.</t>
  </si>
  <si>
    <t>Ley 99 de 1993, art. 43, reglamentada por el Decreto Ley 155 de 2004</t>
  </si>
  <si>
    <t>Tasa por el uso del agua (vigencia actual)</t>
  </si>
  <si>
    <t>Tasa por el uso del agua (vigencia anterior)</t>
  </si>
  <si>
    <t>Tasa de aprovechamiento Forestal</t>
  </si>
  <si>
    <t>Tasa de aprovechamiento Forestal (vigencia actual)</t>
  </si>
  <si>
    <t>Tasa de aprovechamiento Forestal (vigencia anterior)</t>
  </si>
  <si>
    <t>Tasa compensatoria por caza de Fauna Silvestre</t>
  </si>
  <si>
    <t>se dirige a las autoridades ambientales competentes a que se refiere el artículo 2.2.9.10.1 .3, y a
léls personas naturales o jurídicas que cacen la fauna silvestre nativa en el país, en adelante denominadas usuarios</t>
  </si>
  <si>
    <t>Decreto 1272 de 2016, adiciona un capítulo al Título 9 de la Parte 2 del Libro 2 del Decreto 1076 de 2015, destinarán a la protección y renovación del recurso fauna silvestre, lo cual comprende actividades tales como la formulación e implementación de planes y programas de conservación y de uso
sostenible de especies animales silvestres, la repoblación, el control poblacional, estrategias para el control al tráFico ilegal, la restauración de áreas de importancia faunística, entre otras, así como el monitoreo y la elaboración de estudios de investigación básica y aplicada, estas últimas prioritarias para efectos de la inversión de la tasa, teniendo en cuenta las directrices del Ministerio de Ambiente y Desarrollo Sostenible</t>
  </si>
  <si>
    <t>Tasa compensatoria por caza de Fauna Silvestre (vigencia actual)</t>
  </si>
  <si>
    <t>Tasa compensatoria por caza de Fauna Silvestre (vigencia anterior)</t>
  </si>
  <si>
    <t>05</t>
  </si>
  <si>
    <t>Otras tasas</t>
  </si>
  <si>
    <t>Otras tasas (vigencia actual)</t>
  </si>
  <si>
    <t>Otras tasas (vigencia anterior)</t>
  </si>
  <si>
    <t>Derechos Administrativos</t>
  </si>
  <si>
    <t xml:space="preserve">Corresponde a los ingresos por concepto de la venta de bienes y la prestación de servicios que realizan las entidades en desarrollo de sus funciones y competencias legales, independientemente de que las mismas estén o no relacionadas con actividades de producción, o si se venden o no a precios económicamente significativos. Las ventas de bienes y servicios se registran sin deducir los costos de su recaudo (Decreto 111 de 1996, art. 35). </t>
  </si>
  <si>
    <t>Decreto 111 de 1996, art. 35</t>
  </si>
  <si>
    <t>Evaluación de licencias, permisos, concesiones, autorizaciones y demás trámites ambientales</t>
  </si>
  <si>
    <t>Ley 633 de 2002</t>
  </si>
  <si>
    <t>Evaluación de licencias, permisos, concesiones, autorizaciones y demás trámites ambientales (vigencia actual)</t>
  </si>
  <si>
    <t>Evaluación de licencias, permisos, concesiones, autorizaciones y demás trámites ambientales (vigencia anterior)</t>
  </si>
  <si>
    <t>Seguimiento a licencias, permisos, concesiones, autorizaciones y demás trámites ambientales</t>
  </si>
  <si>
    <t>Seguimiento a licencias, permisos, concesiones, autorizaciones y demás trámites ambientales (vigencia actual)</t>
  </si>
  <si>
    <t>Seguimiento a licencias, permisos, concesiones, autorizaciones y demás trámites ambientales (vigencia anterior)</t>
  </si>
  <si>
    <t>Salvoconductos</t>
  </si>
  <si>
    <t>Salvoconductos (vigencia actual)</t>
  </si>
  <si>
    <t>Salvoconductos (vigencia anterior)</t>
  </si>
  <si>
    <t>Venta de productos forestales</t>
  </si>
  <si>
    <t>Venta de productos forestales (vigencia actual)</t>
  </si>
  <si>
    <t>Venta de productos forestales (vigencia anterior)</t>
  </si>
  <si>
    <t>Venta de Servicios de Laboratorio e Información</t>
  </si>
  <si>
    <t>Venta de Servicios de Laboratorio e Información (vigencia actual)</t>
  </si>
  <si>
    <t>Venta de Servicios de Laboratorio e Información (vigencia anterior)</t>
  </si>
  <si>
    <t>06</t>
  </si>
  <si>
    <t>Pruebas de Bombeo y Videos de Pozos</t>
  </si>
  <si>
    <t>Pruebas de Bombeo y Videos de Pozos (vigencia actual)</t>
  </si>
  <si>
    <t>Pruebas de Bombeo y Videos de Pozos (vigencia anterior)</t>
  </si>
  <si>
    <t>07</t>
  </si>
  <si>
    <t>Aprovechamientos por parques</t>
  </si>
  <si>
    <t>Aprovechamientos por parques (vigencia actual)</t>
  </si>
  <si>
    <t>Aprovechamientos por parques (vigencia anterior)</t>
  </si>
  <si>
    <t>08</t>
  </si>
  <si>
    <t>Otros servicios</t>
  </si>
  <si>
    <t>Otros servicios (vigencia actual)</t>
  </si>
  <si>
    <t>Otros servicios (vigencia anterior)</t>
  </si>
  <si>
    <t>Multas, sanciones e intereses de mora</t>
  </si>
  <si>
    <t>El recaudo por multas y sanciones es generado por penalidades pecuniarias que derivan del poder punitivo del Estado, y que se establecen por el incumplimiento de leyes o normas administrativas, con el fin de prevenir un comportamiento considerado indeseable.
Por su parte, los intereses de mora hacen referencia a aquellos que se recaudan por el resarcimiento tarifado o indemnización de los perjuicios que padece el acreedor por no tener consigo el dinero en la oportunidad debida. La mora genera que se hagan correr en contra del deudor los daños y perjuicios llamados moratorios que representan el perjuicio causado al acreedor por el retraso en la ejecución de la obligación.
Los intereses de mora se incluyen en esta cuenta debido al componente indemnizatorio reconocido en la Sentencia C-604/2012. En este sentido, al igual que las multas y sanciones, el cobro de intereses de mora se hace en parte con el fin de prevenir la reiteración de una conducta indeseable.
Las multas, sanciones e intereses moratorios se clasifican en:
1) Multas y sanciones 
2) Intereses de mora</t>
  </si>
  <si>
    <t>Ley 6 de 1992, art. 124; Decreto 410 de 1971, art. 10, 20 y 78; Decreto 393 de 2002, art. 25</t>
  </si>
  <si>
    <t>Recursos por concepto de penalidades pecuniarias que derivan del poder punitivo del Estado, y que se establecen con el fin de prevenir un comportamiento considerado indeseable. Vale la pena precisar que las multas y sanciones se distinguen nítidamente de las contribuciones fiscales y parafiscales, pues estas últimas son consecuencia del poder impositivo, y no punitivo, del Estado. Esta diferencia de naturaleza jurídica se articula a la diversidad de finalidades de las mismas.
Así, una multa se establece con el fin de prevenir un comportamiento considerado indeseable, mientras que una contribución es un medio para financiar los gastos del Estado.
Las multas y sanciones se desagregan de igual manera para la Nación, los establecimientos públicos, los fondos especiales y las contribuciones parafiscales.</t>
  </si>
  <si>
    <t>Sentencia C-134/2009
Decreto 1609 de 2015</t>
  </si>
  <si>
    <t>Multas ambientales</t>
  </si>
  <si>
    <t>Corresponde al pago de una suma de dinero que las autoridades ambientales imponen a quien con su acción u omisión infrinja las normas ambientales.
Las autoridades ambientales son: El Ministerio de Ambiente y Desarrollo Sostenible, la Unidad Administrativa Especial del Sistema de Parques Nacionales Naturales, las Corporaciones Autónomas Regionales y las de Desarrollo Sostenible, las Unidades Ambientales Urbanas, la Armada Nacional, así como los departamentos, municipios y distritos.  Estas autoridades están habilitadas para imponer y ejecutar las medidas preventivas y sancionatorias consagradas en la ley, sin perjuicio de las competencias legales de otras autoridades.</t>
  </si>
  <si>
    <t>Ley 1333 de 2009. Ley 99 de 1993</t>
  </si>
  <si>
    <t>Multas ambientales (vigencia actual)</t>
  </si>
  <si>
    <t>Multas ambientales (vigencia anterior)</t>
  </si>
  <si>
    <t>Intereses de mora</t>
  </si>
  <si>
    <t>Recaudo por concepto del retraso en que ha incurrido un tercero dentro de los plazos establecidos para el pago de una obligación. Los intereses de mora representan el resarcimiento tarifado o indemnización de los perjuicios que padece el acreedor por no tener consigo el dinero en la oportunidad debida.</t>
  </si>
  <si>
    <t>Sentencia C-604/2012</t>
  </si>
  <si>
    <t>Venta de bienes y servicios</t>
  </si>
  <si>
    <t>Ventas de establecimientos de mercado</t>
  </si>
  <si>
    <t xml:space="preserve">Son los ingresos por ventas de bienes y servicios resultantes del desarrollo de funciones misionales de producción o comercialización. Es decir, aquellas funciones de producción o comercialización dispuestas legalmente como competencias principales de la entidad. Esta categoría se desagrega siguiendo la Clasificación Central de Productos (CPC) del DANE.
</t>
  </si>
  <si>
    <t>Agricultura, silvicultura y productos de la pesca</t>
  </si>
  <si>
    <t>Productos de la silvicultura y de la explotación forestal</t>
  </si>
  <si>
    <t>Madera en bruto</t>
  </si>
  <si>
    <t>Madera en bruto (vigencia actual)</t>
  </si>
  <si>
    <t>Madera en bruto  (vigencia anterior)</t>
  </si>
  <si>
    <t>Productos forestales diferentes a la madera</t>
  </si>
  <si>
    <t>Productos forestales diferentes a la madera (vigencia actual)</t>
  </si>
  <si>
    <t>Productos forestales diferentes a la madera  (vigencia anterior)</t>
  </si>
  <si>
    <t>Otras ventas incidentales de establecimiento de mercado</t>
  </si>
  <si>
    <t>Otras ventas incidentales de establecimiento de mercado (vigencia actual)</t>
  </si>
  <si>
    <t>Otras ventas incidentales de establecimiento de mercado (vigencia anterior)</t>
  </si>
  <si>
    <t>Ventas incidentales de establecimiento de no mercado</t>
  </si>
  <si>
    <t>Son los ingresos por ventas de bienes y servicios que no resultan del desarrollo de funciones misionales de producción o comercialización. Es decir, que la venta de dichos bienes y servicios no se relaciona con las competencias legales de la entidad. Generalmente, estas ventas de bienes y servicios tienen un carácter incidental en las entidades. Esta categoría se desagrega siguiendo la Clasificación Central de Productos (CPC) del DANE.</t>
  </si>
  <si>
    <t>Productos metálicos, maquinaria y equipo</t>
  </si>
  <si>
    <t xml:space="preserve">Son los ingresos asociados a la venta de metales básicos o productos metálicos elaborados; maquinaria  de  uso  general  o  especial;  máquinas  para  oficina  y  contabilidad;  aparatos  eléctricos; aparatos de radio, televisión y comunicaciones; aparatos médicos y equipo de transporte. </t>
  </si>
  <si>
    <t xml:space="preserve"> Clasificación Central de Productos (CPC Ver. 2.0)</t>
  </si>
  <si>
    <t>Productos metálicos, maquinaria y equipo (vigencia actual)</t>
  </si>
  <si>
    <t>Productos metálicos, maquinaria y equipo (vigencia anterior)</t>
  </si>
  <si>
    <t>Alquiler de Maquinaria y Equipos</t>
  </si>
  <si>
    <t>Alquiler de Maquinaria y Equipos (vigencia actual)</t>
  </si>
  <si>
    <t>Alquiler de Maquinaria y Equipos (vigencia anterior)</t>
  </si>
  <si>
    <t>Aprovechamiento por arriendos</t>
  </si>
  <si>
    <t>Aprovechamiento por arriendos (vigencia actual)</t>
  </si>
  <si>
    <t>Aprovechamiento por arriendos (vigencia anterior)</t>
  </si>
  <si>
    <t>Otras ventas incidentales de establecimiento no de mercado</t>
  </si>
  <si>
    <t>Otras ventas incidentales de establecimiento no de mercado (vigencia actual)</t>
  </si>
  <si>
    <t>Otras ventas incidentales de establecimiento no de mercado (vigencia anterior)</t>
  </si>
  <si>
    <t>Transferencias corrientes</t>
  </si>
  <si>
    <t>Transferencias del sector central Nacional - PGN</t>
  </si>
  <si>
    <t>Participación de la sobretasa ambiental - Corporaciones Autónomas Regionales</t>
  </si>
  <si>
    <t xml:space="preserve">Son las transferencias de recursos de la sobretasa ambiental para las Corporaciones Autónomas Regionales (Art. 1. Decreto 1339 de 1994).  De acuerdo con el Artículo 44 de la Ley 99 de 1993, el giro de estos recursos debe realizarse de forma trimestral y excepcionalmente, por anualidades antes del 30 de marzo de cada año siguiente al periodo de recaudo. </t>
  </si>
  <si>
    <t>Ley  99 de 1993, art. 44; Decreto 1339 de 1994, art.1</t>
  </si>
  <si>
    <t>Participación de la sobretasa ambiental - Corporaciones Autónomas Regionales (vigencia actual)</t>
  </si>
  <si>
    <t>Participación de la sobretasa ambiental - Corporaciones Autónomas Regionales (vigencia anterior)</t>
  </si>
  <si>
    <t>Participación del porcentaje ambiental - Corporaciones Autónomas Regionales</t>
  </si>
  <si>
    <t>Participación del porcentaje ambiental - Corporaciones Autónomas Regionales (vigencia actual)</t>
  </si>
  <si>
    <t>Participación del porcentaje ambiental - Corporaciones Autónomas Regionales (vigencia anterior)</t>
  </si>
  <si>
    <t>Participación de intereses de mora sobre la sobretasa ambiental</t>
  </si>
  <si>
    <t>Participación de intereses de mora sobre la sobretasa ambiental (vigencia actual)</t>
  </si>
  <si>
    <t>Participación de intereses de mora sobre la sobretasa ambiental (vigencia anterior)</t>
  </si>
  <si>
    <t>Participación de intereses de mora sobre el porcentaje ambiental</t>
  </si>
  <si>
    <t>Participación de intereses de mora sobre el porcentaje ambiental (vigencia actual)</t>
  </si>
  <si>
    <t>Participación de intereses de mora sobre el porcentaje ambiental (vigencia anterior)</t>
  </si>
  <si>
    <t>Aportes de la Nación para Gastos de personal</t>
  </si>
  <si>
    <t>Aportes de la Nación para Adquisición de bienes y servicios</t>
  </si>
  <si>
    <t>Aportes de la Nación para Transferencias corrientes</t>
  </si>
  <si>
    <t xml:space="preserve">Aportes Fondo de Compensación Ambiental -FCA, Funcionamiento </t>
  </si>
  <si>
    <t>Aportes del FCA para Gastos de personal</t>
  </si>
  <si>
    <t>Aportes del FCA para Adquisición de bienes y servicios</t>
  </si>
  <si>
    <t>Aportes del FCA para Transferencias corrientes</t>
  </si>
  <si>
    <t>Aportes inversión Fondo de Compensación Ambiental -FCA</t>
  </si>
  <si>
    <t>Aportes inversión Fondo Nacional Ambiental - FONAM</t>
  </si>
  <si>
    <t>Aportes del Sistema de Participación General de Regalias - SPGR</t>
  </si>
  <si>
    <t>Aportes del SPGR para Funcionamiento</t>
  </si>
  <si>
    <t>Aportes del SPGR para Servicio de la Deuda</t>
  </si>
  <si>
    <t>Aportes del SPGR para Inversión</t>
  </si>
  <si>
    <t>Recursos de capital</t>
  </si>
  <si>
    <t>Los recursos de capital se diferencian de los ingresos corrientes por su regularidad. Si bien el EOP no da una definición conceptual de estos recursos, la Corte Constitucional, mediante la Sentencia C-1072 de 2002, establece que los recursos de capital son aquellos “que entran a las arcas públicas de manera esporádica, no porque hagan parte de un rubro extraño, sino porque su cuantía es indeterminada, lo cual difícilmente asegura su continuidad durante amplios periodos presupuestales” (Corte Constitucional, Sentencia C-1072 de 2002).</t>
  </si>
  <si>
    <t>Disposición de activos</t>
  </si>
  <si>
    <t>Recursos que obtiene una entidad del presupuesto general del sector público provenientes del traslado de derecho y dominio parcial o total de activos con destino a la financiación del presupuesto (Ministerio de Hacienda y Crédito Público, 2011, p. 245). En el CONPES 3281 de 2004 el gobierno nacional estableció la estrategia de aprovechamiento y disposición de activos con el objetivo de “reducir la magnitud del pasivo mediante la liquidación o venta de activos del balance con los cuales se corrija de manera efectiva el déficit fiscal, con un efecto permanente en el mediano plazo” (CONPES 3281 de 2004).</t>
  </si>
  <si>
    <t>Disposición de activos no financieros</t>
  </si>
  <si>
    <t>Corresponde a los ingresos por concepto de transacciones de capital referentes a la venta de activos no financieros . Sobre estos activos se ejerce un derecho de propiedad, y generan beneficios económicos por mantenerlos o utilizarlos durante un período de tiempo. Los activos no financieros incluyen tanto activos producidos como no producidos y los productos de la propiedad intelectual.</t>
  </si>
  <si>
    <t>Disposición de activos fijos</t>
  </si>
  <si>
    <t xml:space="preserve">Ingresos por concepto de la venta de activos no financieros producidos que se utilizan de forma repetida o continua en procesos de producción por más de un año y cuyo precio es significativo para la entidad del PGSP.
En este rubro se deben registrar las mejoras mayores de los activos fijos existentes, como los edificios o los programas de informática; siempre que, estas mejoras incrementen su capacidad productiva, amplíen su vida útil o ambas cosas. Se consideran mejoras mayores aquellas que recuperan o aumentan el valor del activo fijo, como las renovaciones significativas, reconstrucciones o agrandamientos. 
</t>
  </si>
  <si>
    <t>Disposición de edificaciones y estructuras</t>
  </si>
  <si>
    <t>Ingresos por concepto de la venta de todo de edificaciones y estructuras, incluidos los accesorios y adecuaciones que forman parte integral de la estructura. Se compone de viviendas, edificios que no sean viviendas, otras estructuras y mejoras de la tierra.
Esta cuenta también incluye  los monumentos públicos, identificables por su significado histórico, nacional, regional, local, religioso o simbólico (FMI, 2014, pág. 179), los cuales se clasifican en otras estructuras.</t>
  </si>
  <si>
    <t>Disposición de maquinaria y equipo</t>
  </si>
  <si>
    <t>Ingresos por la concepto de la venta de activos como equipo de transporte, maquinaria relacionada con tecnologías de la información y las comunicaciones y otras maquinarias y equipos no clasificados en otra partida.</t>
  </si>
  <si>
    <t>Disposición de otros activos fijos</t>
  </si>
  <si>
    <t xml:space="preserve">Ingresos por la disposición de activos no mencionados en los rubros anteriores, a saber, recursos biológicos cultivados y productos de propiedad intelectual. </t>
  </si>
  <si>
    <t>Disposición de productos de la propiedad intelectual</t>
  </si>
  <si>
    <t xml:space="preserve">Ingresos por la disposición de  productos de la propiedad intelectual, los cuales son el resultado de la investigación, el desarrollo o la innovación conducente a conocimientos que pueden venderse en el mercado.  </t>
  </si>
  <si>
    <t>Disposición de activos no producidos</t>
  </si>
  <si>
    <t>Ingresos por la disposición de activos no producidos, los cuales incluyen los activos de origen natural e intangible. Los activos de origen natural son recursos naturales sobre los que se ejercen derechos de propiedad (Fondo Monetario Internacional, 2014, pág. 207).</t>
  </si>
  <si>
    <t>Disposición de  tierras y terrenos</t>
  </si>
  <si>
    <t>Ingresos por la disposición de tierras y terrenos propiamente dichas, incluyendo la cubierta de suelo y las aguas superficiales asociadas, sobre los que se han establecido derechos de propiedad y de las cuales pueden derivarse beneficios económicos para los propietarios por su posesión o uso.</t>
  </si>
  <si>
    <t>Rendimientos financieros</t>
  </si>
  <si>
    <t>Son los ingresos que se reciben las unidades del PGSP en retorno por poner ciertos activos financieros a disposición de terceros, sin trasladar el derecho o dominio, total o parcial del activo. De acuerdo con el MEFP 2014, los activos financieros son aquellos que tienen un pasivo como contrapartida, es decir, el propietario de dicho activo (acreedor) tiene derecho a recibir recursos o fondos de otra unidad institucional (deudor), de acuerdo con las condiciones del pasivo.</t>
  </si>
  <si>
    <t>09</t>
  </si>
  <si>
    <t>10</t>
  </si>
  <si>
    <t>11</t>
  </si>
  <si>
    <t>12</t>
  </si>
  <si>
    <t>Recursos de crédito externo</t>
  </si>
  <si>
    <t xml:space="preserve">Comprende los recursos provenientes de operaciones de crédito público realizadas con agentes residentes fuera del país. Entiéndase por operaciones de crédito público todo acto o contrato que tienen por objeto dotar a la entidad del PGSP de recursos, bienes o servicios con plazo para su pago. </t>
  </si>
  <si>
    <t>Recursos de contratos de empréstitos externos</t>
  </si>
  <si>
    <t>Corresponde a los recursos provenientes de contratos de empréstitos externos realizados por las entidades del PGSP. Los contratos de empréstito tienen por objeto proveer a la entidad contratante (órgano del PGN, entidad territorial, órgano autónomo o particular) de recursos con plazo para su pago. Para el caso de las entidades estatales, el Decreto 1068 de 2015 reglamente los contratos de empréstitos externos.</t>
  </si>
  <si>
    <t>Decreto 1068 de 2015</t>
  </si>
  <si>
    <t>Bancos comerciales</t>
  </si>
  <si>
    <t>Comprende los recursos provenientes de los créditos adquiridos con bancos comerciales residentes fuera del país. Un banco comercial es un intermediario financiero que capta recursos de quienes tienen dinero disponible para colocarlos en manos de quienes lo necesitan</t>
  </si>
  <si>
    <t>Decreto 1068 de 2015, art. 2.2.1.2.1.2</t>
  </si>
  <si>
    <t>Entidades de fomento</t>
  </si>
  <si>
    <t>Comprende los recursos provenientes de los créditos adquiridos con entidades de fomento residentes fuera del país.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</si>
  <si>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Recursos de crédito de títulos de deuda pública externa</t>
  </si>
  <si>
    <t>Corresponde a los ingresos por emisión y colocación de bonos y demás valores de contenido crediticio y con plazo para su redención, emitidos por las entidades de gobierno en el exterior o empresas financieros y no financieras.</t>
  </si>
  <si>
    <t>Recursos de crédito de proveedores</t>
  </si>
  <si>
    <t xml:space="preserve">Comprende los créditos obtenidos con agentes residentes fuera del país,  mediante los cuales se contrata la adquisición de bienes o servicios con plazo para su pago. Esta cuenta es de uso exclusivo de la nación. No aplica para la entrega de bienes y/o servicios de manera directa por el proveedor. </t>
  </si>
  <si>
    <t>Decreto 1068 de 2015, art. 2.2.1.2.3.1</t>
  </si>
  <si>
    <t>Recursos de crédito interno</t>
  </si>
  <si>
    <t xml:space="preserve">Comprende los recursos provenientes de operaciones de crédito público que realizan las entidades del PGSP con agentes residentes en el país. Entiéndase por operaciones de crédito público todo acto o contrato que tienen por objeto dotar a la entidad (órgano del PGN, entidad territorial, órgano autónomo, empresa o particular) de recursos, bienes o servicios con plazo para su pago. </t>
  </si>
  <si>
    <t>Recursos de contratos de empréstitos internos</t>
  </si>
  <si>
    <t>Corresponde a los recursos provenientes de contratos de empréstitos internos de las entidades del PGSP. Para las entidades de gobierno, estas operaciones están reguladas por el Decreto 1068 de 2015 y el Decreto 2681 de 1993, art. 22.</t>
  </si>
  <si>
    <t>Decreto 1068 de 2015; Decreto 2681 de 1993, art. 22</t>
  </si>
  <si>
    <t>Recursos de contratos de empréstitos internos con bancos comerciales</t>
  </si>
  <si>
    <t>Corresponde a los ingresos por adquisición de deuda con aquellos bancos comerciales que ofrecen sus recursos a tasas y condiciones vigentes del mercado. Estos recursos pueden dirigirse a cualquier sector.</t>
  </si>
  <si>
    <t>Recursos de contratos de empréstitos internos con bancos comerciales públicos</t>
  </si>
  <si>
    <t>Corresponde a los ingresos por concepto de los desembolsos realizados por bancos comerciales públicos en razón de los créditos otorgados a la entidad del PGSP.</t>
  </si>
  <si>
    <t>Recursos de contratos de empréstitos internos con bancos comerciales privados</t>
  </si>
  <si>
    <t>Corresponde a los ingresos por concepto de los desembolsos realizados por bancos comerciales privados en razón de los créditos otorgados a la entidad del PGSP.</t>
  </si>
  <si>
    <t>Recursos de contratos de empréstitos internos con entidades del sector público</t>
  </si>
  <si>
    <t>Ingresos por contratación de créditos públicos con entidades del sector público, excluyendo a los bancos comerciales públicos que están en otra categoría.</t>
  </si>
  <si>
    <t>Recursos de contratos de empréstitos internos con la Nación</t>
  </si>
  <si>
    <t>Corresponde a los ingresos por desembolsos de créditos otorgados por la Nación a las entidades del gobierno (nivel nacional y subnacional). Estos créditos están sujetos a condonación según los términos pactados en los convenios de desempeño y/o en los documentos que hagan sus veces.</t>
  </si>
  <si>
    <t>Recursos de contratos de empréstitos internos con Findeter</t>
  </si>
  <si>
    <t>Corresponde a los ingresos por desembolsos de créditos realizados durante la vigencia por la Financiera de Desarrollo Territorial S.A. (FINDETER).</t>
  </si>
  <si>
    <t>Recursos de contratos de empréstitos internos con Fonade</t>
  </si>
  <si>
    <t>Corresponde a los ingresos por desembolsos de créditos realizados durante la vigencia por el Fondo Financiero de Proyectos de Desarrollo (FONADE).</t>
  </si>
  <si>
    <t>Recursos de contratos de empréstitos internos con Institutos de Desarrollo Departamental y/o Municipal</t>
  </si>
  <si>
    <t>Corresponde a los ingresos por desembolsos realizados durante la vigencia por concepto de los créditos concedidos a la entidad de gobierno por parte de los fondos o institutos de desarrollo.</t>
  </si>
  <si>
    <t>Banco de la República</t>
  </si>
  <si>
    <t>Comprende los recursos provenientes de los préstamos adquiridos con el Banco de la República, el cual tiene, entre sus funciones, ser prestamista de última instancia del Gobierno Nacional. Los créditos otorgados por el Banco de la República a la Nación sólo se permiten en casos de extrema necesidad, y deben ser aprobados por todos los miembros de la Junta directiva del Banco.</t>
  </si>
  <si>
    <t>Constitución de 1991,  art. 371</t>
  </si>
  <si>
    <t>Recursos de contratos de empréstitos internos con otras instituciones financieras y otros</t>
  </si>
  <si>
    <t xml:space="preserve">Corresponde a los ingresos por contratación de créditos con entidades financieras distintas a las mencionadas. También incluyre los montos de dinero transferidos al Tesoro Nacional por concepto de cuentas inactivas, por parte de las entidades financieras. </t>
  </si>
  <si>
    <t>Recursos de crédito de títulos de deuda pública interna</t>
  </si>
  <si>
    <t>Comprende los recursos provenientes de los títulos de deuda pública (bonos y demás valores de contenido crediticio) emitidos por las entidades de gobierno en el mercado local de capitales con plazo para su rendición</t>
  </si>
  <si>
    <t>Decreto 1068 de 2015, art. 2.2.1.3.1.</t>
  </si>
  <si>
    <t>Colocación y títulos TES clase B del Gobierno Nacional</t>
  </si>
  <si>
    <t xml:space="preserve">Comprende los recursos provenientes de la colocación de Títulos de Tesorería - TES Clase B que realiza el Gobierno Nacional mediante los mecanismos de subasta, operación convenida u operación forzosa, para financiar apropiaciones presupuestales. Los TES Clase B pueden ser administrados directamente por la Nación o ésta puede celebrar con el Banco de la República o con otras entidades nacionales o extranjeras, contratos de administración fiduciaria para la edición, emisión, colocación y garantía de los mismos.  </t>
  </si>
  <si>
    <t>Colocación y títulos TES clase B a corto plazo</t>
  </si>
  <si>
    <t xml:space="preserve">Comprende los recursos provenientes de la colocación de TES Clase B que hace el Gobierno Nacional con  el  fin de efectuar operaciones  de  tesorería,  cuando  el  vencimiento de  los mismos  excede  la respectiva vigencia fiscal. Los TES Clase B a corto plazo tienen un término no mayor a un (1) año y no menor a treinta (30) días. </t>
  </si>
  <si>
    <t>Colocación y títulos TES clase B a largo plazo</t>
  </si>
  <si>
    <t xml:space="preserve">Comprende los recursos provenientes de la colocación de TES Clase B que hace el Gobierno Nacional mediante subasta, operación forzosa u operación convenida, con el fin de financiar apropiaciones presupuestales. Los TES Clase B a largo plazo tienen un término de uno o más años calendario. </t>
  </si>
  <si>
    <t>Bonos y otros títulos emitidos por el Gobierno Nacional</t>
  </si>
  <si>
    <t xml:space="preserve">Comprende  los  recursos provenientes  de  la  colocación  de  bonos  definidos  por  ley,  y  de  títulos diferentes a los TES, que tienen un contenido crediticio con plazo para su redención. </t>
  </si>
  <si>
    <t>Bonos y otros títulos de deuda emitidos por las entidades territoriales</t>
  </si>
  <si>
    <t>Corresponde a los ingresos por emisión y colocación de bonos y demás valores de contenido crediticio y con plazo para su redención, emitidos por las entidades territoriales.</t>
  </si>
  <si>
    <t xml:space="preserve">Comprende los créditos obtenidos con agentes residentes en territorio colombiano,  mediante los cuales se contrata la adquisición de bienes o servicios con plazo para su pago. Esta cuenta es de uso exclusivo de la nación. No aplica para la entrega de bienes y/o servicios de manera directa por el proveedor. </t>
  </si>
  <si>
    <t xml:space="preserve">Transferencias de capital </t>
  </si>
  <si>
    <t>Son las transferencias de recursos que reciben las entidades del PGSP, sin ser regulares o predecibles, y sin dar ningún bien, servicio o activo como contraprestación directa. 
En oposición a las transferencias corrientes, las transferencias de capital se caracterizan por:
•	No permitir un cálculo predecible o una estimación de estos gastos
•	No son disponibilidades regulares 
•	Dependen de la discrecionalidad de la entidad que realiza la transferencia.
•	Tener un plazo limitado de vigencia</t>
  </si>
  <si>
    <t>Convenios con Departamentos</t>
  </si>
  <si>
    <t xml:space="preserve">Convenios con  Municipios </t>
  </si>
  <si>
    <t>Otros Convenios</t>
  </si>
  <si>
    <t>Transferencias a  órganos autónomos e independientes</t>
  </si>
  <si>
    <t>Transferencias del sector descentralizado - Estapublicos Nacionales</t>
  </si>
  <si>
    <t>Transferencias del sector descentralizado - Empresas Nacionales</t>
  </si>
  <si>
    <t>Transferencias del sector central Territorial</t>
  </si>
  <si>
    <t>Transferencias de Departamentos</t>
  </si>
  <si>
    <t xml:space="preserve">Transferencias de Municipios </t>
  </si>
  <si>
    <t>Transferencias del sector descentralizado - Estapublicos Territoriales</t>
  </si>
  <si>
    <t>Transferencias del sector descentralizado - Empresas Territoriales</t>
  </si>
  <si>
    <t>Transferencias de esquemas asociativos</t>
  </si>
  <si>
    <t>Transferencias de órganos autónomos e independientes</t>
  </si>
  <si>
    <t>Transferencias de  privados que administran recursos públicos</t>
  </si>
  <si>
    <t>Indemnizaciones relacionadas con seguros no de vida</t>
  </si>
  <si>
    <t>Son las transferencias de recursos que reciben las entidades del orden nacional y territorial por concepto de las indemnizaciones que se generan en el desarrollo de contratos de seguros no de vida, tras la ocurrencia de un siniestro.</t>
  </si>
  <si>
    <t>Son las transferencias que reciben las entidades o unidades por concepto de donaciones. De acuerdo con el MHCP, son donaciones los “ingresos sin contraprestación, pero con la destinación que establezca el donante, recibidos de otros gobiernos o instituciones públicas o privadas de carácter nacional o internacional” (Ministerio de Hacienda y Crédito Público, 2011, pág. 246).</t>
  </si>
  <si>
    <t>Donaciones de gobiernos extranjeros</t>
  </si>
  <si>
    <t>Son las transferencias por concepto de donaciones que realizan los gobiernos extranjeros a las entidades o unidades.  Se consideran gobiernos extranjeros aquellos que se encuentran fuera del territorio económico colombiano y ejercen soberanía sobre un área determinada del resto del mundo.</t>
  </si>
  <si>
    <t>Donaciones de organizaciones internacionales</t>
  </si>
  <si>
    <t>Son las transferencias por concepto de donaciones que realizan las organizaciones internacionales a las entidades o unidades.  Se entiende por organizaciones internacionales aquellas que cumplen con las siguientes características (FMI, 2009, p. 71):
*Sus miembros son Estados nacionales u otros organismos internacionales cuyos miembros son Estados nacionales.
*Se establecen mediante acuerdos políticos formales entre sus miembros, que tiene el rango de tratados internacionales; su existencia es reconocida por ley en sus países miembros.
*Se crean con una finalidad específica</t>
  </si>
  <si>
    <t>Donaciones del sector privado nacional y extranjero</t>
  </si>
  <si>
    <t>Son las transferencias de recursos por concepto de donaciones que realizan las personas naturales o personas jurídicas del sector privado nacional o extranjero a las entidades.</t>
  </si>
  <si>
    <t>13</t>
  </si>
  <si>
    <t>Compensaciones</t>
  </si>
  <si>
    <t>Son las transferencias de recursos por pagos de gran cuantía, no recurrentes, para compensar daños extensos o lesiones graves, como las que resultan de desastres naturales no cubiertos por pólizas de seguros.</t>
  </si>
  <si>
    <t xml:space="preserve">Compensación resguardos indígenas </t>
  </si>
  <si>
    <t>Corresponde al impuesto predial unificado de los resguardos indígenas de la jurisdicción del municipio con cargo al presupuesto general de la Nación</t>
  </si>
  <si>
    <t>Compensación resguardos indígenas (vigencia actual)</t>
  </si>
  <si>
    <t>Compensación resguardos indígenas (vigencia anterior)</t>
  </si>
  <si>
    <t>Intereses de mora Compensación resguardos indígenas</t>
  </si>
  <si>
    <t>14</t>
  </si>
  <si>
    <t xml:space="preserve">Cooperación </t>
  </si>
  <si>
    <t xml:space="preserve">Acuerdos </t>
  </si>
  <si>
    <t>Subacuerdos</t>
  </si>
  <si>
    <t>Recuperación de cartera</t>
  </si>
  <si>
    <t>Ingresos por concepto de la amortización de préstamos realizados por las unidades del PGSP Gobierno nacional, las entidades territoriales, las empresas financieras y no financieras, los órganos autónomos y particulares que administran recursos públicos</t>
  </si>
  <si>
    <t>Ley 1066 de 2006</t>
  </si>
  <si>
    <t>Recuperación de cartera Ingresos tributarios</t>
  </si>
  <si>
    <t>Recuperación de cartera Impuestos directos</t>
  </si>
  <si>
    <t>Recuperación de cartera Contribuciones</t>
  </si>
  <si>
    <t>Recuperación de cartera Tasas retributivas y compensatorias</t>
  </si>
  <si>
    <t>Recuperación de carteraTasa retributiva</t>
  </si>
  <si>
    <t>Recuperación de cartera Tasa por el uso del agua</t>
  </si>
  <si>
    <t>Recuperación de cartera Tasa de aprovechamiento Forestal</t>
  </si>
  <si>
    <t>Recuperación de cartera Tasa compensatoria por caza de Fauna Silvestre</t>
  </si>
  <si>
    <t>Recuperación de cartera Otras tasas</t>
  </si>
  <si>
    <t>Recuperación de cartera Multas, sanciones e intereses de mora</t>
  </si>
  <si>
    <t>Recuperación de cartera Venta de bienes y servicios</t>
  </si>
  <si>
    <t>Recuperación cuotas partes pensionales</t>
  </si>
  <si>
    <t>Recursos del balance</t>
  </si>
  <si>
    <t>Recursos provenientes del saldo del ejercicio fiscal de la vigencia inmediatamente anterior, que quedan disponibles para la vigencia siguiente.</t>
  </si>
  <si>
    <t>Cancelación de reservas</t>
  </si>
  <si>
    <t>Cancelación de reservas Ingresos tributarios</t>
  </si>
  <si>
    <t>Cancelación de reservas Impuestos directos</t>
  </si>
  <si>
    <t>Cancelación de reservas Contribuciones</t>
  </si>
  <si>
    <t>Cancelación de reservas Tasas retributivas y compensatorias</t>
  </si>
  <si>
    <t>Cancelación de reservas Tasa retributiva</t>
  </si>
  <si>
    <t>Cancelación de reservas Tasa por el uso del agua</t>
  </si>
  <si>
    <t>Cancelación de reservas Tasa de aprovechamiento Forestal</t>
  </si>
  <si>
    <t>Cancelación de reservas Tasa compensatoria por caza de Fauna Silvestre</t>
  </si>
  <si>
    <t>Cancelación de reservas Otras tasas</t>
  </si>
  <si>
    <t>Cancelación de reservas Multas, sanciones e intereses de mora</t>
  </si>
  <si>
    <t>Cancelación de reservas Venta de bienes y servicios</t>
  </si>
  <si>
    <t>Cancelación de reservas Recursos de crédito externo</t>
  </si>
  <si>
    <t>Cancelación de reservas Recursos de crédito interno</t>
  </si>
  <si>
    <t>Cancelación de reservas Transferencias de capital</t>
  </si>
  <si>
    <t>Cancelación de reservas Convenios</t>
  </si>
  <si>
    <t>Cancelación de reservas Convenios Departamentos</t>
  </si>
  <si>
    <t xml:space="preserve">Cancelación de reservas Convenios Municipios </t>
  </si>
  <si>
    <t>Cancelación de reservas Otros convenios</t>
  </si>
  <si>
    <t>Cancelación de reservas Compensaciones</t>
  </si>
  <si>
    <t>Cancelación de reservas Compensación resguardos indígenas</t>
  </si>
  <si>
    <t xml:space="preserve"> INFORME DE EJECUCION PRESUPUESTAL DE INGRESOS </t>
  </si>
  <si>
    <t>RECURSOS FONDO DE COMPENSACIÓN AMBIENTAL
(5)</t>
  </si>
  <si>
    <t>RECURSOS DE REGALÍAS
(6)</t>
  </si>
  <si>
    <t>TOTAL RECURSOS
(7)</t>
  </si>
  <si>
    <t>OBSERVACIONES (8)</t>
  </si>
  <si>
    <t>PRESUPUESTADO</t>
  </si>
  <si>
    <t>COMPROMETIDO</t>
  </si>
  <si>
    <t>OBLIGACIONES</t>
  </si>
  <si>
    <t xml:space="preserve">PAGOS </t>
  </si>
  <si>
    <t>PAGOS</t>
  </si>
  <si>
    <t>2</t>
  </si>
  <si>
    <t>GASTOS DE FUNCIONAMIENTO</t>
  </si>
  <si>
    <t>ADQUISICIÓN DE BIENES Y SERVICIOS</t>
  </si>
  <si>
    <t>Adquisición de activos no financieros</t>
  </si>
  <si>
    <t>Adquisiciones diferentes de activos</t>
  </si>
  <si>
    <t>A ENTIDADES DE GOBIERNO</t>
  </si>
  <si>
    <t>A ORGANOS DEL PGN</t>
  </si>
  <si>
    <t>Fondo de Compensación Ambiental - Ministerio del Medio Ambiente Art 24 Ley 344 de 1996</t>
  </si>
  <si>
    <t>Fondo de Compensación Ambiental - TSE (20%)</t>
  </si>
  <si>
    <t>Fondo de Compensación Ambiental - Recursos propios diferentes a TSE (10%)</t>
  </si>
  <si>
    <t>A ESQUEMAS ASOCIATIVOS</t>
  </si>
  <si>
    <t>Aportes a ASOCARS</t>
  </si>
  <si>
    <t xml:space="preserve">PRESTACIONES SOCIALES </t>
  </si>
  <si>
    <t>Prestaciones sociales relacionadas con el empleo</t>
  </si>
  <si>
    <t>Mesadas pensionales (de pensiones)</t>
  </si>
  <si>
    <t>Bonos pensionales (de pensiones)</t>
  </si>
  <si>
    <t>Comisiones y otros gastos</t>
  </si>
  <si>
    <t>Conciliaciones</t>
  </si>
  <si>
    <t>GASTOS POR TRIBUTOS, MULTAS, SANCIONES E INTERESES DE MORA</t>
  </si>
  <si>
    <t>IMPUESTOS</t>
  </si>
  <si>
    <t>IMPUESTOS TERRITORIALES</t>
  </si>
  <si>
    <t>Impuesto predial y Sobretasa ambiental</t>
  </si>
  <si>
    <t>Impuesto sobre vehículos automotores.</t>
  </si>
  <si>
    <t>TASAS Y DERECHOS ADMINISTRATIVOS</t>
  </si>
  <si>
    <t>Peajes.</t>
  </si>
  <si>
    <t>CONTRIBUCIONES</t>
  </si>
  <si>
    <t>Cuota de fiscalización y auditaje</t>
  </si>
  <si>
    <t>Multas</t>
  </si>
  <si>
    <t>Sanciones</t>
  </si>
  <si>
    <t>SERVICIO DE LA DEUDA</t>
  </si>
  <si>
    <t>Servicios de la deuda pública externa</t>
  </si>
  <si>
    <t>Intereses de la deduda pública externa</t>
  </si>
  <si>
    <t>Servicios de la deuda pública interna</t>
  </si>
  <si>
    <t>Intereses de la deduda pública interna</t>
  </si>
  <si>
    <t>Fondo de contigencias</t>
  </si>
  <si>
    <t>TOTAL GASTOS DE INVERSIÓN</t>
  </si>
  <si>
    <t>TOTAL PRESUPUESTO DE GASTOS</t>
  </si>
  <si>
    <t>CONCEPTO 
(2)</t>
  </si>
  <si>
    <t>Reporte el avance acumulado en la vigencia del Plan de Acción, desde su aprobación hasta el periodo del informe.  Ejemplo $100'000.000.oo (2020) + $150'000.000.oo (2021), da un acumulado de inversión del Plan de Acción de $250'000.000.oo</t>
  </si>
  <si>
    <t>Número de cuencas con POMCAS aprobados, bajo el nuevo marco normativo (Decreto 1076 de 2015) a 31 de diciembre de 2019:</t>
  </si>
  <si>
    <t>Meta de POMCAS aprobados para el cuatrienio 2020-2023 (número):</t>
  </si>
  <si>
    <t>Meta de PMA aprobados para el cuatrienio 2020-2023 (número):</t>
  </si>
  <si>
    <t>Meta de PMM aprobados para el cuatrienio 2020-2023 (número):</t>
  </si>
  <si>
    <t>Estado de avance a 31 de diciembre de 2019 (c)</t>
  </si>
  <si>
    <t>Estado de avance a 31 de diciembre de 2019 (%)</t>
  </si>
  <si>
    <t>Número total de cuerpos de agua sujeto de reglamentación de planes de ordenamiento del recurso hídrico (PORH) adoptados a 31/12/2019:</t>
  </si>
  <si>
    <t>Número total de cuerpos de agua con reglamentación del uso de las aguas a 31/12/2019:</t>
  </si>
  <si>
    <t>Número total de Programas de Uso Eficiente y Ahorro del Agua (PUEAA) aprobados por la Corporación a 31/12/2019:</t>
  </si>
  <si>
    <t>Número de áreas protegidas inscritas en el RUNAP a 31/12/2019 (número)</t>
  </si>
  <si>
    <t>Superficie de áreas protegidas inscritas en el RUNAP a 31/12/2019 (ha)</t>
  </si>
  <si>
    <t>Número total de áreas protegidas regionales declaradas, homologadas o recategorizadas, e inscritas en el RUNAP a 31/12/2023 (número)</t>
  </si>
  <si>
    <t>Superficie total de áreas protegidas regionales declaradas, homologadas o recategorizadas, inscritas en el RUNAP a 31/12/2023 (ha) (C+D)</t>
  </si>
  <si>
    <t>Superficie cubierta en el Plan de Ordenación Forestal adoptado a 31/12/2019 (ha)</t>
  </si>
  <si>
    <t>Superficie total del Plan de Ordenación Forestal a 31/12/2023 (ha)</t>
  </si>
  <si>
    <t>Número total de licencias ambientales vigentes y aprobadas por la Corporación a 31/12/2109:</t>
  </si>
  <si>
    <t>Número de usuarios de agua a 31/12/2019</t>
  </si>
  <si>
    <t>Número de concesiones de agua otorgadas a 31/12/2019</t>
  </si>
  <si>
    <t>Número de captaciones de agua otorgadas a 31/12/2019</t>
  </si>
  <si>
    <t>Número de usuarios de vertimientos de agua a 31/12/2019</t>
  </si>
  <si>
    <t>Número de permisos de vertimiento de agua otorgadas a 31/12/2019</t>
  </si>
  <si>
    <t>Número de puntos de vertimientos a 31/12/2019</t>
  </si>
  <si>
    <t>Número de usuarios de permisos de aprovechamiento forestal a 31/12/2019</t>
  </si>
  <si>
    <t>Número de permisos de aprovechamiento forestal vigentes a 31/12/2019</t>
  </si>
  <si>
    <t>Número de usuarios de permisos de emisiones atmosféricas a 31/12/2019</t>
  </si>
  <si>
    <t>Número de permisos de emisiones atmosféricas vigentes a 31/12/2019</t>
  </si>
  <si>
    <t>ANEXOS INFORME DE SEGUIMIENTO AL PLAN DE ACCIÓN 2020-2023</t>
  </si>
  <si>
    <t xml:space="preserve">(1) PROGRAMAS - PROYECTOS  DEL Plan de Acción 2020-2023 </t>
  </si>
  <si>
    <t>Relacione aquí de acuerdo al plan de inversión del Plan de Acción  los montos de inversión previstos para cada programa o proyecto para los cuatro años. (incluye adiciones o modificaciones).</t>
  </si>
  <si>
    <t>Relacione la unidad de medida por medio de la cual se determina la meta y el avance de la meta física, ejemplo hectáreas reforestadas, hectáreas con POMCA, PGIRS Apoyados, etc.  Generalice una unidad de medida por cada proyecto, para el caso de programa no es necesario definir la unidad de medida.</t>
  </si>
  <si>
    <t xml:space="preserve">(5-A) DESCRIPCIÓN DEL AVANCE </t>
  </si>
  <si>
    <t>Reporte el avance acumulado de la meta física que se obtenga desde la aprobación del Plan de Acción, incluyendo el periodo evaluado.  Ejemplo 100 Ha reforestadas (2020), más 140 Ha reforestadas (2021), para un acumulado de 240 Ha (2020+2021)</t>
  </si>
  <si>
    <t>(11) META FINANCIERA ANUAL</t>
  </si>
  <si>
    <t>ANEXO No. 2. PROTOCOLO O GUÍA DE DILIGENCIAMIENTO</t>
  </si>
  <si>
    <t>ÍTEM</t>
  </si>
  <si>
    <t>(1) ESTRUCTURA RENTÍSTICA</t>
  </si>
  <si>
    <t>Es el conjunto de elementos que rigen la clasificación, el ordenamiento y la presentación del Presupuesto.</t>
  </si>
  <si>
    <t>(2) CONCEPTO</t>
  </si>
  <si>
    <t>Cuentas que conforma el presupuesto de ingresos.</t>
  </si>
  <si>
    <t>(3) PROYECTADO PLAN FINANCIERO</t>
  </si>
  <si>
    <t xml:space="preserve">Indique el valor proyectado en el Plan Financiero del Plan de Acción y el cual es la base para la formulación del presupuesto de la vigencia de reporte. </t>
  </si>
  <si>
    <t>(4) ADICIÓN</t>
  </si>
  <si>
    <t>Indique las modificaciones positivas que se realizan al presupuesto de la Corporación, que buscan adecuarlo a nuevas condiciones que se presentan en la ejecución y que no fueron contempladas en la etapa de programación (Plan Financiero); este debe reflejarse tanto en el presupuesto de ingresos como en el gasto con el fin que haya un equilibrio presupuestal.</t>
  </si>
  <si>
    <t>(5) REDUCCIÓN</t>
  </si>
  <si>
    <t>Indique las modificaciones negativas que se realizan al presupuesto de la Corporación, que buscan adecuarlo a nuevas condiciones que se presentan en la ejecución y que afecta la etapa de programación (Plan Financiero); este debe reflejarse tanto en el presupuesto de ingresos como en el gasto con el fin que haya un equilibrio presupuestal.</t>
  </si>
  <si>
    <t>(6) APROPIACIÓN FINAL</t>
  </si>
  <si>
    <t>Es el resultado de la suma de lo programado en el Plan Financiero (3) más las adiciones (4) y menos las reducciones (5).</t>
  </si>
  <si>
    <t>(7) FUNCIONAMIENTO</t>
  </si>
  <si>
    <t>Indique los recursos que se asignan a la cuenta de Funcionamiento por cada una de las fuentes de financiación.</t>
  </si>
  <si>
    <t>(8) INVERSIÓN</t>
  </si>
  <si>
    <t>Indique los recursos que se asignan a la cuenta de Inversión por cada una de las fuentes de financiación.</t>
  </si>
  <si>
    <t>(9) FCA</t>
  </si>
  <si>
    <t>Indique los recursos que se asignan a la cuenta del Fondo de Compensación Ambiental -FCA, por cada una de las fuentes de financiación, atendiendo el artículo 24 de la Ley 344 de 1996, es decir el veinte por ciento (20%) de los recursos percibidos por las Corporaciones Autónomas Regionales, con excepción de las de Desarrollo Sostenible, por concepto de transferencias del sector eléctrico y el diez por ciento (10%) de las restantes rentas propias, con excepción del porcentaje ambiental de los gravámenes a la propiedad inmueble percibidos por ellas y de aquéllas que tengan como origen relaciones contractuales interadministrativas.</t>
  </si>
  <si>
    <t>(10) SERVICIO A LA DEUDA</t>
  </si>
  <si>
    <t>Indique los recursos que, se destina en la vigencia para disminuir el capital adeudado, e intereses, que se calculan sobre el capital adeudado. El servicio de la deuda de un período incluye a todas las obligaciones de un período determinado, es decir, que puede incluir a varios acreedores.</t>
  </si>
  <si>
    <t>(11) DERECHOS POR COBRAR</t>
  </si>
  <si>
    <t>Indique los recursos de los créditos a favor de la corporación y a los cuales realizará el proceso de cobro, estos pueden ser generados por la facturación por la prestación de un servicio, así mismo, se incluyen los valores que se giraran de otras entidades por contratos interinstitucionales, asignación de recursos para ejecución de proyectos, recursos asignados por la nación, los certificados por los entes territoriales por concepto de sobretasa o porcentaje ambiental, las certificaciones de las generadores de energía, por concepto de TSE, etc.</t>
  </si>
  <si>
    <t>(12) RECAUDO EFECTIVO</t>
  </si>
  <si>
    <t>Indique los recursos percibidos por la Corporación durante la vigencia de reporte</t>
  </si>
  <si>
    <t>(13) % DE RECAUDO</t>
  </si>
  <si>
    <t>Es la efectividad de la ejecución de los derechos por cobrar, es la división entre el recaudo efectivo (12) y los derechos por cobrar (11)</t>
  </si>
  <si>
    <t>(14) OBSERVACIONES</t>
  </si>
  <si>
    <t>Si es el caso, relacione lo que considere importante para la respectiva revisión y análisis que realizará DOAT-SINA.</t>
  </si>
  <si>
    <t>ANEXO No. 5.2. PROTOCOLO O GUÍA DE DILIGENCIAMIENTO</t>
  </si>
  <si>
    <t>Cuentas que conforma el presupuesto de los gastos.</t>
  </si>
  <si>
    <t>(3) RECURSOS PROPIOS</t>
  </si>
  <si>
    <t>Por cada cuenta que conforma el presupuesto de gastos por concepto de recursos propios indique cuanto se apropió (cuanto se programó en el presupuesto, este valor puede cambiar conforme a los ajustes realizados al plan financiero), comprometió (registro presupuestal conforme a lo apropiado, el valor de lo comprometido no debe superar lo apropiado), obligó (de lo comprometido, cuanto fueron la exigibilidades por la entrega de bienes y servicios) y pagó (cuanto de esas exigibilidades ya se giraron), en la vigencia del reporte.</t>
  </si>
  <si>
    <t>(4) RECURSOS NACIÓN</t>
  </si>
  <si>
    <t>Por cada cuenta que conforma el presupuesto de gastos por concepto de los recursos recibidos por el Presupuesto General de la Nación, indique cuanto se apropió (cuanto se programó en el presupuesto, este valor puede cambiar conforme a los ajustes realizados al plan financiero), comprometió (registro presupuestal conforme a lo apropiado, el valor de lo comprometido no debe superar lo apropiado), obligó (de lo comprometido, cuanto fueron la exigibilidades por la entrega de bienes y servicios) y pagó (cuanto de esas exigibilidades ya se giraron), en la vigencia del reporte.</t>
  </si>
  <si>
    <t>(5) RECURSOS FONDO DE COMPENSACIÓN AMBIENTAL</t>
  </si>
  <si>
    <t>Por cada cuenta que conforma el presupuesto de gastos por concepto de los recursos recibidos por el Fondo de Compensación Ambiental, indique cuanto se apropió (cuanto se programó en el presupuesto, este valor puede cambiar conforme a los ajustes realizados al plan financiero), comprometió (registro presupuestal conforme a lo apropiado, el valor de lo comprometido no debe superar lo apropiado), obligó (de lo comprometido, cuanto fueron la exigibilidades por la entrega de bienes y servicios) y pagó (cuanto de esas exigibilidades ya se giraron), en la vigencia del reporte.</t>
  </si>
  <si>
    <t>(6) RECURSOS DE REGALÍAS</t>
  </si>
  <si>
    <t>Por cada cuenta que conforma el presupuesto de gastos por concepto de los recursos recibidos por el Sistema General de Regalías, indique cuanto se apropió (cuanto se programó en el presupuesto, este valor puede cambiar conforme a los ajustes realizados al plan financiero), comprometió (registro presupuestal conforme a lo apropiado, el valor de lo comprometido no debe superar lo apropiado), obligó (de lo comprometido, cuanto fueron la exigibilidades por la entrega de bienes y servicios) y pagó (cuanto de esas exigibilidades ya se giraron), en la vigencia del reporte.</t>
  </si>
  <si>
    <t>(7) TOTAL RECURSOS</t>
  </si>
  <si>
    <t>Es la sumatoria del gasto realizado por recursos propios, Nación, Regalías y Fondo de Compensación Ambiental.</t>
  </si>
  <si>
    <t>(8) OBSERVACIONES</t>
  </si>
  <si>
    <t>(27)
PROGRAMA DE INVERSIÓN PUBLICA A LA QUE APORTA</t>
  </si>
  <si>
    <t>(28)
IMG AL QUE  APORTA</t>
  </si>
  <si>
    <t>(29)
ODS AL QUE LE APORTA</t>
  </si>
  <si>
    <t>3201 – Fortalecimiento del desempeño ambiental de los sectores productivos.</t>
  </si>
  <si>
    <t>3202 – Conservación de la biodiversidad y sus servicios ecosistémicos.</t>
  </si>
  <si>
    <t>3203 – Gestión integral del recurso hídrico.</t>
  </si>
  <si>
    <t>3204 – Gestión de la información y el conocimiento ambiental.</t>
  </si>
  <si>
    <t>3205 – Ordenamiento ambiental territorial.</t>
  </si>
  <si>
    <t>3206 – Gestión del cambio climático para un desarrollo bajo en carbono y resiliente al clima.</t>
  </si>
  <si>
    <t>3207 – Gestión integral de mares, costas y recursos acuáticos.</t>
  </si>
  <si>
    <t>3208 – Educación Ambiental.</t>
  </si>
  <si>
    <t>3299 – Fortalecimiento de la gestión y dirección del Sector Ambiente y Desarrollo Sostenible.</t>
  </si>
  <si>
    <t>No Aplica</t>
  </si>
  <si>
    <t>2020-I</t>
  </si>
  <si>
    <t>2020-II</t>
  </si>
  <si>
    <t>2021-I</t>
  </si>
  <si>
    <t>2021-II</t>
  </si>
  <si>
    <t>2022-I</t>
  </si>
  <si>
    <t>2022-II</t>
  </si>
  <si>
    <t>2023-I</t>
  </si>
  <si>
    <t>2023-II</t>
  </si>
  <si>
    <t>2024-I</t>
  </si>
  <si>
    <t>2024-II</t>
  </si>
  <si>
    <t>2025-I</t>
  </si>
  <si>
    <t>2025-II</t>
  </si>
  <si>
    <r>
      <t xml:space="preserve">(1)
PROGRAMAS - PROYECTOS  DEL PLAN DE ACCIÓN 2020-2023
(inserte filas cuando sea necesario)
</t>
    </r>
    <r>
      <rPr>
        <b/>
        <sz val="10"/>
        <color indexed="10"/>
        <rFont val="Arial Narrow"/>
        <family val="2"/>
      </rPr>
      <t/>
    </r>
  </si>
  <si>
    <t>Corporación Autónoma Regional de Risaralda – CARDER</t>
  </si>
  <si>
    <t>Año 0 (2019) (*)</t>
  </si>
  <si>
    <t>Aportes Fondo de Compensación Ambiental -FCA,</t>
  </si>
  <si>
    <t>(16) RESERVA PRESUPUESTAL</t>
  </si>
  <si>
    <t>(17) META FINANCIERA DEL PLAN</t>
  </si>
  <si>
    <t xml:space="preserve">(18) AVANCE ACUMULADO DE LA META FINANCIERA </t>
  </si>
  <si>
    <t>(19) PORCENTAJE DE AVANCE FINANCIERO ACUMULADO %</t>
  </si>
  <si>
    <t>(20) OBSERVACIONES</t>
  </si>
  <si>
    <t>(17)                                         META FINANCIERA   DEL PLAN             ($)</t>
  </si>
  <si>
    <t xml:space="preserve">(18)
ACUMULADO DE LA META
FINANCIERA
$
</t>
  </si>
  <si>
    <t xml:space="preserve">(19)
PORCENTAJE DE  AVANCE FINANCIERO ACUMULADO %
((18/17)*100)
</t>
  </si>
  <si>
    <t>(20)
OBSERVACIONES</t>
  </si>
  <si>
    <t>Calcule el porcentaje del avance acumulado de la Meta financiera programada en el Plan de Acción. Divida el valor de la columna  (17) con el valor de la columna (18) y multiplique por 100.</t>
  </si>
  <si>
    <t>(14)
AVANCE DE LOS RECURSOS OBLIGADOS
$</t>
  </si>
  <si>
    <t>(14) AVANCE DE LOS RECURSOS OBLIGADOS $</t>
  </si>
  <si>
    <t>(15) PORCENTAJE DE AVANCE DE LOS RECURSOS OBLIGADOS</t>
  </si>
  <si>
    <t>Relacione aquí los recursos obligados a corte del reporte, los recursos obligadoss son aquellos que presupuestalmente son reconocidos para pago estos recursos pueden generarse el pago efectivo o quedan en cuentas por pagar.</t>
  </si>
  <si>
    <t>se calcula la diferencia entre los el avance de la meta financiera (12) y los recursos obligados (14)</t>
  </si>
  <si>
    <t>Se calcula el avance porcentual a la relación entre el avance de la meta financiera (12) y los recursos obligados (14)</t>
  </si>
  <si>
    <t>En esta columna para el informe a corte junio 30 puede describir en texto lo que se desea justificar, describir y aclarar del avance del programa, proyecto, actividad, para el informe a 31 de diciembre indicar la cantidad y donde establecio el producto recibido (municipio)</t>
  </si>
  <si>
    <t>(15)
PORCENTAJE DE AVANCE DE LOS RECURSOS OBLIGADOS
((14/12)*100)</t>
  </si>
  <si>
    <t>(16)
RESERVA PRESUPUESTAL
$
(12-14)</t>
  </si>
  <si>
    <t>Tasa retributiva (Rendimientos Financieros)</t>
  </si>
  <si>
    <t>Tasa retributiva (Intereses por mora)</t>
  </si>
  <si>
    <t>Tasa retributiva (Recuperación de Cartera)</t>
  </si>
  <si>
    <t>Tasa retributiva (Superhavit - Mayor recaudo)</t>
  </si>
  <si>
    <t>Tasa retributiva (Superhavit -Recursos no ejecutados)</t>
  </si>
  <si>
    <t>Tasa por el uso del agua (Rendimientos Financieros)</t>
  </si>
  <si>
    <t>Tasa por el uso del agua (Intereses por mora)</t>
  </si>
  <si>
    <t>Tasa por el uso del agua (Recuperación de Cartera)</t>
  </si>
  <si>
    <t>Tasa por el uso del agua (Superhavit - Mayor recaudo)</t>
  </si>
  <si>
    <t>Tasa por el uso del agua (Superhavit -Recursos no ejecutados)</t>
  </si>
  <si>
    <t>Tasa de aprovechamiento forestal (Rendimientos Financieros)</t>
  </si>
  <si>
    <t>Tasa de aprovechamiento forestal (Intereses por mora)</t>
  </si>
  <si>
    <t>Tasa de aprovechamiento forestal (Recuperación de Cartera)</t>
  </si>
  <si>
    <t>Tasa de aprovechamiento forestal (Superhavit - Mayor recaudo)</t>
  </si>
  <si>
    <t>Tasa de aprovechamiento forestal (Superhavit -Recursos no ejecutados)</t>
  </si>
  <si>
    <t>Tasa compensatoria por caza de Fauna Silvestre (Rendimientos Financieros)</t>
  </si>
  <si>
    <t>Tasa compensatoria por caza de Fauna Silvestre (Intereses por mora)</t>
  </si>
  <si>
    <t>Tasa compensatoria por caza de Fauna Silvestre (Recuperación de Cartera)</t>
  </si>
  <si>
    <t>Tasa compensatoria por caza de Fauna Silvestre (Superhavit - Mayor recaudo)</t>
  </si>
  <si>
    <t>Tasa compensatoria por caza de Fauna Silvestre (Superhavit -Recursos no ejecutados)</t>
  </si>
  <si>
    <t>Evaluación de licencias, permisos, concesiones, autorizaciones y demás trámites ambientales (Rendimientos Financieros)</t>
  </si>
  <si>
    <t>Evaluación de licencias, permisos, concesiones, autorizaciones y demás trámites ambientales (Intereses por mora)</t>
  </si>
  <si>
    <t>Evaluación de licencias, permisos, concesiones, autorizaciones y demás trámites ambientales (Recuperación de Cartera)</t>
  </si>
  <si>
    <t>Evaluación de licencias, permisos, concesiones, autorizaciones y demás trámites ambientales (Superhavit - Mayor recaudo)</t>
  </si>
  <si>
    <t>Evaluación de licencias, permisos, concesiones, autorizaciones y demás trámites ambientales (Superhavit -Recursos no ejecutados)</t>
  </si>
  <si>
    <t>Otras Tasas (Rendimientos Financieros)</t>
  </si>
  <si>
    <t>Otras Tasas (Intereses por mora)</t>
  </si>
  <si>
    <t>Otras Tasas (Recuperación de Cartera)</t>
  </si>
  <si>
    <t>Otras Tasas (Superhavit - Mayor recaudo)</t>
  </si>
  <si>
    <t>Otras Tasas (Superhavit -Recursos no ejecutados)</t>
  </si>
  <si>
    <t>Seguimiento a licencias, permisos, concesiones, autorizaciones y demás trámites ambientales (Rendimientos Financieros)</t>
  </si>
  <si>
    <t>Seguimiento a licencias, permisos, concesiones, autorizaciones y demás trámites ambientales (Intereses por mora)</t>
  </si>
  <si>
    <t>Seguimiento a licencias, permisos, concesiones, autorizaciones y demás trámites ambientales (Recuperación de Cartera)</t>
  </si>
  <si>
    <t>Seguimiento a licencias, permisos, concesiones, autorizaciones y demás trámites ambientales (Superhavit - Mayor recaudo)</t>
  </si>
  <si>
    <t>Seguimiento a licencias, permisos, concesiones, autorizaciones y demás trámites ambientales (Superhavit -Recursos no ejecutados)</t>
  </si>
  <si>
    <t>Salvoconductos (Rendimientos Financieros)</t>
  </si>
  <si>
    <t>Salvoconductos (Intereses por mora)</t>
  </si>
  <si>
    <t>Salvoconductos (Recuperación de Cartera)</t>
  </si>
  <si>
    <t>Salvoconductos (Superhavit - Mayor recaudo)</t>
  </si>
  <si>
    <t>Salvoconductos (Superhavit -Recursos no ejecutados)</t>
  </si>
  <si>
    <t>Participación de la sobretasa ambiental - Corporaciones Autónomas Regionales (Rendimientos Financieros)</t>
  </si>
  <si>
    <t>Participación de la sobretasa ambiental - Corporaciones Autónomas Regionales (Intereses por mora)</t>
  </si>
  <si>
    <t>Participación de la sobretasa ambiental - Corporaciones Autónomas Regionales (Recuperación de Cartera)</t>
  </si>
  <si>
    <t>Participación de la sobretasa ambiental - Corporaciones Autónomas Regionales (Superhavit - Mayor recaudo)</t>
  </si>
  <si>
    <t>Participación de la sobretasa ambiental - Corporaciones Autónomas Regionales (Superhavit -Recursos no ejecutados)</t>
  </si>
  <si>
    <t>Participación del porcentaje ambiental - Corporaciones Autónomas Regionales  (Rendimientos Financieros)</t>
  </si>
  <si>
    <t>Participación del porcentaje ambiental - Corporaciones Autónomas Regionales  (Intereses por mora)</t>
  </si>
  <si>
    <t>Participación del porcentaje ambiental - Corporaciones Autónomas Regionales  (Recuperación de Cartera)</t>
  </si>
  <si>
    <t>Participación del porcentaje ambiental - Corporaciones Autónomas Regionales  (Superhavit - Mayor recaudo)</t>
  </si>
  <si>
    <t>Participación del porcentaje ambiental - Corporaciones Autónomas Regionales  (Superhavit -Recursos no ejecutados)</t>
  </si>
  <si>
    <t>Participación de intereses de mora sobre la sobretasa ambiental  (Rendimientos Financieros)</t>
  </si>
  <si>
    <t>Participación de intereses de mora sobre la sobretasa ambiental  (Intereses por mora)</t>
  </si>
  <si>
    <t>Participación de intereses de mora sobre la sobretasa ambiental  (Recuperación de Cartera)</t>
  </si>
  <si>
    <t>Participación de intereses de mora sobre la sobretasa ambiental  (Superhavit - Mayor recaudo)</t>
  </si>
  <si>
    <t>Participación de intereses de mora sobre la sobretasa ambiental  (Superhavit -Recursos no ejecutados)</t>
  </si>
  <si>
    <t>Participación de intereses de mora sobre el porcentaje ambiental  (Rendimientos Financieros)</t>
  </si>
  <si>
    <t>Participación de intereses de mora sobre el porcentaje ambiental  (Intereses por mora)</t>
  </si>
  <si>
    <t>Participación de intereses de mora sobre el porcentaje ambiental  (Recuperación de Cartera)</t>
  </si>
  <si>
    <t>Participación de intereses de mora sobre el porcentaje ambiental  (Superhavit - Mayor recaudo)</t>
  </si>
  <si>
    <t>Participación de intereses de mora sobre el porcentaje ambiental  (Superhavit -Recursos no ejecutados)</t>
  </si>
  <si>
    <t>Participación de intereses de mora sobre la sobretasa ambiental-peajes  (Rendimientos Financieros)</t>
  </si>
  <si>
    <t>Participación de intereses de mora sobre la sobretasa ambiental-peajes  (Intereses por mora)</t>
  </si>
  <si>
    <t>Participación de intereses de mora sobre la sobretasa ambiental-peajes  (Recuperación de Cartera)</t>
  </si>
  <si>
    <t>Participación de intereses de mora sobre la sobretasa ambiental-peajes  (Superhavit - Mayor recaudo)</t>
  </si>
  <si>
    <t>Participación de intereses de mora sobre la sobretasa ambiental-peajes  (Superhavit -Recursos no ejecutados)</t>
  </si>
  <si>
    <t>Sobretasa ambiental - Peajes (Rendimientos Financieros)</t>
  </si>
  <si>
    <t>Sobretasa ambiental - Peajes (Intereses por mora)</t>
  </si>
  <si>
    <t>Sobretasa ambiental - Peajes (Recuperación de Cartera)</t>
  </si>
  <si>
    <t>Sobretasa ambiental - Peajes (Superhavit - Mayor recaudo)</t>
  </si>
  <si>
    <t>Sobretasa ambiental - Peajes (Superhavit -Recursos no ejecutados)</t>
  </si>
  <si>
    <t>Ingresos Recursos Propios</t>
  </si>
  <si>
    <t>Intereses de mora Multas Am bientales</t>
  </si>
  <si>
    <t>Multas Ambientales (Rendimientos Financieros)</t>
  </si>
  <si>
    <t>Multas Ambientales (Intereses por mora)</t>
  </si>
  <si>
    <t>Multas Ambientales (Recuperación de Cartera)</t>
  </si>
  <si>
    <t>Multas Ambientales (Superhavit - Mayor recaudo)</t>
  </si>
  <si>
    <t>Multas Ambientales (Superhavit -Recursos no ejecutados)</t>
  </si>
  <si>
    <t xml:space="preserve">Aportes Presupuesto General de la Nación </t>
  </si>
  <si>
    <t>Aportes Presupuesto General de la Nación - Funcionamiento</t>
  </si>
  <si>
    <t>Aportes Presupuesto General de la Nación - Inversión</t>
  </si>
  <si>
    <t>Aportes del SPGR para Gastos de personal</t>
  </si>
  <si>
    <t>Aportes del SPGR para Adquisición de bienes y servicios</t>
  </si>
  <si>
    <t>Aportes del SPGR  para Transferencias corrientes</t>
  </si>
  <si>
    <t>Sobretasa ambiental</t>
  </si>
  <si>
    <t>Sobretasa ambiental Sector Urbano</t>
  </si>
  <si>
    <t>Sobretasa ambiental Sector Rural</t>
  </si>
  <si>
    <t>Ingresos No tributarios</t>
  </si>
  <si>
    <t>Contribución sector eléctrico - Generadores de energía convencional</t>
  </si>
  <si>
    <t>Contribución sector eléctrico - Generadores de energía no convencional</t>
  </si>
  <si>
    <t>Son los recursos por contribución del sector eléctrico a las que se refiere el artículo 45 de la Ley 99 de 1993. De acuerdo con este artículo, las empresas generadoras de energía hidroeléctrica cuya potencia nominal supera los 10.000 kilovatios, deben transferir el 6% de las ventas brutas de energia por generación propia de acuerdo con las distribuciones establecidas por la ley. En el caso de centrales térmicas el porcentaje de los recursos a transferir es del 4%. Los destinatarios de estos recursos son: las Corporaciones Autonómas Regionales o los Parques Nacionales Naturales que tengan jurisdicción en el área donde se encuentra localizada la cuenca hidrográfica y del área de influencia del proyecto o el área donde este ubicada la central térmica; y los municipios y distritos localizados de la cuenca que surte el embalse de las generadoras de energía hidroeléctrica o el municipio donde este ubicada la central térmica.</t>
  </si>
  <si>
    <t xml:space="preserve">Son los recursos por contribución del sector eléctrico a las que se refiere el artículo 45 de la Ley 99 de 1993. De acuerdo con este artículo, las empresas generadoras de energía hidroeléctrica cuya potencia nominal supera los 10.000 kilovatios, deben transferir el 6% de las ventas brutas de energia por generación propia de acuerdo con las distribuciones establecidas por la ley. En el caso de centrales térmicas el porcentaje de los recursos a transferir es del 4%. Los destinatarios de estos recursos son: las Corporaciones Autonómas Regionales o los Parques Nacionales Naturales que tengan jurisdicción en el área donde se encuentra localizada la cuenca hidrográfica y del área de influencia del proyecto o el área donde este ubicada la central térmica; y los municipios y distritos localizados de la cuenca que surte el embalse de las generadoras de energía hidroeléctrica o el municipio donde este ubicada la central térmica. </t>
  </si>
  <si>
    <t>Son los recursos que provienen como contribución de las empresas que producen energía a partir de fuentes no convencionales a las que se refiere la Ley 1715 de 2014, cuyas plantas con potencia nominal instalada total supere los 10.000 kilovatios, deben  cancelar una transferencia equivalente al 1% de las ventas brutas de energía por generación propia de acuerdo con la tarifa que para ventas en bloque señale la Comisión de Regulación de Energía y Gas (CREG).</t>
  </si>
  <si>
    <t>Ley 1955 de 2019, art. 289</t>
  </si>
  <si>
    <t>Corresponde a la sobretasa que fijen los municipios y distritos, entre el 1.5 por mil y el 2.5 por mil sobre el avalúo de los bienes que sirven de base para liquidar el impuesto predial. Igualmente en competencia de los grandes centros urbanos, los municipios, distritos o áreas metropolitanas cuya población urbana fuere igual o superior a un millón de habitantes (1.000.000) ejercerán dentro del perímetro urbano las mismas funciones atribuidas a las Corporaciones Autónomas Regionales, en lo que fuere aplicable al medio ambiente urbano.</t>
  </si>
  <si>
    <t>Ley 99 de 1993, art 44. inciso segundo. Art. 66</t>
  </si>
  <si>
    <t>Corresponde a la sobretasa que fijen los municipios y distritos, entre el 1.5 por mil y el 2.5 por mil sobre el avalúo de los bienes ubicados dentro del perimetro urbano que sirven de base para liquidar el impuesto predial. Igualmente en competencia de los grandes centros urbanos, los municipios, distritos o áreas metropolitanas cuya población urbana fuere igual o superior a un millón de habitantes (1.000.000) ejercerán dentro del perímetro urbano las mismas funciones atribuidas a las Corporaciones Autónomas Regionales, en lo que fuere aplicable al medio ambiente urbano.</t>
  </si>
  <si>
    <t>Corresponde a la sobretasa que fijen los municipios y distritos, entre el 1.5 por mil y el 2.5 por mil sobre el avalúo de los bienes ubicados fuera del perimetro urbano que sirven de base para liquidar el impuesto predial. Igualmente en competencia de los grandes centros urbanos, los municipios, distritos o áreas metropolitanas cuya población urbana fuere igual o superior a un millón de habitantes (1.000.000) ejercerán dentro del perímetro urbano las mismas funciones atribuidas a las Corporaciones Autónomas Regionales, en lo que fuere aplicable al medio ambiente urbano.</t>
  </si>
  <si>
    <t>Corte Constitucional, Sentencia C-423/1995.</t>
  </si>
  <si>
    <t xml:space="preserve">Los ingresos son recursos monetarios recaudados en una vigencia fiscal por quienes corresponda administrarlos según la ley.
Se consideran ingresos las entradas de caja efectivas, en moneda nacional, que incrementan las disponibilidades para el gasto. </t>
  </si>
  <si>
    <t xml:space="preserve">Son ingresos derivados de la prestación directa y efectiva de un servicio público individualizado y específico, adquirido de forma voluntaria por un tercero. Las tasas solo pueden ser fijadas por ley, y se transfiere la competencia para que, una vez fijadas, la entidad determine las tarifas correspondientes a través de un acto administrativo (Corte Constitucional, Sentencia C-837/2001). </t>
  </si>
  <si>
    <t>Corte Constitucional. Sentencia C-837/2001</t>
  </si>
  <si>
    <t>Es aquella que cobrará la autoridad ambiental competente a los usuarios por la utilización directa e indirecta del recurso hídrico como receptor de vertimientos puntuales directos o indirectos y sus consecuencias nocivas, originados en actividades antrópicas o propiciadas por el hombre y actividades económicas o de servicios, sean o no lucrativas.</t>
  </si>
  <si>
    <t>Decreto Único Reglamentario 1076 de 2015 Nivel Nacional. Capitulo 7.  Decreto 2667/2012. Art.7
Art. 66 Ley 99/1993</t>
  </si>
  <si>
    <t>Tasa compensatoria, por el aprovechamiento forestal maderable en bosques naturales ubicados en terrenos de dominio publico y privado.</t>
  </si>
  <si>
    <t xml:space="preserve">Decreto 1390 /2018
Art. 2.2.9.12.1.3 Dec 1390/2018
Art. 66 Ley 99/1993   </t>
  </si>
  <si>
    <t>La fauna silvestre nativa comprende aquellas especies, subespecies taxonómicas, razas o variedades de animales silvestres cuya área natural de dispersión geográfica se extiende al territorio nacional o aguas jurisdiccionales, o forma parte de los mismos, incluidas las especies o subespecies que migran temporalmente a ellos, y que no se encuentran en el país como producto voluntario o involuntario de la actividad humana.</t>
  </si>
  <si>
    <t xml:space="preserve">Decreto 1272 de 2016
Art. 2.2.9.12.1.3 Dec 1390/2018
Art. 66 Ley 99/1993   </t>
  </si>
  <si>
    <t>Tasa de aprovechamiento forestal</t>
  </si>
  <si>
    <t>Tasa compensatoria por caza de fauna silvestre</t>
  </si>
  <si>
    <t>Ley 981 de 2005 modificada por Ley 1718 de 2014 y Ley 1753 de 2015
Art. 4 Ley 981/2005
Art. 13 Ley 768/2002</t>
  </si>
  <si>
    <t>Tasa Compensatoria por la utilización permanente de la reserva forestal protectora Bosque Oriental de Bogotá</t>
  </si>
  <si>
    <t>Esta Tasa compensatoria por la utilización permanente de la Reserva Forestal Protectora Bosque Oriental de Bogotá, de predios con edificaciones ubicados en la Zona de Recuperación Ambiental definida en la Resolución 463 de 2005, expedida por el Ministerio de Ambiente, Vivienda y Desarrollo Territorial, he, Ministerio de Ambiente y Desarrollo Sostenible, o la categoría de zonificación que haga sus veces.</t>
  </si>
  <si>
    <t>Decreto 1648 de 2016</t>
  </si>
  <si>
    <t>DERECHOS ADMINISTRATIVOS</t>
  </si>
  <si>
    <t>TASAS</t>
  </si>
  <si>
    <t>Salvo conducto unico Nacional</t>
  </si>
  <si>
    <t>El Salvoconducto Nacional para la movilización de especimenes de la diversidad biologica. Es el documento emitido por la autoridad ambiental competente para amparar el transporte de los especimenes de diversidad biologica en el territorio nacional.</t>
  </si>
  <si>
    <t>Resoluciones 438 de 2001; 619 de 202 y 1029 de 2001</t>
  </si>
  <si>
    <t>MULTAS, SANCIONES E INTERESES DE MORA</t>
  </si>
  <si>
    <t xml:space="preserve">Derecho económico por el uso de cuencas hidrográficas </t>
  </si>
  <si>
    <t>PREGUNTAR SI APLICA Y DE QUE TRATA</t>
  </si>
  <si>
    <t>VENTA DE BIENES Y SERVICIOS</t>
  </si>
  <si>
    <t>Venta de establecimientos de mercado</t>
  </si>
  <si>
    <t>Son los ingresos asociados a la comercialización y producción de productos relacionados con la agricultura, la horticultura, la silvicultura y los productos de explotación forestal. Incluye también la venta de animales o productos animales, y la venta de pescados o productos de la pesca.</t>
  </si>
  <si>
    <t>Venta de establecimientos de no mercado</t>
  </si>
  <si>
    <t>Son los ingresos asociados a la venta de productos relacionados con la agricultura, la horticultura, la silvicultura y los productos de explotación forestal. Incluye también la venta de animales o productos animales, y la venta de pescados o productos de la pesca.</t>
  </si>
  <si>
    <t>Servicios de alojamiento; servicios de suministro de comidas y bebidas; servicios de transporte; y servicios de distribución de electricidad, gas y agua</t>
  </si>
  <si>
    <t>Son los ingresos asociados a la venta de servicios de alojamiento; servicios de suministro de comidas y bebidas; servicios de transporte de pasajeros o de carga; servicios de mensajería y servicios de distribución de electricidad, gas y agua.</t>
  </si>
  <si>
    <t>Participación en multas, sanciones e intereses de mora</t>
  </si>
  <si>
    <t>Participación de intereses de mora al porcentaje de recaudo del impuesto predial.</t>
  </si>
  <si>
    <t>Son las transferencias de recursos que reciben las entidades del presupuesto general del sector público de otras entidades por su participación en las multas y sanciones recaudadas por la segunda entidad, incluyendo intereses moratorios.</t>
  </si>
  <si>
    <t>Son las transferencias de recursos de los intereses recaudados por la mora en el pago de la sobretasa ambiental. De acuerdo con el artículo 2 del Decreto Reglamentario 1319 de 1994, los intereses que se causen por mora en el pago del IPU, también se causan para el pago y transferencia de la sobretasa ambiental.</t>
  </si>
  <si>
    <t>Comprende a los ingresos por transacciones monetarias que realiza un tercero a una unidad ejecutora del Presupuesto General del Sector Público (PGSP) sin recibir de este último ningún bien, servicio o activo a cambio como contrapartida directa. Las transferencias por su naturaleza reducen el ingreso y las posibilidades de consumo del otorgante e incrementan el ingreso y las posibilidades de consumo del receptor (Fondo Monetario Internacional, 2014, pág. 47).</t>
  </si>
  <si>
    <t xml:space="preserve">Recursos que obtiene una entidad del presupuesto general del sector público provenientes del traslado de derecho y dominio parcial o total de activos con destino a la financiación del presupuesto (Ministerio de Hacienda y Crédito Público, 2011, p. 245). </t>
  </si>
  <si>
    <t>Disposición de recursos biológicos cultivados</t>
  </si>
  <si>
    <t>Disposición de recursos biológicos no cultivados</t>
  </si>
  <si>
    <t>Ingresos por concepto de recursos biológicos  que generan productos de forma repetida, tanto animales como vegetales, cuyo crecimiento natural y regeneración se encuentra bajo el control de la entidad.</t>
  </si>
  <si>
    <t>Ingresos por la disposición de animales y plantas de producchión cuyo crecimiento natural no se encuentra bajo el control de la entidad</t>
  </si>
  <si>
    <t>Dividendos y utilidades por otras inversiones de capital</t>
  </si>
  <si>
    <t>Sociedades de economía mixta</t>
  </si>
  <si>
    <t>Inversiones patrimoniales no controladas</t>
  </si>
  <si>
    <t>Comprende la distribución de beneficios (utilidades y dividendos) a las unidades del presupuesto general del sector público que manejen recursos públicos, en su calidad de propietarias de inversiones de capital, a cambio de poner fondos disposición de alguna sociedad.</t>
  </si>
  <si>
    <t xml:space="preserve">Corresponde a los ingresos por concepto de las utilidades y dividendos de las EICE societarias, en la cuantía que corresponde a las entidades de gobierno por su participación en el capital de la empresa. </t>
  </si>
  <si>
    <t>Conpes 3884 de 2017</t>
  </si>
  <si>
    <t xml:space="preserve">Corresponde a los ingresos por concepto de las utilidades y dividendos de las EICE societarias, incluyendo la cuantía que corresponde a las entidades de gobierno por su participación en el capital de la empresa </t>
  </si>
  <si>
    <t>Banca Comercial</t>
  </si>
  <si>
    <t>Nacion</t>
  </si>
  <si>
    <t>Banca de fomento</t>
  </si>
  <si>
    <t>Institutos de Desarrollo Departamental y/o Municipal</t>
  </si>
  <si>
    <t>Otras instituciones financieras</t>
  </si>
  <si>
    <t>Otras entidades no financieras</t>
  </si>
  <si>
    <t>De gobiernos extranjeros</t>
  </si>
  <si>
    <t>De organizaciones internacionales</t>
  </si>
  <si>
    <t>Del sector privado</t>
  </si>
  <si>
    <t xml:space="preserve"> Los contratos de empréstito tienen por objeto proveer a la entidad contratante (órgano del PGN, entidad territorial, órgano autónomo o particular) de recursos con plazo para su pago. Son contratos de empréstito externo los que tienen por objeto proveer a la entidad estatal contratante de recursos en moneda  extranjera con plazo para su pago.</t>
  </si>
  <si>
    <t>Decreto 1068 de 2015, art. 2.2.1.2.1.1</t>
  </si>
  <si>
    <t>Gobiernos</t>
  </si>
  <si>
    <t>Organismos multilaterales</t>
  </si>
  <si>
    <t>Comprende  los  recursos  provenientes  de  las  líneas  de  crédito  de  gobierno  a  gobierno,  y  de  los contratos de empréstitos celebrados con otros gobiernos. Entiéndase por línea de crédito de gobierno a gobierno, aquel acuerdo mediante el cual un gobierno extranjero adquiere el compromiso de poner a disposición del gobierno nacional los recursos necesarios para la financiación de determinados proyectos, bienes o servicios</t>
  </si>
  <si>
    <t>Decreto 1068 de 2015, art. 2.2.1.2.1.10</t>
  </si>
  <si>
    <t>Comprende  los  recursos  provenientes  de  los  contratos  de empréstito  celebrados  con organismos multilaterales. Estas operaciones de crédito se realizan de acuerdo con las líneas de acción definidas para cada país y de conformidad con las políticas generales y sectoriales definidas por cada Banco, así como por las prioridades de cada Gobierno.</t>
  </si>
  <si>
    <t xml:space="preserve">Corresponde a los ingresos por contratación de créditos con entidades financieras que por su naturaleza no son clasificables en los rubros anteriores. </t>
  </si>
  <si>
    <t xml:space="preserve"> Entiéndase por operaciones de crédito público interno todo acto o contrato que tienen por objeto dotar a la entidad (órgano del PGN, entidad territorial, órgano autónomo, empresa o particular) de recursos, bienes o servicios con plazo para su pago. Son contratos de empréstito interno  los que tienen por objeto proveer a la entidad estatal contratante de recursos en moneda nacional con plazo para su pago. Los empréstitos se contratarán en forma directa, sin someterse al procedimiento de licitación o concurso de méritos. Su celebración se sujetará a lo dispuesto en los artículos siguientes.</t>
  </si>
  <si>
    <t>Son contratos de emprestito interno los que tienen por objeto proveer a la entidad estatal de recursos en moneda nacional con plazo para su pago. Dentro de estos recursos se incluyen los créditos de reactivación económica y los créditos de tesorería autorizados por el Decreto Legislativo 678 de 2020 de manera temporal para afrontar la emergencia sanitaria.</t>
  </si>
  <si>
    <t>Decreto Legislativo 678 de 2020</t>
  </si>
  <si>
    <t>Comprende los recursos provenientes de los créditos adquiridos con entidades de fomento residentes en el país.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 (Contaduría General de la Nación, 2010, pág. 20).</t>
  </si>
  <si>
    <t>Comprende los ingresos por transacciones monetarias que realiza un tercero a una unidad ejecutora del Presupuesto General del Sector Público (PGSP) para la adquisición de un activo o el pago de un pasivo, sin recibir de esta última ningún bien, servicio o activo a cambio como contrapartida directa. A diferencia de las transferencias corrientes, estas implican el traspaso de la propiedad de un activo (distinto del efectivo y de las existencias) de una unidad a otra, la obligación de adquirir o de disponer de un activo por una o ambas partes, o la obligación de pagar un pasivo por parte del receptor (Fondo Monetario Internacional, 2014, pág. 46).</t>
  </si>
  <si>
    <t>Compensaciones de capital</t>
  </si>
  <si>
    <t>Resarcimiento por procesos de gestión fiscal</t>
  </si>
  <si>
    <t>Compensación por daños a la propiedad</t>
  </si>
  <si>
    <t>Corresponden a las transferencias provenientes de gobiernos extranjeros no condicionadas a la adquisición de activos</t>
  </si>
  <si>
    <t>Corresponden a las transferencias provenientes de gobiernos extranjeros condicionadas a la adquisición de activos</t>
  </si>
  <si>
    <t>Corresponde a las transferencias provenientes de organizaciones internacionales no condicionadas a la adquisición de activos</t>
  </si>
  <si>
    <t>Corresponde a las transferencias provenientes de organizaciones internacionales condicionadas a la adquisición de activos</t>
  </si>
  <si>
    <t>Son las transferencias de recursos por concepto de donaciones que realizan las personas naturales o personas jurídicas del sector privado nacional o extranjero.</t>
  </si>
  <si>
    <t>Corresponde a las donaciones provenientes del sector privado no condicionadas a la adquisición de actovis</t>
  </si>
  <si>
    <t>Corresponde a las donaciones provenientes del sector privado condicionadas a la adquisición de actovis</t>
  </si>
  <si>
    <t>Son las transferencias de recursos recibidas por concepto de las indemnizaciones que se generan en el desarrollo de contratos de seguros no de vida, excepcionalmente cuantiosas, que se reciben luego de un desastre o una catástrofe natural.</t>
  </si>
  <si>
    <t>Corresponde al pago de indemnización pecuniaria que compensa el perjuicio sufrido a una entidad estatal a causa de daños ocasionados al patrimonio público como consecuencia de la conducta dolosa o culposa de quienes realizan la gestión fiscal.</t>
  </si>
  <si>
    <t>Corresponde al valor recibido por daños causados por terceros a la propiedad de la entidad, que no sean pagos derivados de liquidaciones de seguros.
No Incluye: Indemnizaciones relacionadas con seguros no de vida.</t>
  </si>
  <si>
    <t>Evaluación de licencias y trámites ambientales</t>
  </si>
  <si>
    <t>Seguimiento a licencias y trámites ambientales</t>
  </si>
  <si>
    <t>Recursos  recibidos  como  contraprestación,  por  el  estudio  que  adelanta  la  Autoridad  Nacional de Licencias Ambientales – ANLA y las Corporaciones Autonomas Ragionales, sobre las solicitudes presentadas por los usuarios para la obtención, modificación e integración de licencias ambientales, permisos, autorizaciones y demás instrumentos de control y manejo ambiental.
Esta cuenta aplica también para clasificar los ingresos a los que se refiere el numeral 11, artículo 46 de la ley 99 de 1993, propios de las Corporaciones Autónomas Regionales.</t>
  </si>
  <si>
    <t>Decreto Ley 3573 de 2011, art. 3; reglamentado por la Resolución 0324 
de 2015</t>
  </si>
  <si>
    <t>Recursos recibidos como contraprestación, por la revisión que realiza la Autoridad Nacional de Licencias Ambientales – ANLA  y las Corporaciones Autonomas Ragionales, sobre el cumplimiento de la normatividad ambiental vigente y de las obligaciones contenidas en las licencias ambientales, permisos, autorizaciones y demás instrumentos de control y manejo ambiental. Esta tasa comprende los costos asociados al seguimiento en las etapas de construcción, montaje, operación, mantenimiento, desmantelamiento, restauración final, abandono y terminación.
Esta cuenta aplica también para clasificar los ingresos a los que se refiere el numeral 11, artículo 46 de la ley 99 de 1993, propios de las Corporaciones Autónomas Regionales.</t>
  </si>
  <si>
    <t>Decreto Ley 3573 de 2011, art. 3; reglamentado por la Resolución 0324 de 2015</t>
  </si>
  <si>
    <t>Otros derechos administrativos</t>
  </si>
  <si>
    <t>Contribución sector eléctrico - Generadores de energía hidroelectrica</t>
  </si>
  <si>
    <t>Contribución sector eléctrico - Generadores de energía termoelectrica</t>
  </si>
  <si>
    <t>Sobretasa ambiental Sector Urbano (Rendimientos Financieros)</t>
  </si>
  <si>
    <t>Sobretasa ambiental Sector Urbanojes  (Intereses por mora)</t>
  </si>
  <si>
    <t>Sobretasa ambiental Sector Urbano  (Recuperación de Cartera)</t>
  </si>
  <si>
    <t>Sobretasa ambiental Sector Urbano (vigencia actual)</t>
  </si>
  <si>
    <t>Sobretasa ambiental Sector Urbano (Mayores ingresos no aforeados de la vigencia Anterior)</t>
  </si>
  <si>
    <t>Sobretasa ambiental Sector Urbano  (Excedentes de apropiación de gastos vigencia anterior)</t>
  </si>
  <si>
    <t>Sobretasa ambiental Sector Urbano  (Cancelación de Reservas vigencia anterior)</t>
  </si>
  <si>
    <t>Sobretasa ambiental Sector Urbano  (Saldos no Ejecutados de Contratos ó Convenios de vigencias anteriores)</t>
  </si>
  <si>
    <t>Sobretasa ambiental Sector Urbano  (Compromisos presupuestales cancelados vigencia anterior)</t>
  </si>
  <si>
    <t>Sobretasa ambiental Sector Urbano  (Reintegros de vigencias anteriores)</t>
  </si>
  <si>
    <t>Participaciones distintas del SGP</t>
  </si>
  <si>
    <t>Participación en impuestos</t>
  </si>
  <si>
    <t>Participación ambiental en el porcentaje de recaudo del impuesto predial</t>
  </si>
  <si>
    <t>Son las transferencias de recursos del porcentaje del total del recaudo por concepto del impuesto predial que realizan los municipios a las corporaciones autónomas regionales presentes en su jurisdicción, en los términos que establece el artículo 44 de la Ley 99 de 1993 y el Decreto 1339 de 1994 que reglamenta la Ley.</t>
  </si>
  <si>
    <t xml:space="preserve">Son las transferencias que realizan a las entidades territoriales por sus derechos de participación en los ingresos tributarios y no tributarios distintos del SGP.
Se consideran transferencias de participaciones en ingresos tributarios y no tributarios, todos los ingresos derivados de impuestos, contribuciones, multas y sanciones y derechos económicos por uso de recursos naturales, cuya administración mantiene la nación u otra entidad territorial, pero tiene la obligación legal realizar el giro de estos recursos (en su totalidad o un porcentaje) a las entidades territoriales.
</t>
  </si>
  <si>
    <t>Son las transferencias de recursos que reciben las entidades territoriales de otras entidades por su participación en los impuestos recaudados.</t>
  </si>
  <si>
    <t>Servicios financieros y servicios conexos, servicios inmobiliarios y servicios de leasing</t>
  </si>
  <si>
    <t>Son los ingresos asociados a la venta de servicios financieros, seguros, servicios de mantenimiento de activos financieros, servicios inmobiliarios y arrendamientos.</t>
  </si>
  <si>
    <t>Sobretasa ambiental Sector Rural (vigencia actual)</t>
  </si>
  <si>
    <t>Sobretasa ambiental Sector Rural (vigencia anterior)</t>
  </si>
  <si>
    <t>Sobretasa ambiental Sector Rural (Rendimientos Financieros)</t>
  </si>
  <si>
    <t>Sobretasa ambiental Sector Ruraljes  (Intereses por mora)</t>
  </si>
  <si>
    <t>Sobretasa ambiental Sector Rural  (Recuperación de Cartera)</t>
  </si>
  <si>
    <t>Sobretasa ambiental Sector Rural  (Cancelación de Reservas vigencia anterior)</t>
  </si>
  <si>
    <t>Sobretasa ambiental Sector Rural (Mayores ingresos no aforeados de la vigencia Anterior)</t>
  </si>
  <si>
    <t>Sobretasa ambiental Sector Rural  (Excedentes de apropiación de gastos vigencia anterior)</t>
  </si>
  <si>
    <t>Sobretasa ambiental Sector Rural  (Saldos no Ejecutados de Contratos ó Convenios de vigencias anteriores)</t>
  </si>
  <si>
    <t>Sobretasa ambiental Sector Rural  (Compromisos presupuestales cancelados vigencia anterior)</t>
  </si>
  <si>
    <t>Sobretasa ambiental Sector Rural  (Reintegros de vigencias anteriores)</t>
  </si>
  <si>
    <t>Sobretasa ambiental Sector Urbano (vigenciaanterior)</t>
  </si>
  <si>
    <t>Contribución sector eléctrico - Generadores de energía hidroelectrica (vigencia actual)</t>
  </si>
  <si>
    <t>Contribución sector eléctrico - Generadores de energía hidroelectrica (vigencia anterior)</t>
  </si>
  <si>
    <t>Contribución sector eléctrico - Generadores de energía hidroelectrica (Rendimientos Financieros)</t>
  </si>
  <si>
    <t>Contribución sector eléctrico - Generadores de energía hidroelectricajes  (Intereses por mora)</t>
  </si>
  <si>
    <t>Contribución sector eléctrico - Generadores de energía hidroelectrica  (Recuperación de Cartera)</t>
  </si>
  <si>
    <t>Contribución sector eléctrico - Generadores de energía hidroelectrica  (Cancelación de Reservas vigencia anterior)</t>
  </si>
  <si>
    <t>Contribución sector eléctrico - Generadores de energía hidroelectrica (Mayores ingresos no aforeados de la vigencia Anterior)</t>
  </si>
  <si>
    <t>Contribución sector eléctrico - Generadores de energía hidroelectrica  (Excedentes de apropiación de gastos vigencia anterior)</t>
  </si>
  <si>
    <t>Contribución sector eléctrico - Generadores de energía hidroelectrica  (Saldos no Ejecutados de Contratos ó Convenios de vigencias anteriores)</t>
  </si>
  <si>
    <t>Contribución sector eléctrico - Generadores de energía hidroelectrica  (Compromisos presupuestales cancelados vigencia anterior)</t>
  </si>
  <si>
    <t>Contribución sector eléctrico - Generadores de energía hidroelectrica  (Reintegros de vigencias anteriores)</t>
  </si>
  <si>
    <t>Contribución sector eléctrico - Generadores de energía termoelectrica (vigencia actual)</t>
  </si>
  <si>
    <t>Contribución sector eléctrico - Generadores de energía termoelectrica (vigencia anterior)</t>
  </si>
  <si>
    <t>Contribución sector eléctrico - Generadores de energía termoelectrica (Rendimientos Financieros)</t>
  </si>
  <si>
    <t>Contribución sector eléctrico - Generadores de energía termoelectricajes  (Intereses por mora)</t>
  </si>
  <si>
    <t>Contribución sector eléctrico - Generadores de energía termoelectrica  (Recuperación de Cartera)</t>
  </si>
  <si>
    <t>Contribución sector eléctrico - Generadores de energía termoelectrica  (Cancelación de Reservas vigencia anterior)</t>
  </si>
  <si>
    <t>Contribución sector eléctrico - Generadores de energía termoelectrica (Mayores ingresos no aforeados de la vigencia Anterior)</t>
  </si>
  <si>
    <t>Contribución sector eléctrico - Generadores de energía termoelectrica  (Excedentes de apropiación de gastos vigencia anterior)</t>
  </si>
  <si>
    <t>Contribución sector eléctrico - Generadores de energía termoelectrica  (Saldos no Ejecutados de Contratos ó Convenios de vigencias anteriores)</t>
  </si>
  <si>
    <t>Contribución sector eléctrico - Generadores de energía termoelectrica  (Compromisos presupuestales cancelados vigencia anterior)</t>
  </si>
  <si>
    <t>Contribución sector eléctrico - Generadores de energía termoelectrica  (Reintegros de vigencias anteriores)</t>
  </si>
  <si>
    <t>Contribución sector eléctrico - Generadores de energía no convencional (vigencia actual)</t>
  </si>
  <si>
    <t>Contribución sector eléctrico - Generadores de energía no convencional (vigencia anterior)</t>
  </si>
  <si>
    <t>Contribución sector eléctrico - Generadores de energía no convencional (Rendimientos Financieros)</t>
  </si>
  <si>
    <t>Contribución sector eléctrico - Generadores de energía no convencionaljes  (Intereses por mora)</t>
  </si>
  <si>
    <t>Contribución sector eléctrico - Generadores de energía no convencional  (Recuperación de Cartera)</t>
  </si>
  <si>
    <t>Contribución sector eléctrico - Generadores de energía no convencional  (Cancelación de Reservas vigencia anterior)</t>
  </si>
  <si>
    <t>Contribución sector eléctrico - Generadores de energía no convencional (Mayores ingresos no aforeados de la vigencia Anterior)</t>
  </si>
  <si>
    <t>Contribución sector eléctrico - Generadores de energía no convencional  (Excedentes de apropiación de gastos vigencia anterior)</t>
  </si>
  <si>
    <t>Contribución sector eléctrico - Generadores de energía no convencional  (Saldos no Ejecutados de Contratos ó Convenios de vigencias anteriores)</t>
  </si>
  <si>
    <t>Contribución sector eléctrico - Generadores de energía no convencional  (Compromisos presupuestales cancelados vigencia anterior)</t>
  </si>
  <si>
    <t>Contribución sector eléctrico - Generadores de energía no convencional  (Reintegros de vigencias anteriores)</t>
  </si>
  <si>
    <t>Tasa retributivajes  (Intereses por mora)</t>
  </si>
  <si>
    <t>Tasa retributiva  (Recuperación de Cartera)</t>
  </si>
  <si>
    <t>Tasa retributiva  (Cancelación de Reservas vigencia anterior)</t>
  </si>
  <si>
    <t>Tasa retributiva (Mayores ingresos no aforeados de la vigencia Anterior)</t>
  </si>
  <si>
    <t>Tasa retributiva  (Excedentes de apropiación de gastos vigencia anterior)</t>
  </si>
  <si>
    <t>Tasa retributiva  (Saldos no Ejecutados de Contratos ó Convenios de vigencias anteriores)</t>
  </si>
  <si>
    <t>Tasa retributiva  (Compromisos presupuestales cancelados vigencia anterior)</t>
  </si>
  <si>
    <t>Tasa retributiva  (Reintegros de vigencias anteriores)</t>
  </si>
  <si>
    <t>Tasa de aprovechamiento forestal (vigencia actual)</t>
  </si>
  <si>
    <t>Tasa de aprovechamiento forestal (vigencia anterior)</t>
  </si>
  <si>
    <t>Tasa de aprovechamiento forestaljes  (Intereses por mora)</t>
  </si>
  <si>
    <t>Tasa de aprovechamiento forestal  (Recuperación de Cartera)</t>
  </si>
  <si>
    <t>Tasa de aprovechamiento forestal  (Cancelación de Reservas vigencia anterior)</t>
  </si>
  <si>
    <t>Tasa de aprovechamiento forestal (Mayores ingresos no aforeados de la vigencia Anterior)</t>
  </si>
  <si>
    <t>Tasa de aprovechamiento forestal  (Excedentes de apropiación de gastos vigencia anterior)</t>
  </si>
  <si>
    <t>Tasa de aprovechamiento forestal  (Saldos no Ejecutados de Contratos ó Convenios de vigencias anteriores)</t>
  </si>
  <si>
    <t>Tasa de aprovechamiento forestal  (Compromisos presupuestales cancelados vigencia anterior)</t>
  </si>
  <si>
    <t>Tasa de aprovechamiento forestal  (Reintegros de vigencias anteriores)</t>
  </si>
  <si>
    <t>Tasa compensatoria por caza de fauna silvestre (vigencia actual)</t>
  </si>
  <si>
    <t>Tasa compensatoria por caza de fauna silvestre (vigencia anterior)</t>
  </si>
  <si>
    <t>Tasa compensatoria por caza de fauna silvestre (Rendimientos Financieros)</t>
  </si>
  <si>
    <t>Tasa compensatoria por caza de fauna silvestrejes  (Intereses por mora)</t>
  </si>
  <si>
    <t>Tasa compensatoria por caza de fauna silvestre  (Recuperación de Cartera)</t>
  </si>
  <si>
    <t>Tasa compensatoria por caza de fauna silvestre  (Cancelación de Reservas vigencia anterior)</t>
  </si>
  <si>
    <t>Tasa compensatoria por caza de fauna silvestre (Mayores ingresos no aforeados de la vigencia Anterior)</t>
  </si>
  <si>
    <t>Tasa compensatoria por caza de fauna silvestre  (Excedentes de apropiación de gastos vigencia anterior)</t>
  </si>
  <si>
    <t>Tasa compensatoria por caza de fauna silvestre  (Saldos no Ejecutados de Contratos ó Convenios de vigencias anteriores)</t>
  </si>
  <si>
    <t>Tasa compensatoria por caza de fauna silvestre  (Compromisos presupuestales cancelados vigencia anterior)</t>
  </si>
  <si>
    <t>Tasa compensatoria por caza de fauna silvestre  (Reintegros de vigencias anteriores)</t>
  </si>
  <si>
    <t>Sobretasa ambiental - Peajesjes  (Intereses por mora)</t>
  </si>
  <si>
    <t>Sobretasa ambiental - Peajes  (Recuperación de Cartera)</t>
  </si>
  <si>
    <t>Sobretasa ambiental - Peajes  (Cancelación de Reservas vigencia anterior)</t>
  </si>
  <si>
    <t>Sobretasa ambiental - Peajes (Mayores ingresos no aforeados de la vigencia Anterior)</t>
  </si>
  <si>
    <t>Sobretasa ambiental - Peajes  (Excedentes de apropiación de gastos vigencia anterior)</t>
  </si>
  <si>
    <t>Sobretasa ambiental - Peajes  (Saldos no Ejecutados de Contratos ó Convenios de vigencias anteriores)</t>
  </si>
  <si>
    <t>Sobretasa ambiental - Peajes  (Compromisos presupuestales cancelados vigencia anterior)</t>
  </si>
  <si>
    <t>Sobretasa ambiental - Peajes  (Reintegros de vigencias anteriores)</t>
  </si>
  <si>
    <t>Tasa Compensatoria por la utilización permanente de la reserva forestal protectora Bosque Oriental de Bogotá (vigencia actual)</t>
  </si>
  <si>
    <t>Tasa Compensatoria por la utilización permanente de la reserva forestal protectora Bosque Oriental de Bogotá (vigencia anterior)</t>
  </si>
  <si>
    <t>Tasa Compensatoria por la utilización permanente de la reserva forestal protectora Bosque Oriental de Bogotá (Rendimientos Financieros)</t>
  </si>
  <si>
    <t>Tasa Compensatoria por la utilización permanente de la reserva forestal protectora Bosque Oriental de Bogotájes  (Intereses por mora)</t>
  </si>
  <si>
    <t>Tasa Compensatoria por la utilización permanente de la reserva forestal protectora Bosque Oriental de Bogotá  (Recuperación de Cartera)</t>
  </si>
  <si>
    <t>Tasa Compensatoria por la utilización permanente de la reserva forestal protectora Bosque Oriental de Bogotá  (Cancelación de Reservas vigencia anterior)</t>
  </si>
  <si>
    <t>Tasa Compensatoria por la utilización permanente de la reserva forestal protectora Bosque Oriental de Bogotá (Mayores ingresos no aforeados de la vigencia Anterior)</t>
  </si>
  <si>
    <t>Tasa Compensatoria por la utilización permanente de la reserva forestal protectora Bosque Oriental de Bogotá  (Excedentes de apropiación de gastos vigencia anterior)</t>
  </si>
  <si>
    <t>Tasa Compensatoria por la utilización permanente de la reserva forestal protectora Bosque Oriental de Bogotá  (Saldos no Ejecutados de Contratos ó Convenios de vigencias anteriores)</t>
  </si>
  <si>
    <t>Tasa Compensatoria por la utilización permanente de la reserva forestal protectora Bosque Oriental de Bogotá  (Compromisos presupuestales cancelados vigencia anterior)</t>
  </si>
  <si>
    <t>Tasa Compensatoria por la utilización permanente de la reserva forestal protectora Bosque Oriental de Bogotá  (Reintegros de vigencias anteriores)</t>
  </si>
  <si>
    <t>Otras tasas (Rendimientos Financieros)</t>
  </si>
  <si>
    <t>Otras tasasjes  (Intereses por mora)</t>
  </si>
  <si>
    <t>Otras tasas  (Recuperación de Cartera)</t>
  </si>
  <si>
    <t>Otras tasas  (Cancelación de Reservas vigencia anterior)</t>
  </si>
  <si>
    <t>Otras tasas (Mayores ingresos no aforeados de la vigencia Anterior)</t>
  </si>
  <si>
    <t>Otras tasas  (Excedentes de apropiación de gastos vigencia anterior)</t>
  </si>
  <si>
    <t>Otras tasas  (Saldos no Ejecutados de Contratos ó Convenios de vigencias anteriores)</t>
  </si>
  <si>
    <t>Otras tasas  (Compromisos presupuestales cancelados vigencia anterior)</t>
  </si>
  <si>
    <t>Otras tasas  (Reintegros de vigencias anteriores)</t>
  </si>
  <si>
    <t>Evaluación de licencias y trámites ambientales (vigencia actual)</t>
  </si>
  <si>
    <t>Evaluación de licencias y trámites ambientales (vigencia anterior)</t>
  </si>
  <si>
    <t>Evaluación de licencias y trámites ambientales (Rendimientos Financieros)</t>
  </si>
  <si>
    <t>Evaluación de licencias y trámites ambientalesjes  (Intereses por mora)</t>
  </si>
  <si>
    <t>Evaluación de licencias y trámites ambientales  (Recuperación de Cartera)</t>
  </si>
  <si>
    <t>Evaluación de licencias y trámites ambientales  (Cancelación de Reservas vigencia anterior)</t>
  </si>
  <si>
    <t>Evaluación de licencias y trámites ambientales (Mayores ingresos no aforeados de la vigencia Anterior)</t>
  </si>
  <si>
    <t>Evaluación de licencias y trámites ambientales  (Excedentes de apropiación de gastos vigencia anterior)</t>
  </si>
  <si>
    <t>Evaluación de licencias y trámites ambientales  (Saldos no Ejecutados de Contratos ó Convenios de vigencias anteriores)</t>
  </si>
  <si>
    <t>Evaluación de licencias y trámites ambientales  (Compromisos presupuestales cancelados vigencia anterior)</t>
  </si>
  <si>
    <t>Evaluación de licencias y trámites ambientales  (Reintegros de vigencias anteriores)</t>
  </si>
  <si>
    <t>Seguimiento a licencias y trámites ambientales (vigencia actual)</t>
  </si>
  <si>
    <t>Seguimiento a licencias y trámites ambientales (vigencia anterior)</t>
  </si>
  <si>
    <t>Seguimiento a licencias y trámites ambientales (Rendimientos Financieros)</t>
  </si>
  <si>
    <t>Seguimiento a licencias y trámites ambientalesjes  (Intereses por mora)</t>
  </si>
  <si>
    <t>Seguimiento a licencias y trámites ambientales  (Recuperación de Cartera)</t>
  </si>
  <si>
    <t>Seguimiento a licencias y trámites ambientales  (Cancelación de Reservas vigencia anterior)</t>
  </si>
  <si>
    <t>Seguimiento a licencias y trámites ambientales (Mayores ingresos no aforeados de la vigencia Anterior)</t>
  </si>
  <si>
    <t>Seguimiento a licencias y trámites ambientales  (Excedentes de apropiación de gastos vigencia anterior)</t>
  </si>
  <si>
    <t>Seguimiento a licencias y trámites ambientales  (Saldos no Ejecutados de Contratos ó Convenios de vigencias anteriores)</t>
  </si>
  <si>
    <t>Seguimiento a licencias y trámites ambientales  (Compromisos presupuestales cancelados vigencia anterior)</t>
  </si>
  <si>
    <t>Seguimiento a licencias y trámites ambientales  (Reintegros de vigencias anteriores)</t>
  </si>
  <si>
    <t>Salvo conducto unico Nacional (vigencia actual)</t>
  </si>
  <si>
    <t>Salvo conducto unico Nacional (vigencia anterior)</t>
  </si>
  <si>
    <t>Salvo conducto unico Nacional (Rendimientos Financieros)</t>
  </si>
  <si>
    <t>Salvo conducto unico Nacionaljes  (Intereses por mora)</t>
  </si>
  <si>
    <t>Salvo conducto unico Nacional  (Recuperación de Cartera)</t>
  </si>
  <si>
    <t>Salvo conducto unico Nacional  (Cancelación de Reservas vigencia anterior)</t>
  </si>
  <si>
    <t>Salvo conducto unico Nacional (Mayores ingresos no aforeados de la vigencia Anterior)</t>
  </si>
  <si>
    <t>Salvo conducto unico Nacional  (Excedentes de apropiación de gastos vigencia anterior)</t>
  </si>
  <si>
    <t>Salvo conducto unico Nacional  (Saldos no Ejecutados de Contratos ó Convenios de vigencias anteriores)</t>
  </si>
  <si>
    <t>Salvo conducto unico Nacional  (Compromisos presupuestales cancelados vigencia anterior)</t>
  </si>
  <si>
    <t>Salvo conducto unico Nacional  (Reintegros de vigencias anteriores)</t>
  </si>
  <si>
    <t>Otros derechos administrativos (vigencia actual)</t>
  </si>
  <si>
    <t>Otros derechos administrativos (vigencia anterior)</t>
  </si>
  <si>
    <t>Otros derechos administrativos (Rendimientos Financieros)</t>
  </si>
  <si>
    <t>Otros derechos administrativosjes  (Intereses por mora)</t>
  </si>
  <si>
    <t>Otros derechos administrativos  (Recuperación de Cartera)</t>
  </si>
  <si>
    <t>Otros derechos administrativos  (Cancelación de Reservas vigencia anterior)</t>
  </si>
  <si>
    <t>Otros derechos administrativos (Mayores ingresos no aforeados de la vigencia Anterior)</t>
  </si>
  <si>
    <t>Otros derechos administrativos  (Excedentes de apropiación de gastos vigencia anterior)</t>
  </si>
  <si>
    <t>Otros derechos administrativos  (Saldos no Ejecutados de Contratos ó Convenios de vigencias anteriores)</t>
  </si>
  <si>
    <t>Otros derechos administrativos  (Compromisos presupuestales cancelados vigencia anterior)</t>
  </si>
  <si>
    <t>Otros derechos administrativos  (Reintegros de vigencias anteriores)</t>
  </si>
  <si>
    <t>Multas ambientales (Rendimientos Financieros)</t>
  </si>
  <si>
    <t>Multas ambientalesjes  (Intereses por mora)</t>
  </si>
  <si>
    <t>Multas ambientales  (Recuperación de Cartera)</t>
  </si>
  <si>
    <t>Multas ambientales  (Cancelación de Reservas vigencia anterior)</t>
  </si>
  <si>
    <t>Multas ambientales (Mayores ingresos no aforeados de la vigencia Anterior)</t>
  </si>
  <si>
    <t>Multas ambientales  (Excedentes de apropiación de gastos vigencia anterior)</t>
  </si>
  <si>
    <t>Multas ambientales  (Saldos no Ejecutados de Contratos ó Convenios de vigencias anteriores)</t>
  </si>
  <si>
    <t>Multas ambientales  (Compromisos presupuestales cancelados vigencia anterior)</t>
  </si>
  <si>
    <t>Multas ambientales  (Reintegros de vigencias anteriores)</t>
  </si>
  <si>
    <t>Derecho económico por el uso de cuencas hidrográficas  (vigencia actual)</t>
  </si>
  <si>
    <t>Derecho económico por el uso de cuencas hidrográficas  (vigencia anterior)</t>
  </si>
  <si>
    <t>Derecho económico por el uso de cuencas hidrográficas  (Rendimientos Financieros)</t>
  </si>
  <si>
    <t>Derecho económico por el uso de cuencas hidrográficas jes  (Intereses por mora)</t>
  </si>
  <si>
    <t>Derecho económico por el uso de cuencas hidrográficas   (Recuperación de Cartera)</t>
  </si>
  <si>
    <t>Derecho económico por el uso de cuencas hidrográficas   (Cancelación de Reservas vigencia anterior)</t>
  </si>
  <si>
    <t>Derecho económico por el uso de cuencas hidrográficas  (Mayores ingresos no aforeados de la vigencia Anterior)</t>
  </si>
  <si>
    <t>Derecho económico por el uso de cuencas hidrográficas   (Excedentes de apropiación de gastos vigencia anterior)</t>
  </si>
  <si>
    <t>Derecho económico por el uso de cuencas hidrográficas   (Saldos no Ejecutados de Contratos ó Convenios de vigencias anteriores)</t>
  </si>
  <si>
    <t>Derecho económico por el uso de cuencas hidrográficas   (Compromisos presupuestales cancelados vigencia anterior)</t>
  </si>
  <si>
    <t>Derecho económico por el uso de cuencas hidrográficas   (Reintegros de vigencias anteriores)</t>
  </si>
  <si>
    <t>Agricultura, silvicultura y productos de la pesca (vigencia actual)</t>
  </si>
  <si>
    <t>Agricultura, silvicultura y productos de la pesca (vigencia anterior)</t>
  </si>
  <si>
    <t>Agricultura, silvicultura y productos de la pesca (Rendimientos Financieros)</t>
  </si>
  <si>
    <t>Agricultura, silvicultura y productos de la pescajes  (Intereses por mora)</t>
  </si>
  <si>
    <t>Agricultura, silvicultura y productos de la pesca  (Recuperación de Cartera)</t>
  </si>
  <si>
    <t>Agricultura, silvicultura y productos de la pesca  (Cancelación de Reservas vigencia anterior)</t>
  </si>
  <si>
    <t>Agricultura, silvicultura y productos de la pesca (Mayores ingresos no aforeados de la vigencia Anterior)</t>
  </si>
  <si>
    <t>Agricultura, silvicultura y productos de la pesca  (Excedentes de apropiación de gastos vigencia anterior)</t>
  </si>
  <si>
    <t>Agricultura, silvicultura y productos de la pesca  (Saldos no Ejecutados de Contratos ó Convenios de vigencias anteriores)</t>
  </si>
  <si>
    <t>Agricultura, silvicultura y productos de la pesca  (Compromisos presupuestales cancelados vigencia anterior)</t>
  </si>
  <si>
    <t>Agricultura, silvicultura y productos de la pesca  (Reintegros de vigencias anteriores)</t>
  </si>
  <si>
    <t>Productos metálicos, maquinaria y equipo (Rendimientos Financieros)</t>
  </si>
  <si>
    <t>Productos metálicos, maquinaria y equipojes  (Intereses por mora)</t>
  </si>
  <si>
    <t>Productos metálicos, maquinaria y equipo  (Recuperación de Cartera)</t>
  </si>
  <si>
    <t>Productos metálicos, maquinaria y equipo  (Cancelación de Reservas vigencia anterior)</t>
  </si>
  <si>
    <t>Productos metálicos, maquinaria y equipo (Mayores ingresos no aforeados de la vigencia Anterior)</t>
  </si>
  <si>
    <t>Productos metálicos, maquinaria y equipo  (Excedentes de apropiación de gastos vigencia anterior)</t>
  </si>
  <si>
    <t>Productos metálicos, maquinaria y equipo  (Saldos no Ejecutados de Contratos ó Convenios de vigencias anteriores)</t>
  </si>
  <si>
    <t>Productos metálicos, maquinaria y equipo  (Compromisos presupuestales cancelados vigencia anterior)</t>
  </si>
  <si>
    <t>Productos metálicos, maquinaria y equipo  (Reintegros de vigencias anteriores)</t>
  </si>
  <si>
    <t>Servicios de alojamiento; servicios de suministro de comidas y bebidas; servicios de transporte; y servicios de distribución de electricidad, gas y agua (vigencia actual)</t>
  </si>
  <si>
    <t>Servicios de alojamiento; servicios de suministro de comidas y bebidas; servicios de transporte; y servicios de distribución de electricidad, gas y agua (vigencia anterior)</t>
  </si>
  <si>
    <t>Servicios de alojamiento; servicios de suministro de comidas y bebidas; servicios de transporte; y servicios de distribución de electricidad, gas y agua (Rendimientos Financieros)</t>
  </si>
  <si>
    <t>Servicios de alojamiento; servicios de suministro de comidas y bebidas; servicios de transporte; y servicios de distribución de electricidad, gas y aguajes  (Intereses por mora)</t>
  </si>
  <si>
    <t>Servicios de alojamiento; servicios de suministro de comidas y bebidas; servicios de transporte; y servicios de distribución de electricidad, gas y agua  (Recuperación de Cartera)</t>
  </si>
  <si>
    <t>Servicios de alojamiento; servicios de suministro de comidas y bebidas; servicios de transporte; y servicios de distribución de electricidad, gas y agua  (Cancelación de Reservas vigencia anterior)</t>
  </si>
  <si>
    <t>Servicios de alojamiento; servicios de suministro de comidas y bebidas; servicios de transporte; y servicios de distribución de electricidad, gas y agua (Mayores ingresos no aforeados de la vigencia Anterior)</t>
  </si>
  <si>
    <t>Servicios de alojamiento; servicios de suministro de comidas y bebidas; servicios de transporte; y servicios de distribución de electricidad, gas y agua  (Excedentes de apropiación de gastos vigencia anterior)</t>
  </si>
  <si>
    <t>Servicios de alojamiento; servicios de suministro de comidas y bebidas; servicios de transporte; y servicios de distribución de electricidad, gas y agua  (Saldos no Ejecutados de Contratos ó Convenios de vigencias anteriores)</t>
  </si>
  <si>
    <t>Servicios de alojamiento; servicios de suministro de comidas y bebidas; servicios de transporte; y servicios de distribución de electricidad, gas y agua  (Compromisos presupuestales cancelados vigencia anterior)</t>
  </si>
  <si>
    <t>Servicios de alojamiento; servicios de suministro de comidas y bebidas; servicios de transporte; y servicios de distribución de electricidad, gas y agua  (Reintegros de vigencias anteriores)</t>
  </si>
  <si>
    <t>Servicios financieros y servicios conexos, servicios inmobiliarios y servicios de leasing (vigencia actual)</t>
  </si>
  <si>
    <t>Servicios financieros y servicios conexos, servicios inmobiliarios y servicios de leasing (vigencia anterior)</t>
  </si>
  <si>
    <t>Servicios financieros y servicios conexos, servicios inmobiliarios y servicios de leasing (Rendimientos Financieros)</t>
  </si>
  <si>
    <t>Servicios financieros y servicios conexos, servicios inmobiliarios y servicios de leasingjes  (Intereses por mora)</t>
  </si>
  <si>
    <t>Servicios financieros y servicios conexos, servicios inmobiliarios y servicios de leasing  (Recuperación de Cartera)</t>
  </si>
  <si>
    <t>Servicios financieros y servicios conexos, servicios inmobiliarios y servicios de leasing  (Cancelación de Reservas vigencia anterior)</t>
  </si>
  <si>
    <t>Servicios financieros y servicios conexos, servicios inmobiliarios y servicios de leasing (Mayores ingresos no aforeados de la vigencia Anterior)</t>
  </si>
  <si>
    <t>Servicios financieros y servicios conexos, servicios inmobiliarios y servicios de leasing  (Excedentes de apropiación de gastos vigencia anterior)</t>
  </si>
  <si>
    <t>Servicios financieros y servicios conexos, servicios inmobiliarios y servicios de leasing  (Saldos no Ejecutados de Contratos ó Convenios de vigencias anteriores)</t>
  </si>
  <si>
    <t>Servicios financieros y servicios conexos, servicios inmobiliarios y servicios de leasing  (Compromisos presupuestales cancelados vigencia anterior)</t>
  </si>
  <si>
    <t>Servicios financieros y servicios conexos, servicios inmobiliarios y servicios de leasing  (Reintegros de vigencias anteriores)</t>
  </si>
  <si>
    <t>Condicionadas a la adquisición de un activo  (vigencia actual)</t>
  </si>
  <si>
    <t>Condicionadas a la adquisición de un activo  (vigencia anterior)</t>
  </si>
  <si>
    <t>Condicionadas a la adquisición de un activo  (Rendimientos Financieros)</t>
  </si>
  <si>
    <t>Condicionadas a la adquisición de un activo   (Recuperación de Cartera)</t>
  </si>
  <si>
    <t>Condicionadas a la adquisición de un activo   (Cancelación de Reservas vigencia anterior)</t>
  </si>
  <si>
    <t>Condicionadas a la adquisición de un activo  (Mayores ingresos no aforeados de la vigencia Anterior)</t>
  </si>
  <si>
    <t>Condicionadas a la adquisición de un activo   (Excedentes de apropiación de gastos vigencia anterior)</t>
  </si>
  <si>
    <t>Condicionadas a la adquisición de un activo   (Saldos no Ejecutados de Contratos ó Convenios de vigencias anteriores)</t>
  </si>
  <si>
    <t>Condicionadas a la adquisición de un activo   (Compromisos presupuestales cancelados vigencia anterior)</t>
  </si>
  <si>
    <t>Condicionadas a la adquisición de un activo   (Reintegros de vigencias anteriores)</t>
  </si>
  <si>
    <t xml:space="preserve">No Condicionadas a la adquisición de un activo  </t>
  </si>
  <si>
    <t xml:space="preserve">Condicionadas a la adquisición de un activo  </t>
  </si>
  <si>
    <t>No Condicionadas a la adquisición de un activo   (vigencia actual)</t>
  </si>
  <si>
    <t>No Condicionadas a la adquisición de un activo   (vigencia anterior)</t>
  </si>
  <si>
    <t>No Condicionadas a la adquisición de un activo   (Rendimientos Financieros)</t>
  </si>
  <si>
    <t>No Condicionadas a la adquisición de un activo  jes  (Intereses por mora)</t>
  </si>
  <si>
    <t>No Condicionadas a la adquisición de un activo    (Recuperación de Cartera)</t>
  </si>
  <si>
    <t>No Condicionadas a la adquisición de un activo    (Cancelación de Reservas vigencia anterior)</t>
  </si>
  <si>
    <t>No Condicionadas a la adquisición de un activo   (Mayores ingresos no aforeados de la vigencia Anterior)</t>
  </si>
  <si>
    <t>No Condicionadas a la adquisición de un activo    (Excedentes de apropiación de gastos vigencia anterior)</t>
  </si>
  <si>
    <t>No Condicionadas a la adquisición de un activo    (Saldos no Ejecutados de Contratos ó Convenios de vigencias anteriores)</t>
  </si>
  <si>
    <t>No Condicionadas a la adquisición de un activo    (Compromisos presupuestales cancelados vigencia anterior)</t>
  </si>
  <si>
    <t>No Condicionadas a la adquisición de un activo    (Reintegros de vigencias anteriores)</t>
  </si>
  <si>
    <t>Condicionadas a la adquisición de un activo   (vigencia actual)</t>
  </si>
  <si>
    <t>Condicionadas a la adquisición de un activo   (vigencia anterior)</t>
  </si>
  <si>
    <t>Condicionadas a la adquisición de un activo   (Rendimientos Financieros)</t>
  </si>
  <si>
    <t>Condicionadas a la adquisición de un activo  jes  (Intereses por mora)</t>
  </si>
  <si>
    <t>Condicionadas a la adquisición de un activo    (Recuperación de Cartera)</t>
  </si>
  <si>
    <t>Condicionadas a la adquisición de un activo    (Cancelación de Reservas vigencia anterior)</t>
  </si>
  <si>
    <t>Condicionadas a la adquisición de un activo   (Mayores ingresos no aforeados de la vigencia Anterior)</t>
  </si>
  <si>
    <t>Condicionadas a la adquisición de un activo    (Excedentes de apropiación de gastos vigencia anterior)</t>
  </si>
  <si>
    <t>Condicionadas a la adquisición de un activo    (Saldos no Ejecutados de Contratos ó Convenios de vigencias anteriores)</t>
  </si>
  <si>
    <t>Condicionadas a la adquisición de un activo    (Compromisos presupuestales cancelados vigencia anterior)</t>
  </si>
  <si>
    <t>Condicionadas a la adquisición de un activo    (Reintegros de vigencias anteriores)</t>
  </si>
  <si>
    <t>Indemnizaciones relacionadas con seguros no de vida   (vigencia actual)</t>
  </si>
  <si>
    <t>Indemnizaciones relacionadas con seguros no de vida   (vigencia anterior)</t>
  </si>
  <si>
    <t>Indemnizaciones relacionadas con seguros no de vida   (Rendimientos Financieros)</t>
  </si>
  <si>
    <t>Indemnizaciones relacionadas con seguros no de vida  jes  (Intereses por mora)</t>
  </si>
  <si>
    <t>Indemnizaciones relacionadas con seguros no de vida    (Recuperación de Cartera)</t>
  </si>
  <si>
    <t>Indemnizaciones relacionadas con seguros no de vida    (Cancelación de Reservas vigencia anterior)</t>
  </si>
  <si>
    <t>Indemnizaciones relacionadas con seguros no de vida   (Mayores ingresos no aforeados de la vigencia Anterior)</t>
  </si>
  <si>
    <t>Indemnizaciones relacionadas con seguros no de vida    (Excedentes de apropiación de gastos vigencia anterior)</t>
  </si>
  <si>
    <t>Indemnizaciones relacionadas con seguros no de vida    (Saldos no Ejecutados de Contratos ó Convenios de vigencias anteriores)</t>
  </si>
  <si>
    <t>Indemnizaciones relacionadas con seguros no de vida    (Compromisos presupuestales cancelados vigencia anterior)</t>
  </si>
  <si>
    <t>Indemnizaciones relacionadas con seguros no de vida    (Reintegros de vigencias anteriores)</t>
  </si>
  <si>
    <t>Resarcimiento por procesos de gestión fiscal   (vigencia actual)</t>
  </si>
  <si>
    <t>Resarcimiento por procesos de gestión fiscal   (vigencia anterior)</t>
  </si>
  <si>
    <t>Resarcimiento por procesos de gestión fiscal   (Rendimientos Financieros)</t>
  </si>
  <si>
    <t>Resarcimiento por procesos de gestión fiscal  jes  (Intereses por mora)</t>
  </si>
  <si>
    <t>Resarcimiento por procesos de gestión fiscal    (Recuperación de Cartera)</t>
  </si>
  <si>
    <t>Resarcimiento por procesos de gestión fiscal    (Cancelación de Reservas vigencia anterior)</t>
  </si>
  <si>
    <t>Resarcimiento por procesos de gestión fiscal   (Mayores ingresos no aforeados de la vigencia Anterior)</t>
  </si>
  <si>
    <t>Resarcimiento por procesos de gestión fiscal    (Excedentes de apropiación de gastos vigencia anterior)</t>
  </si>
  <si>
    <t>Resarcimiento por procesos de gestión fiscal    (Saldos no Ejecutados de Contratos ó Convenios de vigencias anteriores)</t>
  </si>
  <si>
    <t>Resarcimiento por procesos de gestión fiscal    (Compromisos presupuestales cancelados vigencia anterior)</t>
  </si>
  <si>
    <t>Resarcimiento por procesos de gestión fiscal    (Reintegros de vigencias anteriores)</t>
  </si>
  <si>
    <t>Compensación por daños a la propiedad  (vigencia actual)</t>
  </si>
  <si>
    <t>Compensación por daños a la propiedad  (vigencia anterior)</t>
  </si>
  <si>
    <t>Compensación por daños a la propiedad  (Rendimientos Financieros)</t>
  </si>
  <si>
    <t>Compensación por daños a la propiedad jes  (Intereses por mora)</t>
  </si>
  <si>
    <t>Compensación por daños a la propiedad   (Recuperación de Cartera)</t>
  </si>
  <si>
    <t>Compensación por daños a la propiedad   (Cancelación de Reservas vigencia anterior)</t>
  </si>
  <si>
    <t>Compensación por daños a la propiedad  (Mayores ingresos no aforeados de la vigencia Anterior)</t>
  </si>
  <si>
    <t>Compensación por daños a la propiedad   (Excedentes de apropiación de gastos vigencia anterior)</t>
  </si>
  <si>
    <t>Compensación por daños a la propiedad   (Saldos no Ejecutados de Contratos ó Convenios de vigencias anteriores)</t>
  </si>
  <si>
    <t>Compensación por daños a la propiedad   (Compromisos presupuestales cancelados vigencia anterior)</t>
  </si>
  <si>
    <t>Compensación por daños a la propiedad   (Reintegros de vigencias anteriores)</t>
  </si>
  <si>
    <t>Participación ambiental en el porcentaje de recaudo del impuesto predial (vigencia actual)</t>
  </si>
  <si>
    <t>Participación ambiental en el porcentaje de recaudo del impuesto predial (vigencia anterior)</t>
  </si>
  <si>
    <t>Participación ambiental en el porcentaje de recaudo del impuesto predial (Rendimientos Financieros)</t>
  </si>
  <si>
    <t>Participación ambiental en el porcentaje de recaudo del impuesto predial  (Cancelación de Reservas vigencia anterior)</t>
  </si>
  <si>
    <t>Participación ambiental en el porcentaje de recaudo del impuesto predial (Mayores ingresos no aforeados de la vigencia Anterior)</t>
  </si>
  <si>
    <t>Participación ambiental en el porcentaje de recaudo del impuesto predial  (Excedentes de apropiación de gastos vigencia anterior)</t>
  </si>
  <si>
    <t>Participación ambiental en el porcentaje de recaudo del impuesto predial  (Saldos no Ejecutados de Contratos ó Convenios de vigencias anteriores)</t>
  </si>
  <si>
    <t>Participación ambiental en el porcentaje de recaudo del impuesto predial  (Compromisos presupuestales cancelados vigencia anterior)</t>
  </si>
  <si>
    <t>Participación ambiental en el porcentaje de recaudo del impuesto predial  (Reintegros de vigencias anteriores)</t>
  </si>
  <si>
    <t>Participación de intereses de mora al porcentaje de recaudo del impuesto predial. (vigencia actual)</t>
  </si>
  <si>
    <t>Participación de intereses de mora al porcentaje de recaudo del impuesto predial. (vigencia anterior)</t>
  </si>
  <si>
    <t>Participación de intereses de mora al porcentaje de recaudo del impuesto predial. (Rendimientos Financieros)</t>
  </si>
  <si>
    <t>Participación de intereses de mora al porcentaje de recaudo del impuesto predial.  (Recuperación de Cartera)</t>
  </si>
  <si>
    <t>Participación de intereses de mora al porcentaje de recaudo del impuesto predial.  (Cancelación de Reservas vigencia anterior)</t>
  </si>
  <si>
    <t>Participación de intereses de mora al porcentaje de recaudo del impuesto predial. (Mayores ingresos no aforeados de la vigencia Anterior)</t>
  </si>
  <si>
    <t>Participación de intereses de mora al porcentaje de recaudo del impuesto predial.  (Excedentes de apropiación de gastos vigencia anterior)</t>
  </si>
  <si>
    <t>Participación de intereses de mora al porcentaje de recaudo del impuesto predial.  (Saldos no Ejecutados de Contratos ó Convenios de vigencias anteriores)</t>
  </si>
  <si>
    <t>Participación de intereses de mora al porcentaje de recaudo del impuesto predial.  (Compromisos presupuestales cancelados vigencia anterior)</t>
  </si>
  <si>
    <t>Participación de intereses de mora al porcentaje de recaudo del impuesto predial.  (Reintegros de vigencias anteriores)</t>
  </si>
  <si>
    <t>Disposición de edificaciones y estructuras (vigencia actual)</t>
  </si>
  <si>
    <t>Disposición de edificaciones y estructuras (vigencia anterior)</t>
  </si>
  <si>
    <t>Disposición de edificaciones y estructuras (Rendimientos Financieros)</t>
  </si>
  <si>
    <t>Disposición de edificaciones y estructuras  (Recuperación de Cartera)</t>
  </si>
  <si>
    <t>Disposición de edificaciones y estructuras  (Cancelación de Reservas vigencia anterior)</t>
  </si>
  <si>
    <t>Disposición de edificaciones y estructuras (Mayores ingresos no aforeados de la vigencia Anterior)</t>
  </si>
  <si>
    <t>Disposición de edificaciones y estructuras  (Excedentes de apropiación de gastos vigencia anterior)</t>
  </si>
  <si>
    <t>Disposición de edificaciones y estructuras  (Saldos no Ejecutados de Contratos ó Convenios de vigencias anteriores)</t>
  </si>
  <si>
    <t>Disposición de edificaciones y estructuras  (Compromisos presupuestales cancelados vigencia anterior)</t>
  </si>
  <si>
    <t>Disposición de edificaciones y estructuras  (Reintegros de vigencias anteriores)</t>
  </si>
  <si>
    <t>Disposición de maquinaria y equipo (vigencia actual)</t>
  </si>
  <si>
    <t>Disposición de maquinaria y equipo (vigencia anterior)</t>
  </si>
  <si>
    <t>Disposición de maquinaria y equipo (Rendimientos Financieros)</t>
  </si>
  <si>
    <t>Disposición de maquinaria y equipo  (Recuperación de Cartera)</t>
  </si>
  <si>
    <t>Disposición de maquinaria y equipo  (Cancelación de Reservas vigencia anterior)</t>
  </si>
  <si>
    <t>Disposición de maquinaria y equipo (Mayores ingresos no aforeados de la vigencia Anterior)</t>
  </si>
  <si>
    <t>Disposición de maquinaria y equipo  (Excedentes de apropiación de gastos vigencia anterior)</t>
  </si>
  <si>
    <t>Disposición de maquinaria y equipo  (Saldos no Ejecutados de Contratos ó Convenios de vigencias anteriores)</t>
  </si>
  <si>
    <t>Disposición de maquinaria y equipo  (Compromisos presupuestales cancelados vigencia anterior)</t>
  </si>
  <si>
    <t>Disposición de maquinaria y equipo  (Reintegros de vigencias anteriores)</t>
  </si>
  <si>
    <t>Disposición de recursos biológicos cultivados (Rendimientos Financieros)</t>
  </si>
  <si>
    <t>Disposición de recursos biológicos cultivados  (Recuperación de Cartera)</t>
  </si>
  <si>
    <t>Disposición de recursos biológicos cultivados  (Cancelación de Reservas vigencia anterior)</t>
  </si>
  <si>
    <t>Disposición de recursos biológicos cultivados (Mayores ingresos no aforeados de la vigencia Anterior)</t>
  </si>
  <si>
    <t>Disposición de recursos biológicos cultivados  (Excedentes de apropiación de gastos vigencia anterior)</t>
  </si>
  <si>
    <t>Disposición de recursos biológicos cultivados  (Saldos no Ejecutados de Contratos ó Convenios de vigencias anteriores)</t>
  </si>
  <si>
    <t>Disposición de recursos biológicos cultivados  (Compromisos presupuestales cancelados vigencia anterior)</t>
  </si>
  <si>
    <t>Disposición de recursos biológicos cultivados  (Reintegros de vigencias anteriores)</t>
  </si>
  <si>
    <t>Participación ambiental en el porcentaje de recaudo del impuesto predial  (Intereses por mora)</t>
  </si>
  <si>
    <t>Participación ambiental en el porcentaje de recaudo del impuesto predial (Recuperación de Cartera)</t>
  </si>
  <si>
    <t>Participación de intereses de mora al porcentaje de recaudo del impuesto predial (Intereses por mora)</t>
  </si>
  <si>
    <t>Disposición de edificaciones y estructuras (Intereses por mora)</t>
  </si>
  <si>
    <t>Participación de intereses de mora al porcentaje de recaudo del impuesto predial  (Intereses por mora)</t>
  </si>
  <si>
    <t>Disposición de recursos biológicos cultivadosK339:K349 (vigencia actual)</t>
  </si>
  <si>
    <t>Disposición de recursos biológicos cultivados (Intereses por mora)</t>
  </si>
  <si>
    <t>Disposición de productos de la propiedad intelectual (vigencia actual)</t>
  </si>
  <si>
    <t>Disposición de productos de la propiedad intelectual (vigencia anterior)</t>
  </si>
  <si>
    <t>Disposición de productos de la propiedad intelectual (Rendimientos Financieros)</t>
  </si>
  <si>
    <t>Disposición de productos de la propiedad intelectual  (Intereses por mora)</t>
  </si>
  <si>
    <t>Disposición de productos de la propiedad intelectual  (Recuperación de Cartera)</t>
  </si>
  <si>
    <t>Disposición de productos de la propiedad intelectual  (Cancelación de Reservas vigencia anterior)</t>
  </si>
  <si>
    <t>Disposición de productos de la propiedad intelectual (Mayores ingresos no aforeados de la vigencia Anterior)</t>
  </si>
  <si>
    <t>Disposición de productos de la propiedad intelectual  (Excedentes de apropiación de gastos vigencia anterior)</t>
  </si>
  <si>
    <t>Disposición de productos de la propiedad intelectual  (Saldos no Ejecutados de Contratos ó Convenios de vigencias anteriores)</t>
  </si>
  <si>
    <t>Disposición de productos de la propiedad intelectual  (Compromisos presupuestales cancelados vigencia anterior)</t>
  </si>
  <si>
    <t>Disposición de productos de la propiedad intelectual  (Reintegros de vigencias anteriores)</t>
  </si>
  <si>
    <t>Disposición de  tierras y terrenos (vigencia actual)</t>
  </si>
  <si>
    <t>Disposición de  tierras y terrenos (vigencia anterior)</t>
  </si>
  <si>
    <t>Disposición de  tierras y terrenos (Rendimientos Financieros)</t>
  </si>
  <si>
    <t>Disposición de  tierras y terrenos  (Intereses por mora)</t>
  </si>
  <si>
    <t>Disposición de  tierras y terrenos  (Recuperación de Cartera)</t>
  </si>
  <si>
    <t>Disposición de  tierras y terrenos  (Cancelación de Reservas vigencia anterior)</t>
  </si>
  <si>
    <t>Disposición de  tierras y terrenos (Mayores ingresos no aforeados de la vigencia Anterior)</t>
  </si>
  <si>
    <t>Disposición de  tierras y terrenos  (Excedentes de apropiación de gastos vigencia anterior)</t>
  </si>
  <si>
    <t>Disposición de  tierras y terrenos  (Saldos no Ejecutados de Contratos ó Convenios de vigencias anteriores)</t>
  </si>
  <si>
    <t>Disposición de  tierras y terrenos  (Compromisos presupuestales cancelados vigencia anterior)</t>
  </si>
  <si>
    <t>Disposición de  tierras y terrenos  (Reintegros de vigencias anteriores)</t>
  </si>
  <si>
    <t>Disposición de recursos biológicos no cultivados (vigencia actual)</t>
  </si>
  <si>
    <t>Disposición de recursos biológicos no cultivados (vigencia anterior)</t>
  </si>
  <si>
    <t>Disposición de recursos biológicos no cultivados (Rendimientos Financieros)</t>
  </si>
  <si>
    <t>Disposición de recursos biológicos no cultivadosjes  (Intereses por mora)</t>
  </si>
  <si>
    <t>Disposición de recursos biológicos no cultivados  (Recuperación de Cartera)</t>
  </si>
  <si>
    <t>Disposición de recursos biológicos no cultivados  (Cancelación de Reservas vigencia anterior)</t>
  </si>
  <si>
    <t>Disposición de recursos biológicos no cultivados (Mayores ingresos no aforeados de la vigencia Anterior)</t>
  </si>
  <si>
    <t>Disposición de recursos biológicos no cultivados  (Excedentes de apropiación de gastos vigencia anterior)</t>
  </si>
  <si>
    <t>Disposición de recursos biológicos no cultivados  (Saldos no Ejecutados de Contratos ó Convenios de vigencias anteriores)</t>
  </si>
  <si>
    <t>Disposición de recursos biológicos no cultivados  (Compromisos presupuestales cancelados vigencia anterior)</t>
  </si>
  <si>
    <t>Disposición de recursos biológicos no cultivados  (Reintegros de vigencias anteriores)</t>
  </si>
  <si>
    <t>Sociedades de economía mixta (vigencia actual)</t>
  </si>
  <si>
    <t>Sociedades de economía mixta (vigencia anterior)</t>
  </si>
  <si>
    <t>Sociedades de economía mixta (Rendimientos Financieros)</t>
  </si>
  <si>
    <t>Sociedades de economía mixta  (Intereses por mora)</t>
  </si>
  <si>
    <t>Sociedades de economía mixta  (Recuperación de Cartera)</t>
  </si>
  <si>
    <t>Sociedades de economía mixta  (Cancelación de Reservas vigencia anterior)</t>
  </si>
  <si>
    <t>Sociedades de economía mixta (Mayores ingresos no aforeados de la vigencia Anterior)</t>
  </si>
  <si>
    <t>Sociedades de economía mixta  (Excedentes de apropiación de gastos vigencia anterior)</t>
  </si>
  <si>
    <t>Sociedades de economía mixta  (Saldos no Ejecutados de Contratos ó Convenios de vigencias anteriores)</t>
  </si>
  <si>
    <t>Sociedades de economía mixta  (Compromisos presupuestales cancelados vigencia anterior)</t>
  </si>
  <si>
    <t>Sociedades de economía mixta  (Reintegros de vigencias anteriores)</t>
  </si>
  <si>
    <t>Inversiones patrimoniales no controladas (vigencia actual)</t>
  </si>
  <si>
    <t>Inversiones patrimoniales no controladas (vigencia anterior)</t>
  </si>
  <si>
    <t>Inversiones patrimoniales no controladas (Rendimientos Financieros)</t>
  </si>
  <si>
    <t>Inversiones patrimoniales no controladasjes  (Intereses por mora)</t>
  </si>
  <si>
    <t>Inversiones patrimoniales no controladas  (Recuperación de Cartera)</t>
  </si>
  <si>
    <t>Inversiones patrimoniales no controladas  (Cancelación de Reservas vigencia anterior)</t>
  </si>
  <si>
    <t>Inversiones patrimoniales no controladas (Mayores ingresos no aforeados de la vigencia Anterior)</t>
  </si>
  <si>
    <t>Inversiones patrimoniales no controladas  (Excedentes de apropiación de gastos vigencia anterior)</t>
  </si>
  <si>
    <t>Inversiones patrimoniales no controladas  (Saldos no Ejecutados de Contratos ó Convenios de vigencias anteriores)</t>
  </si>
  <si>
    <t>Inversiones patrimoniales no controladas  (Compromisos presupuestales cancelados vigencia anterior)</t>
  </si>
  <si>
    <t>Inversiones patrimoniales no controladas  (Reintegros de vigencias anteriores)</t>
  </si>
  <si>
    <t>Bancos comerciales (vigencia actual)</t>
  </si>
  <si>
    <t>Bancos comerciales (vigencia anterior)</t>
  </si>
  <si>
    <t>Bancos comerciales (Rendimientos Financieros)</t>
  </si>
  <si>
    <t>Bancos comerciales  (Intereses por mora)</t>
  </si>
  <si>
    <t>Bancos comerciales  (Recuperación de Cartera)</t>
  </si>
  <si>
    <t>Bancos comerciales  (Cancelación de Reservas vigencia anterior)</t>
  </si>
  <si>
    <t>Bancos comerciales (Mayores ingresos no aforeados de la vigencia Anterior)</t>
  </si>
  <si>
    <t>Bancos comerciales  (Excedentes de apropiación de gastos vigencia anterior)</t>
  </si>
  <si>
    <t>Bancos comerciales  (Saldos no Ejecutados de Contratos ó Convenios de vigencias anteriores)</t>
  </si>
  <si>
    <t>Bancos comerciales  (Compromisos presupuestales cancelados vigencia anterior)</t>
  </si>
  <si>
    <t>Bancos comerciales  (Reintegros de vigencias anteriores)</t>
  </si>
  <si>
    <t>Entidades de fomento (vigencia actual)</t>
  </si>
  <si>
    <t>Entidades de fomento (vigencia anterior)</t>
  </si>
  <si>
    <t>Entidades de fomento (Rendimientos Financieros)</t>
  </si>
  <si>
    <t>Entidades de fomento  (Intereses por mora)</t>
  </si>
  <si>
    <t>Entidades de fomento  (Recuperación de Cartera)</t>
  </si>
  <si>
    <t>Entidades de fomento  (Cancelación de Reservas vigencia anterior)</t>
  </si>
  <si>
    <t>Entidades de fomento (Mayores ingresos no aforeados de la vigencia Anterior)</t>
  </si>
  <si>
    <t>Entidades de fomento  (Excedentes de apropiación de gastos vigencia anterior)</t>
  </si>
  <si>
    <t>Entidades de fomento  (Saldos no Ejecutados de Contratos ó Convenios de vigencias anteriores)</t>
  </si>
  <si>
    <t>Entidades de fomento  (Compromisos presupuestales cancelados vigencia anterior)</t>
  </si>
  <si>
    <t>Entidades de fomento  (Reintegros de vigencias anteriores)</t>
  </si>
  <si>
    <t>Gobiernos (vigencia actual)</t>
  </si>
  <si>
    <t>Gobiernos (vigencia anterior)</t>
  </si>
  <si>
    <t>Gobiernos (Rendimientos Financieros)</t>
  </si>
  <si>
    <t>Gobiernosjes  (Intereses por mora)</t>
  </si>
  <si>
    <t>Gobiernos  (Recuperación de Cartera)</t>
  </si>
  <si>
    <t>Gobiernos  (Cancelación de Reservas vigencia anterior)</t>
  </si>
  <si>
    <t>Gobiernos (Mayores ingresos no aforeados de la vigencia Anterior)</t>
  </si>
  <si>
    <t>Gobiernos  (Excedentes de apropiación de gastos vigencia anterior)</t>
  </si>
  <si>
    <t>Gobiernos  (Saldos no Ejecutados de Contratos ó Convenios de vigencias anteriores)</t>
  </si>
  <si>
    <t>Gobiernos  (Compromisos presupuestales cancelados vigencia anterior)</t>
  </si>
  <si>
    <t>Gobiernos  (Reintegros de vigencias anteriores)</t>
  </si>
  <si>
    <t>Organismos multilaterales (vigencia actual)</t>
  </si>
  <si>
    <t>Organismos multilaterales (vigencia anterior)</t>
  </si>
  <si>
    <t>Organismos multilaterales (Rendimientos Financieros)</t>
  </si>
  <si>
    <t>Organismos multilateralesjes  (Intereses por mora)</t>
  </si>
  <si>
    <t>Organismos multilaterales  (Recuperación de Cartera)</t>
  </si>
  <si>
    <t>Organismos multilaterales  (Cancelación de Reservas vigencia anterior)</t>
  </si>
  <si>
    <t>Organismos multilaterales (Mayores ingresos no aforeados de la vigencia Anterior)</t>
  </si>
  <si>
    <t>Organismos multilaterales  (Excedentes de apropiación de gastos vigencia anterior)</t>
  </si>
  <si>
    <t>Organismos multilaterales  (Saldos no Ejecutados de Contratos ó Convenios de vigencias anteriores)</t>
  </si>
  <si>
    <t>Organismos multilaterales  (Compromisos presupuestales cancelados vigencia anterior)</t>
  </si>
  <si>
    <t>Organismos multilaterales  (Reintegros de vigencias anteriores)</t>
  </si>
  <si>
    <t>Otras instituciones financieras (vigencia actual)</t>
  </si>
  <si>
    <t>Otras instituciones financieras (vigencia anterior)</t>
  </si>
  <si>
    <t>Otras instituciones financieras (Rendimientos Financieros)</t>
  </si>
  <si>
    <t>Otras instituciones financieras  (Intereses por mora)</t>
  </si>
  <si>
    <t>Otras instituciones financieras  (Recuperación de Cartera)</t>
  </si>
  <si>
    <t>Otras instituciones financieras  (Cancelación de Reservas vigencia anterior)</t>
  </si>
  <si>
    <t>Otras instituciones financieras (Mayores ingresos no aforeados de la vigencia Anterior)</t>
  </si>
  <si>
    <t>Otras instituciones financieras  (Excedentes de apropiación de gastos vigencia anterior)</t>
  </si>
  <si>
    <t>Otras instituciones financieras  (Saldos no Ejecutados de Contratos ó Convenios de vigencias anteriores)</t>
  </si>
  <si>
    <t>Otras instituciones financieras  (Compromisos presupuestales cancelados vigencia anterior)</t>
  </si>
  <si>
    <t>Otras instituciones financieras  (Reintegros de vigencias anteriores)</t>
  </si>
  <si>
    <t>No Condicionadas a la adquisición de un activo  (vigencia actual)</t>
  </si>
  <si>
    <t>No Condicionadas a la adquisición de un activo  (vigencia anterior)</t>
  </si>
  <si>
    <t>No Condicionadas a la adquisición de un activo  (Rendimientos Financieros)</t>
  </si>
  <si>
    <t>No Condicionadas a la adquisición de un activo   (Intereses por mora)</t>
  </si>
  <si>
    <t>No Condicionadas a la adquisición de un activo   (Recuperación de Cartera)</t>
  </si>
  <si>
    <t>No Condicionadas a la adquisición de un activo   (Cancelación de Reservas vigencia anterior)</t>
  </si>
  <si>
    <t>No Condicionadas a la adquisición de un activo  (Mayores ingresos no aforeados de la vigencia Anterior)</t>
  </si>
  <si>
    <t>No Condicionadas a la adquisición de un activo   (Excedentes de apropiación de gastos vigencia anterior)</t>
  </si>
  <si>
    <t>No Condicionadas a la adquisición de un activo   (Saldos no Ejecutados de Contratos ó Convenios de vigencias anteriores)</t>
  </si>
  <si>
    <t>No Condicionadas a la adquisición de un activo   (Compromisos presupuestales cancelados vigencia anterior)</t>
  </si>
  <si>
    <t>No Condicionadas a la adquisición de un activo   (Reintegros de vigencias anteriores)</t>
  </si>
  <si>
    <t>Condicionadas a la adquisición de un activo   (Intereses por mora)</t>
  </si>
  <si>
    <t>No Condicionadas a la adquisición de un activo    (Intereses por mora)</t>
  </si>
  <si>
    <t>Condicionadas a la adquisición de un activo    (vigencia actual)</t>
  </si>
  <si>
    <t>Condicionadas a la adquisición de un activo    (vigencia anterior)</t>
  </si>
  <si>
    <t>Condicionadas a la adquisición de un activo    (Rendimientos Financieros)</t>
  </si>
  <si>
    <t>Condicionadas a la adquisición de un activo     (Intereses por mora)</t>
  </si>
  <si>
    <t>Condicionadas a la adquisición de un activo     (Recuperación de Cartera)</t>
  </si>
  <si>
    <t>Condicionadas a la adquisición de un activo     (Cancelación de Reservas vigencia anterior)</t>
  </si>
  <si>
    <t>Condicionadas a la adquisición de un activo    (Mayores ingresos no aforeados de la vigencia Anterior)</t>
  </si>
  <si>
    <t>Condicionadas a la adquisición de un activo     (Excedentes de apropiación de gastos vigencia anterior)</t>
  </si>
  <si>
    <t>Condicionadas a la adquisición de un activo     (Saldos no Ejecutados de Contratos ó Convenios de vigencias anteriores)</t>
  </si>
  <si>
    <t>Condicionadas a la adquisición de un activo     (Compromisos presupuestales cancelados vigencia anterior)</t>
  </si>
  <si>
    <t>Condicionadas a la adquisición de un activo     (Reintegros de vigencias anteriores)</t>
  </si>
  <si>
    <t>Banca Comercial (vigencia actual)</t>
  </si>
  <si>
    <t>Banca Comercial (vigencia anterior)</t>
  </si>
  <si>
    <t>Banca Comercial (Rendimientos Financieros)</t>
  </si>
  <si>
    <t>Banca Comercial  (Intereses por mora)</t>
  </si>
  <si>
    <t>Banca Comercial  (Recuperación de Cartera)</t>
  </si>
  <si>
    <t>Banca Comercial  (Cancelación de Reservas vigencia anterior)</t>
  </si>
  <si>
    <t>Banca Comercial (Mayores ingresos no aforeados de la vigencia Anterior)</t>
  </si>
  <si>
    <t>Banca Comercial  (Excedentes de apropiación de gastos vigencia anterior)</t>
  </si>
  <si>
    <t>Banca Comercial  (Saldos no Ejecutados de Contratos ó Convenios de vigencias anteriores)</t>
  </si>
  <si>
    <t>Banca Comercial  (Compromisos presupuestales cancelados vigencia anterior)</t>
  </si>
  <si>
    <t>Banca Comercial  (Reintegros de vigencias anteriores)</t>
  </si>
  <si>
    <t>Nacion (vigencia actual)</t>
  </si>
  <si>
    <t>Nacion (vigencia anterior)</t>
  </si>
  <si>
    <t>Nacion (Rendimientos Financieros)</t>
  </si>
  <si>
    <t>Nacion  (Intereses por mora)</t>
  </si>
  <si>
    <t>Nacion  (Recuperación de Cartera)</t>
  </si>
  <si>
    <t>Nacion  (Cancelación de Reservas vigencia anterior)</t>
  </si>
  <si>
    <t>Nacion (Mayores ingresos no aforeados de la vigencia Anterior)</t>
  </si>
  <si>
    <t>Nacion  (Excedentes de apropiación de gastos vigencia anterior)</t>
  </si>
  <si>
    <t>Nacion  (Saldos no Ejecutados de Contratos ó Convenios de vigencias anteriores)</t>
  </si>
  <si>
    <t>Nacion  (Compromisos presupuestales cancelados vigencia anterior)</t>
  </si>
  <si>
    <t>Nacion  (Reintegros de vigencias anteriores)</t>
  </si>
  <si>
    <t>Banca de fomento (vigencia actual)</t>
  </si>
  <si>
    <t>Banca de fomento (vigencia anterior)</t>
  </si>
  <si>
    <t>Banca de fomento (Rendimientos Financieros)</t>
  </si>
  <si>
    <t>Banca de fomento  (Intereses por mora)</t>
  </si>
  <si>
    <t>Banca de fomento  (Recuperación de Cartera)</t>
  </si>
  <si>
    <t>Banca de fomento  (Cancelación de Reservas vigencia anterior)</t>
  </si>
  <si>
    <t>Banca de fomento (Mayores ingresos no aforeados de la vigencia Anterior)</t>
  </si>
  <si>
    <t>Banca de fomento  (Excedentes de apropiación de gastos vigencia anterior)</t>
  </si>
  <si>
    <t>Banca de fomento  (Saldos no Ejecutados de Contratos ó Convenios de vigencias anteriores)</t>
  </si>
  <si>
    <t>Banca de fomento  (Compromisos presupuestales cancelados vigencia anterior)</t>
  </si>
  <si>
    <t>Banca de fomento  (Reintegros de vigencias anteriores)</t>
  </si>
  <si>
    <t>Institutos de Desarrollo Departamental y/o Municipal (vigencia actual)</t>
  </si>
  <si>
    <t>Institutos de Desarrollo Departamental y/o Municipal (vigencia anterior)</t>
  </si>
  <si>
    <t>Institutos de Desarrollo Departamental y/o Municipal (Rendimientos Financieros)</t>
  </si>
  <si>
    <t>Institutos de Desarrollo Departamental y/o Municipal  (Intereses por mora)</t>
  </si>
  <si>
    <t>Institutos de Desarrollo Departamental y/o Municipal  (Recuperación de Cartera)</t>
  </si>
  <si>
    <t>Institutos de Desarrollo Departamental y/o Municipal  (Cancelación de Reservas vigencia anterior)</t>
  </si>
  <si>
    <t>Institutos de Desarrollo Departamental y/o Municipal (Mayores ingresos no aforeados de la vigencia Anterior)</t>
  </si>
  <si>
    <t>Institutos de Desarrollo Departamental y/o Municipal  (Excedentes de apropiación de gastos vigencia anterior)</t>
  </si>
  <si>
    <t>Institutos de Desarrollo Departamental y/o Municipal  (Saldos no Ejecutados de Contratos ó Convenios de vigencias anteriores)</t>
  </si>
  <si>
    <t>Institutos de Desarrollo Departamental y/o Municipal  (Compromisos presupuestales cancelados vigencia anterior)</t>
  </si>
  <si>
    <t>Institutos de Desarrollo Departamental y/o Municipal  (Reintegros de vigencias anteriores)</t>
  </si>
  <si>
    <t>Banco de la República (vigencia actual)</t>
  </si>
  <si>
    <t>Banco de la República (vigencia anterior)</t>
  </si>
  <si>
    <t>Banco de la República (Rendimientos Financieros)</t>
  </si>
  <si>
    <t>Banco de la República  (Intereses por mora)</t>
  </si>
  <si>
    <t>Banco de la República  (Recuperación de Cartera)</t>
  </si>
  <si>
    <t>Banco de la República  (Cancelación de Reservas vigencia anterior)</t>
  </si>
  <si>
    <t>Banco de la República (Mayores ingresos no aforeados de la vigencia Anterior)</t>
  </si>
  <si>
    <t>Banco de la República  (Excedentes de apropiación de gastos vigencia anterior)</t>
  </si>
  <si>
    <t>Banco de la República  (Saldos no Ejecutados de Contratos ó Convenios de vigencias anteriores)</t>
  </si>
  <si>
    <t>Banco de la República  (Compromisos presupuestales cancelados vigencia anterior)</t>
  </si>
  <si>
    <t>Banco de la República  (Reintegros de vigencias anteriores)</t>
  </si>
  <si>
    <t>Otras entidades no financieras (vigencia actual)</t>
  </si>
  <si>
    <t>Otras entidades no financieras (vigencia anterior)</t>
  </si>
  <si>
    <t>Otras entidades no financieras (Rendimientos Financieros)</t>
  </si>
  <si>
    <t>Otras entidades no financieras  (Intereses por mora)</t>
  </si>
  <si>
    <t>Otras entidades no financieras  (Recuperación de Cartera)</t>
  </si>
  <si>
    <t>Otras entidades no financieras  (Cancelación de Reservas vigencia anterior)</t>
  </si>
  <si>
    <t>Otras entidades no financieras (Mayores ingresos no aforeados de la vigencia Anterior)</t>
  </si>
  <si>
    <t>Otras entidades no financieras  (Excedentes de apropiación de gastos vigencia anterior)</t>
  </si>
  <si>
    <t>Otras entidades no financieras  (Saldos no Ejecutados de Contratos ó Convenios de vigencias anteriores)</t>
  </si>
  <si>
    <t>Otras entidades no financieras  (Compromisos presupuestales cancelados vigencia anterior)</t>
  </si>
  <si>
    <t>Otras entidades no financieras  (Reintegros de vigencias anteriores)</t>
  </si>
  <si>
    <t>Aportes Fondo de Compensación Ambiental -FCA</t>
  </si>
  <si>
    <t>Tasa por el uso del aguajes  (Intereses por mora)</t>
  </si>
  <si>
    <t>Tasa por el uso del agua  (Recuperación de Cartera)</t>
  </si>
  <si>
    <t>Tasa por el uso del agua  (Cancelación de Reservas vigencia anterior)</t>
  </si>
  <si>
    <t>Tasa por el uso del agua (Mayores ingresos no aforeados de la vigencia Anterior)</t>
  </si>
  <si>
    <t>Tasa por el uso del agua  (Excedentes de apropiación de gastos vigencia anterior)</t>
  </si>
  <si>
    <t>Tasa por el uso del agua  (Saldos no Ejecutados de Contratos ó Convenios de vigencias anteriores)</t>
  </si>
  <si>
    <t>Tasa por el uso del agua  (Compromisos presupuestales cancelados vigencia anterior)</t>
  </si>
  <si>
    <t>Tasa por el uso del agua  (Reintegros de vigencias anteriores)</t>
  </si>
  <si>
    <t>Recursos de terceros</t>
  </si>
  <si>
    <t>Recursos de terceros en administración</t>
  </si>
  <si>
    <t>Comprende los recursos percibidos por algunos órganos del PGN, en virtud de la delegación de la función de administración de estos por parte de otra entidad de gobierno o particular no vinculado a la entidad. Los recursos de terceros en administración no constituyen un ingreso para la entidad administradora, en tanto, la propiedad de estos y su destinación están a cargo de la entidad que los entrega</t>
  </si>
  <si>
    <t>Son los recursos que se consignan transitoriamente en una entidad del PGSP, porque la norma centraliza su recaudo en esa unidad, mientras se entregan a su beneficiario legal.</t>
  </si>
  <si>
    <t>Recursos de terceros en administración  (vigencia actual)</t>
  </si>
  <si>
    <t>Recursos de terceros en administración  (vigencia anterior)</t>
  </si>
  <si>
    <t>Recursos de terceros en administración  (Rendimientos Financieros)</t>
  </si>
  <si>
    <t>Recursos de terceros en administración jes  (Intereses por mora)</t>
  </si>
  <si>
    <t>Recursos de terceros en administración   (Recuperación de Cartera)</t>
  </si>
  <si>
    <t>Recursos de terceros en administración   (Cancelación de Reservas vigencia anterior)</t>
  </si>
  <si>
    <t>Recursos de terceros en administración  (Mayores ingresos no aforeados de la vigencia Anterior)</t>
  </si>
  <si>
    <t>Recursos de terceros en administración   (Excedentes de apropiación de gastos vigencia anterior)</t>
  </si>
  <si>
    <t>Recursos de terceros en administración   (Saldos no Ejecutados de Contratos ó Convenios de vigencias anteriores)</t>
  </si>
  <si>
    <t>Recursos de terceros en administración   (Compromisos presupuestales cancelados vigencia anterior)</t>
  </si>
  <si>
    <t>Recursos de terceros en administración   (Reintegros de vigencias anteriores)</t>
  </si>
  <si>
    <t>16A
OBLIGACIONES DE LA RESERVA
$</t>
  </si>
  <si>
    <t>16B
PORCENTAJE DE AVANCE EJECUCIÓN DE LA RESERVA
$
(16A/16)</t>
  </si>
  <si>
    <t>(4A)
AVANCE DEL REZAGO DE LA META
FISICA 
(Según unidad de medida y Periodo Evaluado)</t>
  </si>
  <si>
    <t>(4)
AVANCE DE LA META
FISICA  
(Según unidad de medida y Periodo Evaluado)</t>
  </si>
  <si>
    <t>Programa No 1. Planificacion, Ordenamiento Ambiental y Territorial</t>
  </si>
  <si>
    <t>Proyecto No 1.1.Planificación, Ordenamiento e Información Ambiental Territorial (1)</t>
  </si>
  <si>
    <t>Formulación y ajuste de los POMCAS de las subzonas hidrográficas y niveles subsiguientes y Planes de Manejo de Microcuencas (PMM)</t>
  </si>
  <si>
    <t>%</t>
  </si>
  <si>
    <t>Seguimiento a la ejecución de los POMCAS, PMA y PMM formulados y Planes de manejo ambiental de Areas Protegidas</t>
  </si>
  <si>
    <t>Asesoría a los municipios en la revisión y ajuste de los POT e incorporación de los determinantes ambientales</t>
  </si>
  <si>
    <t>Realizar  seguimiento a los EOT, PBOT Y POT adoptados y concertados</t>
  </si>
  <si>
    <t>Servicios de Información Geográfica y ambiental como fuente de conocimiento para la toma de decisiones.</t>
  </si>
  <si>
    <t>Acotamiento de Rondas Hídricas de las corrientes priorizadas en la jurisdicción de Corpoguajira</t>
  </si>
  <si>
    <t>Delimitación y zonificación del páramo seco Cerro Pintao y los humedales priorizados en Corpoguajira.</t>
  </si>
  <si>
    <t>Asesoria y Apoyo en los procesos de Planificación e implementación de las Areas Protegidas en la Corporación</t>
  </si>
  <si>
    <t>Has</t>
  </si>
  <si>
    <t>Operación, integración, actualización y administración del Sistema de Información Ambiental. (SIAC)</t>
  </si>
  <si>
    <t>Proyecto No 1.2. Gestión del Riesgo y adaptación al Cambio Climático (2)</t>
  </si>
  <si>
    <r>
      <t xml:space="preserve">Asesoría a </t>
    </r>
    <r>
      <rPr>
        <sz val="8"/>
        <color rgb="FF000000"/>
        <rFont val="Calibri"/>
        <family val="2"/>
        <scheme val="minor"/>
      </rPr>
      <t>los entes territoriales en la inclusión de acciones de cambio climático en los instrumentos de planificación territorial.</t>
    </r>
  </si>
  <si>
    <t>Orientar la implementación de iniciativas en el departamento de La Guajira en adaptación al cambio climático en el marco del PIC</t>
  </si>
  <si>
    <t>#</t>
  </si>
  <si>
    <t>Sistema Regional implementado en la Corporación</t>
  </si>
  <si>
    <t>Realización de capacitaciones, difusión de conocimientos en cambio climático a la comunidad en general, basado en la  estrategia de educación, formación y sensibilización a públicos.</t>
  </si>
  <si>
    <t>Apoyar y/o implementar estrategias para la reducción de emisiones sectoriales con respecto al escenario de referencia nacional</t>
  </si>
  <si>
    <t>Socialización del PIC con el fin de que las comunidades conozcan los recursos y las acciones frente al cambio climatico</t>
  </si>
  <si>
    <t>Ejecución de acciones conjuntas en beneficio de la región, el país y las instituciones miembro del Nodo Regional de Cambio Climático Caribe e Insular, en el ámbito del cambio climático.</t>
  </si>
  <si>
    <t>Realización de capacitaciones, difusión de conocimientos en gestión del riesgo, a CMGRD, CDGRD, sectores productivos y la comunidad en general.</t>
  </si>
  <si>
    <t>Asistencia técnica y seguimiento a los entes territoriales en la inclusión de la gestión del riesgo en los planes de ordenamiento del territorio.</t>
  </si>
  <si>
    <t>Realización de estudios para el fortalecimiento de la gestión de riesgos de desastres en el departamento.</t>
  </si>
  <si>
    <t>Seguimiento y evaluación con el fin de generar conocimiento para la gestión de riesgo y el cambio climático.</t>
  </si>
  <si>
    <t>Implementación de mecanismos para el monitoreo y seguimiento a los riesgos identificados, manteniendo operativo el SAT</t>
  </si>
  <si>
    <t xml:space="preserve">Mantener actualizada la informacion de los proyectos a traves de las diferentes plataformas </t>
  </si>
  <si>
    <t>Apoyar en la formulación y gestión de los proyectos  ambientales para las diferentes fuentes de financiacion  y Cooperación internacional.</t>
  </si>
  <si>
    <t>Realizar el seguimiento, control y evaluación de los proyectos corporativos y de inversion encaminados a mejorar el ambiente y el desarrollo sostenible</t>
  </si>
  <si>
    <t>Realizar Capacitación en formulación y/o seguimiento de proyectos de inversión publica</t>
  </si>
  <si>
    <t>Población objetivo satisfecha con la gestión ambiental, que evidencia mejora en el desempeño institucional por parte de la Corporación.</t>
  </si>
  <si>
    <t xml:space="preserve">Agencia de Desarrollo Rural – ADR conjuntamente con la Alcaldia de Maicao y Coorpoguajira realizara una mesa técnica para presentar metodología de formulación de proyecto de agua para otros usos, con base en la oferta actual. </t>
  </si>
  <si>
    <t>Programa No 2. Gestión integral del Recurso Hídrico</t>
  </si>
  <si>
    <t>Población de comunidades indígenas y negras beneficiadas con obras de infraestructura para captación y/o almacenamiento de agua</t>
  </si>
  <si>
    <t>Informes de construcción de Sistemas de Abastecimiento comunidades indigenas de los municipios de Riohacha y Maicao en el periodo 2018 2020</t>
  </si>
  <si>
    <t>Inventario de soluciones de agua elaborado</t>
  </si>
  <si>
    <t>Cruce de bases de datos que manejan la Unidad Nacional de Gestión de Riesgo, Corpoguajira, Agencia de Desarrollo Rural, comunidades Wayuu y Viceministerio de agua, para identificar Microacueducto y pozos ubicado dentro de las comunidades.</t>
  </si>
  <si>
    <t>Formulación de los planes de manejo de acuíferos</t>
  </si>
  <si>
    <t>Ejecución de los planes de manejo de acuíferos</t>
  </si>
  <si>
    <t>Formulación y adopción de los planes de ordenamiento del recurso hídrico en cuerpos de agua</t>
  </si>
  <si>
    <t>Reglamentación del uso de las aguas en cuerpos de agua</t>
  </si>
  <si>
    <t>Ejecución de los planes de ordenamiento del recurso hídrico.</t>
  </si>
  <si>
    <t xml:space="preserve">Socializar en territorio los instrumentos de planificación de aguas superficiales y subterráneas, con el fin de que las comunidades conozcan las condiciones reales de los recursos en el territorio y las acciones que deben ser realizadas por cada entidad. </t>
  </si>
  <si>
    <t>Construcción de obras de control de inundaciones, de erosión, de caudales, de escorrentía, rectificación y manejo de cauces, obras de geotecnia, regulación de cauces y corrientes de agua y demás obras para el manejo de aguas.</t>
  </si>
  <si>
    <t>Kms</t>
  </si>
  <si>
    <t>Realización de Estudio Regional del Agua</t>
  </si>
  <si>
    <t>Corpoguajira debe contratar un estudio independiente para establecer si hay una relación entre las actividad minera a gran escala y la escasez de agua potable para las comunidadaes Wayuu</t>
  </si>
  <si>
    <t>Determinar Carga Contaminante para Cobro de Tasa Retributiva</t>
  </si>
  <si>
    <t>Fortalecer la vigilancia de la calidad del recurso hídrico</t>
  </si>
  <si>
    <t>Realizar un plan de monitoreo del estado de la calidad y cantidad del agua superficial y subterránea en las comunidades wayuu del Municipio de Maicao</t>
  </si>
  <si>
    <t>Monitoreo de Vertimientos Líquidos</t>
  </si>
  <si>
    <t>Generar reportes confiables de calidad del recurso hídrico y las cargas contaminantes vertidas en La Guajira</t>
  </si>
  <si>
    <t>Programa No 3. Bosques, Biodiversidad y Servicios Ecosistémicos.</t>
  </si>
  <si>
    <t>Ejecución de Planes de Ordenación y Manejo de Cuencas (POMCAS) y Planes de Manejo de Microcuencas (PMM)</t>
  </si>
  <si>
    <t>Realización de estudio biofísico y socioeconómico para la declaratoria de áreas protegidas e inscripción en el RUNAP</t>
  </si>
  <si>
    <t>Ejecución de planes de manejo en áreas protegidas.</t>
  </si>
  <si>
    <t>Consolidar el Sinap</t>
  </si>
  <si>
    <t>Intervenciones integrales en áreas ambientales estratégicas</t>
  </si>
  <si>
    <t>Suscribir alianzas para la gestión de las áreas protegidas a nivel regional (SIRAP Caribe)</t>
  </si>
  <si>
    <t>Conformación del SIDAP y SILAP La Guajira</t>
  </si>
  <si>
    <t xml:space="preserve">Participación en la Formulación del POMIUAC en el marco de la Unidad Ambiental Costera correspondiente a su jurisdicción </t>
  </si>
  <si>
    <t>Diagnóstico y Zonificación de los Manglares.</t>
  </si>
  <si>
    <t>Declaratoria e inscripción en el RUNAP del DRMI de Bahía Honda y Bahía Hondita, formulación y adopción del Plan de Manejo</t>
  </si>
  <si>
    <t>Rehabilitación de manglares</t>
  </si>
  <si>
    <t>Manejo de ecosistemas marinos y costeros.</t>
  </si>
  <si>
    <t>Zonificación de ecosistemas de playa</t>
  </si>
  <si>
    <t>Desarrollo de medidas de adaptación de ecosistemas para la protección costera en un clima cambiante</t>
  </si>
  <si>
    <t>Construcción de obras de protección en la línea de costa como medida de mitigación contra la erosión costera</t>
  </si>
  <si>
    <t>Ejecución de acciones de Programas de Conservación y/o Planes de Acción de especies amenazadas de fauna marino-costeras y de recursos hidrobiológicos</t>
  </si>
  <si>
    <t>Ejecución de acciones del Plan de Manejo de la especie invasora Pez León,  y de Medidas de Manejo del Camarón jumbo</t>
  </si>
  <si>
    <t>Iniciativas de carbono azul para el uso sostenible de los manglares</t>
  </si>
  <si>
    <t xml:space="preserve">Fortalecimiento del desempeño ambiental de los sectores productivos. </t>
  </si>
  <si>
    <t>Ejecución de planes de manejo de especies amenazadas de fauna silvestre, recursos forestal y de recursos hidrobiológicos.</t>
  </si>
  <si>
    <t xml:space="preserve">Ejecución de planes de manejo de especies invasoras de recursos hidrobiológicos. </t>
  </si>
  <si>
    <t xml:space="preserve">Ajuste y adopción del Plan General de Ordenación Forestal </t>
  </si>
  <si>
    <t>Implementación del Plan General de Ordenación Forestal adoptado.</t>
  </si>
  <si>
    <t>Realizar monitoreos de cobertura de ecosisitemas estrategicos (bosque humedo y bosque seco)</t>
  </si>
  <si>
    <t xml:space="preserve">Realizar monitoreo de la biodiversidad en la jurisdicción </t>
  </si>
  <si>
    <t xml:space="preserve">Realizar talleres de sensibilización sobre la conservación del bosque seco </t>
  </si>
  <si>
    <t>Restauración, rehabilitación y reforestación de ecosistemas. (2.962 Has).</t>
  </si>
  <si>
    <t>has</t>
  </si>
  <si>
    <t>Realizar  acciones de restauración de suelos degradados</t>
  </si>
  <si>
    <t>implementar herramientas de manejo de paisaje (sistemas silvipastoriles y agroforestales)</t>
  </si>
  <si>
    <t>Formulación  del proyecto "Cuantificación los servicios de regulación en almacenamiento de carbono, generación de microclima y ciclaje de nutrientes en sistemas agroforestales del departamento"</t>
  </si>
  <si>
    <t>Formular el Plan Departamental de Negocios verdes</t>
  </si>
  <si>
    <t>Implementación de estrategias de marketing territorial para el apoyo a los negocios verdes</t>
  </si>
  <si>
    <t>Conformación de ventanillas/Nodo de negocios verdes o realización de alianzas o acuerdos con otras instituciones para su implementación.</t>
  </si>
  <si>
    <t>Fortalecimiento a unidades productivas a través de PSA o incentivos a la conservación</t>
  </si>
  <si>
    <t>Ha</t>
  </si>
  <si>
    <t>Identificación y verificación de nuevos negocios verdes</t>
  </si>
  <si>
    <t>Programa No 4. Gestión Ambiental Sectorial y Urbana</t>
  </si>
  <si>
    <t>Jornadas de arborización  urbana y periurbano con especies exoticas y nativas arbustivas mediante la educación y participación ciudadana para su mantenimiento en el espacio público</t>
  </si>
  <si>
    <t>Formulación e implementación de acuerdos locales con actores sociales para la conservación de la biodiversidad de ecosistemas, hábitats o entornos naturales urbanos representados como un sistema socioecológico</t>
  </si>
  <si>
    <t>Asistencia técnica a municipios para la formulación de estrategias para el incremento de la superficie de área verde por habitante</t>
  </si>
  <si>
    <t>Mejorar la  cultura en la generación y reporte de información ambiental urbana por parte de los municipios para evaluar la sostenibilidad ambiental del área urbana.</t>
  </si>
  <si>
    <t>Asistencia técnica a municipios  para adelantar el proceso de identificación de la estructura ecológica urbana.</t>
  </si>
  <si>
    <t>Asistencia técnica a recicladores de oficio y empresas prestadoras del servicio público de aseo para el aprovechamiento de residuos orgánicos e inorgánicos (en especial, plásticos y residuos de envases y empaques).</t>
  </si>
  <si>
    <t>Formular e implementar estrategias de Educación y Participación para la gestión adecuada de sustancias agotadoras de la capa de ozono en el sector agroindustrial</t>
  </si>
  <si>
    <t>Fomento del aprovechamiento, reciclaje y tratamiento  de residuos sólidos en los sectores residencial, institucional y comercial de bienes y servicios.</t>
  </si>
  <si>
    <t>Promover la formalización y fortalecimiento de grupos de recicladores de oficio.</t>
  </si>
  <si>
    <t>Hacer más efectivo  el control a las infracciones realizadas por manejo inadecuado de residuos sólidos en el espacio público.</t>
  </si>
  <si>
    <t>Mejoramiento de la calidad de agua en corrientes superficiales urbanas</t>
  </si>
  <si>
    <t>Socializar el programa de compras públicas sostenibles promoviendo su implementación en las entidades públicas de la jurisdicción de la Corporación.</t>
  </si>
  <si>
    <t xml:space="preserve">Mejorar el manejo y disposición de residuos de posconsumo y RAEE en el departamento de La Guajira. </t>
  </si>
  <si>
    <t>Desarrollar estrategias de formación y sensibilización para promover la apropiación e implementación efectiva de la Política Nacional para la gestión integral de RAEE y el Programa de Posconsumo</t>
  </si>
  <si>
    <t xml:space="preserve">Realizar diagnóstico para evaluar la pertinencia y oportunidades de involucramiento del sector informal en la cadena de gestión de los Residuos de Aparatos Eléctricos y Electrónicos (RAEE). </t>
  </si>
  <si>
    <t>Gestión de los recursos naturales renovables y los problemas ambientales urbanos y sus efectos en la región o regiones vecinas</t>
  </si>
  <si>
    <t>Implementación de estrategias de sensibilización para la prevención, control y manejo de incendios forestales  en los sectores agroindustrial y turismo</t>
  </si>
  <si>
    <t>Desarrollar procesos de capacitación sobre ahorro y uso eficiente de agua y energía,  dirigidos al sector turismo.</t>
  </si>
  <si>
    <t>Implementar estrategias para fomentar la Gobernanza y la Cultura del Agua en el sector agroindustrial,  involucrando a todos los actores del agua.</t>
  </si>
  <si>
    <t>Implementar estrategias para controlar la deforestación, conservar los ecosistemas y prevenir su degradación por parte del sector agroindustrial</t>
  </si>
  <si>
    <t>Asesorar al sector agroindustrial, turismo y de la minería en la implementación de buenas prácticas ambientales y  de producción y consumo sostenible.</t>
  </si>
  <si>
    <t>Elaboración de guías de manejo ambiental en la minería de subsistencia y asesoría para su implementación.</t>
  </si>
  <si>
    <t xml:space="preserve">Ampliar conocimientos  en la aplicación de las Normas Técnicas de Sostenibilidad en el sector turismo, para la protección y conservación de los sitios naturales. </t>
  </si>
  <si>
    <t>Establecer acuerdos con el sector turismo y manufacturero para promover la transformación hacia la economía circular, a través del aprovechamiento  local de plásticos y la gestión de residuos de envases y empaques, principalmente en municipios costeros.</t>
  </si>
  <si>
    <t xml:space="preserve">Establecer acuerdos con el sector agroindustrial, para la gestión integral de los residuos de posconsumo </t>
  </si>
  <si>
    <t>Diseñar e implementar estrategias para la formación y sensibilización ambiental en comunidades costeras,  que contribuyan al adecuado uso de los ecosistemas marinos.</t>
  </si>
  <si>
    <t xml:space="preserve">Acompañamiento en la reconversión hacia sistemas sostenibles de producción. </t>
  </si>
  <si>
    <t>Programa No 5. Educación Ambiental</t>
  </si>
  <si>
    <t>Universalización y resignificación de los PRAE y los PRAU</t>
  </si>
  <si>
    <t>Formación de Formadores en educación ambiental,</t>
  </si>
  <si>
    <t>Arreglo y Fortalecimiento institucionales para la formulación e   institucionalización de los PRAE</t>
  </si>
  <si>
    <t>Formación ambiental en  Economía circular, Recurso hídrico,  Biodiversidad y áreas protegidas, Ordenamiento territorial y ambiental</t>
  </si>
  <si>
    <t xml:space="preserve">Diseñar y ejecutar Estrategia de educación, formación y sensibilización para adaptación y mitigación del cambio climático </t>
  </si>
  <si>
    <t>Diseñar y ejecutar Estrategia de Educación Ambiental para apoyar la implementación de la Estrategia de Entornos Saludables, EES,  enfocada a los entornos hogar y escuelas.</t>
  </si>
  <si>
    <t xml:space="preserve">Servicio social ambiental en instituciones educativas </t>
  </si>
  <si>
    <t>Desarrollar  procesos de investigación sobre educación ambiental</t>
  </si>
  <si>
    <t>Alianza estratégica con la Gobernación de La Guajira para la  formulación y ejecucion de la política departamental de educación ambiental (Plan decenal departamental de Educación Ambiental)</t>
  </si>
  <si>
    <t xml:space="preserve">Formación en educación y gestión ambiental a los miembros de los  CIDEA   </t>
  </si>
  <si>
    <t>Fortalecimiento de los Comités técnicos interinstitucionales de Educación Ambiental-CIDEA municipales  con el objetivo de promover la construcción interinstitucional de apuestas de formación ambiental en los territorios</t>
  </si>
  <si>
    <t>Generar Espacios de intercambio de experiencias en los municipios y  entre  los CIDEA Departamental y municipales.</t>
  </si>
  <si>
    <t xml:space="preserve">Generar Espacios de intercambio para la presentación de investigaciones y acciones ambientales realizadas en instituciones educativas y universidades, en el marco de PRAE y  PRAU .  
</t>
  </si>
  <si>
    <t>Identificar, formular y ejecutar proyectos Ciudadanos de Educación Ambiental (PROCEDA)</t>
  </si>
  <si>
    <t>Diseñar y desarrollar procesos de Formación ambiental y sensibilización dirigidos a diferentes grupos poblacionales para la gestión y transformación de conflictos socioambientales</t>
  </si>
  <si>
    <t>Desarrollar y articular procesos de  formación ambiental  con estrategias de educación ambiental  de la Fuerza pública, en coordinación con la subdirección de autoridad ambiental</t>
  </si>
  <si>
    <t xml:space="preserve">Fortalecer procesos de promotoría ambiental, orientando  y articulando la conformación y ratificación de grupos de voluntariados (Red Jóvenes de Ambiente) en acciones de educación ambiental y participación ciudadana </t>
  </si>
  <si>
    <t>Fortalecer  sistemas de información ambiental - Link de educación ambiental en página de Corpoguajira</t>
  </si>
  <si>
    <t>Formular e implementar  estrategia de comunicación en materia de educación ambiental</t>
  </si>
  <si>
    <t xml:space="preserve">Fortalecer  sistemas de información ambiental - Información cuantitativa y cualitativa sobre acciones de educación ambiental y gestión ambiental sectorial urbana, consolidada, espacializada y sistematizada </t>
  </si>
  <si>
    <t>Fortalecer  sistemas de información ambiental - Bibliotecas municipales o institucionales  fortalecidas con información  ambiental</t>
  </si>
  <si>
    <t>Formular y ejecutar estrategia para desarrollar  el enfoque diferencial etario y de   género en los programas, procesos y acciones definidas para la implementación de la educación ambiental en su jurisdicción.</t>
  </si>
  <si>
    <t>Formular y ejecutar estrategia para desarrollar  el enfoque diferencial étnico en los programas, procesos y acciones definidas para la implementación de la educación ambiental en su jurisdicción,  dirigido a grupos indígenas y afrodescendientes</t>
  </si>
  <si>
    <t>Desarrollo de estrategias de gestión ambiental participativa con comunidades y minorías étnicas</t>
  </si>
  <si>
    <t>Formulación e implementación de una estrategia pedagógica para la protección y conservación del ambiente desde la cosmovisión de las comunidades indígenas y negras.</t>
  </si>
  <si>
    <t>Focalizar los programas de educación ambiental sobre las necesidades identificadas por la comunidad Wayuu.</t>
  </si>
  <si>
    <t>Focalizar un programa de educación para la gestión del recurso hídrico y  el manejo ambiental responsable de residuos en la comunidad Wayuu.</t>
  </si>
  <si>
    <t xml:space="preserve"> Acciones relacionadas con la Educación Ambiental</t>
  </si>
  <si>
    <t>Programa No 6. Autoridad Ambiental</t>
  </si>
  <si>
    <t>Realizar la Evaluación , el Control y el Monitoreo ambiental de los recursos naturales en el departamento de La Guajira</t>
  </si>
  <si>
    <t>Consolidar la gobernanza forestal en el departamento de  La Guajira.</t>
  </si>
  <si>
    <t>Realizar seguimiento Ambiental a licencias, permisos y autorizaciones  otorgadas por Corpoguajira</t>
  </si>
  <si>
    <t>Trámite de Licencias, Permisos y Autorizaciones ambientales</t>
  </si>
  <si>
    <t># de Días</t>
  </si>
  <si>
    <t>Tramitar los Procesos Sancionatorios</t>
  </si>
  <si>
    <t>Fortalecimiento del sistema de vigilancia de la calidad del aire mediante el control y monitoreo de emisiones de fuentes móviles</t>
  </si>
  <si>
    <t xml:space="preserve">Monitoreo de la calidad del aire </t>
  </si>
  <si>
    <t>N.A.</t>
  </si>
  <si>
    <t>NA</t>
  </si>
  <si>
    <t>Acuerdo # 002 20/02/2020</t>
  </si>
  <si>
    <t>Sentencia T606 de 2015</t>
  </si>
  <si>
    <t>ODS 6. Agua Limpia y saneamiento.</t>
  </si>
  <si>
    <t>ODS 11. Ciudades y Comunidades sostenibles</t>
  </si>
  <si>
    <t>Objetivo 17. Alianzas para lograr los objetivos</t>
  </si>
  <si>
    <t>Se cumplió en el PAC 2016 2019</t>
  </si>
  <si>
    <t>ODS 15. Vida de Ecosistemas Terrestres</t>
  </si>
  <si>
    <t>ODS 13. Acción por el clima.</t>
  </si>
  <si>
    <t>Sentencia T302. Consulta previa</t>
  </si>
  <si>
    <t>ODS 17. Alianzas para logras los objetivos</t>
  </si>
  <si>
    <t>PMA Cuenca de los Ríos Cesar, Tapias.</t>
  </si>
  <si>
    <t>ODS 6. Agua Limpia y saneamiento</t>
  </si>
  <si>
    <t>PMA de Maicao</t>
  </si>
  <si>
    <t>PMA de Río Cesar</t>
  </si>
  <si>
    <t>Cuencas de los Ríos Cañas, tapias, Maluisa, Jerez.</t>
  </si>
  <si>
    <t>Cuencas de los Ríos Lagarto - Maluisa.</t>
  </si>
  <si>
    <t>Cuenca de los Ríos Ranchería, Tapias, Cesar, Jerez.</t>
  </si>
  <si>
    <t>PORH de los ríos Tapias y Lagarto - Maluisa.</t>
  </si>
  <si>
    <t>Riohacha (El Jote, Malawainkat). Maicao (La Paz), Uribia (Flor del Paraiso). Sentencia T302. Consulta previa</t>
  </si>
  <si>
    <t>Cuencas de los ríos  Cañas, El Molino, Tapias, Jerez, entre otras</t>
  </si>
  <si>
    <t>Resultado del monitoreo de aguas marinas, ICAM</t>
  </si>
  <si>
    <t xml:space="preserve">Sentencia T302. Consulta previa. Municipio de Maicao (La Paz, San Felipe). Riohacha. (MALAWAINKAT y Las Delicias), Uribia, (La Sabana, Flor del Paraiso) Mnaure (Casco Urbano Internado Indígena Aremashiain). </t>
  </si>
  <si>
    <t xml:space="preserve">pH, Temperatura, Conductividad Oxígeno Disuelto, Caudal, Alcalinidad Total, Dureza Total, Solidos Suspendidos, Solidos Totales, Demanda Bioquímica de Oxigeno, DBO, pm10, Coliformes Termotolerantes, Coliformes Totales, Cloruros, Demanda Química de Oxigeno, </t>
  </si>
  <si>
    <t>OFICINA ASESORA DE PLANEACIÓN</t>
  </si>
  <si>
    <t xml:space="preserve">PROFESIONAL ESPECIALIZADO GRADO 17 (E) </t>
  </si>
  <si>
    <t>p.sanguino@corpoguajira.gov.co</t>
  </si>
  <si>
    <t>PAOLA SANGUINO DUQUE</t>
  </si>
  <si>
    <t>Acuerdo # 003 del 20 de Mayo de 2020</t>
  </si>
  <si>
    <t>Proyecto No 1.3. Banco de Proyectos</t>
  </si>
  <si>
    <t>Proyecto No 2.1. Administración de la Oferta y Demanda del Recurso Hídrico (superficiales y subterráneas)</t>
  </si>
  <si>
    <t>Proyecto No 2.2.  Monitoreo de la calidad del recurso hídrico.</t>
  </si>
  <si>
    <t>Proyecto No 3.1. Ecosistemas estratégicos continentales.</t>
  </si>
  <si>
    <t>Proyecto No 3.2. Ecosistemas marino costeros.</t>
  </si>
  <si>
    <t>Proyecto No 3.3. Protección y conservación de la biodiversidad</t>
  </si>
  <si>
    <t>Proyecto No 3.4. Negocios verdes y sostenibles.</t>
  </si>
  <si>
    <t>Proyecto No 4.1. Gestión Ambiental Urbana</t>
  </si>
  <si>
    <t>Proyecto No 4.2. Gestión Ambiental Sectorial</t>
  </si>
  <si>
    <t>Proyecto 5.1.Cultura Ambiental (12)</t>
  </si>
  <si>
    <t>Proyecto 5.2. Participación Comunitaria (13)</t>
  </si>
  <si>
    <t>Proyecto 6.1. Evaluación, Seguimiento, Monitoreo y Control de la calidad de los recursos naturales y la biodiversidad.</t>
  </si>
  <si>
    <t>Proyecto 6.2. Calidad del Aire</t>
  </si>
  <si>
    <t>**Esta información de esta fila y siguientes habria que ajustarla ya que con la Ley 1450/11, el Decreto 1120/13 (Hoy 1076 de 2015) y la formulación de los POMIUAC, las áreas protegidas - AP: Delta del Ranchería, Musichi, y las futuras: Matúa y Bahía Honda y Hondita, son AP Marino Costeras, al igual que lo es Sawairu, y no serían continentales, como aparecen aquí referenciadas.</t>
  </si>
  <si>
    <t>DRMI</t>
  </si>
  <si>
    <t>En declaración</t>
  </si>
  <si>
    <t>Bahia Honda, Bahia Hondita</t>
  </si>
  <si>
    <t>Marina Costera</t>
  </si>
  <si>
    <t>Corpoguajira</t>
  </si>
  <si>
    <t>Profesional Especializado, Grado 19</t>
  </si>
  <si>
    <t xml:space="preserve">(5) 7282672, Ext. </t>
  </si>
  <si>
    <t>Cra. 7 # 12 - 15</t>
  </si>
  <si>
    <t xml:space="preserve">Participación en el diagnóstico y zonificación de los manglares </t>
  </si>
  <si>
    <t>Participación en la rehabilitación de manglares</t>
  </si>
  <si>
    <t>a)      Manejo de ecosistemas marinos y costeros.</t>
  </si>
  <si>
    <t>Reporte a cargo del Grupo del Laboratorio Ambiental de la Subdirección de Gestión Ambiental de la entidad.</t>
  </si>
  <si>
    <t>Reporte a cargo del Grupo de Ordenamiento Ambiental de la Oficina de Planeación de la entidad.</t>
  </si>
  <si>
    <t>a)      Monitoreo de la calidad ambiental en las zonas marinas y costeras.</t>
  </si>
  <si>
    <t>b)      Fortalecimiento de los sistemas de información regional ambiental en el ámbito marino-costero.</t>
  </si>
  <si>
    <t>c)       Monitoreo de ecosistemas y recursos acuáticos marinos y costeros.</t>
  </si>
  <si>
    <t>Construcción de obras de protección en la línea de costa como medida de mitigación contra la erosión costera.</t>
  </si>
  <si>
    <t>Porcentaje de medidas de adaptación costera en desarrollo.</t>
  </si>
  <si>
    <t xml:space="preserve">Carbono Azul. </t>
  </si>
  <si>
    <t>Gestión integral de mares. PND 2018 2022</t>
  </si>
  <si>
    <t>Grupo Marino Costero</t>
  </si>
  <si>
    <t>María del R. Guzmán V/Julio Vega Ramírez</t>
  </si>
  <si>
    <t>Profesional Especializado Grado 19/Subdirector de Gestión Ambiental</t>
  </si>
  <si>
    <t>j.vega@corpoguajira.gov.co</t>
  </si>
  <si>
    <t>(5) 7282672. Ext 128</t>
  </si>
  <si>
    <t>Cra 7 # 12 - 15</t>
  </si>
  <si>
    <t>Marina</t>
  </si>
  <si>
    <t>Fauna</t>
  </si>
  <si>
    <r>
      <rPr>
        <i/>
        <sz val="8"/>
        <color rgb="FF000000"/>
        <rFont val="Calibri"/>
        <family val="2"/>
        <scheme val="minor"/>
      </rPr>
      <t>Dermochelys coriacea</t>
    </r>
    <r>
      <rPr>
        <sz val="8"/>
        <color rgb="FF000000"/>
        <rFont val="Calibri"/>
        <family val="2"/>
        <scheme val="minor"/>
      </rPr>
      <t xml:space="preserve"> (Tortuga laud) CR</t>
    </r>
  </si>
  <si>
    <t>Caretta caretta (Tortuga Gogo)  CR</t>
  </si>
  <si>
    <r>
      <rPr>
        <i/>
        <sz val="8"/>
        <color rgb="FF000000"/>
        <rFont val="Calibri"/>
        <family val="2"/>
        <scheme val="minor"/>
      </rPr>
      <t>Eretmochelys imbricata</t>
    </r>
    <r>
      <rPr>
        <sz val="8"/>
        <color rgb="FF000000"/>
        <rFont val="Calibri"/>
        <family val="2"/>
        <scheme val="minor"/>
      </rPr>
      <t xml:space="preserve"> (Tortuga carey )  CR</t>
    </r>
  </si>
  <si>
    <t>Lepidochelys olivacea (Tortuga golfina) EN</t>
  </si>
  <si>
    <r>
      <rPr>
        <i/>
        <sz val="8"/>
        <color rgb="FF000000"/>
        <rFont val="Calibri"/>
        <family val="2"/>
        <scheme val="minor"/>
      </rPr>
      <t>Chelonia mydas</t>
    </r>
    <r>
      <rPr>
        <sz val="8"/>
        <color rgb="FF000000"/>
        <rFont val="Calibri"/>
        <family val="2"/>
        <scheme val="minor"/>
      </rPr>
      <t xml:space="preserve"> (Tortuga verde) EN</t>
    </r>
  </si>
  <si>
    <t xml:space="preserve"> Crocodylus acutus (Caimán aguja) CR</t>
  </si>
  <si>
    <t>Ginglymostoma cirratum, VU; Mustelus minicanis, VU;  Carcharhinus falciformis, VU; Carcharhinus limbatus, VU; Carcharhinus longimanus, VU; Sphyrna lewini, VU; Sphyrna mokarran, VU  (Tiburones: 7 especies** (Res. 1912 de 2017, Minambiente).</t>
  </si>
  <si>
    <t>Recursos propios</t>
  </si>
  <si>
    <t>(5) 7282672. Ext. 124</t>
  </si>
  <si>
    <r>
      <t>Camarón jumbo (</t>
    </r>
    <r>
      <rPr>
        <i/>
        <sz val="9"/>
        <rFont val="Calibri"/>
        <family val="2"/>
        <scheme val="minor"/>
      </rPr>
      <t>Penaeus monodon</t>
    </r>
    <r>
      <rPr>
        <sz val="9"/>
        <rFont val="Calibri"/>
        <family val="2"/>
        <scheme val="minor"/>
      </rPr>
      <t>), Pez león (Pterois volitans)</t>
    </r>
  </si>
  <si>
    <t>(5) 7282672 Ext 124</t>
  </si>
  <si>
    <t>Grupo de Seguimiento Ambiental</t>
  </si>
  <si>
    <t>Carlos Lopez Avila</t>
  </si>
  <si>
    <t>c.lopez@corpoguajira.gov.co</t>
  </si>
  <si>
    <t>(5) 7282672, Ext.  117</t>
  </si>
  <si>
    <t>Carrera 7 # 12 15</t>
  </si>
  <si>
    <t>Profesional Especializado, Codigo 2028, Grado 19</t>
  </si>
  <si>
    <t>(5) 7282672, Ext. 117</t>
  </si>
  <si>
    <t>Carrera 7 # 12 - 15</t>
  </si>
  <si>
    <t xml:space="preserve">Corporacion Autonoma Regional de La Guajira </t>
  </si>
  <si>
    <t>Subdirección de Autoridad Ambiental; Grupo de Seguimiento Ambiental.</t>
  </si>
  <si>
    <t>Profesional Especializado, Código 2028, Grado 19</t>
  </si>
  <si>
    <t>(5) 7282672 / 7275125 / 7286778. Extensión 117</t>
  </si>
  <si>
    <t>Carrera 7 N° 12-15</t>
  </si>
  <si>
    <t>Relleno sanitarios</t>
  </si>
  <si>
    <t>Riego</t>
  </si>
  <si>
    <t>Servicios</t>
  </si>
  <si>
    <t>Obras civiles</t>
  </si>
  <si>
    <t>Energias Renovables</t>
  </si>
  <si>
    <t>Horno incinerador</t>
  </si>
  <si>
    <t xml:space="preserve">Tendido Eléctrico </t>
  </si>
  <si>
    <t>Patio de Cenizas</t>
  </si>
  <si>
    <t>Celda Trancitoria</t>
  </si>
  <si>
    <t>Porcentaje de avance en la formulación y/o ajuste de Planes de Ordenación y Manejo de Cuencas (POMCAS) y Planes de Manejo de Microcuencas (PMM).</t>
  </si>
  <si>
    <t>Porcentaje de Planes de Ordenación y Manejo de Cuencas (POMCAS), Planes de Manejo de Acuíferos (PMA) y Planes de Manejo de Microcuencas (PMM) en ejecución con seguimiento.</t>
  </si>
  <si>
    <t>Indicadores</t>
  </si>
  <si>
    <t>Porcentaje de municipios asesorados o asistidos en la inclusión del componente ambiental en los procesos de planificación y ordenamiento territorial, con énfasis en la incorporación de las determinantes ambientales para la revisión y ajuste de los POT.</t>
  </si>
  <si>
    <t>Porcentaje de municipios con seguimiento al cumplimiento de los asuntos ambientales concertados en los POT adoptados</t>
  </si>
  <si>
    <t>Porcentaje de servicios de información emitidos por la Corporación</t>
  </si>
  <si>
    <t>Porcentaje de acotamiento de rondas hidricas de corrientes priorizadas</t>
  </si>
  <si>
    <t>Porcentaje de páramos delimitados por el MADS, con zonificación y régimen de usos adoptados por la CAR.</t>
  </si>
  <si>
    <t># de hectareas Areas Protegidas declaradas</t>
  </si>
  <si>
    <t>Porcentaje de entes territoriales asesorados en la incorporación, planificación y ejecución de acciones relacionadas con cambio climático en el marco de los instrumentos de planificación territorial.</t>
  </si>
  <si>
    <t>Numero de iniciativas en el departamento de la Guajira en adaptación al cambio climático orientadas por la autoridad ambiental</t>
  </si>
  <si>
    <t>Porcentaje de implementación del Sistema Regional de Información de Cambio Climático</t>
  </si>
  <si>
    <t>Talleres en difusión de conocimientos en cambio climático basado en la  estrategia de educación, formación y sensibilización a públicos.</t>
  </si>
  <si>
    <t xml:space="preserve">Numero de estrategias orientadas a la reduccion acumulada de gases de efecto invernadero, con respecto al escenario de referencia nacional </t>
  </si>
  <si>
    <t>Asistencia técnica a Gobernación, Autoridades Territoriales y comunidad y autoridades tradicionales de la Guajira para promover la implementación "Plan Integral de Gestión del Cambio Climático Departamento de la Guajira”, realizada.</t>
  </si>
  <si>
    <t>Ejecución de acciones para el fortalecimiento del Nodo Regional de Cambio Climático Caribe e Insular</t>
  </si>
  <si>
    <t>Numero de capacitaciones y/o asistencias tecnicas  miembros de los  Consejos de Gestion del Riesgo e impulso a la formulación de los planes municipales de GRD</t>
  </si>
  <si>
    <t>Porcentaje de entes territoriales con asistencia tecnica y seguimiento en la inclusión de la gestión del riesgo en los planes de ordenamiento del territorio.</t>
  </si>
  <si>
    <t>Estudios para el fortalecimiento de la gestión de riesgos de desastres en el departamento.</t>
  </si>
  <si>
    <t>Porcentaje de informacion de proyectos actualizados</t>
  </si>
  <si>
    <t>Numero de proyectos formulados y gestionados</t>
  </si>
  <si>
    <t xml:space="preserve">Porcentaje de proyectos con seguimiento y evaluación.
</t>
  </si>
  <si>
    <t>Funcionarios públicos, contratistas, representantes de comunidades, organizaciones y minorías étnicas capacitadas</t>
  </si>
  <si>
    <t>Porcentaje de la población objetivo satisfecha con la gestión ambiental, que evidencia mejora en el desempeño institucional por parte de la Corporación.</t>
  </si>
  <si>
    <t>Mesa técnica conjunta entre Comunidad, ADR, Alcaldìa de Maicao y Corpoguajira para presentar metodología de formulación de proyectos de agua para otros usos realizada</t>
  </si>
  <si>
    <t>Número de población de comunidades indígenas y negras beneficiadas con obras de infraestructura para captación y/o almacenamiento de agua</t>
  </si>
  <si>
    <t>Informes de construcción de Sistemas de Abastecimiento comunidades indigenas de los municipios de Riohacha y Maicao en el periodo 2018 2021</t>
  </si>
  <si>
    <t>Línea base construida a partir de los cruces de las bases de datos</t>
  </si>
  <si>
    <t>Porcentaje de avance en la formulación y/o ajuste de planes de manejo de acuíferos (PMA).</t>
  </si>
  <si>
    <t>Porcentaje de Planes de Manejo de Acuíferos (PMA) en ejecución.</t>
  </si>
  <si>
    <t>Porcentajes de cuerpos de agua con planes de ordenamiento del recurso hídrico (PORH) adoptados.</t>
  </si>
  <si>
    <t>Cuerpos de agua con revisión de reglamentación del uso de las aguas</t>
  </si>
  <si>
    <t>Porcentaje de Planes de Ordenamiento del Recurso hídrico (PORH) en ejecución.</t>
  </si>
  <si>
    <t>Instrumentos de planificación socializados con la comunidad</t>
  </si>
  <si>
    <t>Líneas de cauce con obras de control de inundaciones, erosión, caudales, escorrentía, rectificación y manejo de cauces, regulación de cauces y demás obras para mitigar los  riesgos asociados a la oferta y disponibilidad de agua.</t>
  </si>
  <si>
    <t>Estudio independiente para establecer si hay una relación entre la actividad minera a gran escala y la escases de agua potable para las comunidadaes Wayuu</t>
  </si>
  <si>
    <t>Número de estudios del agua realizado.</t>
  </si>
  <si>
    <t>Número de fuentes puntuales de vertimiento de aguas residuales (domésticas y de los sectores productivos) con cobro de la tasa retributiva.</t>
  </si>
  <si>
    <t>Número de fuentes abastecedoras de acueductos de centros poblados con monitoreo de calidad del agua para generar el índice de calidad. (ICA)</t>
  </si>
  <si>
    <t xml:space="preserve">Número de corrientes o tramos de las mismas con objetivos de calidad monitoreados </t>
  </si>
  <si>
    <t>Número de estaciones de muestreo de calidad de aguas marinas y costeras con monitoreo de la calidad del agua. ICAM</t>
  </si>
  <si>
    <t>Número de pozos de agua subterránea de la red regional con monitoreo de calidad</t>
  </si>
  <si>
    <t>Porcentaje de estaciones de monitoreo de aguas marinas con categorías aceptable y óptima</t>
  </si>
  <si>
    <t>Plan de monitoreo permanente del estado de la calidad y cantidad del agua superficial y subterránea en las comunidades wayuu ejecutado con la finalidad de tomar las medidas a que haya lugar.</t>
  </si>
  <si>
    <t>Número de vertimientos puntuales al recurso hídrico con monitoreo en términos de DBO y SST</t>
  </si>
  <si>
    <t>Número de parámetros acreditados en el laboratorio Ambiental ante el IDEAM</t>
  </si>
  <si>
    <t>Porcentaje de Planes de Ordenación y Manejo de Cuencas (POMCAS) y Planes de Manejo de Microcuencas (PMM) en ejecución.</t>
  </si>
  <si>
    <t>Porcentaje de ecosistemas o unidades de análisis ecosistémicas no representados o subrepresentados incluidos en el SINAP en el cuatrienio</t>
  </si>
  <si>
    <t>Porcentaje de mejora en el índice de efectividad de manejo de las áreas protegidas públicas</t>
  </si>
  <si>
    <t>Convenios Interadministrativos suscritos</t>
  </si>
  <si>
    <t>Número de SIDAP y SILAP  conformados</t>
  </si>
  <si>
    <t>Implementación de acciones en manejo integrado de zonas costeras.</t>
  </si>
  <si>
    <t>Porcentaje de hectáreas de manglar caracterizadas y diagnosticadas</t>
  </si>
  <si>
    <t>Porcentaje de la superficie de áreas protegidas regionales declaradas, inscritas en el RUNAP y con Plan de Manejo formulado y adoptado</t>
  </si>
  <si>
    <t>Porcentaje de Hectáreas  de mangles en rehabilitación</t>
  </si>
  <si>
    <t xml:space="preserve">Porcentaje de hectáreas de pastos marinos zonificadas </t>
  </si>
  <si>
    <t>Proyectos para zonificación ambiental de playas en ejecución</t>
  </si>
  <si>
    <t>Porcentaje de medidas de adaptación costera en desarrollo</t>
  </si>
  <si>
    <t xml:space="preserve">Mesas técnicas de Erosión Costeras </t>
  </si>
  <si>
    <t>Jornadas participativas de divulgación para los POMIUAC de la Alta Guajira y de la Vertiente Norte de la Sierra Nevada de Santa Marta – Sector La Guajira.</t>
  </si>
  <si>
    <t>Kilómetros lineales de costa intervenidos con medidas de mitigación contra la erosión costera</t>
  </si>
  <si>
    <t>Porcentaje de Especies amenazadas con medidas de conservación y manejo en ejecución</t>
  </si>
  <si>
    <t>Porcentaje de Especies invasoras con medidas de prevención, control y manejo en ejecución</t>
  </si>
  <si>
    <t>Iniciativas de carbono azul para el uso sostenible de los manglares en implementación</t>
  </si>
  <si>
    <t>Acuerdos para el aprovechamiento local de plásticos y otros materiales reciclables en municipios costeros (continental e insular) en implementación</t>
  </si>
  <si>
    <t>Porcentaje de Especies Continentales amenazadas con medidas de conservación y manejo en ejecución</t>
  </si>
  <si>
    <t>Porcentaje de Especies continentales invasoras con medidas de prevención, control y manejo en ejecución</t>
  </si>
  <si>
    <t xml:space="preserve">Porcentaje de avance en la formulación del Plan General de Ordenación Forestal </t>
  </si>
  <si>
    <t>Porcentaje de avance de ejecución del Plan General de Ordenación Forestal adoptado.</t>
  </si>
  <si>
    <t>Reducir la tendencia de crecimiento de la deforestación proyectada por el IDEAM</t>
  </si>
  <si>
    <t>Número de monitoreos de la biodiversidad realizados</t>
  </si>
  <si>
    <t>Número de talleres de sensibilización sobre la conservación del bosque seco  realizados</t>
  </si>
  <si>
    <t>Áreas afectadas por el desarrollo de actividades ilegales en proceso de restauración</t>
  </si>
  <si>
    <t>Familias campesinas beneficiadas por actividades agroambientales con acuerdos de conservación de bosques</t>
  </si>
  <si>
    <t>Áreas bajo sistemas sostenibles de conservación (restauración*, sistemas agroforestales, manejo forestal sostenible)</t>
  </si>
  <si>
    <t># de informes de hectareas bajo esquema de producción sostenible</t>
  </si>
  <si>
    <t>Número de proyectos "Cuantificación los servicios de regulación en almacenamiento de carbono formulados</t>
  </si>
  <si>
    <t>Implementación del programa regional de negocios verdes por la autoridad ambiental</t>
  </si>
  <si>
    <t>Áreas bajo esquemas de Pagos por Servicios Ambientales (PSA) e incentivos a la conservación</t>
  </si>
  <si>
    <t>Acuerdos de cero deforestación para las cadenas productivas del sector agropecuario en implementación</t>
  </si>
  <si>
    <t>Negocios verdes verificados</t>
  </si>
  <si>
    <t>Porcentaje de negocios verdes asistidos técnicamente</t>
  </si>
  <si>
    <t>Número de jornada de arborización ejecutada</t>
  </si>
  <si>
    <t>Número de acuerdos locales formulados y/o implementados con actores sociales de los ecosistemas urbanos</t>
  </si>
  <si>
    <t>Número de asistencia técnica para incrementar la superficie de área verde por habitante en zonas urbanas</t>
  </si>
  <si>
    <t>Número de municipios asesorados para la identificación, compilación y análisis de los Índices de Calidad Ambiental Urbana ICAU que sean de  competencia de la Corporación</t>
  </si>
  <si>
    <t>Número de municipios con asistencia técnica para la identificación de la estructura ecológica urbana. (EEU)</t>
  </si>
  <si>
    <t xml:space="preserve">Número de asistencia técnica de para el aprovechamiento de residuos sólidos orgánicos e inorgánicos </t>
  </si>
  <si>
    <t xml:space="preserve">Estrategias implementadas para la gestión adecuada de sustancias agotadoras de la capa de ozono </t>
  </si>
  <si>
    <t>Número de estrategias de educación, sensibilización y capacitación para mayor aprovechamiento y transformación de residuos sólidos en los sectores residencial, institucional y comercial de áreas urbanas</t>
  </si>
  <si>
    <t>Número de grupos de  Recicladores de oficio caracterizados y formados</t>
  </si>
  <si>
    <t>Entes territoriales con acompañamiento técnico  para la implementación del comparendo ambiental</t>
  </si>
  <si>
    <t>Número de campañas de limpieza y descontaminación de fuentes hidricas</t>
  </si>
  <si>
    <t>Entidades públicas con acompañamiento técnico  para la adopción e implementación del programa de compras públicas</t>
  </si>
  <si>
    <t>Jornadas de recolección de residuos de posconsumo y RAEE, ejecutadas.</t>
  </si>
  <si>
    <t xml:space="preserve">Estrategias de formación y sensibilización  formuladas e implementadas </t>
  </si>
  <si>
    <t>Diagnóstico de la situación del sector informal en la gestión de los RAEE</t>
  </si>
  <si>
    <t xml:space="preserve">Sectores con estrategias de formación y sensibilización  implementadas para la prevención de incendios forestales. </t>
  </si>
  <si>
    <t>Sectores con procesos de capacitación desarrollados sobre ahorro y uso eficiente de agua y energía</t>
  </si>
  <si>
    <t>Sectores con estrategias implementadas para el fortalecimiento de la cultura y gobernanza del agua en el Departamento de La Guajira</t>
  </si>
  <si>
    <t>Sectores con estrategias formuladas y/o implementadas para controlar la deforestación, conservar los ecosistemas y prevenir su degradación</t>
  </si>
  <si>
    <t>Sectores con asistencia técnica para la implementación de buenas prácticas ambientales y  de producción y consumo sostenible.</t>
  </si>
  <si>
    <t xml:space="preserve">Guía de manejo ambiental en la minería de subsistencia elaborada y socializada. </t>
  </si>
  <si>
    <t>Sectores con asistencia técnica para la implementación de normas técnicas de sostenibilidad turística</t>
  </si>
  <si>
    <t>Sectores con acuerdos establecidos y en ejecución para el aprovechamiento local de plásticos y la gestión de residuos de envases y empaques.</t>
  </si>
  <si>
    <t xml:space="preserve">Sectores con acuerdos establecidos para la gestión de residuos de posconsumo </t>
  </si>
  <si>
    <t>Número de estrategias diseñadas e implementadas para la sensibilización ambiental en comunidades costeras.</t>
  </si>
  <si>
    <t xml:space="preserve">Proyectos ambientales escolares, PRAES formulados o  implementados
</t>
  </si>
  <si>
    <t>PRAU formulados, asesorados y acompañados</t>
  </si>
  <si>
    <t xml:space="preserve">Educadores y dinamizadores ambientales formados </t>
  </si>
  <si>
    <t>Arreglo institucional Corpoguajira y secretarías de educación departamental y municipales,  acordado y  en funcionamiento</t>
  </si>
  <si>
    <t xml:space="preserve">Personas formadas </t>
  </si>
  <si>
    <t xml:space="preserve">Estrategia formulada y ejecutada </t>
  </si>
  <si>
    <t xml:space="preserve">Instituciones educativas que implementan el Servicio social ambiental </t>
  </si>
  <si>
    <t>Proyectos de investigación sobre educación ambiental formulados y ejecutados</t>
  </si>
  <si>
    <t>Política departamental de educación ambiental 2019-2030 formulada y en ejecución</t>
  </si>
  <si>
    <t>Miembros de CIDEA formados en gestión ambiental y educación ambiental</t>
  </si>
  <si>
    <t>Planes municipales de educación ambiental asesorados y en ejecución</t>
  </si>
  <si>
    <t>Encuentros entre CIDEA departamental y municipales</t>
  </si>
  <si>
    <t xml:space="preserve">Espacios de intercambio  creados 
</t>
  </si>
  <si>
    <t>proyectos  ciudadanos de educación ambiental -PROCEDA- orientados a la gestión y transformación de conflictos socioambientales, adaptación y mitigación  del cambio climático, economía circular, áreas protegidas,</t>
  </si>
  <si>
    <t>personas capacitadas para la gestión  y transformación de conflictos socioambientales</t>
  </si>
  <si>
    <t xml:space="preserve">Número de bases las fuerzas militares y/o de la policía vinculadas a procesos formativos </t>
  </si>
  <si>
    <t>Redes municipales de jóvenes conformadas y actuando</t>
  </si>
  <si>
    <t xml:space="preserve">Formulada e implementada  estrategia de comunicación </t>
  </si>
  <si>
    <t>Bibliotecas municipales o institucionales  fortalecidas con información  ambiental</t>
  </si>
  <si>
    <t>Estrategia formulada y en ejecución</t>
  </si>
  <si>
    <t>Jornadas de sensibilización con relación al manejo del recurso hídrico y disposición de residuos sólidos en las comunidades de la alta Guajira.</t>
  </si>
  <si>
    <t>Jornadas de construcción de acciones conjuntas con la comunidad y Corpoguajira</t>
  </si>
  <si>
    <t>Programa de educación ambiental focalizado</t>
  </si>
  <si>
    <t>Programa de educación para la gestión del recurso hídrico y manejo ambientalmente responsable, de residuos focalizado.</t>
  </si>
  <si>
    <t>Ejecución de acciones en Educación Ambiental</t>
  </si>
  <si>
    <t>Link de educación ambiental en página de Corpoguajira</t>
  </si>
  <si>
    <t xml:space="preserve">Información cuantitativa y cualitativa sobre acciones de educación ambiental y gestión ambiental sectorial urbana, consolidada, espacializada y sistematizada </t>
  </si>
  <si>
    <t>Porcentaje de solicitudes de Autorizaciones ambientales evaluadas</t>
  </si>
  <si>
    <t>Porcentaje de las solicitudes de PQRSD  competencia de la CAR resueltas</t>
  </si>
  <si>
    <t>Número de operativos de control al tráfico ilegal de flora y fauna realizados</t>
  </si>
  <si>
    <t>Estatuto forestal actualizado.</t>
  </si>
  <si>
    <t>Información Actualizada de Bases de Datos Nacionales (VITAL y SNIF)</t>
  </si>
  <si>
    <t>Informes técnicos de operativos contra el tráfico ilegal de flora enviados al MADS</t>
  </si>
  <si>
    <t>Empresas forestales identificadas en el departamento de La Guajira cumpliendo con la Resolución 1971 de 2019</t>
  </si>
  <si>
    <t>Informe de Seguimientos a los impactos ambientales derivados por transporte de carbón</t>
  </si>
  <si>
    <t>Tiempo promedio de trámite para la resolución de autorizaciones ambientales otorgadas por la Corporación.</t>
  </si>
  <si>
    <t>Porcentaje de las solicitudes de licencias ambientales competencia de la CAR resueltas dentro de los tiempos establecidos en la normatividad vigente</t>
  </si>
  <si>
    <t># de campañas de monitoreo de fuentes móviles</t>
  </si>
  <si>
    <t># de vehiculo atendidos en campaña de monitoreo  de fuentes móviles</t>
  </si>
  <si>
    <t>Porcentaje de estaciones de monitoreo de PM10 que cumplen con la norma anual de PM10</t>
  </si>
  <si>
    <t>Porcentaje de estaciones de monitoreo de PM10 con promedio anual ≤ 30 μg/m3</t>
  </si>
  <si>
    <t>Porcentaje de estaciones de monitoreo de PM2.5 que cumplen con la norma anual de PM2.5</t>
  </si>
  <si>
    <t>Porcentaje de estaciones de monitoreo de calidad del aire con representatividad temporal ≥ 75%</t>
  </si>
  <si>
    <t># de estaciones de calidad del aire reportadas en el SISAIRE</t>
  </si>
  <si>
    <t xml:space="preserve">Acuerdo # 003 del 20 de Mayo de 2020. </t>
  </si>
  <si>
    <t>TAPIAS</t>
  </si>
  <si>
    <t>Formulacion</t>
  </si>
  <si>
    <t>CAMARONES</t>
  </si>
  <si>
    <t>1503-02</t>
  </si>
  <si>
    <t>ANCHO Y OTROS DIRECTOS AL CARIBE</t>
  </si>
  <si>
    <t>1503-01</t>
  </si>
  <si>
    <t>PALOMINO</t>
  </si>
  <si>
    <t>Procesos formales previos</t>
  </si>
  <si>
    <t>SAC 3.1</t>
  </si>
  <si>
    <t>Sistema Acuifero de Maicao</t>
  </si>
  <si>
    <t>Aprobado</t>
  </si>
  <si>
    <t>Alto del Cesar</t>
  </si>
  <si>
    <t>SAC 3.2</t>
  </si>
  <si>
    <t>Sistema de Acuifero Riohacha - Manaure</t>
  </si>
  <si>
    <t>SAC 3.3</t>
  </si>
  <si>
    <t>Sistema de Acuifero Alta Guajira</t>
  </si>
  <si>
    <t>SAC 4.2</t>
  </si>
  <si>
    <t>Sistema de Acuifero Ranchería</t>
  </si>
  <si>
    <t>2801-03</t>
  </si>
  <si>
    <t>CORPOGUAJIRA</t>
  </si>
  <si>
    <t>Grupo de Ordenamiento Ambiental Territorial, Grupo Administración Integral del Recurso Hidrico</t>
  </si>
  <si>
    <t>Yovani Delgado Moreno, Julio Segundo Curvelo Redondo</t>
  </si>
  <si>
    <t>y.delgado@corpoguajira.gov.co, j.curvelo@corpoguajira.gov.co</t>
  </si>
  <si>
    <t>(5) 7282672, Ext 203</t>
  </si>
  <si>
    <t>se acompaño y brindo asesoria a los 15 entes territoriales, incluyendo a la Gobernacion de La Guajira en la inclusion del componente dentre de sus Planes de desarrollo</t>
  </si>
  <si>
    <t>Alcaldias de Riohacha, Dibulla, Uribia, Maicao, Manaure, Albania, Barrancas, Hatonuevo, Fonseca, Distraccion, San Juan Del Cesar, Villanueva, Urumita, EL Molino, La Jagua del Pilar. Gibernacion de la Guajira</t>
  </si>
  <si>
    <t>Capacitación en Incorporación de Gestión de Riesgo y cambio climatico.</t>
  </si>
  <si>
    <t>Oficina Asesora de Planeación</t>
  </si>
  <si>
    <t>Yovani Delgado Moreno</t>
  </si>
  <si>
    <t>y.delgado@car.corpoguajira.gov.co</t>
  </si>
  <si>
    <t>(5) 7282672. Ext 203</t>
  </si>
  <si>
    <t>Cra 7 # 12  - 15</t>
  </si>
  <si>
    <t>Se realizo capacitacion en inclusion del componente Cambio climatico en los POT, con énfasis en la incorporación de esta  Determinante ambiental,  Capacitación realizada a los 15 municipios en el marco de las capacitaciones realizadas en el proyecto  Implementación  de  mecanismos  para  la  generación  de  conocimiento</t>
  </si>
  <si>
    <t>Riohacha, Dibulla, Uribia, Hatonuevo, Manaure, Albania, Barrancas, Hatonuevo, Fonseca, Distracion, San Juan del Cesar,Villanueva, Urumita, La Jagua del Pilar y Maicao</t>
  </si>
  <si>
    <t>Grupo de Ordenamiento Ambiental Territorial</t>
  </si>
  <si>
    <t>y.delgado@corpoguajira.gov.co</t>
  </si>
  <si>
    <t>7282672, Ext 203</t>
  </si>
  <si>
    <t>SVCA CORPOGUAJIRA</t>
  </si>
  <si>
    <t xml:space="preserve">Albania </t>
  </si>
  <si>
    <t>Hatonuevo</t>
  </si>
  <si>
    <t>Barrancas</t>
  </si>
  <si>
    <t>Pacharoca</t>
  </si>
  <si>
    <t>Los Remedios</t>
  </si>
  <si>
    <t>Cuestecitas</t>
  </si>
  <si>
    <t>Papayal</t>
  </si>
  <si>
    <t>Conejo</t>
  </si>
  <si>
    <t>Barrancas Urbana</t>
  </si>
  <si>
    <t>Albania</t>
  </si>
  <si>
    <t>Fonseca</t>
  </si>
  <si>
    <t>Grupo de Ordenamiento ambiental Territorial y Grupo de Evaluación Ambiental</t>
  </si>
  <si>
    <t>Yovani Delgado Moreno y Fernando Prieto Vargas</t>
  </si>
  <si>
    <t>Profesionales Especializados</t>
  </si>
  <si>
    <t>y.delgado@corpoguajira.gov.co; f.prieto@corpoguajira.gov.co</t>
  </si>
  <si>
    <t>(5) 7275125. Ext. 203, 322</t>
  </si>
  <si>
    <t>Grupo de Ordenamiento Ambiental Territorial; Grupo de Evaluación Ambiental; Grupo de Seguimiento Ambiental; Grupo de Ecosisitemas y Biodiversidad.</t>
  </si>
  <si>
    <t>Profesional Especializado Grado 19</t>
  </si>
  <si>
    <t>y.delgado@corpoguajira.gov.co; f.prieto@corpoguajira.gov.co; c.lopez@corpoguajira.gov.co; y.hurtado@corpoguajira.gov.co</t>
  </si>
  <si>
    <t>(5) 7275125. Ext. 203, 322, 124</t>
  </si>
  <si>
    <t xml:space="preserve">Implementar estrategias para fomentar la Gobernanza y la Cultura del Agua en el  sector agroindustrial, involucrando a todos los actores del agua. </t>
  </si>
  <si>
    <t>Producción y consumo Sostenible  en Sectores Productivos</t>
  </si>
  <si>
    <t>Agroindustrial</t>
  </si>
  <si>
    <t>Desarrollar procesos de capacitación sobre ahorro y uso eficiente de agua y energía, dirigidos al sector turismo.</t>
  </si>
  <si>
    <t>Turismo</t>
  </si>
  <si>
    <t>Implementar estrategias para controlar la deforestación, conservar los ecosistemas y
prevenir su degradación por parte del  sector agroindustrial</t>
  </si>
  <si>
    <t xml:space="preserve">Agroindustrial </t>
  </si>
  <si>
    <t xml:space="preserve">Asesorar al sector agroindustrial,turismo y  de la minería en la implementación de buenas prácticas ambientales y de  producción y consumo sostenible. </t>
  </si>
  <si>
    <t>Agroindustrial, Turismo y Minería de subsistencia</t>
  </si>
  <si>
    <t>Minería de subsistencia</t>
  </si>
  <si>
    <t xml:space="preserve">Implementación de estrategias de formación y sensibilización para la prevención, control y manejo
de incendios forestales en los sectores agroindustrial y turismo </t>
  </si>
  <si>
    <t>Adaptación y/o mitigación al Cambio Climático</t>
  </si>
  <si>
    <t>Agroindustrial y Turismo</t>
  </si>
  <si>
    <t>Establecer acuerdos con el sector turismo ymanufacturero para promover la transformación hacia la economía circular, a través del aprovechamiento local de plásticos y la gestión deresiduos de envases y empaques, principalmente en municipios costeros.</t>
  </si>
  <si>
    <t xml:space="preserve">Fomento de la economía
circular en sectores para la producción  y consumo sostenible </t>
  </si>
  <si>
    <t>Turismo y Manufacturero</t>
  </si>
  <si>
    <t>Establecer acuerdos con el sector agroindustrial,
para la gestión integral de los residuos de posconsumo</t>
  </si>
  <si>
    <t>Gestión de sustancias químicas y residuos peligrosos</t>
  </si>
  <si>
    <t>Diseñar e implementar estrategias para la formación y sensibilización ambiental en comunidades costeras, que contribuyan al adecuado uso de los ecosistemas marinos.</t>
  </si>
  <si>
    <t xml:space="preserve">Asuntos Marinos, Costeros y Recursos Acuáticos 
</t>
  </si>
  <si>
    <t xml:space="preserve">Municipios Costeros
(Riohacha, Dibulla, Uribia y
Manaure) 
</t>
  </si>
  <si>
    <t>Educación Ambiental</t>
  </si>
  <si>
    <t>Eliumat Maza Samper</t>
  </si>
  <si>
    <t xml:space="preserve">Profesional Especializado Grado 19 </t>
  </si>
  <si>
    <t>e.maza@corpoguajira.gov.co</t>
  </si>
  <si>
    <t>Carrera 7A No. 12 - 15</t>
  </si>
  <si>
    <t>Jornadas de arborización urbana y periurbano con  especies exóticas y nativas arbustivas y mediante la educación y participación ciudadana para su mantenimiento en el espacio público</t>
  </si>
  <si>
    <t>Incorporación de la  Biodiversidad y sus Servicios Ecosistémicos para el desarrollo urbano sostenible</t>
  </si>
  <si>
    <t>Incorporación de la Biodiversidad y sus Servicios Ecosistémicos para el
desarrollo urbano sostenible</t>
  </si>
  <si>
    <t>Mejorar la cultura en la generación y reporte de información ambiental urbana por parte de los municipios para evaluar la sostenibilidad ambiental del área urbana.</t>
  </si>
  <si>
    <t>Asistencia técnica a municipios para adelantar el
proceso de identificación de la estructura ecológica urbana.</t>
  </si>
  <si>
    <t>Adaptación y/o mitigación del cambio climático</t>
  </si>
  <si>
    <t xml:space="preserve">Mejoramiento de la calidad de agua en corrientes superficiales urbanas </t>
  </si>
  <si>
    <t>Gestión de Residuos Sólidos, Promoción del reciclaje y aprovechamiento de residuos orgánicos e inorgánicos enfocado al programa de economía circular</t>
  </si>
  <si>
    <t xml:space="preserve">Promover la formalización y fortalecimiento de grupos de recicladores de oficio. 
</t>
  </si>
  <si>
    <t xml:space="preserve">Asistencia técnica a recicladores de oficio y empresas  prestadoras del servicio público de aseo para el aprovechamientoo de residuos orgánicos e
inorgánicos (en special, plásticos y residuos de
envases y empaques). </t>
  </si>
  <si>
    <t xml:space="preserve">Gestión de Residuos Sólidos, Promoción del reciclaje y aprovechamiento de residuos orgánicos e inorgánicos enfocado al programa de economía circular 
</t>
  </si>
  <si>
    <t>Hacer más efectivo el control a las infracciones realizadas por manejo inadecuado de residuos sólidos en el espacio público</t>
  </si>
  <si>
    <t xml:space="preserve">Socializar el programa de compras públicas sostenibles promoviendo su implementación en las entidades públicas de la jurisdicción de la Corporación. </t>
  </si>
  <si>
    <t>Producción y consumo sostenible</t>
  </si>
  <si>
    <t>Fortalecimiento de la gestión de sustancias químicas y residuos peligrosos en el sector urbano</t>
  </si>
  <si>
    <t>Creación y  fortalecimiento de grupos de vigías ambientales</t>
  </si>
  <si>
    <t>Grupos de vigías ambientales creados y fortalecidos</t>
  </si>
  <si>
    <t xml:space="preserve">Aumentar la Participación de las comunidades rurales, asociaciones y agremiaciones del sector rural para la prevención de incendios forestales en temporadas de sequía. </t>
  </si>
  <si>
    <t>Red de Vigías Rurales (RVR) conformadas y capacitadas para la prevención de incendios forestales y ahorro y uso eficiente del agua</t>
  </si>
  <si>
    <t xml:space="preserve">Generar espacios de diálogo e intercambio de conocimientos entre expertos e investigadores en ciencia y tecnología, y comunidades para el  uso del conocimiento en  la solución de problemas ambientales. 
</t>
  </si>
  <si>
    <t>Espacios de encuentro e intercambio de conocimiento entre expertos y comunidad</t>
  </si>
  <si>
    <t xml:space="preserve">Realizar ferias de ciencia y tecnología en colegios y universidades y en espacios  y eventos dirigidos al gran público </t>
  </si>
  <si>
    <t xml:space="preserve">Ferias de ciencia y tecnología realizadas
</t>
  </si>
  <si>
    <t xml:space="preserve">Acuerdo # 003 del 11 de Mayo de 2020. </t>
  </si>
  <si>
    <t>Cultura Ambiental</t>
  </si>
  <si>
    <t xml:space="preserve">Participacion Comunitaria </t>
  </si>
  <si>
    <t>Grupo de Educación Ambiental</t>
  </si>
  <si>
    <t>Eliumat maza</t>
  </si>
  <si>
    <t>Coordinador Educaciòn Ambiental</t>
  </si>
  <si>
    <t>(5) 7275125. Ext. 108</t>
  </si>
  <si>
    <t>Se realizo capacitacion en inclusion del componente, en el marco del proyecto Mecanismos para la Gestión de Riesgo y Cambio Climatico</t>
  </si>
  <si>
    <t>PLANIFICACIÓN, ORDENAMIENTO AMBIENTAL Y TERRITORIAL</t>
  </si>
  <si>
    <t xml:space="preserve">LEVANTAMIENTO DE INFORMACIÓN PARA PROCESAMIENTO </t>
  </si>
  <si>
    <t>INTERSUBSECTORIAL MEDIO AMBIENTE</t>
  </si>
  <si>
    <t xml:space="preserve">Planificación, Ordenamiento e Información Ambiental Territorial </t>
  </si>
  <si>
    <t>ASISTENCIA TÉCNICA, DIVULGACIÓN Y CAPACITACIÓN A SERVIDORES PÚBLICOS PARA LA ADMINISTRACIÓN DEL ESTADO</t>
  </si>
  <si>
    <t>PREVENCIÓN Y ATENCIÓN DE EMERGENCIAS</t>
  </si>
  <si>
    <t>Gestión del Riesgo y adaptación al Cambio Climático</t>
  </si>
  <si>
    <t>ADMINISTRACIÓN, ATENCIÓN, CONTROL Y ORGANIZACIÓN INSTITUCIONAL PARA LA ADMINISTRACIÓN DEL ESTADO</t>
  </si>
  <si>
    <t>Banco de Proyectos</t>
  </si>
  <si>
    <t>GESTIÓN INTEGRAL DEL RECURSO HÍDRICO</t>
  </si>
  <si>
    <t>RECURSO HÍDRICO</t>
  </si>
  <si>
    <t>Administración de la oferta y demanda del recurso hídrico. (superficiales y subterráneas)</t>
  </si>
  <si>
    <t>ATENCIÓN, CONTROL Y ORGANIZACIÓN INSTITUCIONAL PARA EL APOYO DE GESTIÓN DEL ESTADO</t>
  </si>
  <si>
    <t>Monitoreo de la calidad del recurso hídrico</t>
  </si>
  <si>
    <t>BOSQUES, BIODIVERSIDAD Y SERVICIOS ECOSISTÉMICOS</t>
  </si>
  <si>
    <t>ADQUISICIÓN DE  INFRAESTRUCTURA  PROPIA DEL SECTOR</t>
  </si>
  <si>
    <t>CONSERVACIÓN</t>
  </si>
  <si>
    <t>Ecosistemas estratégicos continentales</t>
  </si>
  <si>
    <t>Ecosistemas estratégicos marinos costeros</t>
  </si>
  <si>
    <t>ATENCIÓN, CONTROL Y ORGANIZACIÓN INSTITUCIONAL PARA EL APOYO DE LA GESTIÓN DEL ESTADO</t>
  </si>
  <si>
    <t>Protección y conservación de la biodiversidad</t>
  </si>
  <si>
    <t>APOYO</t>
  </si>
  <si>
    <t>Negocios verdes y sostenibles</t>
  </si>
  <si>
    <t>GESTIÓN AMBIENTAL SECTORIAL Y URBANA</t>
  </si>
  <si>
    <t xml:space="preserve">CONSTRUCCIÓN DE INFRAESTRUCTURA PROPIA DEL SECTOR </t>
  </si>
  <si>
    <t xml:space="preserve">Gestión Ambiental Urbana </t>
  </si>
  <si>
    <t>GESTIÓN AMBIENTAL SECTORIAL</t>
  </si>
  <si>
    <t>Gestión Ambiental Sectorial</t>
  </si>
  <si>
    <t>EDUCACIÓN AMBIENTAL</t>
  </si>
  <si>
    <t>DIVULGACIÓN ASISTENCIA TÉCNICA Y CAPACITACIÓN DEL RECURSO HUMANO</t>
  </si>
  <si>
    <t xml:space="preserve">PROTECCIÓN Y BIENESTAR SOCIAL DEL RECURSO HUMANO </t>
  </si>
  <si>
    <t xml:space="preserve">Participación Comunitaria </t>
  </si>
  <si>
    <t>CALIDAD AMBIENTAL</t>
  </si>
  <si>
    <t>Monitoreo y evaluación de la calidad de los recursos naturales y la biodiversidad</t>
  </si>
  <si>
    <t xml:space="preserve">Calidad del aire </t>
  </si>
  <si>
    <t>LEY DE PARAMOS 1930/17-07-2018 5%</t>
  </si>
  <si>
    <t>LEY DE PARAMOS 1930/17-07-2018 5% TSE</t>
  </si>
  <si>
    <t>LEY DE PARAMOS 1930/17-07-2018 5% TUA</t>
  </si>
  <si>
    <t>FUERON ADICIONADOS YA QUE NO SE ENCONTRABAN EN EL ARCHIVO ORIGINAL</t>
  </si>
  <si>
    <t>Grupo Licenciamiento Ambiental</t>
  </si>
  <si>
    <t xml:space="preserve">Jelkin Barros Redondo </t>
  </si>
  <si>
    <t>j.barros@corpoguajira.gov.co</t>
  </si>
  <si>
    <t>(5) 7275125. Ext 322</t>
  </si>
  <si>
    <t>Grupo de Licenciamiento, permisos y autorizaciones ambientales.</t>
  </si>
  <si>
    <t>Jelkin Barros Redondo</t>
  </si>
  <si>
    <t>Profesional Especializado, Grado 15</t>
  </si>
  <si>
    <t>7282672; Ext 322</t>
  </si>
  <si>
    <t>N/A</t>
  </si>
  <si>
    <t>Se formuló y aprobó el proyecto "CONSTRUCCIóN DE ESTUFAS ECOEFICIENTES COMO MEDIDA DE MITIGACIÓN AL CAMBIO CLIMÁTICO EN  COMUNIDADES INDÍGENAS DEL MUNICIPIO DE HATONUEVO".</t>
  </si>
  <si>
    <t>Se viene desarrollando el proyecto de gestión del riesgo. "Implementación  de  mecanismos  para  la  generación  de  conocimiento  en gestión de riesgos y variabilidad climática en el departamento de La Guajira", con los profesionales contratados.</t>
  </si>
  <si>
    <t>Revisión Reglamentación del uso de las aguas en cuerpos de agua:                                              
Logros:                                            
Cuenca Río Ranchería: Muy a pesar de que la meta del indicador, está para los años  2021, 2022 y 2023, se adelanta  la actualización de la reglamentación de esta corriente, pero se han presentado diferencias y controversias entre las partes, lo que obligó a contratar un amigable componedor, pero el contrato  aùn se encuentra  suspendido. 
Actualización Reglamentación Usos del Agua Río Tapias:                              Con la ejecución del proyecto “Desarrollo de instrumentos de administración del recurso hídrico en la subzona hidrográfica del río tapias, departamento de La Guajira, mediante la actualización de la reglamentación del uso de las aguas y Estudio Regional del Agua; BPIN, 20183218000001", en el periodo Enero - Junio del 2021, se han logrado  los siguientes resultados:                 
 -Documento de  acta de inicio firmada con fecha 8 de Junio de 2021 .                                              
-Cronograma de trabajo en revisión por parte de la interventoría externa contratada                                        
-Reunión de seguimiento a documentos de inicio entre consultor e interventoría, realizada                                             -Primera versión de los documentos de inicio,  recibidos y en revisión.
Actualización reglamentación usos del agua Río río Cesar:          Con la ejecución del proyecto " Actualización de la reglamentación del uso de las aguas del río Cesar, en el período Enero - Junio de 2021, se han logrado los siguientes resultados:                                        
-Conformación de comisión conjunta realizada                          
-Publicidad del proceso de actualización de la reglamentación del uso de las aguas del río Cesar, parcialmente realizada                  -Una jornada de socialización del proceso de actualización de la reglamentación del uso de las aguas del río Cesar, jurisdicción de Corpoguajira, realizada               
-Cartografía oficial a escala 1:25.000 y delimitar la cuenca respectiva objeto de actualización de la reglamentación de las aguas., parcialmente realizada                 
-Identificación, revisión, organización y clasificación de información derivada de insumos e instrumentos de planificación, de administración, de evaluación y seguimiento del recurso hídrico, parcialmente realizados.</t>
  </si>
  <si>
    <t>Mediante salidas y toma de muestras de campo, se ha atendido el cumplimiento.</t>
  </si>
  <si>
    <t>Mediante salida de campo, se ha atendido el cumplimiento.</t>
  </si>
  <si>
    <t xml:space="preserve">Mediante salida de campo se ha atendido el cumplimiento. </t>
  </si>
  <si>
    <t>Ampliación del DMI Serranía del Perijá</t>
  </si>
  <si>
    <t>Continenal</t>
  </si>
  <si>
    <t>DMI</t>
  </si>
  <si>
    <t>Distrito de Conservación de Suelos Serranía del Perijá</t>
  </si>
  <si>
    <t>Distrito de Conservación de suelos</t>
  </si>
  <si>
    <t>Declarado</t>
  </si>
  <si>
    <t>Distrito de Manejo Integrado Caracolí</t>
  </si>
  <si>
    <t>Continental</t>
  </si>
  <si>
    <t>Distrito de Manejo Integrado de Bosque Seco</t>
  </si>
  <si>
    <t>Grupo de Ecosistemas y Biodiversidad. Grupo Marino Costero, Subdirección de Gestión Ambiental</t>
  </si>
  <si>
    <t>Saneamiento</t>
  </si>
  <si>
    <t>Restauración en las cuencas de los ríos Tapia y Ranchería</t>
  </si>
  <si>
    <t>Contrato No. 0083 de 2019 incuido interventoria</t>
  </si>
  <si>
    <t>Contrato No.  003 de 2020 incluido interventoria</t>
  </si>
  <si>
    <t>Fortalecimiento comunitario</t>
  </si>
  <si>
    <t>Exploraciones geoeléctricas</t>
  </si>
  <si>
    <t>Desarrollar modelos que permitan mostrar la disponibilidad de agua en los acuíferos del municipio de Maicao</t>
  </si>
  <si>
    <t>Modelación geoeléctricas con los SEV en el área del municipio de Maicao.</t>
  </si>
  <si>
    <t>Seguimiento y monitoreo a las comunidades indígenas para motivarlos a notificar ante la corporación cualquier eventualidad en las infraestructuras de suministro de agua (filtraciones, daños, etc.)</t>
  </si>
  <si>
    <t>Orientar e incrementar las acciones de legalización de las captaciones de aguas subterráneas.</t>
  </si>
  <si>
    <t>Implementar programas de legalización de los usuarios.</t>
  </si>
  <si>
    <t>Optimizar, complementar y mantener en operación permanente la red de monitoreo de calidad y cantidad del agua subterránea.</t>
  </si>
  <si>
    <t>Adoptar programas y tecnologías de reducción de pérdidas de agua y mejoramiento de la infraestructura obsoleta existente en los sistemas de abastecimiento de agua.</t>
  </si>
  <si>
    <t>Incrementar la capacidad de participación de todos los actores involucrados en el plan de manejo de aguas subterráneas.</t>
  </si>
  <si>
    <t>Seguimiento, actualización y calibración del modelo numérico.</t>
  </si>
  <si>
    <t>Diseñar e implementar medidas para la identificación de captaciones abandonadas</t>
  </si>
  <si>
    <t>Diseño de una base de datos en la cual se consolide toda la información de los instrumentos.</t>
  </si>
  <si>
    <t>Realización de  estudios y pruebas que permitan identificar, recopilar, y analizar  información  para la obtención del proyecto piloto.</t>
  </si>
  <si>
    <t>Pagos por Servicios Ambientales</t>
  </si>
  <si>
    <t>“Rehabilitación de ecosistemas forestales en las cuencas de los ríos Ranchería, Tapias y Cesar en los municipios de Riohacha, San Juan del Cesar, Manaure y Albania-La Guajira</t>
  </si>
  <si>
    <t>Restauración pasiva</t>
  </si>
  <si>
    <t>RECUPERACION DE ECOSISTEMAS CON LA ESPECIE PROMISORIA PALMA AMARGA (Sabal mouritiriformis) EN LOS MUNICIPIOS DE DIBULLA Y URUMITA DEPARTAMENTO DE LA GUAJIRA con código BPIN 201932180000002</t>
  </si>
  <si>
    <t>Grupo de Ecosistemas y biodiversidad</t>
  </si>
  <si>
    <t>(5) 7282672</t>
  </si>
  <si>
    <t>No se han ejecutado acciones para dar cumplimiento a esta actividad</t>
  </si>
  <si>
    <t>Una (1) Estrategia de formación y sensibilización formulada y en ejecución.
Acciones ejecutadas: 
En el marco de la Estrategia de formación y sensibilización para promover la apropiación e implementación efectiva de la Política Nacional para la gestión integral de RAEE y el Programa de Posconsumo, se adelantaron las siguientes acciones:
1. Diseño y desarrollo de un plan de capacitaciones para la gestión integral de RAEE y residuos posconsumo, el cual será impartido por los Programas gestores y CORPOGUAJIRA, a la siguiente población objetivo: Grupos de recicladores, Alcaldías, Entidades Públicas y Privadas, representantes del sector agrícola, comunidades rurales, equipos de apoyo municipales, empresas aplicadores de plaguicidas, prestadoras del servicio de salud, veterinarias, Miembros de los CIDEA, rectores, docentes Instituciones educativas, Estudiantes de la universidad de La Guajira y el SENA y empresas prestadoras del servicio de aseo.</t>
  </si>
  <si>
    <t>1. En el marco del proyecto servicio de educación ambiental asociado a los impactos ambientales en sectores turísticos de los corregimientos de palomino y Mingueo, municipio de Dibulla, la guajira se logró la formación de 40 persona para la solución de las diferentes problemática ambientales que se presentan en las comunidades, con este taller se buscó que los grupos capacitados expresaran y construyeran estrategias y acciones conjuntas con el propósito de hacer frente a cada una de las problemáticas encontradas.</t>
  </si>
  <si>
    <t xml:space="preserve">Acciones ejecutadas: Durante la jornada de prevención sobre incendios forestales, se acordó con la comunidad del corregimiento de las palmas del distrito de Riohacha, desarrollar una reunión con los líderes veredales y representantes del sector agroindustrial para la conformación de la red de vigías rurales (RVR) en el marco de la estrategia de educación y participación para la prevención de incendios forestales. </t>
  </si>
  <si>
    <t xml:space="preserve">Dentro de esta actividad se ha realizado gestión y coordinación con los responsables del área de ecosistema y biodiversidad de Corpoguajira, con el objetivo de articular la actividad con el proyecto de mercados verdes, que dentro de las metas para el 2021 tiene previsto realizar una feria ambiental.   </t>
  </si>
  <si>
    <t xml:space="preserve">Estrategia formulada. Acciones ejecutadas a través de la red de jóvenes. Se tiene acuerdo con Coprecam y organizaciones de mujeres  para iniciar en el segundo semestre la aplicación de estrategia de género en procesos de formación con  recicladores, en  corregimientos de Tigreras, Puente Bomba y comunidad de Carari. Se tiene solicitud del Instituto de Bienestar familiar para iniciar procesos de educación ambiental con niños y un  PRAE con la institución educativa Edad Feliz de Fonseca. </t>
  </si>
  <si>
    <t>Nuevo Espinal</t>
  </si>
  <si>
    <t>Acuerdo 009 de 2020 - Inscripción en RUNAP en 2021</t>
  </si>
  <si>
    <t>Grupo Ecosistemas y Biodiversidad</t>
  </si>
  <si>
    <t>Gregoria Fonseca Lindao</t>
  </si>
  <si>
    <t>g.fonseca@corpoguajira.gov.co</t>
  </si>
  <si>
    <t>(5) 7271225. Ext. 124</t>
  </si>
  <si>
    <t>RFP</t>
  </si>
  <si>
    <t>Acciones operativas-Recursos propios</t>
  </si>
  <si>
    <t>Cerro Pintao</t>
  </si>
  <si>
    <t>Bañaderos</t>
  </si>
  <si>
    <t>Cuenca Baja Rio Ranchería</t>
  </si>
  <si>
    <t>Grupo de Ecosistemas y Biodiversidad</t>
  </si>
  <si>
    <t xml:space="preserve">(5) 7282672. </t>
  </si>
  <si>
    <t>Atención de focos reportados ; prevencion,  control y  erradicacion</t>
  </si>
  <si>
    <t>Caracol gigante africano 8 Achatina fulica)</t>
  </si>
  <si>
    <t>Recursos propios - acciones operativas</t>
  </si>
  <si>
    <t>Atención de focos reportados ; captura y reubicación.</t>
  </si>
  <si>
    <t>Abejas africanizadas ( Aphis melifera)</t>
  </si>
  <si>
    <t>Recursos propios -acciones operativas</t>
  </si>
  <si>
    <t>Grupo de Ecosistemas y Biodiversidad, Grupo Marino Costero</t>
  </si>
  <si>
    <t>Gregoria Fonseca Lindao, Maria del Rosario Guzman Vivas</t>
  </si>
  <si>
    <t xml:space="preserve">Profesional Especializado Grado 15, </t>
  </si>
  <si>
    <t>g.fonseca@corpoguajira.gov.cov.co</t>
  </si>
  <si>
    <t>Programa de conservacion; recuperacion rehabilitación y monitoreo</t>
  </si>
  <si>
    <t>Jaguar ( Panthera onca) CR</t>
  </si>
  <si>
    <t>Cardenal Guajiro ( Cardinalis phoeniceus)  VU</t>
  </si>
  <si>
    <t>Morrocoy ( Chelonoidis carbonari )  EN</t>
  </si>
  <si>
    <t>Abejas nativas ; Meliponas  VU</t>
  </si>
  <si>
    <t>Marimondas ( Ateles hybridus ) CR</t>
  </si>
  <si>
    <t>Guacamaya verde ( Ara militaris)</t>
  </si>
  <si>
    <t>Grupo de Ecosistema y Biodiversidad, Grupo Marino Costero</t>
  </si>
  <si>
    <t>g.fonseca@corpoguajira.gov.co: mariaguzman@corpoguajira.gov.co</t>
  </si>
  <si>
    <t>Gregoria Fonseca</t>
  </si>
  <si>
    <t xml:space="preserve">Talleres </t>
  </si>
  <si>
    <t xml:space="preserve">Con la Universidad de La Guajira, un acuerdo para el fortalecimiento de los procesos de investigación en educación ambiental  y la formulación  de una estrategia  etnoeducativa para el departamento, en el marco de la formulación del plan decenal de educación ambiental. </t>
  </si>
  <si>
    <t>22/04. WEBINAR:  Gestión Integral de cambio climático en el Dpto de La Guajira: Retos y Oportunidades.</t>
  </si>
  <si>
    <t>LEY DE PARAMOS 1930/17</t>
  </si>
  <si>
    <t xml:space="preserve">ODS 6. Agua Limpia y saneamiento
ODS 13. Acción por el clima.
ODS 15. Vida de Ecosistemas Terrestres
</t>
  </si>
  <si>
    <t xml:space="preserve">ODS 13. Acción por el clima.
ODS 14. Vida Submarina
</t>
  </si>
  <si>
    <t>ODS2: Hambre Cero
ODS 3: Salud y Bienestar
ODS 6: Agua Limpia y Saneamiento
ODS 8: Trabajo Decente y Crecimiento Económico
ODS 15: Vida de Ecosistemas Terrestres</t>
  </si>
  <si>
    <t>ODS 8: Trabajo Decente y Crecimiento Económico
ODS 9: Industria Innovación e Infraestructura
ODS 15: Vida de Ecosistemas Terrestres</t>
  </si>
  <si>
    <t>ODS 2: Hambre Cero
ODS 6: Agua Limpia y Saneamiento
ODS 11: Ciudades y Comunidades Sostenibles.
ODS 12: Producción y Consumo Responsables
ODS 13: Acción por el Clima
ODS 14: Vida Submarina
ODS 15: Vida de Ecosistemas Terrestres</t>
  </si>
  <si>
    <t>ODS 3: Salud y Bienestar
ODS 4: Educación de calidad
ODS 5: Igualdad de Género
ODS 6: Agua Limpia y Saneamiento
ODS 12: Producción y Consumo Responsables
ODS 13: Acción por el Clima
ODS 14: Vida Submarina
ODS 15: Vida de Ecosistemas Terrestres
ODS 16: Paz, Justicia e Instituciones Sólidas</t>
  </si>
  <si>
    <t>ODS 3: Salud y Bienestar
ODS 6: Agua Limpia y Saneamiento
ODS 7: Energía Asequible y No Contaminante
ODS 11: Ciudades y Comunidades Sostenibles
ODS 12: Producción y Consumo Responsables
ODS 14: Vida Submarina
ODS 15: Vida de Ecosistemas Terrestres</t>
  </si>
  <si>
    <t>ODS 1. Fin de la pobreza</t>
  </si>
  <si>
    <t>s</t>
  </si>
  <si>
    <t xml:space="preserve">Carlos  Lopez Avila </t>
  </si>
  <si>
    <t>Profesional Especializado, Código 2028, Grado 19; Director Territorial del Sur</t>
  </si>
  <si>
    <t xml:space="preserve">c.Lopez@corpoguajira.gov.co; </t>
  </si>
  <si>
    <t>a)      Participación en la Formulación del POMIUAC en el marco de la Unidad Ambiental Costera correspondiente a su jurisdicción</t>
  </si>
  <si>
    <t>1) Planificación y ordenamiento de UAC</t>
  </si>
  <si>
    <t>2)      Gestión ambiental en las zonas costeras de su jurisdicción.</t>
  </si>
  <si>
    <t>2) Gestión ambiental en las zonas costeras de su jurisdicción.</t>
  </si>
  <si>
    <t>3)      Articulación junto con los entes territoriales en el manejo integrado de zonas costeras.</t>
  </si>
  <si>
    <t>4)      Educación y participación en manejo integrado de zonas costeras.</t>
  </si>
  <si>
    <t>5)      Gestión de Información en manejo integrado de zonas costeras.</t>
  </si>
  <si>
    <t>Erosión costera</t>
  </si>
  <si>
    <t>(5) 7282672. Ext. 124; 214</t>
  </si>
  <si>
    <t>Gregoria Fonseca Lindao - Maria del R. Guzmán V.</t>
  </si>
  <si>
    <t>Profesional Especializado Grado 15</t>
  </si>
  <si>
    <t>(5) 7282672. Ext 124</t>
  </si>
  <si>
    <t>Municipios asesorados o asistidos en la inclusión del componente ambiental en los procesos de planificación y ordenamiento territorial, con énfasis en la incorporación de las Determinantes ambientales para la revisión y ajuste de los POT, Municipios de EL MOLINO, VILLANUEVA, URIBIA, HATONUEVO, DISTRACION, URUMITA, ALBANIA, FONSECA, BARRANCAS, DIBULLA, LA JAGUA DEL PILAR, MAICAO, SAN JUAN DEL CESAR, MANAURE, RIOHACHA.  Las jornadas se realizaron en el marco del proyecto "Implementación  de  mecanismos  para  la  generación  de  conocimiento  en gestión de riesgos y variabilidad climática en el departamento de La Guajira", en jornadas presenciales y virtuales y en acompañamiento de la ESAP.</t>
  </si>
  <si>
    <t>Asesorados la totalidad de los 15 municipios del departamento de La Guajira.</t>
  </si>
  <si>
    <t>En la presente vigencia EL municipio de Albania presento una Modificación Excepcional de su Instrumento de Ordenamiento Territorial, para concertar los asuntos ambientales. El proceso se adelantó y se entregó informe a la Subdirección de Autoridad Ambiental donde se generó la Resolución de concertación de Asuntos ambientales.</t>
  </si>
  <si>
    <t>Como consolidado de la vigencia 2021, se atendieron un total de 464 solicitudes, de las cuales 116 conllevaron la elaboración de salidas graficas.</t>
  </si>
  <si>
    <t>A través del grupo de Ordenamiento Ambiental se esta formulando el Proyecto de acuerdo a la Guía de Acotamiento de Rondas Hídricas del MADS</t>
  </si>
  <si>
    <t>Se adelantan las gestiones para los procesos de Declaratoria de 5 Áreas Protegidas en La Corporación y gestión de zonas de amortiguación,  actualización de planes de manejo y conformación de SILAP Y SIDAP de los municipios de Uribia y San Juan del Cesar.
Durante el ultimo trimestre del año se realizaron diferentes espacios conjuntos de trabajo para la formulación de los Planes de Manejo de las Áreas Protegidas del DCS de la Serranía del Perijá.</t>
  </si>
  <si>
    <t>Yovani Delgado,  Fernando Prieto, Carlos Lopez Avila, Gregoria Fonseca</t>
  </si>
  <si>
    <t>Se realizó  asesoria a los representantes de los entes territoriales sobre determinantes ambientales, cambio climatico y gestion del riesgo en articulacion con la ESAP.</t>
  </si>
  <si>
    <t>Se gestionó y participó en el espacio sobre  sobre la plataforma de RENARE, de la mano con Minambiente y con Ideam. Esta meta inicia en el 2022.</t>
  </si>
  <si>
    <t xml:space="preserve">Se realizó socialización en el marco de la mesa departamental de cambio climático, sesiones llevadas a cabo con actores comunitarios y representantes de las Alcaldías, Gobernación, Sector Agua y servicios públicos, entre otros, en el mes de julio. </t>
  </si>
  <si>
    <t>A la fecha se han realizado 8 espacios de trabajo entre los que están las 2 reuniones  del año 2021 del NORECCI y las demás fueron mesas de trabajo y talleres para la formulación del Plan de accion del Nodo.  Lo anterior con Apoyo de Minambiente, GIZ y Fondo Acción. Así mismo, se participó en la Gira por un Clima Posible con dos presentaciones en nombre del Nodo.</t>
  </si>
  <si>
    <t>Se ha trabajado con la Gobernación en el CDGRD y con los Consejos Municipales de gestión del riesgo de Hatonuevo, Maicao, Riohacha, El Molino, Barrancas, San Juan del Cesar, Dibulla, entre otro.  Así mismo, se realizó el Taller de prevención de incendios forestales: primera temporada seca 2021 con presencia de diferentes actores de gestión del riesgo en el territorio y el Ideam.
Se realizó acompañamiento y difusión de información a la Mesa de Agua y saneamiento a nivel departamental WASH y la Mesa Técnica Agroclimática del Cesar, Magdalena y La Guajira.
Se realizaron talleres para Fortalecer los conocimientos sobre diferentes componentes de conocimiento del Riesgo a actores de los CMGRD de los 15 municipios de La Guajira en el marco del proyecto de generación de conocimientos. Se capacitaron más de 460 personas.</t>
  </si>
  <si>
    <t>Se realizó capacitación en inclusión del componente gestión del riesgo en los POT, con énfasis en la incorporación de esta  Determinante ambiental. Por otro lado, se realizaron Capacitaciones a los 15 municipios en el marco de las jornadas realizadas en el proyecto “Implementación  de  mecanismos  para  la  generación  de  conocimiento  en gestión de riesgos y variabilidad climática”. Así mismo, se realizó una capacitación en determinantes ambientales para Planes de Ordenamiento Territorial por solicitud complementaria de la ESAP.</t>
  </si>
  <si>
    <t xml:space="preserve">"Emisión de reportes para verificación en campo a partir de la información de puntos calientes y envió de información referenciada de puntos para medidas de precaución a los Municipios del Departamento. Incendios 
Seguimiento y Divulgación de condiciones hidrometeorológicas en el marco del trabajo en la Mesa Agroclimática del Magdalena y La Guajira. Temporada de lluvias y temporada seca
Evaluación, seguimiento y monitoreo temporada  Ciclónica. Huracanes  
Seguimiento diario condiciones climáticas en el departamento. temporada de lluvias y temporada seca
Seguimiento y monitoreo Fenómeno NIÑO y NIÑA. Fen ENOS
Evaluación de inundaciones en sitios estratégicos del Departamento. Inundaciones
Evaluación de desabastecimiento de agua subterránea en sitios estratégicos del Departamento. Sequia" </t>
  </si>
  <si>
    <t>Reactivacion del Sistema de Alerta Temprana (Entrega de Información a los CMGRD y CDGRD) . Organizacion y divulgacion de informes y boletines sobre las condiciones meteorologicas y climaticas en el departamento. Adicionalmente se realizaron unos seguimientos a las estaciones en el departamento para dentificar su estado. se realizo la instlacion de nuevas  estaciones meteorologica (analogas y automaticas) en sitios estrategicos del Departamento.</t>
  </si>
  <si>
    <t>Se realizaron doce (12) reportes mensuales a GESPROY, doce (12) a SPI y dos (2) reportes trimestrales en los formatos F17 y F18</t>
  </si>
  <si>
    <t>Se apoyó en la formulacion y gestión de cuatro (4) proyectos ambientales ante el Fondo Nacional Ambiental-FONAM, un (1) proyecto ambiental para acceder a recursos del SGR-Asignaciones directas nivel departamental, un (1) proyecto ambiental para acceder a recursos del SGR-Asignaciones directas de Corpoguajira; un (1) proyecto ambiental para acceder a recursos del Fondo de Compensacion Ambiental - FCA vigencia 2022 y dos (2) proyectos ambientales para acceder a recursos de la convocatoria SGR-Ambiental . Además se gestionaron nuevamente en el primer semestre tres (3) proyectos ambientales para acceder a recursos del SGR-Asignaciones directas de Corpoguajira, los cuales fueron formulados y gestionados en la pasada vigencia pero no alcanzaron a ser aprobados ante el OCAD Corpoguajira.</t>
  </si>
  <si>
    <t xml:space="preserve">Se presentaron doce (12) informes de seguimiento, control y evaluacion de los proyectos corporativos y de inversion que se vienen ejecutando en la Corporacion. </t>
  </si>
  <si>
    <t>Se realizó capacitación en formulación y/o seguimiento de proyectos de inversión publica los dìas 22 y 23 de diciembre de 2021 con asistencia de 44 personas el dia 22 y 40 personas el dia 23.</t>
  </si>
  <si>
    <t>Se realizó actividad de valoración de satisfaccion de la población objetivo con la gestion ambiental de la institucion mediante aplicaciòn de encuestas a beneficiarios de proyectos de inversiòn en el cuarto trimestre de 2021.</t>
  </si>
  <si>
    <t>Actividad aplazada para el año 2022</t>
  </si>
  <si>
    <t>Con la ejecución del proyecto “implementación de acciones de mitigación y adaptación al cambio climático ante sequias en comunidades indígenas del municipio de Maicao, La Guajira, en el periodo Enero - Diciembre del 2021, se han logrado  los siguientes resultados:                                                             El contrato No 081 de 2019  que  ejecuta el proyecto,  se encontraba suspendido desde el mes de Noviembre de 2020, 
por que  la construcción  del pozo para la comunidad de Flor de La Sabana se había visto interrumpida debido al cambio de sitio de prospeccion y exploración, el cual debía ser autorizado por  la Autoridad Nacional de licencias Ambientales - ANLA y  hasta el día 23 de junio de 2021  se  ha autorizado dicha  modificación. Esta situación había imposibilitado el avance de los trabajos en la mencionada comunidad y la culminación de las actividades faltantes en las otras comunidades.
Estos son los resultados después de reinicio:                                                          Un (1) nuevo permiso de prospección y exploración de aguas subterráneas ante la ANLA, para la comunidad de  Flor de la Sabana, en el municipio de Maicao, otorgado             .
160 metros de perforación de prueba para la comunidad de Flor de la Sabana, en el municipio de Maicao, realizados.                                                           
                                                              Un (1) registro geofísico (Resistividad – SP – rayos gamma) para la comunidad de Flor de la Sabana, en el municipio de Maicao, realizado.
                                                              Un (1) diseño de  pozo para la comunidad de Flor de la Sabana, en el municipio de Maicao, realizados.
                                                            160 metros de ampliación de la perforación del pozo para la comunidad de Flor de la Sabana en el municipio de Maicao, realizados.
                                                             115 m de tubería en PVC Ø6” para el entubado del pozo para la comunidad de Flor de la Sabana,  en el municipio de Maicao, instalados.
                                                               45 m de filtro en PVC Ø6” para el entubado de los pozos para las omunidad de Flor de la Sabana,  en el municipio de Maicao, instalados
                                                             Una (1) limpieza y desarrollo del pozo para la omunidad de Flor de la Sabana,  en el municipio de Maicao, realizada.                                                                                    Un (1) prueba de bombeo a caudal constante con compresor durante doce horas, para la omunidad de Flor de la Sabana,  en el municipio de Maicao,  realizada.
                                                                                         construcción de tanques de almacenamiento cuyas  actividades fueron:                                               63,42 m2 de Trazado Sobre Terreno,realizados                        37,18 m3 de Excavación a cielo abierto,realizados                          1,52 m3 de Cimentación tipo solado en concreto de resistencia 2000 Psi, realizados                                        6,05 m3 de Cimentación tipo zapatas, concreto de Resistencia 3000 Psi, realizados                                    5,15 m3 de Cimentación Tipo Viga de Amarre, Concreto de resistencia 3000 Psi, realizados                                     2,21 m3 Cimentación tipo pedestales, en concreto de resistencia 3000 Psi, realizados                                     5,72 m3 Columna en concreto de resistencia 3000 Psi,  realizados                                                            6,5 m3 de Placa maciza en concreto impermeabilizado de resistencia 3000 Psi,  realizados                                    4.967 kg de Acero de refuerzo de resistencia 60000 Psi, colocdo
5 Tanque prefabricado en polietileno reforzado con fibra de vidrio de capacidad 15000 lts, instalados                                              5  Escalera exterior en tubo galvanizado con base pintura en esmalte, incluye guarda hombre, instaladas.                                          220 mts tubería de acueducto en PVC RDE 21, con un diámetro de 2", incluye interconexión bomba a tanque y protección anti rayos ultravioletas del sol, instalados.   10  codo en PVC RDE 21 con diámetro de 2", angulo de 90º , incluye protección anti rayos ultravioletas del sol, instalados.      Construir conducciones de tanques a puntos de distribución:                                   1046 ml Localización y replanteo, ejecutado.                                           1046 ml Desmonte y limpieza  manual, ejecutado.                         219,66 m3   Excavación manual en material común seco, ejecutado. 218,26 M3  Relleno con material de excavación, ejecutado.                     671 ml Tubería PVC Presión E.L. RDE 21 D=2" , instalada.                                83 ml Tubería PVC Presión E.L. RDE 21 D=1", instalada.                             292  ml Tubería   PVC Presión E.L. RDE 21 D=3/4", instaladas.                                          31 puntos hidráulicos  instalados.                                                                         31 válvula de globo de 1/2", instalada.                                             18 muro en bloque, e=0,12 mts, levantado.                                          155 kg Acero de refuerzo de resistencia 60000 Psi, instado.        7,6 m3 Placa de piso en concreto f'c= 3000 psi, ejecutado.                    2.2 m2 Solado en concreto simple,  f'c=2000 psi, ejecutado.                     36 m2 Pañete mortero impermeabilizado, proporción de la mezcla 1:4.                                  Instalar filtros para tratamiento de agua                                                      1,23 m2 Solado en concreto simple f'c=2000 psi, ejecutado.                   4,10 m3 Placa de piso en concreto f'c=21 MPa (3000 psi), ejecutado. 51,20 ml Cerramiento en malla eslabonada cal. 12 (incluye: Portón, muro en bloque, zarpa en concreto ciclópeo, viga cimentación, columnas cortas, malla, mortero fijación malla, tubos galvanizados 2", concertina, soldadura y pintura), H=2,50 mts, ejecutado.                       4 Estaciones de agua en estructura  metálica con recubrimiento en Bodychut, incluye dos tanques plásticos de 2 m3 cada uno y elementos de conexiones hidráulicas, instalados.                     4  Filtro Tipo Skyhidrant MAX, instalados.                                         Una (1) planta de tratamiento de agua potable de ósmosis inversa instalada.                                           Un sistema de riego por goteo implementado.                                Una parcela agricola implementada.                           Eventos de socialización, difusión, sensibilización, realizadas.       Obras complementarias  - Construcción de cerramientos de protección para paneles solares y soporte filtros SKYHIDRANT, realizadas.                                    Todos los sistemas se encuentran en buen estado de funcionamiento                                             
"Implementación de sistemas de producción agrícola en comunidades indígenas de los municipios de Albania, Maicao, Uribía, Manaure y Riohacha del departamento de La Guajira", en el periodo Enero - Diciembre del 2021, se han logrado  los siguientes resultados, segùn informes de interventorìa y de supervisión:                                        6 socializaciones realizadas           31  molinos de viento reparados                                    
29 limpieza de pozos realizados
                                                             Implementación de acciones de adaptación al cambio climático ante el desabastecimiento hídrico en comunidades indígenas del municipio de Manaure, departamento de La Guajira.                                               Con la ejecución del proyecto “implementación de acciones de adaptación al cambio climático ante el desabastecimiento hídrico en comunidades indígenas del municipio de Manaure, departamento de La Guajira, en el periodo  Septiembre- Diciembre del 2021, se han logrado  los siguientes resultados:                                          una acta de inicio realizada             Una socialización realizada             1  molino de viento reparado</t>
  </si>
  <si>
    <t>En el período Enero - Diciembre del año 2021 y con base en la Tabla para recopilación de información en relación con las soluciones de agua en el Departamento de la Guajira, diseñada por el Ministerio de Ambiente y Desarrollo Sostenible (MADS), se tiene el informe de construcción de sistemas de abastecimiento en comunidades indígenas de los municipios de Riohacha y Maicao, en el período 2018 - 2020. El documento pasó a revisión por parte de la Subdirección de Gestión Ambiental y se tiene disponible para que sea remitido a la entidad correspondiente para el cumplimiento de la Sentencia T - 302.</t>
  </si>
  <si>
    <t xml:space="preserve">En el período Enero - Diciembre del año 2021 y teniendo en cuenta la Tabla para recopilación de información en relación con las soluciones de agua en el Departamento de la Guajira, diseñada por el Ministerio de Ambiente y Desarrollo Sostenible (MADS), se actualizó el inventario de soluciones de agua  implementados por CORPOGUAJIRA, durante los últimos años, detallando el tipo y estado de las soluciones. El documento pasó a revisión por parte de la Subdirección de Gestión Ambiental, para que sea remitido a la entidad correspondiente para el cumplimiento de la Sentencia T - 302.  </t>
  </si>
  <si>
    <t xml:space="preserve">Con la ejecución del proyecto “Formulación del Plan de Manejo Ambiental de Acuífero de la Cuenca del río Cesar, Jurisdicción de CORPOGUAJIRA, departamento de La Guajira, en el período Enero - Diciembre del 2021, se han logrado  los siguientes resultados:                                                            Conformaciòn de Comisiòn Conjunta:                                         Una   Conformaciòn de Comisiòn Conjunta en proceso                                                                              El contrato que ejecuta el proyecto continúa suspendido hasta tanto no se conforme la Comisiòn Conjunta                        entre el Minambiente, Corpocesar, corpamag, Corpoguajira y Parques Nacionales Naturales , dado que es ruta critica para las demàs actividades.                                         El Director de Parques Nacionales Naturales de Colombia ha manifestado que participará en la Comisión Conjunta pero en calidad de invitado.  </t>
  </si>
  <si>
    <t>Ejecución Plan de Manejo Ambiental de Aguas subterráneas (acuífero) municipio de Maicao:             Logros:
Pese a que la meta está para los años 2022 y 2023, actualmente dos (2) instrumentos de planificación establecidos en el Plan, están en ejecución:  
                                                 Equipamientos a comunidades indígenas:
obras de infraestructura de suministro de agua en las comunidades indígena de Ceura, Kululumana, Shulema, Jisemana y Flor de la Sabana, jurisdicción del municipio de Maicao, culminadas.
                                                          Permiso de exploración de agua subterránea:  
Permisos de exploración de agua subterránea en las comunidades indígenas de Ceura, Kululumana, Shulema, Jisemana y Flor de la Sabana, jurisdicción del municipio de Maicao; otorgados.</t>
  </si>
  <si>
    <t xml:space="preserve">Cuencas ríos Tapias y Cañas:  Muy a pesar de que la meta del indicador, está para los años   2022 y 2023, actualmente se tienen adelantadas las cuatro (4) fases de la formulación de los planes de ordenamiento del recurso hídrico de estas  cuencas . Sin terminar la actividad de consulta Previa y la Publicación final del proyecto. Se continúan las gestiones por parte de Corpoguajira para el reinicio de la Consulta Previa con los cuatro pueblos Indìgenas. Son varias las reuniones adelantadas por parte del Director con los Directivos de la Organización de los  Cuatros Pueblos Indígenas, se le presentó la propuesta de ruta metodolgica para  concertarla con ellos, ya fue revisada por ellos y se está a la espera de concretar la firma del documento                                   Cuenca Lagarto - Maluisa:                                     Con la ejecución del proyecto "Formulación del plan de ordenamiento del recurso hídrico  de los ríos Lagarto - Maluisa Etapa II, en el municipio de Dibulla, La Guajira,  en el periodo Enero - Diciembre del 2021, se han logrado  los siguientes resultados:                                            
                                                            Talleres de reencuentro del proyecto “Formulación del Plan de Ordenamiento del Recurso Hídrico de los ríos Lagarto - Maluisa, en el municipio de Dibulla, departamento de La Guajira Etapa II”, en la cual se retomaron resultados de la fase diagnóstico, realizados.                                                               Fase I:
Identificar los usos potenciales del recurso hídrico en los ríos Lagarto-Maluisa: 
. 
 Realizar la consulta previa:                      Se continúan las gestiones por parte de CORPOGUAJIRA para reiniciar este proceso         .  Actividad: Identificar los Usos Potenciales del recurso hídrico y ejecución de la  estrategia social. 
▪ Subactividad: Actividades preliminares: 
∙ Datos monitoreo  procesados e incorporados en  
análisis de usos potenciales. 
• Usos actuales y proyecciones de consumo de agua del sistema Lagarto - Maluisa incluidos.   identificación de los usos potenciales, en proceso.     Proyección de la Oferta y  demanda de agua: 
∙ • Documento de proyección de la demanda en desarrollo• Documento de avance de actividades desarrollado en la plantilla oficial donde se irá consolidando cada uno de los productos requeridos en el contrato.  
▪ Modelación de la calidad del recurso hídrico. 
∙ • Documento de modelación en desarrollo 
∙ 
▪ Desarrollo de la estrategia de participación:
∙ Documento descriptivo campaña de  
Participación, comenzado                     • Diseño de la estrategia
Base de datos de los usuarios del recurso hídrico, actualizado con registros de CORPOGUAJIRA, en proceso.
 Estrategia diseñada para comunidades étnicas y no étnicas. • Ejecución de la estrategia             No se ha iniciado
 Los talleres, de acuerdo, programados para los meses finales
Talleres de la fase I en temas de oferta , conflictos y actores relevantes en el área objeto de planificación, evacuados. 
D 
∙ Fase 2: Elaborar el Plan de Ordenamiento del Recurso Hídrico de los ríos Lagarto Maluisa. 
o  Clasificar el cuerpo de agua objeto de ordenación y consolidar la  información de usuarios.          
                                                          ∙Cuerpo de agua clasificado.            • Evaluación del diagnóstico de la FASE 1, realizado
• Matrices de evaluación y clasificación actual del cuerpo de agua, diseñada.
▪ Consolidación de la información de usuarios:
∙El aspecto referido a la demanda  
hídrica con base en los datos obtenidos del censo poblacional contextualizado  
•  Línea base de usuarios revisada 
• Mapas de usuarios en actualización 
∙ Establecer los usos, definir o ajustar los objetivos, criterios de calidad  por uso y metas quinquenales de reducción de carga contaminante. 
▪  Establecimiento de los usos y definición o ajustes de  
objetivos y criterios de calidad por uso.:
∙ Usos potenciales con criterios de  
calidad por uso, establecidos 
∙  Definición o ajustes de metas quinquenales de reducción  
de cargas contaminantes: 
∙Un (1)  tema de metas quinquenales, evacuado 
∙ Articulación con el plan de ordenamiento y manejo de  
cuencas hidrográficas – POMCA. 
∙Una matriz diseñada y  contextualizada para articulación del  
PORH con POT y POMCA. 
 Elaborar el programa de seguimiento y monitoreo del recurso hídrico,  estructurar el componente programático del PORH y Realizar el documento  ejecutivo del PORH. 
: 
Un (1) programa de seguimiento y monitoreo  
del recurso hídrico incluyendo metodologías, frecuencias y  
estaciones., desarrollado
 Estructuración del componente programático del plan de  
ordenamiento del recurso hídrico: 
Un (1) componente programático con  
formulación de líneas estratégicas y proyectos a corto, mediano  
y largo plazo, estructurado 
∙                                                                             CUENCA RIO JEREZ:                               Con la ejecución del proyecto "Formulación del plan de ordenamiento del recurso hídrico  del Río Jerez en el municipio de Dibulla, La Guajira,  en el periodo Enero - Diciembre del 2021, se han logrado  los siguientes resultados:                                               -Cuatro (4) reuniones de comité técnico para  definir la ruta de las 
 actividades, realizadas                Conformación de Comisión Conjunta:                                          Una (1) Conformaciòn de Comisiòn Conjunta entre el Minambiente, Corpoguajira y Parques Nacionales Naturales, realizada                                         -Talleres de socialización del proyecto:                                Tres (3) socializaciones del proyecto realizados                               -Consulta previa:                                Acto Administrativo sobre la procedencia de la consulta previa con comunidades ètnicas para este proyecto, no  recibido                                       -Línea Base para la formulación del Plan:                                       Construcción de  la línea base,   en desarrollo.                                  Informe tecnico ptresentado y en revisión                              Identificación de los usuarios de la cuenca del río Jerez:                                        Identificación de los usuarios de la cuenca del río Jerez realizado.                                   -Determinación  del estado actual  del recurso hídrico de la cuenca del río Jerez:                                                        Actividad en desarrollo.                   Los analisis de laboratorio, realizados parcialmente.           Calculo del caudal ambiental              Aforos y monitoreos de las campañas en desarrollo. </t>
  </si>
  <si>
    <t>Reglamentación del uso de las aguas en el corriente Lagarto - Maluisa:                                                  Logros:                                                      La meta de este indicador está para el año 2023, dado que el Plan de Ordenamiento del recurso hídrico de la corriente Lagarto – Maluisa que se está formulando es lo que va a determinar en sus conclusiones si se recomienda o no la reglamentación de la corriente. Actualmente está en ejecución  la Etapa II de este Plan de Ordenamiento.
Revisión Reglamentación del uso de las aguas en cuerpos de agua:                                              Logros:                                            Cuenca Río Ranchería: Muy a pesar de que la meta del indicador, está para los años  2021, 2022 y 2023,   se adelanta  la actualización de la reglamentación de esta corriente, pero se han presentado diferencias y controversias entre las partes, lo que obligó a contratar un amigable componedor, pero el contrato  está actualmente suspendido. 
Cuenca río Tapias: Pese a que la meta está para los años 2021, 2022 y 2023,  se contrató la actualización de la reglamentación de esta corriente,   pero
 ha tenido algunas dificultades las cuales están siendo resueltas por la Oficina Jurídica de la Corporación. Hasta tanto no se resuelvan estos inconvenientes no se da inicio a este  contrato 
                                                             Cuena río Cesar: Pese a que la meta está para los años 2021, 2022 y 2023,  se contrató la actualización de la reglamentación del uso de las aguas del río Cesar, el cual está próximo a su iniciación.</t>
  </si>
  <si>
    <t xml:space="preserve">Se adelantò socializaciòn con la comunidad del siguiente instrumento de planifiaciòn:         1. "Formulaciòn del Plan de Ordenamiento del recurso hìdrico en el Rìo Jerez"                                              Se adelantó socializaciòn con la comunidad del siguiente instrumento de planifiaciòn:       "Formulación del plan de ordenamiento del recurso hídrico de los ríos Lagarto - Maluisa Etapa II"; en la cual se  retomaron resultados de la fase diagnóstico.                                        Se adelanta socializaciòn con la comunidad del siguiente instrumento de planifiaciòn:       "Desarrollo de instrumentos de administración del recurso hídrico en la subzona hidrográfica del rio tapias, departamento de la guajira, mediante la actualización de la reglamentacion del uso de las aguas y estudio regional del agua " </t>
  </si>
  <si>
    <t xml:space="preserve">Con la ejecución del  proyecto "Restauración geomorfológica de un tramo del rio cañas, corregimiento de Mingueo, municipio de Dibulla, en el periodo Enero - Diciembre del año 2021, se han logrados  los siguientes resultados:
Actividades  de resocialización del proyecto, realizadas.                          
70.706 m3 de Dragado para recuperación de la capacidad hidráulica por medio mecánico. Incluye retiro hasta una distancia máxima de 5 kms , realizadas.         El contrato continúa suspendido                                          
También con la ejecución del proyecto "Construcción de obras de protección en el rio Cargabarros sectores los Totumitos, Catatumbo y Casiquillo municipio de El Molino La Guajira”, en el período Enero - Diciembre del año 2021, se han logrados  los siguientes resultados:
18.706,2  m3 de excavación mecánica para los espolones realizadas.                                   
9.162  m3 colocación de gavión en malla galvanizada triple torsión calibre 11.                                        16.062 m2 de Limpieza de cauce, retiro de árboles caídos, empalizadas y escombros, L= 5 kms . A= 20 m, realizados                            31.045,6 m3 de  recuperación de la capacidad hidráulica por medio mecánico. Incluye retiro hasta una distancia máxima de 5 kms, realizados                                      31.545,6 m3 de Conformación de jarillones con material seleccionado  de la misma excavación con compactador, (incluye colocación y extensión) </t>
  </si>
  <si>
    <t>Estudio Regional del Agua:
Con la ejecución del proyecto “Desarrollo de instrumentos de administración del recurso hídrico en la subzona hidrográfica del río tapias, departamento de La Guajira, mediante la actualización de la reglamentación del uso de las aguas y Estudio Regional del Agua; BPIN, 20183218000001", , en el periodo Enero - Diciembre del 2021, se han logrado  los siguientes resultados:                         
-Documento de  acta de inicio firmada                                       
-Cronograma de trabajo en revisión por parte de la interventoría externa contratada                                        
-Reunión de seguimiento a documentos de inicio entre consultor e interventoría, realizada                                             
-Primera versión de los documentos de inicio, en revisión.               
Efectuar la evaluación regional del agua en la subzona hidrográfica del Rio Tapias, La Guajira.                        
Realizar evaluación de la dinámica, tendencias, demanda y calidad de las aguas superficiales y subterráneas.              
● insumos para el cálculo de la oferta hídrica,  generándose.
● Metodología de indicadores de presión del recurso hídrico, en desarrollo.
● Subcuencas definidas en el PORH a los límites establecidos por el POMCA según 1311 del río Tapias, en ajustes.
● Red de drenaje en el sector costero de la cuenca, en rectificación.
●  Modelación lluvia escorrentía incluyendo definición del modelo, calibración y validación espacial, en avance.        
● Series sintéticas de caudal por subcuenca, en generación
●  Cálculo de oferta total, con análisis de resultados
●  Caudales ambientales, en stimación
●  Oferta hídrica disponible, en estimación preliminar</t>
  </si>
  <si>
    <t>Corpoguajira dentro del alcance previsto en la Sentencia T-302 de 2017, adelantará la contratación de un Estudio técnico independiente con el fin de establecer si hay una relación entre la actividad minera a gran escala y la escasez de agua potable para las comunidades Wayuu, en los municipios de Uribia, Maicao, Riohacha y Manaure, previa formulación del proyecto y consecución de los recursos para su financiación. Este compromiso fue incluido en nuestro Plan de Acción Cuatrienal 2020 - 2023, “La Sostenibilidad Ambiental, un Compromiso de Todos” en el programa Gestión integral del Recurso Hídrico, proyecto Administración de la Oferta y Demanda del Recurso Hídrico (superficiales y subterráneas), para ser cumplido en el año 2022; en el año 2021 se vienen cumpliendo con los procesos previos del compromiso los cuales tienen que ver con la formulación del proyecto y la gestión de consecución de recursos para su financiación. El proyecto ya ha sido formulado en su primera versión y se han adelantado gestiones en otras entidades del estado para su financiación.</t>
  </si>
  <si>
    <t xml:space="preserve"> se entregó informe de los resultados de cálculo de la carga contaminante vertida al recurso hídrico en la jurisdicción de CORPOGUAJIRA y de los valores a facturar por concepto de tasa retributiva</t>
  </si>
  <si>
    <t>Mediante lo dispuesto en la Resolución No 1010 de 2021, el IDEAM otorga la acreditación de los parámetros.</t>
  </si>
  <si>
    <t xml:space="preserve">g.fonseca@corpoguajira.gov.co; </t>
  </si>
  <si>
    <t xml:space="preserve">Grupo de Ecosistemas y Biodiversidad; </t>
  </si>
  <si>
    <t>Se ha realizado acciones en los POMCAS de Tapias, Ranchería y Carraipía descritos así:
Seguimiento a los procesos de restauración activa y pasiva en las cuencas de los ríos Ranchería y Tapias, en marco del contrato de obra No. 0083 de 2019 
Cuenca del río Ranchería: durante el primer trimestre de 2021 se avanzó en 294,45 hectáreas en restauración pasiva, a través de 66,217 Km de aislamiento.
Cuenca río Tapias: Restauración pasiva de 345 Hectáreas en la cuenca del río Tapias, a través de 105,124 Km de aislamiento Cuencas de La Guajira 2019. 
Proyecto “REHABILITACION ECOLOGICA PARTICIPATIVA DEL RIO AGUA CLARA, TRAMO SECTOR MANANTIAL 1 AGUAS ABAJO SECTOR MAGALOTE, MUNICIPIO DE HATONUEVO DEPARTAMENTO DE LA GUAJIRA”. ESTADO: EN EJECUCION CONTRATO  0060 DE 2021      
Se Realizó la visita validación de siembras de árboles CORPOGUAJIRA Sector Dos bocas, Represa el cercado del rio Ranchería y caracolí sanabas de manuela Corpoguajira- Zona rural del municipio de San Juan del Cesar seguimiento IDEAM. Contrato 0083 de 2021 0083 de 2019.  
Formulación del Proyecto denominado REHABILITACIÓN DE ECOSISTEMAS FORESTALES EN LOS SECTORES DE NUEVO ESPINAL Y SAN PEDRO, CUENCA DEL RIO RANCHERÍA, MUNICIPIO DE BARRANCAS, LA GUAJIRA. ESTADO: EVALUACION POR FUNCIONARIOS DEL MADS.-CONVOCATORIA FONAM 2022 Proyecto denominado “REHABILITACION DE ECOSISTEMAS FORESTALES EN LA RESERVA FORESTAL PROTECTORA MONTES DE OCA, MUNICIPIO DE MAICAO, DEPARTAMENTO DE LA GUAJIRA. ESTADO: EN EJECUCION CONTRATO 067 DE 2021.</t>
  </si>
  <si>
    <t>g.fonseca@corpoguajira.gov.co; mariaguzman@corpoguajira.gov.co</t>
  </si>
  <si>
    <t>Durante la vigencia 2021 se inscribió en el RUNAP el DCS de Perijá con un polígono  de 21043,68 has y se inscribió  RSC en el RUNAP con un polígono de 1.957 hectáreas, para un total de 23000 que representa un 54.8% de la meta propuesta para el 2021
• Se avanzó en la formulación del Plan de Manejo del Distrito de Conservación de Suelos Serranía de Perijá, con el apoyo del Programa Riqueza Natural. Se realizaron talleres institucionales y con actores estratégicos de los municipios que hacen parte del área protegida. Se cuenta con una propuesta de plan de manejo, la cual fue socializada en el mes de diciembre de 2021 a los actores, recibiendo retroalimentación. A la espera de la aprobación por parte del Consejo Directivo de CORPOGUAJIRA. 
Ampliación del DMI Serranía de Perijá: 
•Durante la vigencia 2021 se avanzó en la ampliación de 18267,1 heas del DRMI Serranái de Perijá, que incluye los municipios de Barrancas, Fonseca, Hatonuevo y El Molino.
•Como parte del proceso de actualización del plan de manejo que se lleva paralelamente a la ampliación del DMI Serranía de Perijá, en la vigencia 2021 se realizaron talleres virtuales y presenciales con actores institucionales y estratégicos con el fin de construir una propuesta de plan de manejo, la cual fue socializada en el mes de diciembre de 2021 a los actores, recibiendo retroalimentación.
•Se realizó el proceso de consulta previa con las comunidades de Tamaquito II y Nuevo Espinal en el municipio de Barrancas.
•Se avanzó en la elaboración del Documento Síntesis de la ampliación del Distrito Regional de Manejo Integrado (DRMI) Serranía de Perijá, para la obtención del Concepto por parte del Instituto Alexander von Humboldt. Una vez se obtenga el concepto se presentará al Consejo Directivo de Corpoguajira para su aprobación.
Apoyo en el registro de la Reserva Natural de la Sociedad Civil “Aguas Blancas-Santa Helena-Mushaisa”
•Se realizaron ajustes al concepto técnico para el registro de la Reserva Natural de la Sociedad Civil RNSC 164-18 “AGUAS BLANCAS-SANTA HELENA-MUSHAISA” gestionado por la empresa Carbones del Cerrejón, ubicada entre los municipios de Hatonuevo y Albania, con base en la aclaración y ajuste de los puntos solicitados por Parques Naturales Nacionales de Colombia a través del oficio radicado No. 4755 del 06/07/2021.
El área protegida fue registrada mediante Resolución 118 del 15/09/2021 con un área de 1.957 hectáreas.</t>
  </si>
  <si>
    <t>• Inicio de etapa de aprestamiento de la compensación de Cerrejón en 5 áreas protegidas (DMI Bañaderos, RFP Cañaverales, RFP Montes de Oca, DMI Cuenca Baja del Río Ranchería, DMI Delta del Río Ranchería), con la cual se implementarán acciones en materia de fortalecimiento de la gobernanza, educación ambiental y control y vigilancia en las áreas priorizadas. Se firmó acuerdo para la conservación de dichas áreas en noviembre de 2021 con Cerrejón, CORPOGUAJIRA y representantes de las asociaciones.
1. RFP Montes de Oca: 
• Se viene desarrollando   el Proyecto Rehabilitación de ecosistemas forestales en la RFP Montes de Oca, municipio de Maicao, La Guajira" que  Incluye 328 has con 180.400 arboles de restauración activa y 54 Km de protección (aislamiento). valor proyectado de: $ 2.626.800.000.  "Proyecto Rehabilitación de ecosistemas forestales en los sectores de Nuevo Espinal y San Pedro, cuenca del rio Rancheria, municipio de Barrancas, La Guajira". ESTADO: En elaboracion de la ficha MGA. 
• Durante el segundo trimestre se suscribió otrosí a convenio marco establecido con la empresa Hocol para implementar acciones de conservación en la RFP Montes de Oca, a través del cual se avanzará en las siguientes actividades en el RFP durante la vigencia 2021:
- Implementación de un proyecto apícola en áreas protegidas localizadas en áreas de influencia de las operaciones de HOCOL. 
- Realizar talleres para observadores y guías de aves que puedan desempeñarse en el área de aviturismo, como una alternativa sostenible adicional de conservación en la región, los cuales se desarrollaran en áreas protegidas localizadas en áreas de influencia de las operaciones de HOCOL. Los talleres serán dirigidos a las comunidades de las áreas de influencia de las operaciones de HOCOL y que con el apoyo de CORPOGUAJIRA se puedan utilizar las áreas protegidas como sitios para la actividad de AVITURISMO. 
- Implementar programas de apoyo en pro de la conservación y protección del Cardenal Guajiro como especie sombrilla, en áreas protegidas localizadas en áreas de influencia de las operaciones de HOCOL.
2.  DRMI Cuenca Baja del Río Ranchería 
Diligenciamiento de la herramienta EMAP -Efectividad para el manejo del área protegida DRMI Cuenca Baja del Río Ranchería, como aporte a la meta nacional. Se realizó taller virtual el día 15/10/21 con actores locales e institucionales el día con el apoyo de WWF.
• Avance en el proceso de conformación del Sistema Local de Áreas Protegidas de Riohacha, municipio que hace parte del área protegida.
• Se realizó Taller virtual para Medición de la Efectividad para el manejo del área protegida DRMI Cuenca Baja del Río Ranchería con el apoyo de WWF,  el día 9 de septiembre 2021, con participación de actores locales e institucionales como SENA, Gobernación de La Guajira 
3. DRMI Bañaderos: 
• En el marco del plan de trabajo establecido para el ejercicio piloto de actualización del Plan de Manejo del DRMI Bañaderos, apoyado por WWF y SIRAP Caribe, se realizaron las siguientes actividades: 
- Suministro de información cartográfica para proceso de actualización del Plan de Manejo del DRMI Bañaderos. 
- Estructuración de matriz de actores institucionales para proceso de actualización del Plan de Manejo del DRMI Bañaderos. 
• Avance en el proceso de conformación del Sistema Local de Áreas Protegidas de Riohacha, municipio que hace parte del área protegida.
• Elaboración de base de datos para invitación al Taller virtual de Medición de Efectividad de Manejo del DRMI Bañaderos a realizarse el 13/10/21.
• Diligenciamiento de la herramienta EMAP -Efectividad para el manejo del área protegida DRMI Bañaderos Cuenca Alta del Río Camarones, como aporte a la meta nacional. Se realizó taller el día 13/10/2021 con actores locales e institucionales el día con el apoyo de WWF.
4. Cerro Pintao: 
• Con el apoyo de la Asociación Calidris, en el marco del convenio suscrito con Riqueza Natural, se ejecuta el proyecto “Promoviendo la conservación del bosque seco tropical en el Área Importante para la Conservación de las Aves (AICA) Cerro Pintado (CO071) en la Serranía de Perijá, a través de la ampliación de esta área y del fortalecimiento de capacidades comunitarias”. Se han realizado las siguientes acciones durante el tercer trimestre de la vigencia 2021:
- Se realizó taller en especies de aves amenazadas y endémicas, el cual contó con 24 participantes de los cuatro municipios de influencia del AICA Cerro Pintao (La Jagua, Urumita, Villanueva y El Molino). 
-Concepto de ampliación de AICA  Cerro Pintao dentro de la jurisdicción del DCS de Perijá con el fin de realizar tramite pertinentes de ampliación del mismo.
Se viene implementando un proyecto de herramienta de manejo del paisaje con la organiacion Calidris en el DCS de Perijá 
5. DMI Serranía de Perijá: 
• Formulación del proyecto Rehabilitación de ecosistemas forestales en el sector de Nuevo Espinal y Corregimiento de San Pedro, municipio de Barrancas, La Guajira. 
• Ajuste a la zonificación del DRMI 
• Actualización  del Plan de Manejo y ampliación del DRMI.     
• Dotación de la Cabaña adminstrativa del DRMI de Perija 
6. RFP Manantial de Cañaverales
• Socialización del plan de manejo a actores locales el día 21/10/21</t>
  </si>
  <si>
    <t>•Suscripción del convenio marco No. 005/2021 entre la Universidad de La Guajira, SIRAP Caribe y CORPOGUAJIRA con el objetivo de aunar esfuerzos orientados a desarrollar acciones, proyectos de investigación y monitoreo que aporten al conocimiento de la estructura ecológica principal, las áreas protegidas y corredores biológicos del departamento asociado al cambio climático en lo que respecta a la conservación y uso de la biodiversidad y servicios ecosistémicos, la Corporación Autónoma Regional de La Guajira – Corpoguajira y la Universidad de La Guajira suscribieron convenio de cooperación. Dentro de las actividades a ejecutar en los próximos cinco años, se encuentran: elaborar y llevar a cabo un plan de trabajo conjunto que permita implementar el desarrollo del mismo; formular proyectos orientados al aporte de conocimiento para la recuperación de la estructura ecológica principal de las áreas protegidas y corredores biológicos; gestionar recursos para la ejecución de los proyectos que se ejecuten en el marco del convenio ante las instancias nacionales e internacionales, para su implementación.
•Implementación del Acuerdo 001 del Convenio marco de cooperación suscrito ente CORPOGUAJIRA y CRA con el objetivo de desarrollar y complementar las actividades del plan operativo de la mesa de trabajo del SIRAP Caribe para el 2020-2021, como aporte a las siguientes temáticas: Apoyo al desarrollo de acciones relacionadas con la operación de la Mesa Regional del Sirap Caribe y la implementación de su “Plan Operativo”; Fortalecimiento del proceso de áreas protegidas; Apoyo plan de Acción, reglamentación y estrategia de sostenibilidad/SIDAP La Guajira.</t>
  </si>
  <si>
    <t xml:space="preserve">Durante la vigencia 2020 se logró la comformación del SIDAP La Guajira y del SILAP de Uribia (Acuerdo municipal 007 de 2020), este ultimo previsto como meta para la vigencia 2021. 
Durante el primer trimestre se avanzó en las siguientes acciones: 
´-Se socializó la Ordenanza 520 del 2020 ante el Consejo directivo de CORPOGUAJIRA, del cual hacen parte del comité directivo:   i. Los cuatro alcaldes del consejo de la Corporación, ii. Representante Afro descendiente de la Corporación, iii. Representante de Indígenas de la Corporación. También se socializó ante los representantes de las Asociaciones Guardianes Ambiente y Paz durante el mes de marzo de 2021.
-Se priorizo la dinamización del SIDAP en el marco del convenio SIRAP• Se han realizado reuniones interinstitucionales para dar inicio a la conformación del Sistema Local de Areas Protegidas de Riohacha.
En el tercer trimestre se apoyo plan de Acción, reglamentación y estrategia de sostenibilidad/SIDAP La Guajira, avanza en el proceso de conformación del SILAP Riohacha, con Parques Nacionales Naturales de Colombia y la Alcaldía de Riohacha
SILAP SAN JUAN :Con la Alcaldía de San Juan de Cesar con el fin de conocer los proyectos por entidad como aporte al portafolio de inversión del SIDAP La Guajira con el apoyo del SIRAP Caribe, se elaboró la propuesta de Reglamentación que incluye los procesos administrativos para la implementación, roles y sostenibilidad del SILAP. </t>
  </si>
  <si>
    <t xml:space="preserve">Los POMIUAC de la Alta Guajira y VNSNSM están formulados y aprobados por las Comisiones Conjuntas de las Unidades Ambientales Costeras y se encuentran pendientes de adopción por consulta previa, por lo que se adelantan acciones de manejo integrado en la Zona Costera de la jurisdicción, reportadas como GESTIÓN ACUMULADA A DIC 31 de 2021, de la siguiente manera: En el marco del proyecto de la Agencia Alemana de Cooperación GIZ “Manejo Integrado Marino Costero – MIMAC”, en ejecución con CORPOGUAJIRA se participó en las reuniones de trabajo para la coordinación y óptima ejecución de actividades del proyecto así como en las sesiones de su Comité Técnico, y se logró concluir el Diplomado "Herramientas para la gestión integrada marino costera en el contexto del Cambio Climático”, realizado con la Universidad del Magdalena y el consorcio GITEC; se continuó participando en las diferentes reuniones de socialización de resultados y/o propuestas, tanto de la tercera jornada de trabajo adelantada con comunidades de Bahía Hondita (Uribia), correspondiente a las capacitaciones en “Monitoreo participativo de áreas de manglar en Bahía Hondita”, y “Recolección y manejo de semillas y propágulos de manglar”, esta última realizada por el Grupo Marino Costero en forma directa a miembros de las comunidades de Hipolumao, Utareo, Bahía Hondita, Punta Gallinas, y Kalapuipa, como de la socialización de la intención de generar una propuesta para la conformación de la “ruta del manglar” en Bahía Hondita, con el objetivo de fortalecer a las comunidades relacionadas con el manglar y a las dos (2) posadas turísticas que fueron certificadas como Negocio Verde, es decir una ruta (tour) de ecoturismo en los manglares de la zona arribando a las posadas en mención, la cual contó con participación de las comunidades guardianes del manglar, operadores turísticos, Cámara de Comercio de La Guajira sede Riohacha, entre otros, quienes conforman el clúster de turismo, la que se seguirá trabajando durante 2022.  
Igualmente y en cuanto al proceso de Ordenación pesquera Participativa de la Alta Guajira (Bahías Honda, Hondita y Portete) que se adelanta con apoyo de MIMAC y la participación de la Autoridad Nacional de Acuicultura y Pesca – AUNAP, Parques Nacionales Naturales – PNN, la Alcaldía de Uribia y CORPOGUAJIRA, entre otros, se continuo el trabajo en el Comité técnico establecido para tal fin y se logró generar una propuesta de Acuerdo de voluntades para suscribirse con los pescadores Wayuu en el área de interés de Ordenación, el que se encuentra en revisión por parte de los interesados para la posterior firma. 
Asimismo y con respecto al tema del diseño del instrumento financiero para canalizar las compensaciones ambientales del licenciamiento ambiental de la Corporación, especialmente hacia áreas protegidas regionales y ecosistemas de interés, se continuo con la participación en las reuniones de trabajo internas de CORPOGUAJIRA y en las del equipo GIZ MIMAC con la Corporación, y se realizaron aportes técnicos en aspectos marino costeros tanto en la generación del “Mapa de áreas de importancia para las compensaciones”, como en el diseño de las propuestas de procedimientos internos para: a) Registro y actualización de iniciativas en el Portafolio Regional de Iniciativas de Compensación, y b) Evaluación de planes de compensación del componente biótico, entre otras, cuya versión final se recibió en Corpoguajira en diciembre de 2021. 
Igualmente, se participó presencialmente en el seguimiento ambiental a la empresa GECELCA de la Licencia ambiental para la construcción de tres (3) espolones, cuyo informe se preparó y remitió a la Subdirección de Autoridad Ambiental, se apoyó la respuesta institucional al radicado No. ENT-6108 de 2021 de Ecopetrol-Aquabiósfera, sobre ecosistemas estratégicos y áreas protegidas regionales marino costeras, para la elaboración del Estudio de Impacto Ambiental del Área de Perforación Exploratoria Marina – APEM Rubí, Bloque Guaoff-10, así como la respuesta al derecho de petición ENT-7492 de 2021 sobre acuariofilia. 
De otra parte, se continuó con las reuniones de trabajo con INVEMAR para la ejecución en campo del proyecto aprobado a dicho Instituto por el Sistema General de Regalías -SGR "Fortalecimiento de las destrezas de la comunidad de la media y alta Guajira en la apropiación del recurso hídrico marino y costero de la región",  aportando la experiencia de la Corporación en lo pertinente al relacionamiento con las comunidades Wayuu para iniciar las actividades en campo que se llevarán a cabo desde enero de 2022, con comunidades en el Cabo de La Vela. Igualmente, se trabajó con el Instituto la propuesta denominada “Investigación científica sobre el potencial de los ecosistemas carbono azul para la adaptación y mitigación del cambio climático y el mejoramiento de la gestión marino costera en los departamentos de Magdalena, Guajira y San Andrés, Providencia y Santa Catalina”, a ser presentada a la Convocatoria de Ciencia, Tecnología e Innovación C-Tel ambiental del Sistema General de Regalías para la conformación de un listado de propuestas de proyecto elegibles de investigación, desarrollo e innovación para el ambiente y el desarrollo sostenible del país. </t>
  </si>
  <si>
    <t>Es una actividad a realizarse en 2022; no obstante, un mayor detalle de las acciones adelantadas se encuentran registradas en el Informe de Gestión acumulada a 31 de diciembre de 2021.</t>
  </si>
  <si>
    <r>
      <rPr>
        <b/>
        <sz val="9"/>
        <rFont val="Calibri"/>
        <family val="2"/>
        <scheme val="minor"/>
      </rPr>
      <t>Es una actividad</t>
    </r>
    <r>
      <rPr>
        <sz val="9"/>
        <rFont val="Calibri"/>
        <family val="2"/>
        <scheme val="minor"/>
      </rPr>
      <t xml:space="preserve"> </t>
    </r>
    <r>
      <rPr>
        <b/>
        <sz val="9"/>
        <rFont val="Calibri"/>
        <family val="2"/>
        <scheme val="minor"/>
      </rPr>
      <t>aplazada en su ejecución para 2022 por el Consejo Directivo de la entidad en Acuerdo 009 de noviembre de 2021</t>
    </r>
    <r>
      <rPr>
        <sz val="9"/>
        <rFont val="Calibri"/>
        <family val="2"/>
        <scheme val="minor"/>
      </rPr>
      <t xml:space="preserve">. No obstante, se continuó las actividades relacionadas con el ajuste del proyecto de Corpoguajira denominado “Rehabilitación ecológica de manglar en los municipios de Dibulla, Riohacha, Manaure y Uribia, zona Baja, Media y Alta del departamento de La Guajira”, requeridas por Minambiente para proseguir con el trámite de aprobación del proyecto y obtención de financiación del Fondo de Compensación Ambiental – FCA (Vigencia 2022) y lograr así la rehabilitación de 100 Ha, y en conjunto con la Oficina Asesora de Planeación de la entidad se sostuvo una Mesa de Trabajo con dicho Ministerio y el 1 de diciembre de 2021 se les envió la documentación completa del citado proyecto en su versión final, el cual fue viabilizado para su ejecución a partir del año 2022. 
Como actividad complementaria para fortalecer la ejecución de este indicador se participó de manera presencial en el “Taller Nacional de Manglares 2020-2021”, llevado a cabo  en la ciudad de Tumaco, Nariño, bajo la organización del Ministerio de ambiente y Desarrollo sostenible – MADS y el apoyo de la World Wildlife Foundation – WWF en la organización, el que contró con la participación de las Corporaciones Autónomas Regionales y de Desarrollo Sostenible – CAR, entre ellas Corponariño, CVC, Carsucre, Coralina, Corpouraba, Corpamag y Corpoguajira, así como otras entidades e Institutos como Invemar, CIOH-CCCP Tumaco, PNN DRMI Cabo Manglares y Frontera, Conservación Internacional-CI, el Consejo Comunitario Bajo Mira y Frontera, y la comunidad del Bajito Vaquería. Los temas tratados durante el evento se enfocaron hacia acciones de Carbono azul en los ecosistemas de manglar, el Plan nacional de restauración y su relación con los manglares, avances en la restauración en manglares hasta 2021 y expectativas al 2023, escenarios de cambio climático en manglares de Colombia y la actualización del “Programa para el uso sostenible, manejo y conservación de los ecosistemas de manglar en Colombia”, expectativas de trabajo en manglares para 2022 por parte de las CAR, institutos de investigación y entidades invitadas. Adicionalmente se realizó un recorrido a las antiguas camaroneras de Tumaco (Nariño) como posibles áreas de restauración (visita a la camaronera Balboa, que funciona parcialmente y que se contempla como un posible sitio para rehabilitación con manglar) y se visitó sitios de restauración de Corponariño – WWF. Igualmente se llevó a cabo un conversatorio con la comunidad de Bajito Vaquería (Tumaco, Nariño) en relación con medios de vida, beneficios y gestión del riesgo en manglares (PNN – CC Bajo Mira y Manglares). Entre las propuestas realizadas al finalizar la jornada, se planteó la posibilidad de realizar el próximo taller de nacional de manglares de 2022 en el departamento de La Guajira. 
Igualmente, con el equipo del proyecto Medidas de Adaptación basadas en Ecosistemas – MAbE Minambiente - KfW se sostuvo reunión de trabajo para abordar algunos aspectos necesarios de ajuste en la medida propuesta para su financiación denominada “Reforestación Protectora en Franja y Zonas Internas del ecosistema de manglar en los Municipios costeros de Dibulla, Uribía, Distrito de Riohacha, y Manaure, Departamento de La Guajira, Caribe Colombiano”, la cual se pretende ejecutar en 2022, los que se hicieron y se enviaron para continuar con el proceso.  Se está a la espera de una respuesta al particular.
Se continuó con el apoyo técnico a la empresa HOCOL para lograr la ejecución de la compensación ambiental por pérdida de biodiversidad, aprobada por la Autoridad Nacional de Licencias Ambientales – ANLA mediante Resolución No. 2454 de 16/12/2019, por la construcción de la vía de acceso al Campo Ballenas (Manaure), que involucra entre otros, el establecimiento de manglar en parcelas Piloto de Rehabilitación para promover y apoyar la restauración ecológica (restauración pasiva y activa a partir de enriquecimiento con especies nativas) en el Distrito Regional de Manejo Integrado _ DRMI Musichi, localizado en zona costera de Manaure; con ellos se llevó a cabo una salida de campo y una reunión de trabajo para conocer su propuesta de Plan de Compensación para el componente biótico, la cual allegarán oficialmente a la Corporación para evaluación y aprobación. 
</t>
    </r>
  </si>
  <si>
    <r>
      <t>En cuanto a la zonificación ambiental de playas</t>
    </r>
    <r>
      <rPr>
        <b/>
        <sz val="9"/>
        <rFont val="Calibri"/>
        <family val="2"/>
        <scheme val="minor"/>
      </rPr>
      <t xml:space="preserve"> es una actividad aplazada en su ejecución para 2022 por el Consejo Directivo de la entidad en Acuerdo 009 de noviembre de 2021</t>
    </r>
    <r>
      <rPr>
        <sz val="9"/>
        <rFont val="Calibri"/>
        <family val="2"/>
        <scheme val="minor"/>
      </rPr>
      <t xml:space="preserve">. No obstante, se continuó con la participación en reuniones del proyecto Medidas de Adaptación Basada en Ecosistemas - MAbE (Minambiente-KFW), en las cuales se abordó el tema de los indicadores de todas las fichas MAbE que se prepararon por CORPOGUAJIRA para obtener financiación en 2022, incluida la del “Estudio técnico de caracterización, zonificación y ordenación ambiental basado en ecosistemas de playa en Riohacha y Manaure, La Guajira” para ser validado, así como los presupuestos y actividades, verificando la información o resultados que se esperan obtener en términos de áreas, kilómetros de costa y beneficiarios; se está a la espera de su aprobación para inicio de ejecución el próximo año.
Se finalizó y remitió a la Subdirección de Autoridad Ambiental (INT-2489 del 02/12/2021) el informe técnico del recorrido por la playa de Palomino (Dibulla), solicitado mediante derecho de petición de la Veeduría ambiental de Palomino en comunicación ENT-6080 de 2021 “Denuncia por afectación de ecosistemas y especies en vía de extinción y solicitud de estudios y monitoreo de posibles impactos ambientales y socio-económicos en el sector comprendido entre el Río Palomino y el Río San salvador y las áreas de influencia por la concesión de una franja marino-costera para la construcción de obras rígidas", en el cual denunciaron la construcción de muros en concreto sobre la zona de playas en cuestión. 
Se continuó con la participación en el Comité Distrital de Playas de Riohacha, en donde se abordaron temas para realizar jornadas de capacitación en 2022 relacionadas con la conservación del ecosistema de playa; así mismo, por convocatoria de la Alcaldía de Riohacha, se asistió a reuniones de trabajo en las que se abarcaron temas como el proyecto de ordenamiento de playas, el componente ambiental del POT y concertación de procesos en playas. De la misma manera, se participó en el Taller virtual regional para la incorporación de la gestión del riesgo en los POT municipales con énfasis en erosión costera - CONPES 3990.
</t>
    </r>
  </si>
  <si>
    <t xml:space="preserve"> La zonificación ambiental de Pastos marinos es una actividad a ejecutarse en 2022-2023.   No obstante, un mayor detalle de las acciones adelantadas se encuentran registradas en el Informe de Gestión acumulado a 31 de diciembre de 2021. </t>
  </si>
  <si>
    <t xml:space="preserve">Mesas Técnicas de erosión costera: La meta del año se cumplió al 100% en el tercer trimestre de 2021; adicionalmente, se continuó con la participación en las reuniones de trabajo en las que la Fundación Herencia Ambiental, en conjunto con la Embajada del Reino de los Países Bajos y el consorcio Arkadys, llevaron a cabo con diferentes entidades y/o expertos nacionales e internacionales, varias sesiones de capacitación sobre el uso de material de dragado como una alternativa de recuperación de zonas afectadas por erosión costera, en las que presentaron el estado del caso colombiano y metodologías para el análisis comparativo de las normas relacionadas con el uso del material de dragado para fines de recuperación de zonas afectadas, e igualmente se participó en la reunión de cierre del proyecto “Construir con la naturaleza- Uso benéfico del material de dragado”, estructurado con el fin de avanzar en el conocimiento técnico de oportunidades de aprovechamiento y reuso de los materiales dragados en Colombia, la cual fue organizada por el Ministerio de Transporte, el Ministerio de Ambiente y Desarrollo Sostenible, el Departamento Nacional de Planeación y la Embajada del Reino de los Países Bajos. 
</t>
  </si>
  <si>
    <t>Jornadas participativas de divulgación para los POMIUAC de la Alta Guajira y de la Vertiente Norte de la Sierra Nevada de Santa Marta – Sector La Guajira: La meta del año se cumplió al 100% en el tercer trimestre de 2021.</t>
  </si>
  <si>
    <r>
      <t xml:space="preserve">En cuanto al Kilómetro lineal de costa intervenido con medidas de mitigación contra la erosión costera a ejecutarse en 2021, </t>
    </r>
    <r>
      <rPr>
        <b/>
        <sz val="9"/>
        <rFont val="Calibri"/>
        <family val="2"/>
        <scheme val="minor"/>
      </rPr>
      <t>es una actividad aplazada</t>
    </r>
    <r>
      <rPr>
        <sz val="9"/>
        <rFont val="Calibri"/>
        <family val="2"/>
        <scheme val="minor"/>
      </rPr>
      <t xml:space="preserve"> </t>
    </r>
    <r>
      <rPr>
        <b/>
        <sz val="9"/>
        <rFont val="Calibri"/>
        <family val="2"/>
        <scheme val="minor"/>
      </rPr>
      <t>en su</t>
    </r>
    <r>
      <rPr>
        <sz val="9"/>
        <rFont val="Calibri"/>
        <family val="2"/>
        <scheme val="minor"/>
      </rPr>
      <t xml:space="preserve"> </t>
    </r>
    <r>
      <rPr>
        <b/>
        <sz val="9"/>
        <rFont val="Calibri"/>
        <family val="2"/>
        <scheme val="minor"/>
      </rPr>
      <t>ejecución para 2022 por el Consejo Directivo de la entidad en Acuerdo 009</t>
    </r>
    <r>
      <rPr>
        <sz val="9"/>
        <rFont val="Calibri"/>
        <family val="2"/>
        <scheme val="minor"/>
      </rPr>
      <t xml:space="preserve"> </t>
    </r>
    <r>
      <rPr>
        <b/>
        <sz val="9"/>
        <rFont val="Calibri"/>
        <family val="2"/>
        <scheme val="minor"/>
      </rPr>
      <t>de noviembre de 2021</t>
    </r>
    <r>
      <rPr>
        <sz val="9"/>
        <rFont val="Calibri"/>
        <family val="2"/>
        <scheme val="minor"/>
      </rPr>
      <t xml:space="preserve">. No obstante, se continuó con la participación en reuniones de trabajo virtuales con la delegada del proyecto del Ministerio de Ambiente y Desarrollo Sostenible -  MADS y el Banco Alemán KfW, denominado "Medidas de adaptación de ecosistemas para la protección costera en un clima cambiante" - MAbE, con el fin de revisar las Fichas MAbE que se presentaron por CORPOGUAJIRA para financiación, en particular los indicadores, presupuestos, actividades, áreas, kilómetros de costa y beneficiarios, en este caso para la MAbE que corresponde a una medida de mitigación contra la erosión costera, como lo es la de “Reforestación Protectora en Franja y Zonas Internas del ecosistema de manglar en los Municipios costeros de Dibulla, Uribia, Distrito de Riohacha, y Manaure, Departamento de La Guajira, Caribe Colombiano”, con la que se aportará al cumplimiento de la meta del Plan de Acción de la entidad en 2022.
De otra parte, se continuó con la participación en las reuniones de trabajo en las que la Fundación Herencia Ambiental, en conjunto con la Embajada del Reino de los Países Bajos y el consorcio Arkadys, llevaron a cabo capacitaciones con diferentes entidades y/o expertos nacionales e internacionales, sobre el uso de material de dragado como una alternativa de recuperación de zonas afectadas por erosión costera, en los que presentaron el estado del caso colombiano y metodología para el análisis comparativo de las normas relacionadas con el uso del material de dragado para fines de recuperación de zonas afectadas, e igualmente se participó en la reunión de cierre del proyecto “Construir con la naturaleza- Uso benéfico del material de dragado”, estructurado con el fin de avanzar en el conocimiento técnico de oportunidades de aprovechamiento y reuso de los materiales dragados en Colombia, la cual fue organizada por el Ministerio de Transporte, el Ministerio de Ambiente y Desarrollo Sostenible, el Departamento Nacional de Planeación y la Embajada del Reino de los Países Bajos.
</t>
    </r>
  </si>
  <si>
    <t xml:space="preserve">Se continuó con la participación en reuniones de trabajo virtuales con la delegada del proyecto del Ministerio de Ambiente y Desarrollo Sostenible -  MADS y el Banco Alemán KfW, denominado "Medidas de adaptación de ecosistemas para la protección de la erosión costera en un clima cambiante" - MAbE, con el fin de revisar las Fichas MAbE que se presentaron por CORPOGUAJIRA para financiación, en particular los indicadores, presupuestos, actividades, áreas, kilómetros de costa y beneficiarios, en este caso para las MAbE que corresponden a las medidas de adaptación de ecosistemas de manglar, playas y pastos marinos del Distrito Regional de Manejo Integrado - DRMI Sawairu, en los Municipios costeros del Departamento de La Guajira, Caribe Colombiano, en jurisdicción de CORPOGUAJIRA, las que se espera iniciar con su ejecución en 2022. 
Asimismo y en atención a lo definido en el Convenio 285 de 2019 suscrito entre el Ministerio de Ambiente y Desarrollo Sostenible – MADS y la Corporación Autónoma Regional de La Guajira – CORPOGUAJIRA, para la ejecución del Componente 2 del proyecto “Adaptación basada en los ecosistemas para la protección de la erosión costera en un clima cambiante”  en el marco del Contrato de aporte financiero y del acuerdo separado suscrito entre el MADS y KfW, CORPOGUAJIRA contrató al Ingeniero Daiver Gabriel Pinto Pimienta, como el Profesional que realizará la coordinación del proyecto en mención, quién inició actividades el 17 de diciembre de 2021 bajo la supervisión de la Dra. María del Rosario Guzmán Vivas.
</t>
  </si>
  <si>
    <t xml:space="preserve">Durante el periodo continuó el trabajo con el proyecto de la Agencia Alemana de Cooperación GIZ “Manejo Integrado Marino Costero – MIMAC”, en desarrollo de la iniciativa de carbono azul en manglares de Bahía Hondita (Uribia) y se obtuvo las memorias de la tercera jornada de trabajo adelantada con comunidades de dicho sector correspondiente a la capacitación en “Monitoreo participativo de áreas de manglar en Bahía Hondita” (ver documento anexo), las que contaron con participación del Grupo Marino Costero, quienes además en el mes de noviembre de 2021 capacitaron en forma directa a miembros de las comunidades de Hipolumao, Utareo, Bahía Hondita, Punta Gallinas, y Kalapuipa, en “Recolección y manejo de semillas y propágulos de manglar”. 
A partir del fortalecimiento de la gobernanza en las cuatro (4) comunidades Wayuu relacionadas con las áreas de manglar de Bahía Hondita (Bahía Hondita, Punta Gallinas, Utareo, Kalapuipa) mediante la conformación del grupo “los guardianes del manglar”, se logró en noviembre de 2021 la suscripción entre las comunidades mencionadas y Corpoguajira, de un acuerdo de protección y conservación de las áreas de manglar (ver documento anexo), bajo el apoyo de GIZ.
Así mismo y como continuación del trabajo de la Mesa Técnica con el Ministerio de Ambiente – Minambiente, GIZ MIMAC y CORPOGUAJIRA para el desarrollo de esta medida de carbono azul, se preparó el reporte de avance de actividades y resultados a diciembre 2021 y actividades programadas para 2002 (ver documento anexo), y se le envió a Minambiente en diciembre de 2021, ya que esta es una de las cinco (5) iniciativas que se ejecutan en el país, en cumplimiento del Plan Nacional de Desarrollo – PND 2020-2023. 
</t>
  </si>
  <si>
    <r>
      <t xml:space="preserve">Este indicador tiene su propio IMG. El avance en su ejecución está reportado en el Informe de Gestión acumulada a diciembre 31 de 2021 y </t>
    </r>
    <r>
      <rPr>
        <b/>
        <sz val="9"/>
        <rFont val="Calibri"/>
        <family val="2"/>
        <scheme val="minor"/>
      </rPr>
      <t>esta aplazada para 2022 según Acuerdo CD 009 de noviembre de 2021.</t>
    </r>
  </si>
  <si>
    <t>Este indicador tiene su propio IMG. El avance en su ejecución está reportado en el Informe de Gestión acumulada a diciembre 31 de 2021.</t>
  </si>
  <si>
    <t xml:space="preserve">GESTIÓN ACUMULADA A DIC 31 de 2021: En el marco del proyecto de la Agencia Alemana de Cooperación GIZ “Manejo Integrado Marino Costero – MIMAC”, en ejecución con CORPOGUAJIRA, se participó en las reuniones de trabajo para la coordinación y óptima ejecución de actividades del proyecto, así como en el Comité Técnico, y se logró concluir el Diplomado "Herramientas para la gestión integrada marino costera en el contexto del Cambio Climático”, realizado con la Universidad del Magdalena y el consorcio GITEC. Se continuó participando en las diferentes reuniones de socialización de resultados y/o propuestas, tanto de la tercera jornada de trabajo adelantada con comunidades de Bahía Hondita (Uribia), correspondiente a las capacitaciones en “Monitoreo participativo de áreas de manglar en Bahía Hondita”, y “Recolección y manejo de semillas y propágulos de manglar”, esta última realizada por el Grupo Marino Costero en forma directa a miembros de las comunidades de Hipolumao, Utareo, Bahía Hondita, Punta Gallinas, y Kalapuipa, como de la socialización de la intención de generar una propuesta para la conformación de la “ruta del manglar” en Bahía Hondita, con el objetivo de fortalecer a las comunidades relacionadas con el manglar y a las dos (2) posadas turísticas que fueron certificadas como Negocio Verde, es decir una ruta (tour) de ecoturismo en los manglares de la zona arribando a las posadas en mención, la cual contó con participación de las comunidades guardianes del manglar, operadores turísticos, Cámara de Comercio de La Guajira sede Riohacha, entre otros, quienes conforman el clúster de turismo, la que se seguirá trabajando durante 2022.  
Igualmente y en cuanto al proceso de Ordenación pesquera Participativa de la Alta Guajira (Bahías Honda, Hondita y Portete) que se adelanta con apoyo de MIMAC y la participación de la Autoridad Nacional de Acuicultura y Pesca – AUNAP, Parques Nacionales Naturales – PNN, la Alcaldía de Uribia y CORPOGUAJIRA, entre otros, se continuo el trabajo en el Comité técnico establecido para tal fin y se logró generar una propuesta de Acuerdo de voluntades para suscribirse con los pescadores Wayuu en el área de interés de Ordenación, el que se encuentra en revisión por parte de los interesados para la posterior firma. 
Asimismo y con respecto al tema del diseño del instrumento financiero para canalizar las compensaciones ambientales del licenciamiento ambiental de la Corporación, especialmente hacia áreas protegidas regionales y ecosistemas de interés, se continuo con la participación en las reuniones de trabajo internas de CORPOGUAJIRA y en las del equipo GIZ MIMAC con la Corporación, y se realizaron aportes técnicos en aspectos marino costeros tanto en la generación del “Mapa de áreas de importancia para las compensaciones”, como en el diseño de las propuestas de procedimientos internos para: a) Registro y actualización de iniciativas en el Portafolio Regional de Iniciativas de Compensación, y b) Evaluación de planes de compensación del componente biótico, entre otras, cuya versión final se recibió en Corpoguajira en diciembre de 2021. 
Igualmente, se participó presencialmente en el seguimiento ambiental a la empresa GECELCA de la Licencia ambiental para la construcción de tres (3) espolones, cuyo informe se preparó y remitió a la Subdirección de Autoridad Ambiental, se apoyó la respuesta institucional al radicado No. ENT-6108 de 2021 de Ecopetrol-Aquabiósfera, sobre ecosistemas estratégicos y áreas protegidas regionales marino costeras, para la elaboración del Estudio de Impacto Ambiental del Área de Perforación Exploratoria Marina – APEM Rubí, Bloque Guaoff-10, así como la respuesta al derecho de petición ENT-7492 de 2021 sobre acuariofilia. 
De otra parte, se continuó con las reuniones de trabajo con INVEMAR para la ejecución en campo del proyecto aprobado a dicho Instituto por el Sistema General de Regalías -SGR "Fortalecimiento de las destrezas de la comunidad de la media y alta Guajira en la apropiación del recurso hídrico marino y costero de la región",  aportando la experiencia de la Corporación en lo pertinente al relacionamiento con las comunidades Wayuu para iniciar las actividades en campo que se llevarán a cabo desde enero de 2022, con comunidades en el Cabo de La Vela. Igualmente, se trabajó con el Instituto la propuesta denominada “Investigación científica sobre el potencial de los ecosistemas carbono azul para la adaptación y mitigación del cambio climático y el mejoramiento de la gestión marino costera en los departamentos de Magdalena, Guajira y San Andrés, Providencia y Santa Catalina”, a ser presentada a la Convocatoria de Ciencia, Tecnología e Innovación C-Tel ambiental del Sistema General de Regalías para la conformación de un listado de propuestas de proyecto elegibles de investigación, desarrollo e innovación para el ambiente y el desarrollo sostenible del país. </t>
  </si>
  <si>
    <t>Actividad para ejecutarse en 2022. GESTIÓN ACUMULADA A DIC 31 de 2021: Durante el periodo y una vez obtenida la Resolución de la Dirección de la Autoridad Nacional de Consulta Previa del Ministerio del Interior, No. ST-1036, en la cual se resolvió que para la realización del Estudio de caracterización, diagnóstico y zonificación de los manglares en La Guajira, en jurisdicción de CORPOGUAJIRA, no procede la Consulta Previa ya que se trata de un estudio de actualización de información y de ninguna manera se adoptará como una medida administrativa sin surtir la debida consulta previa, se continuó con el proceso de ajustar y perfeccionar la propuesta de medida de adaptación basada en ecosistemas – MabE que se diseñó y sometió a consideración del MAbE Minambiente - KfW y lograr así la financiación del estudio  de “Actualización de la caracterización, diagnóstico, zonificación y Plan de Manejo del ecosistema de manglar del departamento de La Guajira” en la vigencia 2022.</t>
  </si>
  <si>
    <t xml:space="preserve">Actividad pospuesta en su ejecución para 2022 según Acuerdo CD 009 de 2021. GESTIÓN ACUMULADA A DIC 31 de 2021: Se continuó con el acompañamiento y apoyo al proceso de consulta previa  para la “Declaratoria como área protegida de los sectores Bahía Honda y Bahía Hondita (municipio de Uribia), departamento de La Guajira” y al equipo que la realiza con el apoyo de la Agencia Alemana de Cooperación GIZ proyecto“Manejo Integrado Marino Costero – MIMAC”, en la que se contó con la presencia de la delegada del Ministerio del Interior - Mininterior. Se desarrollaron en campo las actividades proyectadas con anterioridad para culminar la etapa consultiva e igualmente se asistió a la reunión programada a la comunidad de Gran Vía, junto con el equipo en mención. A la reunión convocada no se presentó la Autoridad Tradicional, por lo que se acordó con el equipo de trabajo y la delegada del Mininterior, con aprobación del Director de Corpoguajira, solicitarle a la Dirección Autoridad Nacional de Consulta Previa de dicho Ministerio - DANCP una Mesa Técnica para definir a la mayor brevedad posible, una medida a seguir con esta comunidad y dar continuidad al proceso para la declaratoria del área protegida. Se espera finalizar el proceso y proceder a la declaratoria en 2022. </t>
  </si>
  <si>
    <t>Actividad pospuesta en su ejecución para 2022 según Acuerdo CD 009 de 2021. GESTIÓN ACUMULADA A DIC 31 de 2021: Se continuó las actividades relacionadas con el ajuste del proyecto de Corpoguajira denominado “Rehabilitación ecológica de manglar en los municipios de Dibulla, Riohacha, Manaure y Uribia, zona Baja, Media y Alta del departamento de La Guajira”, requeridas por Minambiente para proseguir con el trámite de aprobación del proyecto y obtención de financiación del Fondo de Compensación Ambiental – FCA (Vigencia 2022) y lograr así la rehabilitación de 100 Ha, y en conjunto con la Oficina Asesora de Planeación de la entidad se sostuvo una Mesa de Trabajo con dicho Ministerio y el 1 de diciembre de 2021 se les envió la documentación completa del citado proyecto en su versión final, el cual fue viabilizado para su ejecución a partir del año 2022. 
Como actividad complementaria para fortalecer la ejecución de este indicador se participó de manera presencial en el “Taller Nacional de Manglares 2020-2021”, llevado a cabo  en la ciudad de Tumaco, Nariño, bajo la organización del Ministerio de ambiente y Desarrollo sostenible – MADS y el apoyo de la World Wildlife Foundation – WWF en la organización, el que contró con la participación de las Corporaciones Autónomas Regionales y de Desarrollo Sostenible – CAR, entre ellas Corponariño, CVC, Carsucre, Coralina, Corpouraba, Corpamag y Corpoguajira, así como otras entidades e Institutos como Invemar, CIOH-CCCP Tumaco, PNN DRMI Cabo Manglares y Frontera, Conservación Internacional-CI, el Consejo Comunitario Bajo Mira y Frontera, y la comunidad del Bajito Vaquería. Los temas tratados durante el evento se enfocaron hacia acciones de Carbono azul en los ecosistemas de manglar, el Plan nacional de restauración y su relación con los manglares, avances en la restauración en manglares hasta 2021 y expectativas al 2023, escenarios de cambio climático en manglares de Colombia y la actualización del “Programa para el uso sostenible, manejo y conservación de los ecosistemas de manglar en Colombia”, expectativas de trabajo en manglares para 2022 por parte de las CAR, institutos de investigación y entidades invitadas. Adicionalmente se realizó un recorrido a las antiguas camaroneras de Tumaco (Nariño) como posibles áreas de restauración (visita a la camaronera Balboa, que funciona parcialmente y que se contempla como un posible sitio para rehabilitación con manglar) y se visitó sitios de restauración de Corponariño – WWF. Igualmente se llevó a cabo un conversatorio con la comunidad de Bajito Vaquería (Tumaco, Nariño) en relación con medios de vida, beneficios y gestión del riesgo en manglares (PNN – CC Bajo Mira y Manglares). Entre las propuestas realizadas al finalizar la jornada, se planteó la posibilidad de realizar el próximo taller de nacional de manglares de 2022 en el departamento de La Guajira. 
Igualmente, con el equipo del proyecto Medidas de Adaptación basadas en Ecosistemas – MAbE Minambiente - KfW se sostuvo reunión de trabajo para abordar algunos aspectos necesarios de ajuste en la medida propuesta para su financiación denominada “Reforestación Protectora en Franja y Zonas Internas del ecosistema de manglar en los Municipios costeros de Dibulla, Uribía, Distrito de Riohacha, y Manaure, Departamento de La Guajira, Caribe Colombiano”, la cual se pretende ejecutar en 2022, los que se hicieron y se enviaron para continuar con el proceso.  Se está a la espera de una respuesta al particular.
Se continuó con el apoyo técnico a la empresa HOCOL para lograr la ejecución de la compensación ambiental por pérdida de biodiversidad, aprobada por la Autoridad Nacional de Licencias Ambientales – ANLA mediante Resolución No. 2454 de 16/12/2019, por la construcción de la vía de acceso al Campo Ballenas (Manaure), que involucra entre otros, el establecimiento de manglar en parcelas Piloto de Rehabilitación para promover y apoyar la restauración ecológica (restauración pasiva y activa a partir de enriquecimiento con especies nativas) en el Distrito Regional de Manejo Integrado _ DRMI Musichi, localizado en zona costera de Manaure; con ellos se llevó a cabo una salida de campo y una reunión de trabajo para conocer su propuesta de Plan de Compensación para el componente biótico, la cual allegarán oficialmente a la Corporación para evaluación y aprobación.</t>
  </si>
  <si>
    <t>Actividad para ejecutarse en 2022 y 2023. GESTIÓN ACUMULADA A DIC 31 de 2021: Se continuó con Mesas de trabajo internas para la formulación del proyecto con el que se pretende cumplir la meta del Plan de Acción de la entidad, una vez se logre su financiación, cuyo objetivo general es adelantar la zonificación ambiental de los pastos marinos de la jurisdicción de Corpoguajira y establecer el régimen de usos, con fundamento en la Resolución del Ministerio de Ambiente No. 2724  del 26 de diciembre de 20217 ”por medio de la cual se establecen los criterios y procedimientos de los estudios técnicos, económicos sociales ya ambientales, con los cuales se presenta la propuesta de zonificación y el régimen de usos para los pastos marinos por parte de las Corporaciones Autónomas Regionales”. Se estima que se zonificarán aproximadamente 55.000 hectáreas de pastos marinos de las 137.887,10 hectáreas correspondientes al departamento de La Guajira; las hectáreas restantes corresponden en su mayoría al Distrito Regional de Manejo Integrado - DRMI Pastos Marinos Sawairu y ya se encuentran zonificadas y aprobadas en el Acuerdo del Consejo Directivo de la entidad No. 013 de mayo 5 de 2019, y una pequeña porción al Parque Nacional Natural Bahía Portete Kaurrele (Uribia, La Guajira), de competencia de Parques Nacionales Naturales de Colombia. Con el proyecto en formulación se pretende garantizar que los resultados reflejen efectivamente la realidad actual del ecosistema de pastos marinos presentes en la jurisdicción de la entidad a través de una medición rigurosa de las variables más pertinentes, relevantes y científicamente robustas que den respuesta a cada uno de esos criterios de la Resolución mencionada. Los objetivos específicos de la propuesta se enfocan a: 1. Establecer condiciones del entorno físico de los ecosistemas de pastos marinos. 2. Levantar información primaria de los aspectos bioecológicos y los arreglos de estructura y composición de las especies de pastos marinos y su fauna y flora asociada. 3. Contextualizar el entorno social, económico y cultural con información actualizada de los pastos marinos como área de interacción de estos componentes en función del desarrollo. 4. Determinar los principales tensores, conflictos y las principales amenazas que se deriven de la dispersión/acumulación de los pastos marinos de la jurisdiciion. 5. Generar un esquema de valoración y ponderación de variables para establecer el uso sostenible de los ecosistemas de pastos marinos,  enmarcados en la Ley 1450 de 2011, que en su Artículo 207, señala que “En pastos marinos, se podrá restringir parcial o totalmente el desarrollo de actividades mineras, de exploración y explotación de hidrocarburos, acuicultura y pesca industrial de arrastre con base en estudios técnicos, económicos, sociales y ambientales adoptados por el Ministerio de Medio Ambiente, Vivienda y Desarrollo Territorial o quien haga sus veces”. 
De otra parte, se continuó con las acciones para las hectáreas de pastos marinos que ya se encuentran zonificadas y que hacen parte del DRMI Sawairu, para lo cual se revisó y analizó con el profesional SIG de la Oficina Asesora de Planeación de Corpoguajira, la salida gráfica del DRMI en mención la cual se utilizará para la ejecución del Plan de manejo de esta área protegida, preparación de comunicaciones al particular y trabajo con las comunidades vecinas al área. Igualmente, se participó en reuniones con el INVEMAR en el marco del proyecto Manglares, Pastos marinos y Comunidad - MAPCO, cuyo cierre final tendrá lugar en el mes de enero de 2022 con la realización de una visita de campo al sector de Santa Rosa (Manaure), incluido en el DRMI en cuestión, a algunas comunidades que participaron en la Consulta Previa para la declaratoria de dicha área, con las que se ha logrado un acercamiento. 
Asimismo, se continuó con la participación en reuniones de trabajo virtuales del proyecto Medidas de Adaptación Basada en Ecosistemas - MAbE (Minambiente-KFW), en las cuales se abordó el tema de los indicadores de todas las fichas MAbE que se prepararon por CORPOGUAJIRA para obtener financiación en 2022, incluida la de “Ordenamiento y regulación de la navegación en las zonas de uso, preservación y restauración de pastos marinos, y establecimiento de criterios ambientales para desembarcaderos en el DRMI (Ficha 2 del Plan de Manejo del DRMI Sawairu) para ser validados, así como los presupuestos y actividades, verificando la información o resultados que se esperan obtener en términos de áreas, kilómetros de costa y beneficiarios; se está a la espera de su aprobación para inicio de ejecución el próximo año junto con la de  “Protección, conservación y restauración del ecosistema de pastos marinos” (ficha 8 del Plan de Manejo del DRMI Sawairu), aprobada en 2021 para dar inicio a la ejecución en 2022.</t>
  </si>
  <si>
    <t>Actividad pospuesta en su ejecución para 2022 según Acuerdo CD 009 de 2021. GESTIÓN ACUMULADA A DIC 31 de 2021: Se continuó con la participación en reuniones del proyecto Medidas de Adaptación Basada en Ecosistemas - MAbE (Minambiente-KFW), en las cuales se abordó el tema de los indicadores de todas las fichas MAbE que se prepararon por CORPOGUAJIRA para obtener financiación en 2022, incluida la del “Estudio técnico de caracterización, zonificación y ordenación ambiental basado en ecosistemas de playa en Riohacha y Manaure, La Guajira” para ser validado, así como los presupuestos y actividades, verificando la información o resultados que se esperan obtener en términos de áreas, kilómetros de costa y beneficiarios; se está a la espera de su aprobación para inicio de ejecución el próximo año.
Se finalizó y remitió a la Subdirección de Autoridad Ambiental (INT-2489 del 02/12/2021) el informe técnico del recorrido por la playa de Palomino (Dibulla), solicitado mediante derecho de petición de la Veeduría ambiental de Palomino en comunicación ENT-6080 de 2021 “Denuncia por afectación de ecosistemas y especies en vía de extinción y solicitud de estudios y monitoreo de posibles impactos ambientales y socio-económicos en el sector comprendido entre el Río Palomino y el Río San salvador y las áreas de influencia por la concesión de una franja marino-costera para la construcción de obras rígidas", en el cual denunciaron la construcción de muros en concreto sobre la zona de playas en cuestión. 
Se continuó con la participación en el Comité Distrital de Playas de Riohacha, en donde se abordaron temas para realizar jornadas de capacitación en 2022 relacionadas con la conservación del ecosistema de playa; así mismo, por convocatoria de la Alcaldía de Riohacha, se asistió a reuniones de trabajo en las que se abarcaron temas como el proyecto de ordenamiento de playas, el componente ambiental del POT y concertación de procesos en playas. De la misma manera, se participó en el Taller virtual regional para la incorporación de la gestión del riesgo en los POT municipales con énfasis en erosión costera - CONPES 3990.</t>
  </si>
  <si>
    <t>GESTIÓN ACUMULADA A DIC 31 de 2021 (CUARTO TRIMESTRE): Se continuó con la participación en reuniones de trabajo virtuales con la delegada del proyecto del Ministerio de Ambiente y Desarrollo Sostenible -  MADS y el Banco Alemán KfW, denominado "Medidas de adaptación de ecosistemas para la protección de la erosión costera en un clima cambiante" - MAbE, con el fin de revisar las Fichas MAbE que se presentaron por CORPOGUAJIRA para financiación, en particular los indicadores, presupuestos, actividades, áreas, kilómetros de costa y beneficiarios, en este caso para las MAbE que corresponden a las medidas de adaptación de ecosistemas de manglar, playas y pastos marinos del Distrito Regional de Manejo Integrado - DRMI Sawairu, en los Municipios costeros del Departamento de La Guajira, Caribe Colombiano, en jurisdicción de CORPOGUAJIRA, las que se espera iniciar con su ejecución en 2022. 
Asimismo y en atención a lo definido en el Convenio 285 de 2019 suscrito entre el Ministerio de Ambiente y Desarrollo Sostenible – MADS y la Corporación Autónoma Regional de La Guajira – CORPOGUAJIRA, para la ejecución del Componente 2 del proyecto “Adaptación basada en los ecosistemas para la protección de la erosión costera en un clima cambiante”  en el marco del Contrato de aporte financiero y del acuerdo separado suscrito entre el MADS y KfW, CORPOGUAJIRA contrató al Ingeniero Daiver Gabriel Pinto Pimienta, como el Profesional que realizará la coordinación del proyecto en mención, quién inició actividades el 17 de diciembre de 2021 bajo la supervisión de la Dra. María del Rosario Guzmán Vivas.
De otra parte, se continuó con la participación en las reuniones de trabajo en las que la Fundación Herencia Ambiental, en conjunto con la Embajada del Reino de los Países Bajos y el consorcio Arkadys, llevaron a cabo con diferentes entidades y/o expertos nacionales e internacionales, varias sesiones de capacitación sobre el uso de material de dragado como una alternativa de recuperación de zonas afectadas por erosión costera, en las que presentaron el estado del caso colombiano y metodologías para el análisis comparativo de las normas relacionadas con el uso del material de dragado para fines de recuperación de zonas afectadas, e igualmente se participó en la reunión de cierre del proyecto “Construir con la naturaleza- Uso benéfico del material de dragado”, estructurado con el fin de avanzar en el conocimiento técnico de oportunidades de aprovechamiento y reuso de los materiales dragados en Colombia, la cual fue organizada por el Ministerio de Transporte, el Ministerio de Ambiente y Desarrollo Sostenible, el Departamento Nacional de Planeación y la Embajada del Reino de los Países Bajos.</t>
  </si>
  <si>
    <t>GESTIÓN ACUMULADA A DIC 31 de 2021: La meta del año se cumplió al 100% en el tercer trimestre de 2021; adicionalmente, se continuó con la participación en las reuniones de trabajo en las que la Fundación Herencia Ambiental, en conjunto con la Embajada del Reino de los Países Bajos y el consorcio Arkadys, llevaron a cabo con diferentes entidades y/o expertos nacionales e internacionales, varias sesiones de capacitación sobre el uso de material de dragado como una alternativa de recuperación de zonas afectadas por erosión costera, en las que presentaron el estado del caso colombiano y metodologías para el análisis comparativo de las normas relacionadas con el uso del material de dragado para fines de recuperación de zonas afectadas, e igualmente se participó en la reunión de cierre del proyecto “Construir con la naturaleza- Uso benéfico del material de dragado”, estructurado con el fin de avanzar en el conocimiento técnico de oportunidades de aprovechamiento y reuso de los materiales dragados en Colombia, la cual fue organizada por el Ministerio de Transporte, el Ministerio de Ambiente y Desarrollo Sostenible, el Departamento Nacional de Planeación y la Embajada del Reino de los Países Bajos.</t>
  </si>
  <si>
    <t>GESTIÓN ACUMULADA A DIC 31 de 2021: La meta del año se cumplió al 100% en el tercer trimestre de 2021.</t>
  </si>
  <si>
    <t>Actividad pospuesta en su ejecución para 2022 según Acuerdo CD 009 de 2021). GESTIÓN ACUMULADA A DIC 31 de 2021: Se continuó con la participación en reuniones de trabajo virtuales con la delegada del proyecto del Ministerio de Ambiente y Desarrollo Sostenible -  MADS y el Banco Alemán KfW, denominado "Medidas de adaptación de ecosistemas para la protección costera en un clima cambiante" - MAbE, con el fin de revisar las Fichas MAbE que se presentaron por CORPOGUAJIRA para financiación, en particular los indicadores, presupuestos, actividades, áreas, kilómetros de costa y beneficiarios, en este caso para la MAbE que corresponde a una medida de mitigación contra la erosión costera, como lo es la de “Reforestación Protectora en Franja y Zonas Internas del ecosistema de manglar en los Municipios costeros de Dibulla, Uribia, Distrito de Riohacha, y Manaure, Departamento de La Guajira, Caribe Colombiano”, con la que se aportará al cumplimiento de la meta del Plan de Acción de la entidad en 2022. 
De otra parte, se continuó con la participación en las reuniones de trabajo en las que la Fundación Herencia Ambiental, en conjunto con la Embajada del Reino de los Países Bajos y el consorcio Arkadys, llevaron a cabo capacitaciones con diferentes entidades y/o expertos nacionales e internacionales, sobre el uso de material de dragado como una alternativa de recuperación de zonas afectadas por erosión costera, en los que presentaron el estado del caso colombiano y metodología para el análisis comparativo de las normas relacionadas con el uso del material de dragado para fines de recuperación de zonas afectadas, e igualmente se participó en la reunión de cierre del proyecto “Construir con la naturaleza- Uso benéfico del material de dragado”, estructurado con el fin de avanzar en el conocimiento técnico de oportunidades de aprovechamiento y reuso de los materiales dragados en Colombia, la cual fue organizada por el Ministerio de Transporte, el Ministerio de Ambiente y Desarrollo Sostenible, el Departamento Nacional de Planeación y la Embajada del Reino de los Países Bajos.</t>
  </si>
  <si>
    <t>GESTIÓN ACUMULADA A DIC 31 de 2021: Se continuó con la ejecución del proyecto financiado por el Ministerio de Ambiente –Minambiente a través del Fondo de Compensación Ambiental - FCA denominado “Estudio del estado de conservación del caimán y la tortuga marina en la zona costera comprendida entre los ríos Palomino y Ranchería, municipios de Dibulla y Riohacha y en Bahía Hondita, municipio de Uribia, La Guajira” (Contrato 0040 de 2021), con el que se logró dar inicio a una de las actividades establecidas, específicamente la de “Realizar el seguimiento y análisis de información de caimanes con implante”, para lo cual la consultoría que ejecuta el citado Contrato brindó la capacitación en telemetría para la marcación de caimanes, tanto a funcionarios de Corpoguajira y a algunos particulares, como al equipo de profesionales de la consultoría e interventoría del proyecto (Contrato 0039 de 2021), en la que también se marcaron tres (3) individuos (hembras) de la especie Crocodylus acutus, (caimán aguja) previamente capturados y posteriormente se liberaron en el caño Michiragua (Dibulla, La Guajira), a los que se les hará seguimiento con dicha tecnología; igualmente, se logró avanzar de manera parcial con la actividad de socialización del proyecto en los municipios de Dibulla y Riohacha, con comunidades de la región.  Con respecto a la anidación de tortugas marinas y caimanes aguja en los sectores a monitorear, ella se realizará en la época de anidación de estas especies durante el periodo comprendido entre abril y julio de 2022. 
Asimismo, se logró recibir los Informes de ejecución del proyecto tanto del Consultor como de la Interventoría, los que se revisaron y consecuentemente se elaboraron los Informes de supervisión mensual, correspondientes a los meses de octubre noviembre y diciembre de 2021, y se participó en dos (2) sesiones de Comité se seguimiento del proyecto en las que se dio cuenta de las actividades ejecutadas por el contratista y del avance del proyecto, de 25 %, los cuales contaron con la asistencia del Director de Corpoguajira, el Subdirector de Gestión Ambiental, la Coordinadora del Grupo Marino Costero, la Asesora jurídica de la Dirección General de la Corporación, la Oficina Jurídica de la entidad, las Supervisoras de Corpoguajira para el proyecto (Interventoría y Consultoría), el equipo de la consultoría y el equipo de la interventoría e igualmente se envió solicitud tanto a la Oficina de Planeación de la entidad para trámite ante el Minambiente de ajuste del cronograma inicial de actividades del proyecto dado que el inicio formal de ejecución fue el 9 de agosto de 2021, como al Grupo de Gestión Financiera para la correspondiente constitución de la reserva presupuestal del proyecto en 2022. 
De otra  parte, se conoció el interés de la empresa Petrobras de apoyar la ejecución de un proyecto de conservación de tortugas marinas que pretende adelantar en alianza con la Fundación Museo del Mar, Universidad Jorge Tadeo Lozano y las Corporaciones Autónomas Regionales Corpamag y Corpoguajira, denominado “Conservación de tortugas Marinas: Unidad Ambiental Costera Vertiente Norte de la Sierra Nevada de Santa Marta, ecorregión Palomino, Etapa XIV” (etapa VI para ejecutar en jurisdicción de Corpoguajira), en el cual las Corporaciones no son firmantes sino avaladoras y acompañantes de los procesos, y se realizó una visita al predio del señor Miguel Rosado en el sector de Palomino (Dibulla), donde este nuevamente se ejecutaría, con el objeto de determinar el estado en que se encuentran las instalaciones y las adecuaciones necesarias de realizar para su reactivación y conocer sobre el proyecto en cuestión, identificándose la posible necesidad de que deban contar con permisos ambientales, con lo que se generará un informe de la salida a campo y se remitirá a la Subdirección de Autoridad Ambiental para lo pertinente a su cargo. 
Se asistió a reuniones con la Corporación Tepiapa y Fundación Cardenalito, quienes socializaron los proyectos que ellos ejecutan haciendo énfasis en el trabajo con especies de tortugas marinas y cardenal guajiro, respectivamente, así como con los hábitats marino costeros asociados a dichas especies y a comunidades humanas en condición de vulnerabilidad, como los Wayuu.
Se logró la suscripción del Convenio Interinstitucional entre CORPOGUAJIRA – la empresa Puerto Brisa – y la Fundación ORNIAT, para la Conservación y protección  del Caimán Aguja en el área de influencia de dicha empresa, cuya información enriquecerá los resultados sobre esta especie que se obtendrán con el proyecto financiado por el FCA en 2021; a inicios de 2022 se realizará el primer Comité Técnico para la puesta en marcha en la ejecución del Convenio. Asimismo, se suministró información y se brindó orientación técnica a la empresa Gecelca para la toma de decisiones relacionadas con las actividades y acciones ambientales que realizarán en cumplimiento de las obligaciones establecidas en la Ficha No. 7. del Plan de Manejo Ambiental, asociada a la conservación del caimán aguja y las tortugas marinas, con el fin  de que la empresa elabore la propuesta técnica y económica de acuerdo a las alternativas sugeridas y la envíe a Corpoguajira para revisión y aprobación.
Se continuó con el apoyo técnico a la empresa HOCOL para lograr la ejecución de la compensación del Plan de Manejo aprobado por la Autoridad Nacional de Licencias Ambientales – ANLA mediante Resolución No. 2454 de 16/12/2019, para la construcción y operación de la vía autorizada en el artículo primero de dicho acto administrativo (vía de acceso al Campo Ballenas en Manaure) para el proyecto “Campos de producción de Gas Chuchupa, Ballenas, Riohacha y operación del proyecto Plataforma Chuchupa B”, que involucra entre otros el Medio Biótico y los programas: “Protección y conservación de hábitats”, y “Compensación para el medio biótico” (“por el cambio de uso del suelo y afectación de la cobertura vegetal” y “compensación para la flora y fauna”), con la que abordarán los Grupos de anfibios, reptiles, aves y mamíferos en el Distrito Regional de Manejo Integrado _ DRMI Musichi, localizado en zona costera de Manaure; con ellos se llevó a cabo una salida de campo y una reunión de trabajo para conocer su propuesta de Plan de Compensación para dicho componente biótico, la cual allegarán oficialmente a la Corporación para evaluación y aprobación. 
Durante el periodo se asistió virtualmente a la “Jornada de capacitación a CORPOGUAJIRA para la identificación de especies de Condrictios en áreas marinas” (tales como los tiburones, rayas marinas y quimeras), organizada por Minambiente y adicionalmente se logró participar en el Taller Nacional para el Fortalecimiento de Capacidades a las Corporaciones Autónomas y de Desarrollo Sostenible, Fundaciones y a otras entidades competentes en el control y vigilancia de los recursos hidrobiológicos de Colombia, en la conservación y protección de los tiburones y las rayas marinas en Colombia, a partir de la identificación de aletas de tiburón, el cual fue realizado en Santa Marta (Magdalena) bajo la convocatoria del citado Ministerio en alianza con la International Fund for Animal Welfare - IFAW, en el marco de la implementación del Decreto 281 de 2021 “Por medio del cual se adiciona el Decreto 1076 de 2015, con una nueva sección en lo relacionado con el establecimiento de medidas para la protección y conservación de Tiburones, Rayas Marinas y Quimeras de Colombia”. 
Igualmente, se continuó participando en el proceso de “Ordenación pesquera Participativa de la Alta Guajira (Bahías Honda, Hondita y Portete)” que se adelanta con apoyo de la Agencia Alemana GIZ proyecto Manejo Integrado Marino Costero - MIMAC y la Autoridad Nacional de Acuicultura y Pesca – AUNAP, Parques Nacionales Naturales – PNN, la Alcaldía de Uribia y CORPOGUAJIRA, entre otros, en cuyo trabajo del Comité técnico establecido para tal fin se logró generar una propuesta de Acuerdo de voluntades para suscribirse con los pescadores Wayuu en el área de interés de Ordenación, el cual se encuentra en revisión por parte de los interesados para la firma en 2022. 
En cuanto a decomisos de especies amenazadas, en cabeza del Director General de Corpoguajira se logró la realización de un operativo en el municipio de Maicao, con el decomiso de cuarenta y un (41) tortugas marinas de la familia Cheloniidae tortuga verde (Chelonia mydas) y tortuga carey (Eretmochelys imbricate), al parecer procedentes de la Alta Guajira, de las cuales treinta (30) fueron liberadas en las playas del sector Urbano de la cabecera municipal de Manaure (Manaure), por parte de la Subdirección de Autoridad ambiental de la Corporación, bajo la autorización y coordinación del Director General de la entidad con el acompañamiento del Subdirector de Gestión Ambiental y el veterinario de la Corporación, según se registró en Acta de la Subdirección de Autoridad ambiental. 
Con respecto al rescate de individuos, se realizó el rescate de una (1) cría de caimán de aproximadamente un año de edad y de otras seis (6) más que fueron entregadas voluntariamente en Dibulla por el señor Carlos Díaz, y fueron trasladadas temporalmente al Centro agroecológico Jerez, para su posterior liberación al hábitat de origen del cual fueron retiradas, en sector del Caño Lagarto (Dibulla); los individuos fueron marcados por el equipo consultor del proyecto del FCA que lidera Corpoguajira. 
Asimismo, en el sector de Puente Guerrero (Riohacha) se liberaron cuatro (4) babillas que se encontraban bajo custodia de la Corporación en el centro Agroecológico Jerez y con respecto a la babilla reportada en el Km. 11 vía Maicao, según información del propietario de la finca en la que se avistó, no se volvió a evidenciar su presencia, al parecer en el mes de octubre de 2021, durante la época de invierno volvió a su hábitat natural cerca al Río Ranchería, ubicado a 400 m del jagüey donde fue vista.</t>
  </si>
  <si>
    <t>El valor pagado corresponde al anticipo pagado en el tercer trimestre de 2021. Durante el cuarto trimestre no se hizo desembolsos.</t>
  </si>
  <si>
    <t>Se continúa con la ejecución del proyecto “Estudio del estado de conservación del caimán y la tortuga marina en la zona costera comprendida entre los ríos Palomino y Ranchería, municipios de Dibulla y Riohacha, y en Bahía Hondita, municipio de Uribia, La Guajira”</t>
  </si>
  <si>
    <t xml:space="preserve">Se asiste a la “Jornada virtual de capacitación a CORPOGUAJIRA identificación especies de Condrictios (como los Tiburones, Rayas marinas y Quimeras) en áreas marinas”, dictada por el Minambiente. 
Se asiste  a espacio de trabajo “Jornada de capacitación a las CAR’S del Caribe Colombiano para la identificación de especies de Condrictios en áreas marinas” </t>
  </si>
  <si>
    <t>En el marco de los Memorando de Entedimiento firmados entre Corpoguajira-Conservación Internacional y Corpoguajira-municipio de Dibulla, se realizan las capacitaciones a los pescadores de Palomino, Dibulla-Mingueo y Punta de los Remedios, sobre pez león; e asiste al Comité Técnico Factor A – Pez león, de la Sentencia T-606 de 2015, Plan Maestro Tayrona; como espacio divulgatico se asiste a la Feria Nacional ACÉRCATE, en el municipio de Dibulla, en la cual se realizó la capacitación en el tema de especies marinas invasoras pez león y camarón jumbo.</t>
  </si>
  <si>
    <t>Gregoria Fonseca Lindao, Adriana Daza Suarez</t>
  </si>
  <si>
    <t xml:space="preserve">GESTIÓN ACUMULADA A DIC 31 de 2021: Se logró avanzar con la tabulación de la información obtenida en las encuestas de percepción aplicadas a pescadores de Dibulla, Riohacha, Manaure y Uribia durante los acercamientos iniciales con pescadores de dichos municipios sobre especies invasoras (camarón jumbo y pez león), la que dará perspectiva para la definición de acciones concretas a ejecutar en el territorio de la jurisdicción los años siguientes. 
Asimismo, en el marco de la ejecución de los Memorando de Entendimiento – MdE firmados entre Corpoguajira-Conservación Internacional - CI en septiembre 7 de 2021, y Corpoguajira-municipio de Dibulla en agosto 20 de 2021, se organizó y llevó a cabo jornadas de capacitación a pescadores artesanales de Palomino, Dibulla, Mingueo y Punta de los Remedios (municipio de Dibulla), sobre la especie exótica invasora pez león, contando con la participación de la Alcaldía de Dibulla y de CI, quién además dictó una parte de la misma.
Igualmente y con el fin de establecer acciones para 2022 a ejecutar sobre la especie pez león, se realizó una reunión técnica entre Corpoguajira, municipio de Dibulla y CI, en la cual se avanzó iniciando la definición del Plan de trabajo y adicionalmente se abordó la necesidad de prorrogar el MdE suscrito con el municipio por seis meses más, con el fin de lograr la ejecución de la totalidad de las líneas de acción en él definidas, y se preparó la información pertinente para poner en marcha el trámite al interior de la Corporación.
Se continuó con la formulación de una propuesta (perfil) de proyecto de especies invasoras camarón jumbo y pez león, con el propósito de obtener recursos para atender no solo necesidades de conocimiento para la toma de decisiones sino de gestión de dichas especies a nivel comunitario en el territorio de la jurisdicción.
De otra parte y por solicitud del Ministerio de Ambiente y Desarrollo Sostenible, se asistió a la Feria Nacional “ACÉRCATE”, en el municipio de Dibulla, la cual pretende llegar a municipios alejados del país para presentar la oferta institucional del estado colombiano y realizar actividades de impacto a la ciudadanía, en la que se apoyó a dicha entidad realizando una capacitación en el tema de especies marinas invasoras camarón jumbo y pez león, y de la misma manera por convocatoria de Parques Nacionales Naturales, se participó en el Comité Técnico del Factor A – Pez león, como espacio divulgativo, de discusión técnica y de concertación interinstitucional, liderado por dicha entidad, para la ejecución de la Sentencia T-606 de 2015 “Plan Maestro Tayrona”, en la cual se discutió el tema de “Banco de pez León” y la dificultad de entidades como Corpoguajira, de implementarlo. </t>
  </si>
  <si>
    <t xml:space="preserve">GESTIÓN ACUMULADA A DIC 31 de 2021: Durante el periodo continuó el trabajo con el proyecto de la Agencia Alemana de Cooperación GIZ “Manejo Integrado Marino Costero – MIMAC”, en desarrollo de la iniciativa de carbono azul en manglares de Bahía Hondita (Uribia) y se obtuvo las memorias de la tercera jornada de trabajo adelantada con comunidades de dicho sector correspondiente a la capacitación en “Monitoreo participativo de áreas de manglar en Bahía Hondita” (ver documento anexo), las que contaron con participación del Grupo Marino Costero, quienes además en el mes de noviembre de 2021 capacitaron en forma directa a miembros de las comunidades de Hipolumao, Utareo, Bahía Hondita, Punta Gallinas, y Kalapuipa, en “Recolección y manejo de semillas y propágulos de manglar”. 
A partir del fortalecimiento de la gobernanza en las cuatro (4) comunidades Wayuu relacionadas con las áreas de manglar de Bahía Hondita (Bahía Hondita, Punta Gallinas, Utareo, Kalapuipa) mediante la conformación del grupo “los guardianes del manglar”, se logró en noviembre de 2021 la suscripción entre las comunidades mencionadas y Corpoguajira, de un acuerdo de protección y conservación de las áreas de manglar (ver documento anexo), bajo el apoyo de GIZ.
Así mismo y como continuación del trabajo de la Mesa Técnica con el Ministerio de Ambiente – Minambiente, GIZ MIMAC y CORPOGUAJIRA para el desarrollo de esta medida de carbono azul, se preparó el reporte de avance de actividades y resultados a diciembre 2021 y actividades programadas para 2002 (ver documento anexo), y se le envió a Minambiente en diciembre de 2021, ya que esta es una de las cinco (5) iniciativas que se ejecutan en el país, en cumplimiento del Plan Nacional de Desarrollo – PND 2020-2023. </t>
  </si>
  <si>
    <t>Profesional Especializado Grado 15; Profesional Especializado Grado 19</t>
  </si>
  <si>
    <t>Jaguar; 
 Atención de reportes de conflicto humano felin 
 Participación del taller que realiza la Fundación Pantera financiada por Riqueza Natural de USAID en el conflicto humano –felino para con el conocimiento del comportamiento de los felinos de las áreas protegidas que corresponde al hábitat principal de las especies; 4 áreas Cerro pintado, Perijá, Bañadero y Montes de Oca.
 El Morrocoy;
 Rescate del tráfico ilegal de fauna silvestre, valoración y liberación en su hábitat. se rescataron y liberaron especímenes.
 Seguimiento a proyecto piloto de cría de morrocoy en semicautiverio que se realiza en la reserva en Montes de Oca.  Se realiza  visita de seguimiento.
 Monitoreo en el predio Mira mar donde se ha realizado liberación de esta especie con fines de repoblamiento y conservación de la especie en áreas con planes de conservación del habitad y su biodiversidad.
Cardenal Guajiro;
 Rescate del tráfico ilegal de fauna silvestre, valoración y liberación en su hábitat.Se rescataron y liberaron especímenes. De los que ingresaron al CAV en estado de crías y se logró a un alto porcentaje finalizar su crianza y posterior liberación.  
 Monitoreo de zonas de liberación en el seguimiento al programa de liberación. 
 Educación ambiental en la conservación del cardenal Guajiro: trabajo con la fundación Traxal en su plan de zona de conservación del Cardenal Guajiro en el municipio de Riohacha en el Km 16 de la vía al valle. El propósito de la fundación lograr el apoyo con compensaciones para llegar a las comunidades de la zona y educar sobre a conservación de esta y demás especias silvestres de la zona.
Marimondas;
 Monitoreo a la liberación blanda en la RFP bañadero de grupo de Marimondas rescatadas del tráfico ilegal .Se atiende el reporte de la presencia de una de ellas en el corregimiento de Tomar razón y se retoma el proceso de liberación blanda.
 Participación en los talleres realizados con Riqueza natural USAID en la actualización de los planes de manejo de las aéreas protegidas que redunda en el programa de conservación del Jaguar y demás especies de la zona. La Gobernanza de las áreas protegidas que corresponde al hábitat principal de las especies; 4 áreas Cerro pintado, Perijá, Bañadero y Montes de Oca. Implementacion de cuatro de especies forestales
Guacamayas;
 Se reporto ingreson de Guacamayas recatadas del tráfico ilegal y se realizó la liberación blanda en la reserva de la sociedad civil Miramar en Dibulla, donde se lleva a cabo el programa de liberación para esta especie.
 Monitoreo al programa de liberación en su seguimiento para valorar su funcionalidad.
Abejas nativas ( Melipona favosa);
 Seguimiento a los Meliponario demostrativos que instalo la Corporación para la promoción de la especie que se encuentra en grado vulnerable de conservación. 
Rehabilitación de ecosistemas forestales en el nivel subsiguiente de rio ancho rio negro rio maluisay otros directos al caribe munibipio de Dibulla 
Guayacán Bulnesia arbórea 
Puy Tabebuia bilbilgi
Corazón fino Platymiscium pinnatum</t>
  </si>
  <si>
    <t>Se mantiene la ejecucion del protocolo para la atencion de Caracol Gigante africano establecida por el Ministerio de Ambiente y Desarrollo Sostenible mediante la  Resolución Número 654 del 7 de abril de 2011. Especies invasoras con medidas de prevención y control enmarcadas en los planes de manejo direccionados desde el MINAMBIENTE :  Caracol Gigante africano y Abejas africanizadas.
- En el trimestre se atendieron 17 PQRS por presencia de abejas africanizadas.
- 3 reportes por Caracol Gigante africano, 2 en Riohacha y 1 en Dibulla.
- Palomas domesticas (especie invasora) durante el periodo reportado se tendio 1 reportes de solicitud para atender la problemática por esta especie.
En el último trimestre - En el trimestre se atendieron 14 PQRS por presencia de abejas africanizadas. La actividad desarrollada correspondió a recolección de colmenas y traslado a zona rural, la repelencia cunado no fue posible su recogida para evitar un accidente por ataque de abejas o medidas de prevención cuando corresponde a abejas en estado de viajeras.
- 2 reportes por Caracol Gigante africano en el municipio de Riohacha. 
- Palomas domesticas (especie invasora) durante el periodo reportado se tendió 1 reportes de solicitud para atender la problemática por esta especie.
NOTA : soportes de la atención de estos casos de especies invasoras se encuentra en SICO.</t>
  </si>
  <si>
    <t xml:space="preserve">En la vigencia 2021, se realizó seguimiento a 12 parcelas de monitoreo de vegetación: 2 en la cuenca baja del río Ranchería, 3 en la cuenca alta del río Ranchería, 4 en la cuenca alta del río Tapias y 3 en la cuenca del río Cesar.  "Proyecto Rehabilitación de ecosistemas forestales en la RFP Montes de Oca, municipio de Maicao, La Guajira" . ESTADO: sen ejecucón  Incluye 328 has de restauración activa y 54 Km de protección (aislamiento). valor proyectado de: $ 2.626.800.000.  Formulación, socialización y firmas de actas de concertacion comunitaria del "Proyecto Rehabilitación de ecosistemas forestales en los sectores de Nuevo Espinal y San Pedro, cuenca del rio Rancheria, municipio de Barrancas, La Guajira". ESTADO :FORMULADO.   Proyecto para la Recuperación Ambiental de 4 Municipios del Sur de La Guajira Mediante Restauración Activa e Implementación De Sistemas Silvopastoriles en Áreas de Producción Ganadera en Los Municipios de El Molino, La Jagua del Pilar, Urumita y Villanueva en el Departamento de la Guajira. ESTADO: En evaluación por parte del MADS. Convocatoria FONAM 2021.     </t>
  </si>
  <si>
    <t>De lo trancurrido en  la vigencia 2021, se han realizado las sigueintes acciones: 
Monitoreo a 25 parcelas instaladas, para determinar restauración por regeneración natural, en las cuencas del río Cesar y Rachería.
Durante el primer trimestre de la vigencia 2021, se han realizado las sigueintes acciones: 
Monitoreo a 25 parcelas instaladas, para determinar restauración por regeneración natural, en las cuencas del río Cesar y Rachería.
Seguimiento a los flamencos marcados mediante el convenio No. 032 de 2019, con el fin de monitorear sus rutas de migración y prevenir su afectación asociada a los proyectos Eólicos que se instalaran en la alta y media Guajira. 
Realización del I Censo Nacional de Cóndor andino, en jurisdicción de La Guajira, tomando como punto de monitoreo en Cerro Bañaderos, Serranía de Perijá y Cerro Pintao, encontrando 3 registros (2 en el DMI Serranía de Perijá y 1 en Cerro Pintao). Se contó con el apoyo de expertos en avistamiento de aves, guardianes de ambiente y paz y voluntarios de la zona, así como la empresa Acciona. El objetivo del Censo fue conocer la distribución y abundancia del condor andino en Colombia.
Por otra parte, a través del Convenio suscrito con Riqueza Natural, se avanza en el marco del proyecto: “Desarrollo de un aplicativo multiusuario con tecnología SMART para el monitoreo de la biodiversidad que contribuya al análisis de integridad y efectividad del manejo de las áreas protegidas del SINAP" con el fin de desarrollar el modelo para el departamento. 
Se elaboró un esquema de monitoreo de la especie Arheles hybridus (marimonda) en el marco del diplomado en monitoreo de la biodiversidad dictado por la Universidad Javeriana- (graduados 8 funcionarios de Corpoguajira, dentro del convenio suscrito entre Riqueza Natural y Corpoguajira). En espera de la entrega de equipos para monitoreo en el marco del Convenio.</t>
  </si>
  <si>
    <t>En el marco del proyecto Rehabilitación de ecosistemas forestales en el nivel subsiguiente de rio ancho rio negro rio maluisay otros directos al caribe munibipio de Dibulla se realizaron 
Talleres de socialización: 6
Talleres de sensibilización: 8</t>
  </si>
  <si>
    <t>A través de proyecto PROMOVER EL ESTABLECIMIENTO DE LA PALMA AMARGA COMO ALTERNATIVA PARA LARECUPERACIÓN DE LOS HÁBITATS Y LA CONSERVACIÓN DE LA ESPECIE se realizaron 32
En el marco del proyecto Rehabilitación de ecosistemas forestales en el nivel subsiguiente de rio ancho rio negro rio maluisay otros directos al caribe munibipio de Dibulla con las especies  Guayacán Bulnesia arbórea,  Puy Tabebuia bilbilgi y Corazón fino Platymiscium pinnatum se realizo:
Establecimiento de plantaciones: 181,99 has
Cercado de coberturas vegetales: 42,96 kms = 129 has
TOTAL RESTAURACIÓN  año 2021 de 322  has 
Establecimiento de parcelas de monitoreo: 5
Talleres de socialización: 6
Talleres de sensibilización: 8</t>
  </si>
  <si>
    <t>Se beneficiaron 32 familias, con las cuales se suscribieron acuerdos de conservación a través de proyecto PROMOVER EL ESTABLECIMIENTO DE LA PALMA AMARGA COMO ALTERNATIVA PARA LARECUPERACIÓN DE LOS HÁBITATS Y LA CONSERVACIÓN DE LA ESPECIE</t>
  </si>
  <si>
    <t xml:space="preserve">Durante la vigencia 2021 se avanza en el ajuste de la Formulación, socialización y firmas de actas de concertacion comunitaria del "Proyecto Rehabilitación de ecosistemas forestales en los sectores de Nuevo Espinal y San Pedro, cuenca del rio Rancheria, municipio de Barrancas, La Guajira", se Realizó la visita validación de siembras de árboles CORPOGUAJIRA Sector Dos bocas, Represa el cercado del rio Ranchería y caracolí sanabas de manuela Corpoguajira- Zona rural del municipio de San Juan del Cesar seguimiento IDEAM. contrato 0083 de 2021 0083 de 2019.    cuenca del rio Rancheria, municipio de Barrancas, La Guajira". ESTADO: En elaboracion de la ficha MGA.  Proyecto para la Recuperación Ambiental de 4 Municipios del Sur de La Guajira Mediante Restauración Activa e Implementación De Sistemas Silvopastoriles en Áreas de Producción Ganadera en Los Municipios de El Molino, La Jagua del Pilar, Urumita y Villanueva en el Departamento de la Guajira. ESTADO: En evaluación por parte del MADS. Convocatoria FONAM 2021.    </t>
  </si>
  <si>
    <t xml:space="preserve">A través de proyecto PROMOVER EL ESTABLECIMIENTO DE LA PALMA AMARGA COMO ALTERNATIVA PARA LARECUPERACIÓN DE LOS HÁBITATS Y LA CONSERVACIÓN DE LA ESPECIE se realizaron 32 acuerdo  y 39 ha palma  </t>
  </si>
  <si>
    <t>¨Proyecto formulado "Cuantificación los servicios de regulación en almacenamiento de carbono, generación de microclima y ciclaje de nutrientes en sistemas agroforestales del departamento"</t>
  </si>
  <si>
    <t>MESA REGIONAL DE ECONOMIA CIRCULAR: Para esta actividad la cual consiste en estructurar la mesa técnica de economía circular se invitó a algunos negocios verdes del programa como fueron. Asorreagro, Fundación Akumaja, Artemias de Colombia, Fundición de Aluminio Antho Dekom y Resguardo Indigena el provincial con el fin de conocer de parte de ellos si aplican la estrategia de economía circular y de qué manera lo hacen. se desarrolló un taller metodológico para conocer la caracterización y además el propósito es conseguir que los negocios verde puedan implementar la estrategia nacional de economía circular y dar un valor agregado y mejorar su propuesta de valor adicional a esto también asistió la institucionalidad entre estos el Ministerio de medio ambiente y desarrollo sostenible  la cual propende  por el desarrollo de las actividades las cuales están apoyando y motivando  a las unidades productivas, ya que se propuso hacer una prueba piloto con los negocio verdes teniendo en cuenta los enfoques priorizados.
APOYO A NEGOCIOS VERDES EN LA FORMULACION DE PROYECTO: se brindó apoyo y acompañamiento a los representantes legales de los Negocios verdes, durante la reunión con la corporación PRESERVAR,  para formulación del Proyecto Negocios Verdes, el cual surgió como idea en el proceso de capacitación para el fortalecimiento de los negocios verdes.  En la jornada se aclararon duda y se tomó nota de cada una de las ideas y necesidades manifestadas por los integrantes de este grupo los cuales servirán como insumo para la formulación.
MODELO DE NEGOCIOS CANVA: se realizó jornada de capacitación con el objetivo de fortalecer los modelos de negocios de los emprendimientos verdes de la región a través del lienzo canvas para negocios verdes e inclusivos se pudieron mejorar algunas propuestas de valor para satisfacer de una mejor manera las necesidades del cliente. También se hizo una presentación de la nueva guía - Ruta para el emprendimiento verde e inclusivo creada por el Ministerio de medio ambiente y desarrollo sostenible, aplicando las metodologías ágiles para conocer al cliente con sus frustraciones/dolores , alegrías y trabajos así como las potencialidades y problemas del territorio y de esta manera brindar soluciones prácticas  pertinentes al contexto.
En el tercer trimeste se organización y ajuste de la información recopilada en el marco de los talleres realizados con el nodo para la formulación del plan departamental de negocios verdes:
 Consolidación de información en el documento del Plan departamental de negocios verdes.
 Propuesta de estructura de conducción del PDNV
 Formulación del plan de acción a corto plazo del PDNV.
 Actividades preliminares para el taller de estructura de conducción del PDNV</t>
  </si>
  <si>
    <t>En el marco de la ejecución del proyecto  IMPLEMENTACIÓN DE ACCIONES PARA EL FORTALECIMIENTO DE LA COMPETITIVIDAD DE LOS NEGOCIOS VERDES EN EL DEPARTAMENTO DE LA GUAJIRA, se han desarrollado las siguientes actividades como estrategia de Marketing:
Ejecución del Proyecto financiado por FCA "Implementación de acciones para el fortalecimiento de la competitividad de los negocios verdes en el departamento de La Guajira". Con los siguientes componentes para la comercilizacion de los NV:
Micro sitio web
Estrategia de comunicación
Espacios de promoción
En el tercer trimestre se realizo las siguientes acciones  Participación del programa de NV en Comisión Nacional de diálogo del pueblo Rrom o gitano, donde a participaron  4 de nuestros NV, en un  conversatorio de experiencias en tema de NV dirigido al pueblo ROM.
 Participación de nuestros negocios verdes en  la jornada de negocio de la mujer rural, desarrollara el 26 de agosto de 2021 en el municipio de Villanueva, La Guajira.
 Participación en el conversatorio de Urumita sobre la historia cultural Urumitera, herederos de nuestro legado cultural. Se socializa el programa de negocios verdes, proponiendo realizar un acompañamiento para la vinculación de las iniciativas que contribuyen al desarrollo de un producto turístico, cultural y patrimonial sostenible.
 Se participó en la jornada de indemnización de víctimas Cesar - Guajira, donde se dónde se promocionaros los servicios de la corporación, incluido el de negocios verdes. 
 Diseño de piezas y material publicitario para la promoción de los NV y del PRNV. Estrategia ponte verde (trébol); camisetas post; sombreros post; Pendones, hojas portafolio.</t>
  </si>
  <si>
    <t> Articulación con operadores de turismo de la Guajira, la GIZ y los líderes de la comunidad bahía hondita con el fin de socializar la propuesta de implementación de turismo responsable bahía hondita. Se desarrolló taller el 01 de diciembre donde se dio a conocer la propuesta y cuál sería la hoja de ruta para hacer prueba piloto con algunos turistas y operadores turísticos.
 Articulación con el instituto Humboldt, en el cual se desarrolló taller de biodiversidad y su uso en istrumento de gestión, donde se discutieron y se plantearon varias oportunidades de articulación incluyendo el tema de negocio verde.
 Articulación con la alcaldía de Riohacha, con el fin de vincular a la corporación a través del programa de negocios verdes en la feria campesina y de negocios verdes, organizada por la alcaldía de Riohacha.
 Articulación con la ADR y otras entidades con el fin de vincular a la corporación a través del programa de negocios verdes en evento de la Agro feria Barrancas  que se desarrolló  el día 15 de octubre en el municipio de Barrancas La Guajira, en el marco  de la mujer Rural.
Encuentro con GIZ para coordinar proceso de estructura de conduccion para PDNV y actualizacion del Nodo departamental de negocios verdeses.
En el tercer trimestre se realizó:
 En el marco del apoyo de la Agencia Alemana de Cooperación Internacional – GIZ a Corpoguajira a través del proyecto Manejo Integral Marino Costero – MIMAC, se está implementando un piloto de para el fomento de los negocios verdes en el sector turístico departamental enfocado en el turismo de naturaleza ambientalmente responsable en la Alta Guajira. En tal sentido se desarrollaron dos talleres uno con operadores turísticos y otro con instituciones, donde se trataron temas: Valoración del estado actual del turismo de naturaleza en la Alta Guajira (visión, necesidades, potencialidades), Necesidades de acuerdos de gobernanza / cómo mejorar la oferta turística, entre otros-
 Se desarrolló articulación con la Alcaldia de Riohacha, con el fin de coordinar actividades para la socialización del programa de negocios verdes y articular la participación de los negocios verdes en los mercados campesinos que desarrolla la intittucio. En ese orden de ideas en los corregimientos de Matítas y Juan y Medio - vereda de Cascajalito, se dio a conocer a la comunidad y a la población estudiantil, el programa de Negocios Verdes.
 Reunión con la fundación Miramar y la coordinación del grupo ecosistema y biodiversidad, con el fin de tratar el tema del contrato de comodato de la ventanilla verde. Se elaboró propuesta de plan de trabajo.</t>
  </si>
  <si>
    <t>En el primer trimeste de la vigencia 2021 se ha realizado seguimiento de los PSA a 12 familias beneficiarias ubicadas en la RFP Montes de Oca, en el marco del programa BanCO2 También se avanzó en la sensibilización del proyecto de pagos por servicios ambientales e inicio del proceso de Identificación de usuarios de la vereda Campana Nuevo, municipio de Dibulla, La Guajira
En el tercer trimestre se realizo el acuerdo con doce familias para pagos de servicos ambientales en la RFP Montes de Oca ara la vigencia 2021 - 2022</t>
  </si>
  <si>
    <t>Se firmó un ACUERDO CERO DEFORESTACIÓN PARA LAS CADENAS PRODUCTUVAS DEL SECTOR AGROPECUARIO EN IMPLEMENTACIÓN, CORPORACIÓN AUTÓNOMA REGIONAL DE LA GUAJIRA -ASOCIACIÓN DE GANADEROS DE LA GUAJIRA</t>
  </si>
  <si>
    <t>Durante el año 2021 26 Negocios verdes visitados:  
Esta verificación se realizó a negocios nuevos que cumplan con las características de Negocios Verdes y teniendo en cuenta los lineamientos que para tal fin ha emitido el Ministerio de Ambiente y Desarrollo Sostenible, siguiendo los formatos y material establecido para ello. En ese sentido se realizó visitas y se corrió la ficha de verificación de cumplimiento de NV a las siguientes unidades productivas, con el fin de vinculación al programa de negocios verdes.
1. Chocolate ushika
2. Cincamur
3. Finca buen ejemplo
4. Florecer
5. Fundación malecón
6. Llantarte sas
7. Agroindustriales
8. Asesorías y construcciones perla caribe sas
9. Mercados campesinos dairo
10. Café orgánico del Perijá
11. Café mujer aroma y sueño
12. Jabones shadia.
En el marco del programa de generación de negocios verdes, direccionado por el MADS y la UE, la corporación identifico 14 nuevos negocios verdes los cuales con el apoya de esta fueron visitados en incluidos al programa de NV.
1. Artesanias alicia gamez. 
2. Asoprohcar. 
3. Casa museo la provinciana. 
4. Vivero el eden. 
5. Centro ecoturistico y
Farianos del perija s.a.s cultural
6. Alquimiatec colombia sas. 
7. Cooperativa integral product ora y
Comercializadora de lacteos de la villa - colacteos de la villa
8. Aguapaceba.
9. Procoor.
10. El remanso del santuario.
11. Magan sas.
12. Ecobalneario el higueron.
13. Muane.
14. Asociacion el chivo guajiro.</t>
  </si>
  <si>
    <t>Durante el año  2021 En función de hacerle seguimiento a la implementación de los planes de mejora de los negocios verdes existentes y asistirlos técnicamente; se estableció una hoja de ruta y cronograma de actividades que permitiera agrupar por regiones el trabajo de campo que permita verificar el grado de avance de implementación de los planes de mejora, y de esta manera optimizar recursos. Previo a la verificación en campo se realiza revisión de la documentación aportada en visitas de seguimientos anteriores, realizadas por parte de Corpoguajira.
En ese orden de ideas se realizaron visitas a 74 unidades productivas, detalladas a continuación:
ITEM NEGOCIOS VERDES VISITADOS
1 COOPERATIVA DE CAMPESINOS REUBICADOS EN GARRAPATERO - COOCREGAR
2 COOPERATIVA MULTIACTIVA FUNDADO ESPERANZA EN LOS REMEDIOS - COMFER
3 COMITÉ DE PRODUCCIÓN Y COMERCIALIZACIÓN DE JUAN Y MEDIO  - COPROCOJUME
4 ASOCIACIÓN DE DULCERAS DE MONGUI
5 ASOCIACIÓN DE PLANTAS NATURALES WIWA - ASPANAWI
6 GUAJIRA TOURS
7 HISTORY TRAVELERS
8 ASOCIACION, PROCESAMIENTO  COMERCIALIZACIÓN Y TRANSPORTE DE PRODUCTOS PESQUEROS, MARISCOS  Y/O ALIMENTICOS DE MANAURE "ASOKANULIAA"
9 FUNDACION EMPREDER "AKUMAJAA"
10 FUNDACIÓN WAIRA PARA EL DESARROLLO SOCILA - CAFÉ SIERRA MONTAÑA
11 FUNDACIÓN DE VIGIAS AMBIENTALES JOSE LADEUS - FUMVIAMJOLA
12 FUNDACION DE VIGIAS AMBIENTALES DE LA SERRANIA DEL PERIJA - FUVIASEP
13 FUNDACIÓN ECOLOGICA DE VIGIAS DE LA SERRANÍA DEL PERIJA - FECOLVISEP
14 CENTRO ECOTURISTICO FARIANO DEL PERIJA
15 FUNDACIÓN DE GUARDIANES DEL MATANTIAL - FUGUAMA
16 Ecotienda de Negocios Verdes de la Cuenca Baja del Rio Rancheria -  WAPUNAU
17 ASOCIACIÓN CAMPESINA DE PRODUCTORES DE AGUACATE - ASOCAPROAGUA
18 FUNDACIÓN ECOLOGICA DE GUARDIANES DE LA NATURALEZA - FEGUN
19 JABONES DE OLI
20 ASOCIACIÓN DE CAMPESINOS UNIDOS  - ACU
21 HOSPEDAJE LUZMILLA
22 HOSPEDAJE MARLENE
23 FUNDACIÓN DE GUARDABOSQUE DEL DMI DELTAL DEL RIO RANCHERIA - AIMAJUSHI
24 AIR BATALLA
25 FAD FUNDICION
26 COOPERATIVA MULTIACTIVA PARA LA PAZ DE COLOMBIA - COMPAZCOL
27 Ecotienda de negocios verdes  de la Cuenca Baja del Rio Rancheria - YAWAKAA
28 COMITÉ DE ECOTURISMO DE LA CUENCA BAJA DEL RIO RANCHERIA - WARAITA
29 COMITÉ DE ARTESANAS DE LA CUENCA BAJA DEL RIO RANCHERIA - RIOHACHA
30 TOKOKO
31 ASOCIACIÓN DE ARTESANAS WAYUU  DE PROVINCIAL
32 ASOCIACIÓN BIRDING GUAJIRA
33 CIRCULO DE EXCELENCIA GANADERA GUAJIRA NORTE SAS - CIREGANG
34 ASOACHOL  - ASOCIACIÓN DE CAMPESINOS DEL CORREDOR AGRICOLA DE RIOHACHA - ASOCAR
35 ASOARTEMIAS DE COLOMBIA
36 ARTESANIAS LA ESTRELLA
37 ASOCIACIÓN DE EXMOTOSIERRISTAS DE BARRANCAS - ASOMOTOBA
38 FUNDACION ECOENCANTO
39 ASOCIACION PRODUCTORES VEREDA SAN SALVADOR
40 ASOCIACION DE ACUICULTORES DEL PASITO
41 FUNDAPROZAR
42 FUNVAMO
43 FINCA LA ESCONDIDA
44 ARTESANIAS SELVARIS
45 ASOFIFON
46 APOMD
47 AGROIN
48 ASOREAGRO
49 GUAJIRA BIRDING TOURS
50 RESERVA MIRAMAR
51 ECOAGRO
52 ASOPROCUATRO
53 ASOCAVELI
54 CAFÉ DORADO DEL PERIJA
55 COOMUCAPE
56 SUA - COCINA CON CONCIENCIA
57 RESGUARDO INDIGENA WAYUU EL ESPINAL
58 ASOCIACION DE CAMPESINOS DE NAÑE DE LA TRONCAL
59 SER SOLAR
60 FUNDACION GUAJIRA PROGRESA
61 LA SIERRITA ECOTOUR
62 COOAGRUPADI
63 ALCEBA
64 ARTESANIAS CASA JAPON
65 ECOTIENDA DE NEGOCIOS VERDES SEYAMAKE
66 ASONACRI
67 AWARALA SAS
68 ASOHOFRUCOL
69 G Y G
70 COLIBRI ANTEADO</t>
  </si>
  <si>
    <t>cinco (5) Jornadas de Arborización ejecutadas en los municipios de Albania, San Juan del Cesar y el distrito de Riohacha. 
Acciones ejecutadas:
Con el propósito de dar cumplimiento a la meta establecida para esta actividad, se han adelantado diversas acciones, las cuales se relacionan a continuación:  
•	Desarrollo de una (1) jornada de siembra en el marco de la Celebración del día del agua. La actividad fue ejecutada el 19 de marzo de 2021, logrando como resultado, la siembra de 17 plántulas en el municipio de Villanueva. 
•	Desarrollo de una (1) jornada de siembra en la I.E Familias de Nazaret en el Distrito de Riohacha, en el marco de la Celebración del día Mundial del Medio Ambiente.  Esta actividad fue realizada el 05 de junio de 2021, logrando como resultado un total de 100 árboles entre maderables y frutales. Se contó con la participación de las estudiantes del grado 11, docentes y padres de familia. 
•	Desarrollo de una (1) jornada de siembra en las comunidades de Ware-Ware del municipio de Albania, en conmemoración del Día Mundial del Medio Ambiente, el 5 de junio de 2021, durante esta jornada se sembraron en total 100 árboles, entre maderables y frutales. Para la realización de la jornada se contó con la participación de la Red de Jóvenes de Ambiente y funcionarios de la Alcaldía Municipal de Albania.
•	Desarrollo de una (1) jornada de arborización en el corregimiento de Camarones, Distrito de Riohacha, en la cual se sembraron en el perímetro del acueducto, más de 80 plantas frutales y representativas de la zona, con el propósito de brindar en un futuro, protección y beneficios al acueducto y a la comunidad asentada en este corregimiento. Durante la actividad, se contó con la participación del alcalde del Distrito de Riohacha, funcionarios de la contraloría provincial, Corpoguajira, Parroquia de Camarones, concejales, ediles, entre otros.
•	Desarrollo de una (1) jornada de arborización en los corregimientos de la Junta y Corraleja del municipio de San Juan del Cesar, aunando esfuerzos entre la policía ambiental y Corpoguajira, con el apoyo de la comunidad.  Como resultados de la jornada se sembraron en total 100 árboles, en los parques principales de los respectivos corregimientos. Esta actividad fue muy bien recibida por la comunidad, quienes expresaron su agradecimiento por estas acciones encaminadas a cuidar el medio ambiente.
• Para el mes de octubre en conmemoración del día del árbol se realizaron actividades de siembras en diferentes municipios del Departamento de La Guajira:
- Desarrollo de una (1) jornada de siembra en el municipio de Manaure, la cual se llevó a cabo el día 12 de octubre.
- Desarrollo de una Jornada de siembra en el Municipio de Maicao, la cual se llevó a cabo el día 12 de octubre en el barrio la Flor del Cañaguate
- Desarrollo de una (1) jornada de siembra en el municipio de EL Molino, la cual se llevó a cabo el día 12 de octubre.
- Desarrollo de una Jornada de siembra en el Distrito de Riohacha, la cual se llevó a cabo el día 13 de octubre en el barrio la Villa Iler y bulevar del barrio 31 de octubre.
- Desarrollo de una Jornada de siembra en la Vereda de Puerto Caracol – Distrito de Riohacha, la cual se llevó a cabo el día 14 de octubre.
- Desarrollo de una Jornada de siembra en el Corregimiento de Aremazain – Municipio de Manaure, la cual se llevó a cabo el día 25 de octubre en la Institución Educativa Nuestra Señora de Fátima.
En el marco de la Estrategia La Guajira Siembra Vida, se ejecutó la jornada de siembra realizada en el mes de octubre se sembró un total de XXX plántulas, de las cuales fueron recibidas a través de donaciones de empresas privadas y a través de los viveros de Corpoguajira.</t>
  </si>
  <si>
    <t xml:space="preserve">Para el cumplimiento de esta actividad se han realizado gestiones que se pueden evidenciar a continuación: 
1. El día jueves 17 de junio de 2021, se llevó a cabo una reunión Interinstitucional con el Municipio de El Molino, con el objeto de firmar un acuerdo de voluntades enfocado a la Gestión Ambiental Urbana. Actualmente, se está elaborando el proyecto como requisito para la firma del acuerdo de voluntades.
2. El día viernes 25 de junio de 2021, se llevó a cabo una reunión de socialización con de actividades los Ediles de la Comuna 4 contempladas en el Acuerdo de voluntades con actores sociales para la conservación del ecosistema urbano de la comuna 4 del Distrito de Riohacha, el cual está enfocado a las estrategias No. 3 de la Política de Gestión Ambiental Urbana. Actualmente se encuentra en la elaboración del documento del acuerdo.
3. Se cuenta con la formulación de tres Acuerdos de Voluntades Locales de los barrios el triunfo y la bendición de Dios de la comuna 4 del Distrito de Riohacha, la urbanización villa comfamiliar del Distrito de Riohacha y el Acuerdo de Voluntades Local del Municipio de Urumita. Además, se firmó un Acuerdo con el Municipio de El Molino este último articulado con el proyecto de economía circular que se encuentra formulado y en proceso de aprobación. </t>
  </si>
  <si>
    <t xml:space="preserve">Desarrollo de 2 eventos de capacitación para brindar asistencia técnica a nueve (9) municipios (El Molino, Villanueva, Urumita, La Jagua del Pilar, Hatonuevo, Barrancas, San Juan del Cesar, Distracción y Fonseca) asesorados para determinar la superficie de área verde por habitante en el casco urbano. 
Acciones ejecutadas: 
•	Desarrollo de un seminario-taller: Política de Gestión Ambiental Urbana, dirigido por Corpoguajira, mediante el cual, se les brindó asesoría técnica a los municipios de El Molino, Villanueva, Urumita y La Jagua del Pilar, sobre la metodología para determinar el área verde por habitante en el casco urbano. Esta actividad fue realizada durante los días 17 y 18 de marzo de 2021. 
•	Desarrollo de un seminario-taller: Política de Gestión Ambiental Urbana, dirigido por Corpoguajira, mediante el cual, se les brindó asesoría técnica a los municipios de Hatonuevo, Barrancas, San Juan del Cesar, Distracción y Fonseca, sobre la metodología para determinar el área verde por habitante en el casco urbano, establecido en el objetivo No. 3 Calidad del habitad urbano. Esta actividad fue realizada durante los días 17 y 18 de junio de 2021. 
• Desarrollo de un seminario-taller: Política de Gestión Ambiental Urbana, dirigido por Corpoguajira, mediante el cual, se les brindó asesoría técnica a los municipios de Maicao y Albania, sobre la metodología para determinar el área verde por habitante en el casco urbano, establecido en el objetivo No. 3 Calidad del habitad urbano. Esta actividad fue realizada el día 30 de diciembre de 2021. </t>
  </si>
  <si>
    <t xml:space="preserve">Nueve (9) municipios asesorados (El Molino, Villanueva, Urumita, La Jagua del Pilar, Hatonuevo, Barrancas, San Juan del Cesar, Distracción y Fonseca) para la identificación, compilación y análisis de los Índices de Calidad Ambiental Urbana ICAU
Acciones ejecutadas:
•	Desarrollo de un seminario-taller: Política de Gestión Ambiental Urbana, dirigido por Corpoguajira, mediante el cual, se les brindó asesoría técnica a los municipios de El Molino, Villanueva, Urumita y La Jagua del Pilar, sobre la metodología para el cálculo de los Índices de Calidad Ambiental Urbana (ICAU) de acuerdo con las actualizaciones proyectadas. El seminario-taller fue ejecutado el 17 y 18 de marzo de 2021.
•	Desarrollo de un seminario-taller: Política de Gestión Ambiental Urbana, dirigido por Corpoguajira, mediante el cual, se les brindó asesoría técnica a los municipios de Hatonuevo, Barrancas, San Juan del Cesar, Distracción y Fonseca, sobre la metodología para el cálculo de los Índices de Calidad Ambiental Urbana (ICAU) de acuerdo con las actualizaciones proyectadas. Esta actividad fue realizada durante los días 17 y 18 de junio de 2021. </t>
  </si>
  <si>
    <t xml:space="preserve">Nueve (9) municipios asesorados (El Molino, Villanueva, Urumita, La Jagua del Pilar, Hatonuevo, Barrancas, San Juan del Cesar, Distracción y Fonseca) para la identificación de la Estructura Ecológica Urbana - EEU 
Acciones ejecutadas:
•	Desarrollo de un seminario-taller: Política de Gestión Ambiental Urbana, dirigido por Corpoguajira, mediante el cual, se les brindó asesoría técnica a los municipios de El Molino, Villanueva, Urumita y La Jagua del Pilar, sobre la Guía metodológica para la identificación de la Estructura Ecológica Urbana – EEU. El seminario-taller fue ejecutado el 17 y 18 de marzo de 2021.
•	Desarrollo de un seminario-taller: Política de Gestión Ambiental Urbana, dirigido por Corpoguajira, mediante el cual, se les brindó asesoría técnica a los municipios de Hatonuevo, Barrancas, San Juan del Cesar, Distracción y Fonseca, sobre la Guía metodológica para la identificación de la Estructura Ecológica Urbana – EEU. Esta actividad fue realizada durante los días 17 y 18 de junio de 2021. </t>
  </si>
  <si>
    <t>Ocho (8) campañas de limpieza y descontaminación de fuentes hídricas
Acciones ejecutadas:
Durante el periodo de enero a junio de 2021, se lograron ejecutar las siguientes acciones: 
•	Desarrollo de una (1) campaña de limpieza en el cauce del rio Cañas, en asocio con el comité cívico del corregimiento de Mingueo - Municipio de Dibulla. Igualmente se entregó un apoyo logístico al gremio de recicladores de la zona en procura de fortalecer procesos de economía circular en el territorio.
•	Desarrollo de una (1) campaña de limpieza al Rio Ranchería, debajo del puente que conduce a la entrada del corregimiento de El Hatico - Municipio de Fonseca, retirando un total de 130 bolsas de residuos que fueron retiradas de las orillas y adentro del rio.
•	Desarrollo de una (1) jornada de limpieza y sensibilización en la sequía llamada la Canal la cual atraviesa parte del Municipio de Villanueva.
•	Desarrollo de una (1) jornada de limpieza de la acequia Cobo en el barrio 8 de abril en el Municipio de Distracción. Además, se realizó visitas de sensibilización casa a casa, con el objeto de que las personas que habitan el barrio asuman una actitud responsable frente al cuidado y manejo del recurso hídrico.
•	Desarrollo de una (1) jornada de limpieza en el sitio conocido como la olla de Adon en el Municipio de Urumita. Está actividad contó con una jornada de sensibilización puerta a puerta a los habitantes que se encuentran habitando alrededor del sitio escogido.
•	Desarrollo de una (1) jornada de limpieza e instalación de mensajes de sensibilización para la protección de la fuente hídrica en el sitio turístico conocido como Pozo Azul en la vereda Berlín - corregimiento de El Plan del municipio de La Jagua del Pilar.
•	Desarrollo de una (1) jornada de limpieza en la Acequia del pueblo del municipio de El Molino. Esta actividad contó con la participación de los representantes del grupo de recicladores del municipio.
•	Desarrollo de una (1) jornada de limpieza en el sitio conocido como el Pozo en el municipio de Hatonuevo.</t>
  </si>
  <si>
    <t>Estrategia Formulada y en ejecución.
Acciones ejecutadas: 
•	Desarrollo de doce (12) talleres de sensibilización sobre la implementación del nuevo código de colores (Resolución 2184 de 2019), dirigidas al sector comercial, residencial e institucional, logrando sensibilizar a 586 usuarios y 259 establecimientos. 
•	Desarrollo de cuatro (4) jornadas de limpieza en los sitios de mayor afluencia turística en los municipios de Manaure (Corregimiento de Mayapo), Uribia, Dibulla (Corregimiento de Palomino), y el distrito de Riohacha (Corregimiento de Camarones).  Estas jornadas fueron ejecutadas en el marco de la Campaña Colombia Limpia, liderada por el Ministerio de Comercio, Fontur y Corpoguajira, articulada por representantes de operadores turísticos, Alcaldías, Ejercito, Instituciones Educativas, Empresas prestadoras del servicio de aseo y empresas de recicladores.
•	Apoyo en la gestión y coordinación para el desarrollo de una (1) jornada de limpieza para la eliminación de puntos críticos generados por la mala disposición de residuos sólidos en el municipio de Fonseca.  
•	Desarrollo de un (1) taller sobre el manejo adecuado de los residuos sólidos y la implementación del nuevo código de colores según resolución 2184 de 2019, en el Barrio San José del municipio de Uribia, el 18 de junio de 2021.  Como parte del desarrollo de los talleres, se hicieron mesas de trabajo con la comunidad para identificar los problemas ambientales que afectan a la comunidad, plasmándolos en unas carteleras y socializándolos para que se tengan en cuenta en el CIDEA, del Municipio.
•	Desarrollo de una (1) jornada de limpieza en el puente del Riito. El día 11 de junio de 2021 se llevó a cabo, contando con la participación de las instituciones Policía ambiental, el Ejército Nacional, Corpoguajira, INTERASEO, Red de Jóvenes de Ambiente y Capitanía de Puerto. Se logró recoger una cantidad de residuos sólidos bastante significativa, quedando el margen del rio y de la playa sin presencia de estos.
• Se llevó a cabo un puerta a puerta de sensibilización en todos los barrios del Municipio de El Molino, donde los actores centrales fueron el grupo de recicladores COAMRECIPE, con el apoyo de Corpoguajira y la Alcaldía Municipal.</t>
  </si>
  <si>
    <t>Ocho (8) grupos de recicladores caracterizados y en formación.
Acciones ejecutadas:
•	Gestión y coordinación para el desarrollo del programa de formación Tratamiento Primario de Residuos Sólidos, impartido por el SENA, en el que se matricularon 98 recicladores de oficio en representación de los municipios de Manaure, Albania, Distracción, el Distrito de Riohacha, Uribia Urumita y La Jagua del Pilar.  El curso inició los días 7 y 8 de junio de 2021. 
Desarrollo de una (1) asesoría a los líderes comunales y un grupo de jóvenes de los corregimientos y localidades de Tigreras, Ebanal, Puente Bomba y Magueyal, del distrito de Riohacha, para la conformación de grupos de recicladores o empresas comunitarias prestadoras de servicio público en saneamiento: Se realiza sensibilización con los jóvenes de puente bomba que hacen actividad física y el líder comunal Jailer Rivadeneira, esto con el objeto de que se vinculen al grupo que se está conformando de recuperadores ambientales.
• Desarrollo del curso de formación Tratamiento Primario de Residuos Sólidos, impartido por el SENA, en el que se lograron matricular un total de 132 recicladores de oficio en representación de los municipios de Manaure, Albania, Distracción, el Distrito de Riohacha, Uribia Urumita, Maicao y La Jagua del Pilar.  El curso inició los días 7 y 8 de junio de 2021 y para los recicladores del Municipio de Maicao inicio en el mes de agosto de 2021. Actualmente han finalizado el curso un total de 67 recicladores.</t>
  </si>
  <si>
    <t>Dos (2) asistencias técnicas para el aprovechamiento de residuos sólidos orgánicos e inorgánicos
Acciones ejecutadas:
•	Desarrollo de una (1) jornada de capacitación dirigida a recicladores sobre Aprovechamiento de Residuos Sólidos en el marco de la Economía Circular y la resolución 2184 de 2019, en el municipio de El Molino.
•	Gestión y coordinación para el desarrollo del programa de formación Manejo de cultivo y Agricultura, impartido por el SENA, para dar a conocer las técnicas para la elaboración de compostaje. En este curso se matricularon 29 recicladores de oficio del distrito de Riohacha y de los corregimientos y/o localidades de Caricari, Ebanal, Matitas, Pelechúa, Puente Bomba, tigreras, del Distrito. El curso inició el 8 de junio de 2021. 
• Desarrollo de una (1) jornada de capacitación dirigida a recicladores del Municipio de Urumita sobre el Decreto 596 de 2016.</t>
  </si>
  <si>
    <t>Siete (7) entes territoriales (Uribia, Hatonuevo, El Molino, Villanueva, Urumita, La Jagua del Pilar y Riohacha), con acompañamiento técnico para la implementación del comparendo ambiental. 
Acciones ejecutadas:
•	Desarrollo de tres (3) jornadas de capacitación para la socialización del marco normativo vigente sobre comparendo ambiental y el programa de apoyo para la implementación del comparendo ambiental en La Guajira, formulado por Corpoguajira.
•	Desarrollo de diez (10) mesas de trabajo para brindar asistencia técnica a las administraciones municipales, para la actualización de los actos administrativos por medio de los cuales las alcaldías instauraron y/o reglamentaron el comparendo ambiental en sus territorios, antes de la sanción de la Ley 1801 de 2016. Estas asistencias técnicas se han realizado mediante el desarrollo de mesas de trabajo y jornadas de capacitaciones con los municipios de Uribia, Hatonuevo, El Molino, Villanueva, Urumita, La Jagua del Pilar, y el distrito de Riohacha. 
• Desarrollo de acompañamiento técnico y seguimiento a los municipios de El Molino, Albania, Hatonuero, Urumita, El Molino, Uribia, Villanueva, La Jagua del Pilar y Maicao, para la formalización del documento del acuerdo y la implementación del comparendo ambiental.
• El 23 de agosto de 2021 se radico el proyecto de Acuerdo de Instauración del Comparendo Ambiental en el Municipio de Uribia.
• En el Municipio de El Molino se firmó y aprobó con el    ACUERDO N°012 de agosto 26 de 2021.                       
• El Municipio de La Jagua del Pilar presentó el proyecto de acuerdo de comparendo ambiental ante consejo municipal el pasado 13 de diciembre de 2021 esperando revisión y aprobación del consejo municipal.</t>
  </si>
  <si>
    <t>Doce (12) entidades públicas con acompañamiento técnico para la adopción e implementación del Programa de Compras Públicas (Corpoguajira, Alcaldía de El Molino, Alcaldía de Urumita, Alcaldía de San Juan del Cesar, Alcaldía de Maicao, Alcaldía de Barrancas, Alcaldía de Fonseca, Alcaldía de Riohacha, Alcaldía de Hatonuevo, Alcaldía de Dibulla, Alcaldía de Uribia y Alcaldía de La Jagua del Pilar)
2.	En aras de fortalecer la sostenibilidad ambiental de nuestro Departamento, se llevó a cabo el Seminario Taller: Compras Públicas Sostenibles, cuyo objeto fue orientar a las Entidades Públicas en la incorporación de criterios de sostenibilidad para la contratación pública. Esta actividad fue liderada por las áreas de Educación Ambiental y Sistema de Gestión Integrado – CORPOGUAJIRA, a cargo de la Ingeniera Rosa Lara. Para el seminario se inscribieron un total de 36 personas.</t>
  </si>
  <si>
    <t>Para el cumplimiento de esta actividad, se llevó a cabo la VII Jornada de Recolección de Residuos Posconsumo en el Departamento de La Guajira.
1. Desarrollo de reuniones interinstitucionales con los municipios de La Guajira, CORPOGUAJIRA, la Secretaría de Salud Departamental y los programas posconsumo a nivel nacional, para la planificación y coordinación de acciones de la VII Jornada Departamental de Recolección de Residuos Posconsumo en el departamento de La Guajira.  Se tiene proyectado el desarrollo de la jornada para los días 6 y 7 de octubre de 2021.
2. Desarrollo de reunión interinstitucional para la concertación de los compromisos adquirido por parte de los municipios, programas posconsumo y Corpoguajira para el desarrollo de la VII Jornada Departamental de Recolección de Residuos Posconsumo en el departamento de La Guajira. La reunión se llevó a cabo el 31 de agosto de 2021. Además, se cuenta con las piezas publicitarias de la Jornada que se llevara a cabo los días 06 y 07 de octubre de 2021, las cuales ya se encuentran difundiéndose a través de las redes sociales y medios de comunicación. 
3. Durante los días 6 y 07 de octubre, se llevó a cabo la VII Jornada de Recolección de Residuos Posconsumo en la que participaron 12 municipios del Departamento de La Guajira. Esta actividad estuvo liderada por Corpoguajira y contó con el apoyo de los entes territoriales y operadores de aseo. Adicionalmente, se sumaron 118 organizaciones, empresas e instituciones públicas y privadas. Esta Jornada tuvo como propósito reducir el impacto ambiental que generan estos desechos y generar conciencia entre las empresas y ciudadanía en general sobre la importancia de realizar una disposición final de los mismos para evitar afectaciones en la salud. En la actividad se recogieron un total de 6,5 toneladas de residuos posconsumo, los cuales ya habían cumplido su vida útil, entre ellos electrodomésticos, plaguicidas, medicamentos, baterías plomo ácido, pilas y/o acumuladores, llantas, bombillas y computadores y/o periféricos. 
El compromiso de la comunidad y su asistencia a los puntos de recolección fueron aspectos fundamentales para lograr el éxito de la jornada.</t>
  </si>
  <si>
    <t>1. Se inició con la implementación de la estrategia de Gobernanza del Agua, iniciando con el desarrollo de tres (3) talleres de capacitaciones sobre prevención de incendios forestales dirigidos al sector agroindustrial del municipio de Fonseca – Corregimiento de conejo - asociación COMPAZCOL y en el Distrito de Riohacha en los corregimientos de Matitas y Cari-Cari.
2. En el marco del Curso buenas prácticas de sostenibilidad ambiental, se llevó a cabo el día 12 de octubre el tercer módulo sobre Ahorro y uso eficiente del agua, el cual fue dirigido al sector agroindustrial del municipio de Fonseca.
3. El día 30 de diciembre se llevó a cabo la primera mesa técnica de gobernanza del agua en la que participaron líderes del corregimiento El Hatico – Municipio de Fonseca. Además, se contó con la participación de funcionarios de la Alcaldía y de las áreas de recurso hídrico y seguimiento ambiental de la Corporación.</t>
  </si>
  <si>
    <t>Se realizó acompañamiento técnico a 24 prestadores de servicios turísticos de los municipios de Fonseca y La Jagua del Pilar en la formulación de sus programas de ahorro y uso eficiente de agua y energía, durante el desarrollo del Curso-Taller: Requisitos Ambientales.</t>
  </si>
  <si>
    <t>Sector agroindustrial con estrategia formulada para controlar la deforestación, conservar los ecosistemas y prevenir su degradación
Acciones ejecutadas
•	Desarrollo de dos (2) jornadas de socialización de la Estrategia, para establecer compromisos y articular las actividades plasmadas en el Plan estratégico de acción.  En estas jornadas han participado los municipios de La Jagua del Pilar, Villanueva, Urumita y El Molino, San Juan del Cesar, Fonseca, Hatonuevo y Albania. 
•	Desarrollo de una reunión interinstitucional con la Secretaría de Educación, I.E. la Esperanza – Municipio de Urumita y CORPOGUAJIRA, con el objeto de concertar la formulación del PRAES dirigido a la conservación del área protegida. La reunión fue realizada el jueves 06 de mayo de 2021.
•	Desarrollo de una reunión virtual con líderes de la vereda Los Claros, la Secretaría de Educación, Rector de la I.E zona rural y secretario técnico del CIDEA del municipio de Urumita, con el fin de concertar con la comunidad la formulación e implementación de un PROCEDA, en el marco del cumplimiento de la Estrategia, dirigido a la conservación de la biodiversidad del área protegida donde se encuentran asentados. Además, se planificó la visita al sitio, donde el punto de encuentro fue en la Vereda la Esperanza, contando con la participación de líderes de diferentes veredas a los que se les socializó la estrategia de conservación. 
•	Desarrollo de una reunión interinstitucional con la Secretaría de Educación, I.E del Municipio de Villanueva y CORPOGUAJIRA, en el marco de la estrategia de conservación para la Concertación del PRAE. La reunión fue realizada el 11 de junio de 2021.
• Desarrollo de socialización de la estrategia de conservación con líderes del corregimiento el Plan y de las veredas Berlin y Sierra Montaña, para la concertación de las mesas de trabajo para la formulación del PROCEDA. Es importante anotar que una vez la comunidad concerté las fechas se estará llevando a cabo la asistencia técnica.
• Se inició con la primera mesa de trabajo para la formulación del PROCEDA de la Vereda Puerto López – Municipio de Fonseca que ayudan a la conservación del área protegida.
• Se dio continuidad a las mesas de trabajo (2) para la formulación del PROCEDA de la Vereda Puerto López – Municipio de Fonseca que ayudan a la conservación del área protegida. En esta actividad se lograron formular el árbol de problema y los objetivos del PORCEDA, enfocado a mitigar la problemática de residuos sólidos que afectan al área protegida.</t>
  </si>
  <si>
    <t>1. Se llevó a cabo reunión con funcionarios de la Secretaria de Planeación del Municipio de Fonseca, cuyo objeto fue articular acciones con el sector de la minería de subsistencia que derivan su sustento de la extracción de arena y gravas, adquiriendo el compromiso de impartir un curso en buenas prácticas ambientales en el sector de la minería.
2.2. Se desarrolló un programa de formación dirigido a los sectores agroindustrial, turismo y de la minería, denominado Curso - Taller: Buenas Practicas Sostenibles.  A través del cual, se logró la inscripción de 98 personas las cuales se encontraban representantes de los sectores y personas independientes del Municipio de Fonseca.  Se ejecutaron en total 4 módulos de formación y una intensidad horaria de 2 horas por módulos.</t>
  </si>
  <si>
    <t>Desarrollo de un programa de formación dirigido a los prestadores de servicios turísticos de La Guajira, denominado Curso - Taller: Requisitos Ambientales para la Sostenibilidad Turística.  A través del cual, se logró la participación de 24 establecimientos prestadores de servicios turísticos de los municipios de Fonseca y La Jagua del Pilar.  Se ejecutaron en total 5 módulos de formación una intensidad horaria de 2 horas por módulos.</t>
  </si>
  <si>
    <t>1. Desarrollo de 14 talleres de sensibilización sobre "Prevención de incendios forestales y delitos ambientales, dirigidos a agricultores, productores, lideres veredales y miembros de comunidades rurales, en 7 municipios del Departamento, a saber: 
a. Barrancas: Se realizó la actividad con líderes rurales
b. Hatonuevo: Se realizaron dos talleres uno en horas de la mañana con Líderes Rurales y la otra en horas de la tarde con líderes comunales
c. Fonseca: Las Colonias y Conejo
d. San Juan del Cesar: Corregimiento Los Pondores
e. El Molino: Vereda La Sierra y Faria los Tamacos
f. Urumita: Vereda la Esperanza
g. Distrito de Riohacha: Corregimiento de las Palmas: Vereda las casitas, Corregimiento de Tomarrazon: Vereda Los Monos, Las colonias, Cari-Cari y en el Corregimiento de Matitas
2. Desarrollo de un taller de sensibilización sobre "Prevención de incendios forestales y delitos ambientales, dirigidos al sector turístico del Municipio de La Jagua del Pilar.
3. Se Diseñó del Plan de Educación Ambiental para la prevención de Incendios Forestales.</t>
  </si>
  <si>
    <t>Sectores turismo y manufacturero con acuerdo establecido para el aprovechamiento local de plásticos y la gestión de residuos de envases y empaques.  Hasta la fecha se logró la firma del acuerdo por parte de CORPOGUAJIRA, en los municipios de Fonseca y San Juan del Cesar.
Acciones ejecutadas:
•	Gestión para la firma del Acuerdo de Voluntades con los sectores turismo y manufacturero de alimentos, para el aprovechamiento de los residuos sólidos de envases y empaques generados y en ejecución.  Hasta el momento se logró la firma del acuerdo por parte de los municipios de Fonseca y San Juan del Cesar. 
•	Desarrollo del Primer Encuentro Ambiental de Turismo Sostenible para la Gestión de Residuos de Envases y Empaques, realizado el 11 de junio de 2021, contando con la participación del gerente de la empresa EKORED, y funcionarios de la Corporación como expositores. En el marco de este Encuentro, se socializó el acuerdo de voluntades con el sector turismo y manufacturero a todos los asistentes. 
•	Desarrollo de una Jornada de limpieza de Playas del Distrito de Riohacha, en el marco del acuerdo de voluntades.  Esta actividad fue realizada el 29 de mayo de 2021, con la participación de la Secretaría de Turismo Distrital, Capitanía de Puerto, INTERASEO y el grupo de recuperadores ambientales RECIUNIDOS.
•	Se han adelantado gestiones con los demás actores para promover la firma del acuerdo de voluntades, estamos a la espera del envío del manifiesto de aprobación.</t>
  </si>
  <si>
    <t>1. Desarrollo de una mesa de trabajo interinstitucional entre la Secretaría de Salud Departamental, Fundación Bioentorno, ICA y CORPOGUAJIRA, para la actualización del Acuerdo de Voluntades Interinstitucional para la gestión ambientalmente adecuada de residuos posconsumo de plaguicidas y de medicamentos veterinarios vencidos en el Departamento de La Guajira, establecido desde el 27 de junio de 2017, con el fin de fortalecer la gestión de residuos posconsumo que ofrece la Fundación Bioentorno para el sector agroindustrial y el desarrollo de rutas integrales en el casco urbano de los municipios y el fortalecimiento de las jornadas anuales de recolección.  Esta mesa de trabajo fue realizada el 28 de mayo de 2021 y se logró definir un primer borrador de la propuesta de actualización del Acuerdo. 
2. 2. Gestión para la firma del Acuerdo de Voluntades con los programas y gestores posconsumo, el ICA, Secretaria de Salud Departamental y los municipios, para la gestión ambientalmente adecuada de los residuos posconsumo generados.  Hasta el momento se logró la firma del Programa Posconsumo RLG.</t>
  </si>
  <si>
    <t>Acompañamiento y ejecución del Proyecto Marino Costero (MIMAC) en la alta Guajira Uribia en las areas protegidas de manglares ubicadas en bahia Honda, Hondita y portete y veredas aledañas. Incluye capacitación  con sectores productivos como el hotelero y turistico en el tema de negocios verdes y manejo de residuos solidos y su disposición final ademas del nuevo codigo de colores (2 capacitaciones). sector educativo en el reconocimiento del ecosistema manglar y su importancia y con los lideres indigenas para la producción de carbono azul en el ecosistema de manglar.
Capacitaciones sector turistico y hotelero. Concurso de pintura en el centro etnoeducativo bahiahondita !! Y capacitación a 92 lideres de las verededas de punta gallina alta guajira uribia.</t>
  </si>
  <si>
    <t>Se han formulado 20  PRAE  con acompañamiento por parte de Corpoguajira, la empresa privada (Interaseo,  Cerrejón y BCC) y Cidea municipales: 
Con la participación de El Cerrejón, se ha apoyado  la formulación de los siguientes PRAE, con énfasis en la transversalización de la educación ambiental:
1)	Municipio de Albania, internado Akuaipa (indígena) -Prae formulado en revisión
2)	Municipio de Hatonuevo, IE Resguardo indígena Cerro de Hatonuevo --Prae formulado en revisión
3)	Municipio de Barrancas, colegio Eloy Fernández
4)	Municipio de Uribia, Institución etnoeducativa isidro Ibarra Fernández -Prae formulado en revisión
5)	Municipio de Uribia, internado kamusüshiwo- El Edén
La empresa BCC ha apoyado la formulación de  5 PRAE, el grupo de educación ambiental  ha avanzado en acompañamiento para el  fortalecimiento  de estos PRAE
6) Municipio de Distracción “Estrategias de gestión de residuos sólidos en el Centro Educativo Distracción sede La Duda”.
7) Municipio de San Juan “Estrategias didácticas que fomenten la generación de cultura ambiental en la comunidad del Tablazo”
8) Municipio de San Juan “Vivero escolar como estrategia para la educación ambiental en el Centro Educativo El Tablazo sede Los Pozos”
9) Municipio de Fonseca “Estrategias pedagógicas para manejo integral de los residuos sólidos en el centro educativo Almapoque sede Sitio Nuevo”
10) Municipio de Fonseca, “Estrategias de gestión encaminadas al manejo integral de residuos sólidos en el centro educativo Almapoque sede confuso.
11) Municipio de Uribia, Institución educativa Nuestra señora de Fátima: “Producción de abono orgánico a base de residuos sólidos para el desarrollo de huertos escolares pedagógicos. Formulado en revisión
12) Municipio de Uribia, Internado San José, "Reciclando, generamos ambientes saludables"
13) Institución Educativa Rural de Palomino 
14) Municipio de Riohacha, Institución educativa agropecuaria de Tomarrazón. Se  ha iniciado formulación de PRAE con énfasis en residuos sólidos Formulado en revisión	
15)	Municipio de Riohacha, corregimiento de Camarones, institución etnoeducativa Las delicias sede loma fresca, con énfasis en conservación y cuidado del  ambiente, en zona cercana al parque y santuario los Flamencos de camarones. Formulado en revisión	
16) Municipio de Riohacha, corregimiento de Camarones, institución etnoeducativa, sede educación  primaria 
17)	 Municipio de Dibulla, Institución educativa INETRAM, Formulado en proceso de actualización y fortalecimiento  de la transversalización de la educación ambiental
18)Municipio de Fonseca IE Juan Jacobo Aragón, Fonseca. Formulado en revisión
19) Municipio de Riohacha IE Septimio Mari
20) Municipio de Maicao, "Construcción de un vivero ecológico, reducción  y manejo de residuos sólidos para la formación en valores que generen  conciencia ambiental en la comunidad educativa de la sede la Majadura  de la IEI N° 3 del municipio de Maicao".
Se llegó a acuerdo con Ministerio de Ambiente, Escuela SAvia de educación ambiental  y Secretaría departamental de educación para apoyar 20 instituciones educativas en el depatamento con eco-viveros en 2022. Se cuenta con una  primera lista de instituciones beneficiarias, y Corpoguajira adquirió el compromiso de brindar asistencia técnica a estos PRAE. Varios de los incuidos en esta lista son Prae ya apoyados por la Corporación.</t>
  </si>
  <si>
    <t>Para el desarrollo de los PRAE antes mencionados se ha iniciado el proceso de formación de formadores con base en la guía  de formación  de PRAE:
IE Ernesto Parodi: 12
IE Eloy Hernández: 11
IE El Cerro : 8
IE Inmaculada: 9
Uniguajira: 40
Alcaldía Fonseca-Secretaría de educación-Planeación: 7
IE Juan Jacobo Aragón: 42</t>
  </si>
  <si>
    <t>En el marco del proyecto “Servicio de educación ambiental asociado a los impactos ambientales en sectores turísticos de los corregimientos de Palomino y Mingueo, municipio de Dibulla, La Guajira”, 45 personas capacitadas en los siguientes temas:
Sensibilización a propietarios y/o representantes de establecimientos turísticos en temas de: Manejo adecuado de vertimientos 
Sensibilización a propietarios y/o representantes de establecimientos turísticos en temas de: Manejo adecuado de residuos 
Sensibilización a propietarios y/o representantes de establecimientos turísticos en temas de: Manejo de impactos en el ambiente. 
Sensibilización a propietarios y/o representantes de establecimientos turísticos en temas de: Cultura del agua. "
En la conformación y acompañamiento para fortalecer los grupos de recicladores, con el apoyo del SENA-regional Guajira , se han capacitado en compostaje y huertas caseras, a 92 personas de Puente bomba, Tigreras, Ebanal y Caricari, Riohacha
35 personas capacitadas y sensibilizadas en Villa Fátima, Riohacha, sobre manejo de residuos sólidos 
46 personas capacitadas en residuos sólidos y compostaje en barrio 31 de octubre   en Riohacha                                           
53 personas formadas sobre manejo de residuos sólidos, durante Jornada de la implementación de la estrategia de orientación ambiental comunitaria, en el barrio San José  de Uribía, promovida por la alcaldía municipal 
209 operadores turísticos en Maicao con la Ani  e interaseo. se adelanta la capacitación los días miércoles sobre residuos sólidos y disposición  final 
26 jóvenes capacitados en nuevos códigos de colores y manejo de residuos sólidos
25 niños formados sobe residuos Sólidos, código de colores, reciclaje y clasificación,  en Puerto Pacheco y Puerto Caracol, Riohacha   
29 recicladores de los corregimientos de Tigreras y Cari  sobre cambio climático, agricultura urbana, tratados internacionales, abono orgánico, agroecología.
10 niños en Institución educativa Paulo  VI de  Barrancas, capacitados  sobre  cuidado de animales y trafico ilegal de especies
42  niños en Institución educativa Septimito Mari  de Riohacha, capacitados sobre  cuidado de animales y trafico ilegal de especies.</t>
  </si>
  <si>
    <t>Actividad para la vigencia 2022.</t>
  </si>
  <si>
    <t>Hay un acuerdo de voluntades entre la Asunción Temporal departamental de Educación y Corpoguajira ,  que cubre los 15 municipios del departamento.
En el marco de este acuerdo, se han desarrollado acciones conjuntas: 
•	Con el municipio de Villanueva, donde la secretaría de educación se ha vinculado al fortalecimiento del Cidea municipal y participado de los procesos de levantamiento de información para la política departamental de educación  ambiental y el plan municipal de educación ambiental. Igualmente, se ha acordado con la secretaría de educación  el apoyo a la formulación de PRAE para el fortalecimiento de áreas protegidas, en coordinación con el proyecto de Gestión ambiental sectorial y Urbano
•	Con el municipio de Fonseca:  secretaría de educación ha apoyado la actualización de la línea de base sobre PRAE en el municipio y apoyado divulgación de la guía de PRAE en 5 instituciones educativas, así como apropiado recursos para financiación de PRAE
En el marco de este acuerdo, se han desarrollado acciones conjuntas: 
•	Con el municipio de Villanueva, donde la secretaría de educación se ha vinculado al fortalecimiento del Cidea municipal y participado de los procesos de levantamiento de información para la política departamental de educación  ambiental y el plan municipal de educación ambiental. Igualmente, se ha acordado con la secretaría de educación  el apoyo a la formulación de PRAE para el fortalecimiento de áreas protegidas, en coordinación con el proyecto de Gestión ambiental sectorial y Urbano
•	Con el municipio de Fonseca:  secretaría de educación ha apoyado la actualización de la línea de base sobre PRAE en el municipio y apoyado divulgación de la guía de PRAE en 5 instituciones educativas, así como apropiado recursos para financiación de PRAE.</t>
  </si>
  <si>
    <t>Se formuló estrategia de educación, formación y sensibilización para adaptación y mitigación del cambio climático a partir del Plan Integral de Cambio Climático departamental y de los lineamientos del MADS. Se cuenta con una propuesta de PRAE con énfasis en cambio climático para presentara cooperación internacional, con el apoyo del MADS. WEBINAR:  Gestión Integral de cambio climático en el Dpto. de LA Guajira: Retos y Oportunidades.  250 Asistentes . En los PRAE, con apoyo de El Cerrejón, se han incluido propuestas de materiales sobre cambio climático</t>
  </si>
  <si>
    <t>Se formuló la estrategia de educación ambiental en  Entornos saludables a partir de los lineamientos del MADS.  se han adelantado conversaciones con El Cerrejón para apoyar acciones orientadas por esta estrategia. Se diseñó instrumento de diagnóstico para incluir la estrategia de EESS en los PRAE y se ha aplicado en los proyectos apoyados por El Cerrejón. Acuerdo con la secretaría de salud-salud ambiental de Maicao para desarrollar PRAE con énfasis en entornos saludable-Escuela 
En desarrollo de  la Estrategia de Entornos Saludables del Departamento, CORPOGUAJIRA adquirido el compromiso de liderar el componente de PRAE.</t>
  </si>
  <si>
    <t>Se ha avanzado con dos  instituciones educativas  (San Rafael de Albania y la Institución Educativa Rural Agropecuaria de Mingueo, INETRAM), en acuerdos  para realizar la actividad de las 80 horas sociales ambientales.
Con INETRAM, se firmó acuerdo de voluntades. La propuesta, se basa en la realización de talleres teóricos , en forma  virtual con actividades prácticas con el colegio, Ante las limitaciones causadas por la pandemia COVID 19, se proponen enviar talleres mediante fotografías a los dispositivos de los estudiantes para que sean diligenciados y enviados por el mismo medio. La propuesta fue aceptada por la docente encargada de la actividad, esto permitiría   que los jóvenes del grado once cumplan las horas reglamentarias y los estudiantes del grado decimo adelanten en su obligación 
con la IE Isidro  Ibarra y la alcaldía municipal de Uribia, hay acuerdo para que los niños presten su servicio ambiental  en jornada de sensibilización sobre tráfico ilegal de espacies y reuniones del Cidea municipal.</t>
  </si>
  <si>
    <t>Se formuló y desarrolló la propuesta de investigación   " Sistematización de experiencia de los PRAE en instituciones educativas con el fin de identificar fortalezas y debilidades  para elaborar propuesta de mejoramiento de las estrategias  de educación ambiental  en el sector educativo formal"</t>
  </si>
  <si>
    <t>El Ministerio de Ambiente y Desarrollo Sostenible MADS, al considerar la propuesta de política departamental de educación ambiental, solicitó que se ampliara la información  documental de base. Pare ello se realizó reunión con MADS,  Corpoguajira, Procuraduría ambiental y agraria, gobernación, alcaldías municipales y Universidad  de la Guajira con el fin de evaluar la entrega de esta información  por parte de las administraciones municipales. A partir de esa reunión, las alcaldía y la gobernación adquirieron el compromiso  de hacer llegar dicha información. El equipo de educación ambiental ha realizado el acompañamiento a las alcaldías en este esfuerzo. A 30 de mayo, 10 alcaldías municipales suministraron información que fue remitida a la Universidad de La Guajira. 
Se tomó la decisión de reenfocar el documento para definir el cambio climático como su eje estratégico. Con este nuevo enfoque, se ha divulgado esta propuesta en los cideas municipales de Fonseca, Distracción, Hatonuevo, Barrancas, Albania, Maicao, El Molino, Dibulla, Riohacha
La propuesta fue socializada con consejeros de Corpoguajira y se adquirió el compromiso de socializarla con comunidades étnicas. Se elevó consulta ante Ministerio del interior acerca de si es necesario ,antes de  aprobar la política por ordenanza departamental, desarrollar un proceso formal de consulta previa.</t>
  </si>
  <si>
    <t>Acompañamiento y capacitación  a miembros de Cidea para recolección de información de base  para la política departamental de educación ambiental. Formación a miembros de cidea de los municipios de Barrancas, Hato Nuevo, El Molino,  Urumita, La Jagua del Pilar, Riohacha, Uribia, Maicao, Manaure, Villanueva, sobre funciones del CIDEA, principales instrumentos de educación ambiental y propuesta de política  departamental de educación ambiental.</t>
  </si>
  <si>
    <t>Se han adelantado sesiones presenciales y virtuales con los CIDEA  Municipales de  Hatonuevo,  Fonseca, El Molino, Distracción, Barrancas, Uribia, Maicao, Urumita, La Jagua del Pilar, Villanueva, Manaure.
A partir de los diagnósticos municipales y el marco de la  política departamental de educación ambiental, se cuenta con propuestas de Planes de Educación Ambiental Municipal (PEAM) para los municipios de El Molino, Distracción, Uribia, Maicao, La Jagua del Pilar, Urumita y  Villanueva. Con base en  estas propuestas, los Cidea deberán construir un plan de acción para los dos últimos años del gobierno municipal y adoptar los PEAM por medio de acto administrativo.</t>
  </si>
  <si>
    <t>Se realizó Encuentro virtual  Cidea departamental, Riohacha, Dibulla y El Molino 
•	Revisión y balance de actividades realizadas en 2021  
•	Presentación de propuesta de política departamental de educación ambiental
•	Compromiso de los cidea departamental de Riohacha y El Molino para definir acciones y fortalecer sus  acciones en consonancia con la política departamental.</t>
  </si>
  <si>
    <t xml:space="preserve">1) Se formuló e implemento proceda en el municipio de Albania con nombre Reforestación Albania Verde el cual se realizo con el apoyo de entidades como Crrejon, Alcaldia de Albania, Corpoguajira, Constructora Sucre, L y M, Triple A del Caribe, Junta de Accion Comunal del Barrio el Centro, Aguas de Albania y SFG Soluciones. en este proceda se logro la siembra de 130 Arbusto de trinitarias en las aavenidad principales y en el barrio Ciudad Albania.  
2) Proceda reconversión socioeconómica  de recicladores en sitio de disposición final. Impulsado por Interaseo, Alcaldía de Riohacha y participación de Corpoguajira, el proceda busca apoyar un proceso de reinversión ocupacional de 180 recicladores que trabajan en el sitio de disposición final. Se cuenta con un  documento de proyecto. Se avanzó en una ´primera etapa del proyecto con un censo de caracterización de la población  y se ha iniciado  capacitación  laboral para apoyar planes de vida de los recicladores y su fortalecimiento organizacional y empresarial
3) Proceda En la Vía por La Vida. Con la Agencia Nacional de infraestructura -ANI-, el consorcio de la vía Santa Marta-Paraguachón, alcaldías municipales de Dibulla y Maicao, empresas prestadoras del servicio de aseo (Interaso y Aseo técnico), Corpoguajira y organizaciones sociales  y comunitarias . El proceda se orienta a desarrollar jornadas  de limpieza de la  vía,  asistencia a alcaldías municipales aplicación de comparendo ambiental  y jornadas y campañas de sensibilización, para mejorar la seguridad en la  vía y erradicar los puntos de riesgo originados en la presencia de botaderos satélite y residuos en la vía. Se han desarrollado reuniones con la comunidad en el municipio de Dibulla – corregimiento de Mingueo para el diagnóstico y ubicación de botaderos satélite;  calidad, frecuencia y cobertura de las rutas de recolección, labor  y rutas de carromuleros con el fin de definir el alcance y las actividades  del proceda. En la vía Maicao-Carraipía y Maicao-Cuatro vías se hizo la inspección,  ubicación y caracterización de 13 puntos de riesgo en la vía, en los cuales se realizarán  jornadas de limpieza, aplicación de comparendo ambiental y jornadas de sensibilización y capacitación
4) Proceda Medios de vida barrio 31 de octubre. Organizado por Coprecam, Interaseo, Fundación Panamericana para el Desarrollo (FUPAD), con el apoyo de Alcaldía de Riohacha y Corpoguajira.  20 familias beneficiadas con capacitación sobre compostaje, huertas caseras   y reciclaje; mejoramiento de entorno del barrio y de centro educativo infantil con arborización, jornadas de limpieza y  embellecimiento del parque con elementos hechos a partir de productos reciclados
5) Formación en reciclaje como oportunidad de ingreso en barrio Villa Fátima. Jornadas de limpieza;   capacitación en Reciclaje y en desarrollo empresarial y fortalecimiento de asociación de recicladores. Se desarrollan jornadas de limpieza, capacitación y formación empresarial tofos los viernes, de acuerdo con programación  establecida.                                                                                                                                         6. Formulacion de proceda Reforestacion para la recuperacion de la franja protectora de la cuenca del rio rancheria ubicada en el corregimiento chorrera municpio de distraccion el cual se espera poder implementar en el año 2022 con el apoyo de la alcaldiac corpoguajira, cidea dsitraccion, comunidad, etc. </t>
  </si>
  <si>
    <t>1. Con la ayuda de la policia ambiental se realizo en el corregimiento de camarones mas exactamente en la comunidad de loma frezca la proyeccion de una pelicula ambiental y una charla sobre el cuidado del medio ambiente enfocado al cuidado de lafauna silvestre (Framencos) la cual tuvo una gran asistencia por toda la comunidad indigena. 2. En articulación con el batallón de Rondón Buena Vista del municipio de distracción se realizó una capacitación en sobre el uso y manejo adecuado de sustancias toxicas para el ser humano y el medio ambiente e igualmente se realizó una siembra de 300 árboles maderables.     3. En articulación con la policía ambiental del municipio de San Juan del Cesar se logró realizar una sensibilización a la población sobre el cuidado del medio ambiente y una noche ecológica la cual fue disfrutada por todos los asistentes. 4. En alianza con instituciones militares en este caso Ejército de Colombia y Policía nacional se realizó una jornada lúdica pedagógica donde se pudo llevar una charla ambiental y una noche ambiental, con el fin de concientizar a los habitantes del corregimiento en al cuidado del medio ambiente. Igualmente se contó con el apoyo del ejército quienes aportaron su colaboración en el entretenimiento de los chicos quienes disfrutaron de una tarde llena de mensajes y juegos. 5. En alianza con la Policía nacional se realizó una jornada lúdica pedagógica donde se pudo llevar una charla ambiental y una noche ecologica, con el fin de concientizar a los habitantes del corregimiento de corralejas en el cuidado del medio ambiente. Igualmente se contó con el apoyo de la policía ambiental  quienes aportaron su colaboración en el entretenimiento de los chicos quienes disfrutaron de una tarde llena de mensajes y juegos.</t>
  </si>
  <si>
    <t>1. El día 28 de mayo de 2021, en acompañamiento de Corpoguajira se conformó oficialmente mediante asamblea el Nodo de jóvenes de ambiente del municipio de Albania Guajira, que dando por unanimidad como coordinadora general Daniela Vanessa Vega Herrera. 2. El dia 14 de Julio del 2021 se realiza la reunion con el proposito de confromar el nodo de Jovenes de Ambiente del Municipio de Hatonuevo, esta reunion se llevo a  cabo en el resinto del Consejo Municipio de Hatonuevo. El día 05 del mes de noviembre del 2021, en el auditorio   de Corpoguajira se reunieron los miembros de las diferentes coordinaciones de los nodos: de Manaure, Riohacha, Hatonuevo, y Albania, con el fin de realizar la asamblea de conformación del Nodo Departamental de la red de Jóvenes de ambiente de la guajira.</t>
  </si>
  <si>
    <t>Estrategia de comunicación formulada. En desarrollo  de esta se han realizado las siguientes acciones de Apoyo, difusión, realización de piezas comunicativas y notas de prensa: 
Primer encuentro ambiental de turismo sostenible, 
Gestión de residuos de Envases y empaques de La Guajira (150 Beneficiarios)                                                11/06.  
Arborización (480 árboles),en los municipios de Uribia, Riohacha (Institución Educativa Nazareth), Distracción (Batallón Buenavista), Albania corregimiento Los remedios(Institución Educativa Guaré-Guaré), San Juan del Cesar ( Manantial de Cañaverales).  
Noches ecológicas (3) 150 asistentes.  
Jornada de capacitación virtual sobre Turismo Sostenible                              
Primera vitrina Expocomercial de Negocios Verdes, lugar Maicao
22/04. Día del Agua, Procesamiento de información para Redes y Medios de Comunicación, Elaboración de Boletines        
27/04. Procesamiento y entrega de información del Pelícano agredido por Arma Blanca en el Riito en Riohacha
03 y 08/05  GLOBAL BIRD DAY,  Procesamiento de la información y colaboración para organización del evento.                                                                   
 17/05  DIA INTERNACIONAL DEL RECICLAJE, Procesamiento de Información  23/05  
DIA MUNDIAL DE LA TORTUGA, Creación de contenido para redes.                                                      
26/05. TALLER DE GESTIÓN DE RIESGO Y CAMBIO CLIMÁTICO  Riohacha, manejo y procesamiento de información para redes y medios de comunicación.                              
 28/05. Creación del Nodo: JÓVENES DE AMBIENTE DE ALBANIA. Procesamiento de información para redes
03 -11/06  Organización de actividades y procesamiento de información de la semana para conmemorar el DIA MUNDIAL DEL MEDIO AMBIENTE.             
03, 04, 05, 07, 08, 09/06, publicación de información en prensa y redes       
10/06  Manejo de información resultante de la visita en campo a la Institución Etnoeducativa Integral Rural Isidro Ibarra Hernández. Aliados Cerrejón y Colombia Verde y Libre.                                                          12/06 Creación de contenido para jornada de siembre de árboles en los corregimientos de La Junta y Cañaverales en San Juan del Cesar.            13/06 Creación de contenido para la publicación referente a la Jornada de Limpieza del Riito, Riohacha      24/06 Cubrimiento y procesamiento de información para crear la Alianza que permita combatir el flagelo de la caza de la Tortuga para consumo humano.
Se formulo una propuesta de campaña para combatir  la caza, tráfico, comercialización y consumo de la Tortuga.</t>
  </si>
  <si>
    <t>Se realizó en el primer semestre la creacion de las diferentes bases de datos de las reuniones realizadas del grupo de Educación Ambiental.</t>
  </si>
  <si>
    <t>1. El día 3 de marzo de 2021 se compartió por correo electrónico a todas las instituciones educativas públicas y privadas del Departamento de la Guajira 3 publicaciones ambientales en formato digital pdf de autoría corporativa de nuestra Corporación (Ordenamiento ambiental de los manglares de la alta, media y baja Guajira; Atlas Costero Marino de La Guajira; Atlas Ambiental del Departamento de La Guajira), como estrategia de divulgación y fortalecimiento al servicio de canje y donación dentro de la actividad de extensión bibliotecaria articulada entre Corpoguajira y las Bibliotecas Públicas e Instituciones Educativas en jurisdicción de Corpoguajira. 2. El día 10 de mayo de 2021 se compartió por correo electrónico a todas las instituciones educativas públicas y privadas del Departamento de la Guajira 2 publicaciones ambientales en formato digital pdf dentro del apoyo de divulgación de información ambiental con la red del SINA; las publicaciones son; 1. Los Proyectos Ambientales Escolares PRAE en Colombia: Viveros de la nueva ciudadanía ambiental de un país que se construye en el escenario postconflicto y paz. MinAmbiente; 2.  Política Nacional para la Gestión Integral del Recurso Hídrico. MinAmbiente de.  3. El día 04 de junio de 2021 se compartió por correo electrónico a Se envían por correo electrónico a las Bibliotecas Públicas Municipales del Departamento de La Guajira y a los Centros de Documentación Ambiental adscritos a la Red del SINA las publicaciones; 1. Ordenamiento ambiental de los manglares de la alta, media y baja Guajira; 2. Atlas Costero Marino de La Guajira; 3. Atlas Ambiental del Departamento de La Guajira, publicaciones compartidas en formato pdf, dentro de la estrategia de divulgación de información ambiental y fortalecimiento al servicio de canje y donación entre Corpoguajira, las Bibliotecas Públicas Municipales de la Guajira y los Centros de Documentación adscritos al SINA.</t>
  </si>
  <si>
    <t>Estrategia formulada con el apoyo y la asesoría de Uniguajira. La aplicación de la estrategia ha iniciado con la incorporación del enfoque etnoeducaivo en los PRAE. De los 14 PRAE que están e ejecución o formulación, 6  corresponden a centros etnoeducativos.                                                                              Con organizacones de afrodescendientes, de Barrancas, Riohacha, Maicao, Dibula(Mingueo) se viene adelantando la construccion de un plan de trabajo conjunto de ducación ambiental , liderado por la organizaciónde mujeres afrodescencientes Mataepelo, dirigida a mujeres afrodescendientes, jóvenes y consejos comunitarios.</t>
  </si>
  <si>
    <t xml:space="preserve">1. con el propósito de impulsar temas productivos relacionados con negocios verdes en las comunidades indígenas de la alta guajira se realizó una capacitación sobre este importante tema, en esta actividad se logró capacitar a 52 personas.                                                                                                                          2. En bahía honda alta guajira la Corporación Autónoma Regional de la Guajira Corpoguajira logro realizar una capacitación sobre el manejo de los residuos sólidos con el fin de crear conciencia y minimizar los impactos negativos de estos residuos en la comunidad, en esta actividad de capacitación se logró sensibilizar a 49 miembros de la comunidad quienes mostraron mucho interés por el tema socializado.         3. En la alta guajira más exactamente en el corregimiento de bahía ondita se logra la capacitación de 7 personas en tema relacionado con el nuevo código de colores para la separación de los residuos sólidos, cabe destacar que estas personas pertenecen a la comunidad y pertenecen al sector turístico de esta zona quienes aportan beneficios en la generación de empleo en negocios verdes. </t>
  </si>
  <si>
    <t>1. El 05 de octubre del 2021 coordina con Organización afrodescendiente Mataepelo para la ejecución de acciones  con mujeres, jóvenes y organizaciones afrodescendientes. A partir de los acuerdos en la primera reunión, se programa esta con el fin de definir un cronograma para el desarrollo de las actividades previstas  2. El 09 de Diciembre del 2021 se coordino con la organización afrodescendiente Mataepelo para la Visita al   consejo comunitario en Barrancas-Oreganal y Oreganalito para presentar política departamental de educación ambiental y construir  conjuntamente una estrategia  y agenda de trabajo con grupos de afrodescendientes. 3. Con el fin de apoyar las actividades de educación ambiental relacionada con los proyectos de participación comunitaria y cultura ambiental, se realizó una visita el dia 26 de octubre del 2021 en la comunidad indígena Aljote ubicada en el Km 20 vía Valledupar, en esta visita se pudo realizar contacto con la autoridad de la comunidad indígena donde se pudo contactar las necesidad de culminar obras de sistema de acueducto. Por otro lado se pudo conversar con docentes de la institución educativa los remedios la cual se encuentra en esta comunidad y se dialogó sobre la formulación de un Prae enfocado sobre el cuidado y ahorro del agua.</t>
  </si>
  <si>
    <t xml:space="preserve">1. El día 21 de julio de 2021 se hace desplazamiento hacia el Municipio de Manaure Guajira, a fin de realizar acompañamiento en la mesa parchemos para construir en la campaña Pacto Colombia con las Juventudes. 2. Con el fin de apoyar la jornada de limpieza submarina y terrestre en el corregimiento del cabo de la vela se hizo presencia la corporación autónoma con la unidad móvil ambiental y los profesionales del área de educación ambiental quienes apoyaron esta jornada. Igualmente se contó con el apoyo de la Dimar, Defensa Civil, Ejercito de Colombia, Corpoguajira, etc. esta actividad conto con la ayuda de Servientrega, Fundación Grupo Familia, Pavimentos Colombia, Pacto Global Red Colombia, etc. </t>
  </si>
  <si>
    <t>1. El día 07 de julio de 2021 se hace desplazamiento hacia el corregimiento de Mayapo, perteneciente al Municipio de Manaure Guajira, a fin de realizar acompañamiento a una jornada de limpieza de recolección y sensibilización sobre el manejo adecuado de residuos sólidos, utilizando el nuevo código de colores.</t>
  </si>
  <si>
    <t xml:space="preserve">Durante el 2021 el Grupo ECMA y la Territorial Sur recibieron 597 solicitudes entre Licencias Ambientales, Permisos Ambientales, solicitudes de liquidación, conceptos técnicos Ambientales, de los cuales se respondieron 484, para un avance del 81.07% de las solicitudes atendidas de forma total. </t>
  </si>
  <si>
    <t>Durante el año 2021, el grupo ECMA y La Territorial de Sur  Se han recibido 657 solicitudes y se atendieron 463, para un cumplimiento del 70,47%</t>
  </si>
  <si>
    <t xml:space="preserve">El número de operativos realizados durante el año 2021 es de 214 operativos de fauna y Flora. </t>
  </si>
  <si>
    <t>Durante el año 2021 el Grupo ECMA en conjunto el Ministerio del Medio Ambiente se han realizado 9 reuniones en el marco de la Gobernanza forestal y Sentencia 302.
Se inició la construcción de proyecto “Propuesta técnica del Estatuto forestal del departamento de La Guajira.</t>
  </si>
  <si>
    <t>Durante el año 2021 se ha realizado el cargue de la Información de Bases de Datos Nacionales (VITAL y SNIF), esta se encuentra actualizada al 99% hasta el mes de diciembre de 2021. 
Se trabajo en la organización de la base de datos con el fin de permitir el ingreso de información relacionada con salvoconducto único nacional en línea, dando cumplimiento a lo solicitado por la Contraloría Regional y lo solicitado en el SNIF del SIAC.
Durante este Cuarto trimestre se realizó el registro de los salvoconductos decomisos desde 2018 a 2021, para esto se utilizó la base de datos que se estructuró en formato Excel, archivo de cargue masivo de SUNL para la plataforma SNIF, ya está consolidada la información para movilización de productos maderables, La base de datos consta de 1.655 filas de información, esta se anexa como soporte.</t>
  </si>
  <si>
    <t>Durante el año 2021 se realizaron 23 operativos de control y vigilancia forestal, con apoyo de la Policia Nacional.
El acumulado de decomisos de madera durante el año 2021 es de 91,77 metros cúbicos; el decomiso de carbón fue de 60.220 kg.</t>
  </si>
  <si>
    <t>Durante el año 2021 el Grupo ECMA está trabajando en base de datos de negocios de transformación de madera y el libro de operaciones, para esto se han realizado visitas a los diferentes depósitos en Riohacha, Dibulla, Manaure, Uribia y Fonseca. Se cuenta con 80 registros y solo 18 empresas tienen libro de operaciones Forestales.</t>
  </si>
  <si>
    <t>Se realizaron seguimientos a los 10 PUEAA aprobados.</t>
  </si>
  <si>
    <t xml:space="preserve"> Se realizaron seguimientos a 18 PSMV de 18 aprobados.</t>
  </si>
  <si>
    <t xml:space="preserve">Realizar seguimiento al cumplimiento de los PGIRS vigentes, especificamente en el componente de aprovechamiento. Se realizaron seguimiento a los 15 PGIRS de los municipios del departamento de La Guajira. </t>
  </si>
  <si>
    <t>Se han realizado seguimientos ambientales a 329 permisos de 350 priorizados, distribuidos de la siguiente manera: Licencia: 27
Concesiones: 214
Vertimientos: 61
Aprovechamiento F: 13
Emisiones: 14</t>
  </si>
  <si>
    <t>Se han realizado actividades de seguimiento a impactos generados por el transporte de carbón:  El el primer semestre al impacto social o percepción social de las personas que viven a un costado de la vía por donde se transporta el carbón. Para el segundo semestre, se realizaron recorrdios por toda la ruta utilizada por los trnasportadores de carbón, desde La Jagua del Pilar hasta Palomino, terminando en la entrada de la termoeléctrica, identificando posibles impactos por derrames de carbón sobre los ecosistemas que se encuentran en área de influencia de la vía.</t>
  </si>
  <si>
    <t>Es importante manifestar lo siguiente:  
Durante la vigencia 2021 se han otorgado permisos de aprovechamiento forestal de corta vigencia, a los cuales se les ha realizado seguimiento ambiental. Estos seguimientos no son contabilizados. La mayoria de estos permisos no estaran vigentes para el año 2022.
Varios funcionarios hacen parte de la mesa técnica por la sentencia del arroyo bruno, actividad que ha requerido no asignarles actividades o disminuir seguimiento entre los meses de marzo y mayo. 
Se delegaron funcionarios para atender actividades de la sentencia T614 entre los meses agosto y septiembre.
Se ha realizado seguimiento ambiental a oros tipos de permisos o instrumentos, relacionados en la siguiente tabla. (Se totaliza hasta el tercer trimestre)
Se realizaron segundos seguimientos ambientales a licencias y permisos, pero no fueron contabilizados en el informe de gestión.</t>
  </si>
  <si>
    <t>A corte 31 de diciembre, se realizaron los 6 informes de seguimiento para la vigencia 2021, a traves de los contratos 041 de 2020 y 044 de 2021 con la información de la ejecución de los POMCAS y PMA, contratos reaslizados en el año 2021 y que aplican a lo establecido en los Planes. POMCAS (Tomarrazón - Camarones, Rancherría, Tapias y Carraipía)</t>
  </si>
  <si>
    <t>Administración del Sistema y Seguimiento Mensual del cargue de la información, a traves del SIG de la Corporación.</t>
  </si>
  <si>
    <t>Se realizó capacitacion en inclusion del componente Cambio climatico en los POT, con énfasis en la incorporación de esta  Determinante ambiental,  Capacitación realizada a los 15 municipios en el marco de las capacitaciones realizadas en el proyecto  Implementación  de  mecanismos  para  la  generación  de  conocimiento  en gestión de riesgos y variabilidad climática y por solicitud complementaria de la ESAP.</t>
  </si>
  <si>
    <t>Se  ejecutó el proyecto Implementación  de  mecanismos  para  la  generación  de  conocimiento  en gestión de riesgos y variabilidad climática en el departamento de La Guajira. Se formularon y aprobaron por parte de Minambiente los proyectos "Soluciones integrales de abastecimiento de agua como medida de adaptacion al cambio climatico en comunidades indigenas de Sabana Grande, municipio de san Juan del Cesar" e "Implementacion de acciones de adaptacion al CC ante desabastecimiento hidrico en comunidades indigenas del municipio de Manaure, La Guajira". Por otro lado se adelantó Entrega del Marco Lógico y Arreglos de Implementación del Proyecto Herencia Colombia ante el Fondo Verde del Clima (GCF)</t>
  </si>
  <si>
    <t>Se desarrollaron talleres de formación sobre las temáticas de cambio climático en el marco del Proyecto de generacion de conocimiento, en los municipios de EL MOLINO, VILLANUEVA, URIBIA, HATONUEVO, DISTRACCION, URUMITA, ALBANIA, FONSECA, BARRANCAS, DIBULLA, LA JAGUA DEL PILAR, MAICAO, SAN JUAN DEL CESAR, MANAURE, RIOHACHA, en el 2021
mas de 387 personas capacitadas</t>
  </si>
  <si>
    <t>Porcentaje de seguimientos y evaluaciones para generar conocimiento realizadas.</t>
  </si>
  <si>
    <t>MARINO COSTERO</t>
  </si>
  <si>
    <t>RECURSOS PROPIOS
(3)</t>
  </si>
  <si>
    <t>RECURSOS DE LA NACIÓN 
(4)</t>
  </si>
  <si>
    <t>FONDO NACIONAL AMBIENTAL</t>
  </si>
  <si>
    <t>Suscripción de otrosí a convenio marco entre la empresa Hocol y CORPOGUAJIRA para implementar acciones de conservación en la RFP Montes de Oca.</t>
  </si>
  <si>
    <t>Montes de Oca</t>
  </si>
  <si>
    <t xml:space="preserve"> Formulación del Proyecto Rehabilitación de ecosistemas forestales en la RFP Montes de Oca, municipio de Maicao, La Guajira" </t>
  </si>
  <si>
    <t>Formulación del Proyecto "Proyecto Rehabilitación de ecosistemas forestales en los sectores de Nuevo Espinal y San Pedro, cuenca del rio Rancheria, municipio de Barrancas, La Guajira"</t>
  </si>
  <si>
    <t>Diligenciamiento de la herramienta EMAP -Efectividad para el manejo del área protegida DRMI Cuenca Baja del Río Ranchería, como aporte a la meta nacional. Se realizó taller virtual el día 15/10/21 con actores locales e institucionales el día con el apoyo de WWF.</t>
  </si>
  <si>
    <t>Avance en el proceso de conformación del Sistema Local de Áreas Protegidas de Riohacha, municipio que hace parte del área protegida.</t>
  </si>
  <si>
    <t xml:space="preserve">Medición de la Efectividad para el manejo del área protegida DRMI Cuenca Baja del Río Ranchería con el apoyo de WWF con participación de actores locales e institucionales como SENA, Gobernación de La Guajira </t>
  </si>
  <si>
    <t>Medición de la Efectividad para el manejo EMAP del área protegida DRMI Bañaderos Cuenca Alta del Río Camarones, como aporte a la meta nacional. Se realizó taller el día 13/10/2021 con actores locales e institucionales el día con el apoyo de WWF.</t>
  </si>
  <si>
    <t xml:space="preserve">Aprobación del  Proyecto: REHABILITACION ECOLOGICA PARTICIPATIVA DEL RIO AGUA CLARA, TRAMO SECTOR MANANTIAL 1 AGUAS ABAJO SECTOR MAGALOTE, MUNICIPIO DE HATONUEVO DEPARTAMENTO DE LA GUAJIRA BPIN 20193218000007 </t>
  </si>
  <si>
    <t>Proyecto aprobado por Regalías en 2021. Implementación en 2022</t>
  </si>
  <si>
    <t xml:space="preserve"> Con el apoyo de la Asociación Calidris, en el marco del convenio suscrito con Riqueza Natural, se ejecuta el proyecto “Promoviendo la conservación del bosque seco tropical en el Área Importante para la Conservación de las Aves (AICA) Cerro Pintado (CO071) en la Serranía de Perijá, a través de la ampliación de esta área y del fortalecimiento de capacidades comunitarias”. Se realizaron las siguientes acciones: Se realizó taller en especies de aves amenazadas y endémicas, el cual contó con 24 participantes de los cuatro municipios de influencia del AICA Cerro Pintao (La Jagua, Urumita, Villanueva y El Molino); Concepto de ampliación de AICA  Cerro Pintao dentro de la jurisdicción del DCS de Perijá con el fin de realizar tramite pertinentes de ampliación del mismo.</t>
  </si>
  <si>
    <t xml:space="preserve">Formulación del proyecto Rehabilitación de ecosistemas forestales en el sector de Nuevo Espinal y Corregimiento de San Pedro, municipio de Barrancas, La Guajira. </t>
  </si>
  <si>
    <t>Serranía de Perijá</t>
  </si>
  <si>
    <t>Actualización  del Plan de Manejo y ampliación del DRMI con el apoyo del Programa Riqueza Natural, incluyendo el proceso de Consulta Previa con comunidades indígenas wayuu.</t>
  </si>
  <si>
    <t xml:space="preserve">Formulación del Proyecto para la Recuperación Ambiental de 4 Municipios del Sur de La Guajira Mediante Restauración Activa e Implementación De Sistemas Silvopastoriles en Áreas de Producción Ganadera en Los Municipios de El Molino, La Jagua del Pilar, Urumita y Villanueva en el Departamento de la Guajira. ESTADO: En proceso de evaluación y viabilización Convocatoria FONAM 2021.  Restauración del arroyo Gritador Hatonuevo FCA 2022 104 has, 41.600 arboles nativos se encuentra en proceso de viabilidad por parte del DNP   </t>
  </si>
  <si>
    <t>Socialización del plan de manejo a actores locales de la RFP Manantial de Cañaverales</t>
  </si>
  <si>
    <t>Manantial de Cañaverales</t>
  </si>
  <si>
    <t>Flora</t>
  </si>
  <si>
    <t>Ceiba roja (Pochota quinata)</t>
  </si>
  <si>
    <t xml:space="preserve">Rehabilitación de ecosistemas forestales en el nivel subsiguiente de rio Ancho rio Negro rio Maluisa y otros directos al caribe municipio de Dibulla      REHABILITACION ECOLOGICA PARTICIPATIVA DE LA SUBCUENCA DEL RIO VILLANUEVA, TRAMO SECTOR BUENA VISTA AGUAS ABAJO SECTOR BOCATOMA ACUEDUCTO MUNICIPAL, MUNICIPIO DE VILLANUEVA, DEPARTAMENTO DE LA GUAJIRA CON BPIN 20183218000003     REHABILTACION DE ECOSISTEMAS FORESTALES EN LAS CUENCAS DE LOS RIOS RANCHERIA, TAPIAS Y CESAR EN LOS MUNICIPIOS DE RIOHACHA, SAN JUAN DEL CESAR, MANAURE Y ALBANIA-LA GUAJIRA, CODIGO BPIN 2019002440074
REHABILTACION DE ECOSISTEMAS FORESTALES EN LAS CUENCAS DE LOS RIOS RANCHERIA, TAPIAS Y CESAR EN LOS MUNICIPIOS DE RIOHACHA, SAN JUAN DEL CESAR, MANAURE Y ALBANIA-LA GUAJIRA, CODIGO BPIN 2019002440074
RECUPERACIÓN DE ECOSISTEMAS CON LA ESPECIE PROMISORIA PALMA AMARGA (Sabal mouritiriformis) EN LOS MUNICIPIOS DE DIBULLA Y URUMITA DEPARTAMENTO DE LA GUAJIRA                                                                                                                                     </t>
  </si>
  <si>
    <t>Perehuetano (Parinari pachyphylla)</t>
  </si>
  <si>
    <t>Ebano (Caesalpinia ebano)</t>
  </si>
  <si>
    <t>Cedro (Cedrela odorata)</t>
  </si>
  <si>
    <t>Carreto (Aspidosperma polyneuron)</t>
  </si>
  <si>
    <t>Corazon fino (Platismicium pinnatum)</t>
  </si>
  <si>
    <t>Caracolí (Anacardium excdelsum)</t>
  </si>
  <si>
    <t>Ceiba bonga (Ceiba pentandra)</t>
  </si>
  <si>
    <t>Cañaguate (Tabebuia chrysantha)</t>
  </si>
  <si>
    <t>Guaimaro (Brosimun alicastrum)</t>
  </si>
  <si>
    <t>Resbalamono (Bursera simaruba)</t>
  </si>
  <si>
    <t>Tambor (Schizolobium parahyba)</t>
  </si>
  <si>
    <t>Abarco (Cariniana pyriformis)</t>
  </si>
  <si>
    <t>Caoba (Swiettenia macrophylla)</t>
  </si>
  <si>
    <t>Guayacan (Bulnesia arborea)</t>
  </si>
  <si>
    <t>Laurel (Nectandra sp)</t>
  </si>
  <si>
    <t>Ollita de mono (Licythis minor)</t>
  </si>
  <si>
    <t>Gallinazo (Gustavia longifuniculata)</t>
  </si>
  <si>
    <t>Puy (Tabebuia bilbergii)</t>
  </si>
  <si>
    <t xml:space="preserve">Flora </t>
  </si>
  <si>
    <t xml:space="preserve">Asitencia Tecnica y monitoreo de plantaciobes con las especies:  Corazón fino (Platysmicium pinnatum), Puy (Tabebuia bilbergii), cedro (Cedrela odorata), Ebano (Caesalpinia ebano), Caracoli (Anacardium excelsum)Guayacán (Bulnesia arborea), Cañaguate (Tabebuia chrysantha), Ceiba bonga (Ceiba pentandra), Ceiba amarilla (Hura crepitans), </t>
  </si>
  <si>
    <t xml:space="preserve">Acciones operativas-Recursos propios </t>
  </si>
  <si>
    <t xml:space="preserve">Contrato No. 0083 de 2019 </t>
  </si>
  <si>
    <t>Restauración pasiva  y activa</t>
  </si>
  <si>
    <t>$915.322.322.00</t>
  </si>
  <si>
    <t xml:space="preserve">Contrato No.  003 de 2020 </t>
  </si>
  <si>
    <t>REHABILITACION ECOLOGICA PARTICIPATIVA DE LA SUBCUENCA DEL RIO VILLANUEVA, TRAMO SECTOR BUENA VISTA AGUAS ABAJO SECTOR BOCATOMA ACUEDUCTO MUNICIPAL, MUNICIPIO DE VILLANUEVA, DEPARTAMENTO DE LA GUAJIRA CON BPIN 20183218000003</t>
  </si>
  <si>
    <t>Contrato 077 de 2019</t>
  </si>
  <si>
    <t>REHABILITACION DE ECOSISTEMAS FORESTALES EN EL NIVEL SUBSIGUIENTE DEL RIO ANCHO, RIO NEGRO, RIO MALUISA Y OTROS DIRECTOS AL CARIBE, MUNICIPIO DE DIBULLA,DEPARTAMENTO DE LA GUAJIRA, CON BPIN 2019002440196</t>
  </si>
  <si>
    <t>Contrato 0010 de 2021</t>
  </si>
  <si>
    <t xml:space="preserve">COMPENSACION </t>
  </si>
  <si>
    <t>Restauracion activa</t>
  </si>
  <si>
    <t>CERREJON</t>
  </si>
  <si>
    <t>A partir del análisis de representatividad del DCS Serranía de Perijá, se evidenció que el Hidrobioma Perijá y Montes de Oca no estaba representado en otras áreas protegida del departamento de La Guajira o su grado de protección es menor. Es decir, que este bioma tenía la más baja representatividad en el SINAP con un área de 35,84 hectáreas, área que fue incluida en la declaratoria del área protegida, alcanzando una representatividad del 100% en el área.</t>
  </si>
  <si>
    <t xml:space="preserve">En el cumplimiento del indicador reducir la tendencia de crecimiento de la deforestación proyectada por el IDEAM  en 2020 se recibieron 55 puntos con alertas tempranas y 2021 se recibieron 21 puntos con alertas tempranas con una reducción de 34 puntos correspondiente a un 61,8 %, en la cual se resalta los polígonos de deforestación para para el primer trimestre de 2021 con un área total de 129.15 hectáreas, de los cuales un total de 38,61 hectáreas presentan traslapes con las áreas SINAP, RFPR Montes de Oca (0.9 Has), DRMI Bañaderos - Cuenca Alta del Rio Camarones (9.45 Has), DRMI Serranía de Perijá (26.55 Has) y DCS de Perijá (1.71 Has).
Se realizó un informe de monitoreo de cobertura en el Departamento de La Guajira, con el fin de determinar áreas de deforestación como alertas tempranas, para lo cual se obtuvieron 3 informes entre el periodo ene-mar, abr-jun, jul-ago. Lo anterior, en el marco del apoyo recibido a través del convenio suscrito entre Riqueza Natural e IDEAM. Así mismo, en el marco del convenio se contrató un profesional de apoyo para dar inicio a las actividades previstas y verificación en campo de deforestación identificada. Se incorporó un enlace en página web de CORPOGUAJIRA para la visualización de reportes emitidos. </t>
  </si>
  <si>
    <t>Es importante tener en cuenta que la cifra 591 reportada en el año 2, obedece al numero de procesos activos procedente de años anteriores, sumados a los iniciados en la vigencia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</si>
</sst>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6" formatCode="_(* #,##0.00_);_(* \(#,##0.00\);_(* &quot;-&quot;??_);_(@_)"/>
    <numFmt numFmtId="167" formatCode="0.0"/>
    <numFmt numFmtId="168" formatCode="_-* #,##0_-;\-* #,##0_-;_-* &quot;-&quot;??_-;_-@_-"/>
    <numFmt numFmtId="169" formatCode="_(* #,##0_);_(* \(#,##0\);_(* &quot;-&quot;??_);_(@_)"/>
    <numFmt numFmtId="170" formatCode="0.0%"/>
    <numFmt numFmtId="171" formatCode="&quot;$&quot;#,##0.00_-"/>
    <numFmt numFmtId="172" formatCode="_-* #,##0.00_-;\-* #,##0.00_-;_-* &quot;-&quot;_-;_-@_-"/>
    <numFmt numFmtId="173" formatCode="&quot;$&quot;#,##0.00"/>
  </numFmts>
  <fonts count="89" x14ac:knownFonts="1">
    <font>
      <sz val="11"/>
      <color theme="1"/>
      <name val="Calibri"/>
      <family val="2"/>
      <scheme val="minor"/>
    </font>
    <font>
      <sz val="11"/>
      <color rgb="FF006100"/>
      <name val="Calibri"/>
      <family val="2"/>
      <scheme val="minor"/>
    </font>
    <font>
      <b/>
      <sz val="11"/>
      <color rgb="FF000000"/>
      <name val="Calibri"/>
      <family val="2"/>
      <scheme val="minor"/>
    </font>
    <font>
      <b/>
      <sz val="9"/>
      <color rgb="FF000000"/>
      <name val="Calibri"/>
      <family val="2"/>
      <scheme val="minor"/>
    </font>
    <font>
      <sz val="9"/>
      <color rgb="FF000000"/>
      <name val="Calibri"/>
      <family val="2"/>
      <scheme val="minor"/>
    </font>
    <font>
      <b/>
      <i/>
      <sz val="9"/>
      <color rgb="FF000000"/>
      <name val="Calibri"/>
      <family val="2"/>
      <scheme val="minor"/>
    </font>
    <font>
      <i/>
      <sz val="9"/>
      <color rgb="FF000000"/>
      <name val="Calibri"/>
      <family val="2"/>
      <scheme val="minor"/>
    </font>
    <font>
      <sz val="9"/>
      <color theme="1"/>
      <name val="Calibri"/>
      <family val="2"/>
      <scheme val="minor"/>
    </font>
    <font>
      <sz val="8"/>
      <color rgb="FF000000"/>
      <name val="Calibri"/>
      <family val="2"/>
      <scheme val="minor"/>
    </font>
    <font>
      <sz val="9"/>
      <color rgb="FF000000"/>
      <name val="Calibri"/>
      <family val="2"/>
    </font>
    <font>
      <sz val="7"/>
      <color rgb="FF000000"/>
      <name val="Times New Roman"/>
      <family val="1"/>
    </font>
    <font>
      <vertAlign val="subscript"/>
      <sz val="9"/>
      <color rgb="FF000000"/>
      <name val="Calibri"/>
      <family val="2"/>
      <scheme val="minor"/>
    </font>
    <font>
      <b/>
      <u/>
      <sz val="9"/>
      <color rgb="FF000000"/>
      <name val="Calibri"/>
      <family val="2"/>
      <scheme val="minor"/>
    </font>
    <font>
      <i/>
      <sz val="7"/>
      <color rgb="FF000000"/>
      <name val="Times New Roman"/>
      <family val="1"/>
    </font>
    <font>
      <sz val="10"/>
      <color theme="1"/>
      <name val="Calibri"/>
      <family val="2"/>
      <scheme val="minor"/>
    </font>
    <font>
      <u/>
      <sz val="9"/>
      <color rgb="FF000000"/>
      <name val="Calibri"/>
      <family val="2"/>
      <scheme val="minor"/>
    </font>
    <font>
      <sz val="9"/>
      <color rgb="FF000000"/>
      <name val="Symbol"/>
      <family val="1"/>
      <charset val="2"/>
    </font>
    <font>
      <u/>
      <sz val="11"/>
      <color theme="10"/>
      <name val="Calibri"/>
      <family val="2"/>
      <scheme val="minor"/>
    </font>
    <font>
      <sz val="12"/>
      <color rgb="FF000000"/>
      <name val="Calibri"/>
      <family val="2"/>
    </font>
    <font>
      <sz val="7"/>
      <color rgb="FF000000"/>
      <name val="Calibri"/>
      <family val="2"/>
      <scheme val="minor"/>
    </font>
    <font>
      <b/>
      <i/>
      <sz val="9"/>
      <color indexed="8"/>
      <name val="Calibri"/>
      <family val="2"/>
      <scheme val="minor"/>
    </font>
    <font>
      <sz val="11"/>
      <color theme="1"/>
      <name val="Calibri"/>
      <family val="2"/>
      <scheme val="minor"/>
    </font>
    <font>
      <b/>
      <sz val="11"/>
      <color theme="1"/>
      <name val="Calibri"/>
      <family val="2"/>
      <scheme val="minor"/>
    </font>
    <font>
      <sz val="10"/>
      <color rgb="FF006100"/>
      <name val="Calibri"/>
      <family val="2"/>
      <scheme val="minor"/>
    </font>
    <font>
      <u/>
      <sz val="10"/>
      <color theme="10"/>
      <name val="Calibri"/>
      <family val="2"/>
      <scheme val="minor"/>
    </font>
    <font>
      <sz val="10"/>
      <color rgb="FF000000"/>
      <name val="Calibri"/>
      <family val="2"/>
      <scheme val="minor"/>
    </font>
    <font>
      <sz val="18"/>
      <color rgb="FF000000"/>
      <name val="Calibri"/>
      <family val="2"/>
      <scheme val="minor"/>
    </font>
    <font>
      <sz val="9"/>
      <color rgb="FFFF0000"/>
      <name val="Calibri"/>
      <family val="2"/>
      <scheme val="minor"/>
    </font>
    <font>
      <sz val="8"/>
      <color theme="1"/>
      <name val="Calibri"/>
      <family val="2"/>
      <scheme val="minor"/>
    </font>
    <font>
      <b/>
      <sz val="8"/>
      <color rgb="FF000000"/>
      <name val="Calibri"/>
      <family val="2"/>
      <scheme val="minor"/>
    </font>
    <font>
      <sz val="10"/>
      <name val="Arial Narrow"/>
      <family val="2"/>
    </font>
    <font>
      <b/>
      <sz val="12"/>
      <name val="Arial Narrow"/>
      <family val="2"/>
    </font>
    <font>
      <sz val="10"/>
      <name val="Arial"/>
      <family val="2"/>
    </font>
    <font>
      <b/>
      <sz val="10"/>
      <name val="Arial Narrow"/>
      <family val="2"/>
    </font>
    <font>
      <b/>
      <sz val="10"/>
      <color indexed="10"/>
      <name val="Arial Narrow"/>
      <family val="2"/>
    </font>
    <font>
      <b/>
      <sz val="11"/>
      <name val="Arial Narrow"/>
      <family val="2"/>
    </font>
    <font>
      <b/>
      <sz val="8"/>
      <name val="Arial Narrow"/>
      <family val="2"/>
    </font>
    <font>
      <sz val="8"/>
      <name val="Arial Narrow"/>
      <family val="2"/>
    </font>
    <font>
      <b/>
      <sz val="9"/>
      <name val="Arial Narrow"/>
      <family val="2"/>
    </font>
    <font>
      <b/>
      <sz val="7"/>
      <name val="Arial Narrow"/>
      <family val="2"/>
    </font>
    <font>
      <sz val="7"/>
      <name val="Arial Narrow"/>
      <family val="2"/>
    </font>
    <font>
      <u/>
      <sz val="7"/>
      <name val="Arial Narrow"/>
      <family val="2"/>
    </font>
    <font>
      <b/>
      <sz val="10"/>
      <name val="Arial"/>
      <family val="2"/>
    </font>
    <font>
      <sz val="10"/>
      <name val="Arial"/>
      <family val="2"/>
    </font>
    <font>
      <b/>
      <sz val="11"/>
      <color theme="1"/>
      <name val="Arial Narrow"/>
      <family val="2"/>
    </font>
    <font>
      <b/>
      <sz val="9"/>
      <color theme="1"/>
      <name val="Verdana"/>
      <family val="2"/>
    </font>
    <font>
      <b/>
      <sz val="9"/>
      <name val="Verdana"/>
      <family val="2"/>
    </font>
    <font>
      <sz val="9"/>
      <color theme="1"/>
      <name val="Verdana"/>
      <family val="2"/>
    </font>
    <font>
      <b/>
      <sz val="9"/>
      <color rgb="FF000000"/>
      <name val="Verdana"/>
      <family val="2"/>
    </font>
    <font>
      <sz val="11"/>
      <color rgb="FF000000"/>
      <name val="Calibri"/>
      <family val="2"/>
    </font>
    <font>
      <sz val="9"/>
      <color rgb="FF000000"/>
      <name val="Verdana"/>
      <family val="2"/>
    </font>
    <font>
      <b/>
      <sz val="11"/>
      <color rgb="FF000000"/>
      <name val="Calibri"/>
      <family val="2"/>
    </font>
    <font>
      <sz val="10"/>
      <color theme="1"/>
      <name val="Arial Narrow"/>
      <family val="2"/>
    </font>
    <font>
      <b/>
      <sz val="10"/>
      <color theme="1"/>
      <name val="Arial Narrow"/>
      <family val="2"/>
    </font>
    <font>
      <sz val="10"/>
      <color rgb="FF000000"/>
      <name val="Arial Narrow"/>
      <family val="2"/>
    </font>
    <font>
      <b/>
      <sz val="10"/>
      <color indexed="8"/>
      <name val="Arial Narrow"/>
      <family val="2"/>
    </font>
    <font>
      <sz val="8"/>
      <name val="Calibri"/>
      <family val="2"/>
      <scheme val="minor"/>
    </font>
    <font>
      <sz val="9"/>
      <color indexed="81"/>
      <name val="Tahoma"/>
      <family val="2"/>
    </font>
    <font>
      <b/>
      <sz val="9"/>
      <color indexed="81"/>
      <name val="Tahoma"/>
      <family val="2"/>
    </font>
    <font>
      <sz val="9"/>
      <name val="Calibri"/>
      <family val="2"/>
      <scheme val="minor"/>
    </font>
    <font>
      <strike/>
      <sz val="8"/>
      <name val="Arial Narrow"/>
      <family val="2"/>
    </font>
    <font>
      <sz val="8"/>
      <name val="Calibri"/>
      <family val="2"/>
    </font>
    <font>
      <sz val="8"/>
      <color rgb="FF000000"/>
      <name val="Calibri"/>
      <family val="2"/>
    </font>
    <font>
      <b/>
      <sz val="9"/>
      <name val="Calibri"/>
      <family val="2"/>
    </font>
    <font>
      <sz val="9"/>
      <name val="Calibri"/>
      <family val="2"/>
    </font>
    <font>
      <sz val="8"/>
      <color theme="1"/>
      <name val="Calibri"/>
      <family val="2"/>
    </font>
    <font>
      <sz val="8"/>
      <color theme="1"/>
      <name val="Arial"/>
      <family val="2"/>
    </font>
    <font>
      <sz val="8"/>
      <color rgb="FF000000"/>
      <name val="Arial"/>
      <family val="2"/>
    </font>
    <font>
      <sz val="8"/>
      <name val="Arial"/>
      <family val="2"/>
    </font>
    <font>
      <b/>
      <sz val="8"/>
      <color rgb="FF000000"/>
      <name val="Arial"/>
      <family val="2"/>
    </font>
    <font>
      <b/>
      <sz val="8"/>
      <name val="Arial"/>
      <family val="2"/>
    </font>
    <font>
      <b/>
      <sz val="8"/>
      <name val="Calibri"/>
      <family val="2"/>
    </font>
    <font>
      <b/>
      <sz val="10"/>
      <color indexed="81"/>
      <name val="Tahoma"/>
      <family val="2"/>
    </font>
    <font>
      <b/>
      <sz val="9"/>
      <name val="Calibri"/>
      <family val="2"/>
      <scheme val="minor"/>
    </font>
    <font>
      <i/>
      <sz val="8"/>
      <color rgb="FF000000"/>
      <name val="Calibri"/>
      <family val="2"/>
      <scheme val="minor"/>
    </font>
    <font>
      <i/>
      <sz val="9"/>
      <name val="Calibri"/>
      <family val="2"/>
      <scheme val="minor"/>
    </font>
    <font>
      <sz val="11"/>
      <name val="Calibri"/>
      <family val="2"/>
      <scheme val="minor"/>
    </font>
    <font>
      <u/>
      <sz val="9"/>
      <color theme="10"/>
      <name val="Calibri"/>
      <family val="2"/>
      <scheme val="minor"/>
    </font>
    <font>
      <b/>
      <sz val="8"/>
      <color theme="1"/>
      <name val="Verdana"/>
      <family val="2"/>
    </font>
    <font>
      <sz val="8"/>
      <color theme="1"/>
      <name val="Verdana"/>
      <family val="2"/>
    </font>
    <font>
      <sz val="7"/>
      <name val="Calibri"/>
      <family val="2"/>
      <scheme val="minor"/>
    </font>
    <font>
      <b/>
      <sz val="6"/>
      <color rgb="FF000000"/>
      <name val="Verdana"/>
      <family val="2"/>
    </font>
    <font>
      <b/>
      <sz val="6"/>
      <name val="Verdana"/>
      <family val="2"/>
    </font>
    <font>
      <sz val="8"/>
      <name val="Verdana"/>
      <family val="2"/>
    </font>
    <font>
      <sz val="8"/>
      <color rgb="FFFF0000"/>
      <name val="Arial Narrow"/>
      <family val="2"/>
    </font>
    <font>
      <b/>
      <sz val="8"/>
      <color rgb="FFFFFFFF"/>
      <name val="Arial Narrow"/>
      <family val="2"/>
    </font>
    <font>
      <b/>
      <sz val="8"/>
      <color rgb="FF000000"/>
      <name val="Arial Narrow"/>
      <family val="2"/>
    </font>
    <font>
      <sz val="10"/>
      <color theme="1"/>
      <name val="Calibri"/>
      <family val="2"/>
    </font>
    <font>
      <sz val="10"/>
      <name val="Calibri"/>
      <family val="2"/>
    </font>
  </fonts>
  <fills count="38">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rgb="FFD9D9D9"/>
        <bgColor indexed="64"/>
      </patternFill>
    </fill>
    <fill>
      <patternFill patternType="solid">
        <fgColor rgb="FFF7CAAC"/>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indexed="41"/>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13"/>
        <bgColor indexed="64"/>
      </patternFill>
    </fill>
    <fill>
      <patternFill patternType="solid">
        <fgColor indexed="45"/>
        <bgColor indexed="64"/>
      </patternFill>
    </fill>
    <fill>
      <patternFill patternType="solid">
        <fgColor indexed="14"/>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92D050"/>
        <bgColor rgb="FF92D050"/>
      </patternFill>
    </fill>
    <fill>
      <patternFill patternType="solid">
        <fgColor rgb="FFE2EFD9"/>
        <bgColor rgb="FFE2EFD9"/>
      </patternFill>
    </fill>
    <fill>
      <patternFill patternType="solid">
        <fgColor rgb="FFA8D08D"/>
        <bgColor rgb="FFA8D08D"/>
      </patternFill>
    </fill>
    <fill>
      <patternFill patternType="solid">
        <fgColor rgb="FFC5E0B3"/>
        <bgColor rgb="FFC5E0B3"/>
      </patternFill>
    </fill>
    <fill>
      <patternFill patternType="solid">
        <fgColor rgb="FF70AD47"/>
        <bgColor rgb="FF70AD47"/>
      </patternFill>
    </fill>
    <fill>
      <patternFill patternType="solid">
        <fgColor indexed="11"/>
        <bgColor indexed="64"/>
      </patternFill>
    </fill>
    <fill>
      <patternFill patternType="solid">
        <fgColor rgb="FFFF000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92D050"/>
        <bgColor indexed="64"/>
      </patternFill>
    </fill>
    <fill>
      <patternFill patternType="solid">
        <fgColor rgb="FFFFFF99"/>
        <bgColor indexed="64"/>
      </patternFill>
    </fill>
    <fill>
      <patternFill patternType="solid">
        <fgColor theme="9"/>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9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double">
        <color rgb="FFFF8001"/>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8"/>
      </right>
      <top style="medium">
        <color indexed="64"/>
      </top>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style="double">
        <color rgb="FF000000"/>
      </top>
      <bottom/>
      <diagonal/>
    </border>
    <border>
      <left style="double">
        <color rgb="FF000000"/>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uble">
        <color rgb="FF000000"/>
      </left>
      <right style="double">
        <color rgb="FF000000"/>
      </right>
      <top/>
      <bottom/>
      <diagonal/>
    </border>
    <border>
      <left/>
      <right style="thin">
        <color indexed="64"/>
      </right>
      <top style="medium">
        <color indexed="64"/>
      </top>
      <bottom style="thin">
        <color indexed="64"/>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thin">
        <color rgb="FF000000"/>
      </left>
      <right/>
      <top/>
      <bottom/>
      <diagonal/>
    </border>
  </borders>
  <cellStyleXfs count="13">
    <xf numFmtId="0" fontId="0" fillId="0" borderId="0"/>
    <xf numFmtId="0" fontId="1" fillId="2" borderId="0" applyNumberFormat="0" applyBorder="0" applyAlignment="0" applyProtection="0"/>
    <xf numFmtId="0" fontId="17" fillId="0" borderId="0" applyNumberFormat="0" applyFill="0" applyBorder="0" applyAlignment="0" applyProtection="0"/>
    <xf numFmtId="9" fontId="21" fillId="0" borderId="0" applyFont="0" applyFill="0" applyBorder="0" applyAlignment="0" applyProtection="0"/>
    <xf numFmtId="166" fontId="21" fillId="0" borderId="0" applyFont="0" applyFill="0" applyBorder="0" applyAlignment="0" applyProtection="0"/>
    <xf numFmtId="0" fontId="32" fillId="0" borderId="0"/>
    <xf numFmtId="165"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5" fontId="21" fillId="0" borderId="0" applyFont="0" applyFill="0" applyBorder="0" applyAlignment="0" applyProtection="0"/>
    <xf numFmtId="166" fontId="21" fillId="0" borderId="0" applyFont="0" applyFill="0" applyBorder="0" applyAlignment="0" applyProtection="0"/>
    <xf numFmtId="165" fontId="21" fillId="0" borderId="0" applyFont="0" applyFill="0" applyBorder="0" applyAlignment="0" applyProtection="0"/>
    <xf numFmtId="164" fontId="21" fillId="0" borderId="0" applyFont="0" applyFill="0" applyBorder="0" applyAlignment="0" applyProtection="0"/>
  </cellStyleXfs>
  <cellXfs count="2062">
    <xf numFmtId="0" fontId="0" fillId="0" borderId="0" xfId="0"/>
    <xf numFmtId="0" fontId="0" fillId="0" borderId="0" xfId="0" applyAlignment="1"/>
    <xf numFmtId="0" fontId="4" fillId="0" borderId="0" xfId="0" applyFont="1" applyAlignment="1">
      <alignment vertical="top"/>
    </xf>
    <xf numFmtId="0" fontId="4" fillId="0" borderId="8" xfId="0" applyFont="1" applyBorder="1" applyAlignment="1">
      <alignment horizontal="center" vertical="top" wrapText="1"/>
    </xf>
    <xf numFmtId="0" fontId="3" fillId="0" borderId="0" xfId="0" applyFont="1" applyAlignment="1">
      <alignment vertical="top"/>
    </xf>
    <xf numFmtId="0" fontId="3" fillId="0" borderId="12" xfId="0" applyFont="1" applyBorder="1" applyAlignment="1">
      <alignment vertical="top" wrapText="1"/>
    </xf>
    <xf numFmtId="0" fontId="0" fillId="0" borderId="0" xfId="0" applyAlignment="1">
      <alignment vertical="top"/>
    </xf>
    <xf numFmtId="0" fontId="4" fillId="3" borderId="7" xfId="0" applyFont="1" applyFill="1" applyBorder="1" applyAlignment="1" applyProtection="1">
      <alignment horizontal="center" vertical="top" wrapText="1"/>
      <protection locked="0"/>
    </xf>
    <xf numFmtId="0" fontId="4" fillId="0" borderId="0" xfId="0" applyFont="1" applyAlignment="1" applyProtection="1">
      <alignment vertical="top"/>
      <protection locked="0"/>
    </xf>
    <xf numFmtId="0" fontId="4" fillId="0" borderId="8" xfId="0" applyFont="1" applyBorder="1" applyAlignment="1" applyProtection="1">
      <alignment horizontal="center" vertical="top" wrapText="1"/>
      <protection locked="0"/>
    </xf>
    <xf numFmtId="0" fontId="3" fillId="0" borderId="0" xfId="0" applyFont="1" applyAlignment="1" applyProtection="1">
      <alignment vertical="top"/>
      <protection locked="0"/>
    </xf>
    <xf numFmtId="0" fontId="0" fillId="0" borderId="8" xfId="0" applyBorder="1"/>
    <xf numFmtId="0" fontId="0" fillId="0" borderId="5" xfId="0" applyBorder="1"/>
    <xf numFmtId="0" fontId="0" fillId="0" borderId="13" xfId="0" applyBorder="1"/>
    <xf numFmtId="0" fontId="0" fillId="0" borderId="6" xfId="0" applyBorder="1"/>
    <xf numFmtId="0" fontId="0" fillId="0" borderId="11" xfId="0" applyBorder="1"/>
    <xf numFmtId="0" fontId="4" fillId="0" borderId="8" xfId="0" applyFont="1" applyBorder="1" applyAlignment="1">
      <alignment horizontal="left" vertical="center" wrapText="1"/>
    </xf>
    <xf numFmtId="0" fontId="0" fillId="0" borderId="6" xfId="0" applyBorder="1" applyAlignment="1">
      <alignment vertical="top" wrapText="1"/>
    </xf>
    <xf numFmtId="0" fontId="0" fillId="7" borderId="16" xfId="0" applyFill="1" applyBorder="1" applyAlignment="1">
      <alignment vertical="top"/>
    </xf>
    <xf numFmtId="0" fontId="0" fillId="0" borderId="0" xfId="0" applyAlignment="1" applyProtection="1">
      <alignment vertical="top"/>
      <protection locked="0"/>
    </xf>
    <xf numFmtId="0" fontId="0" fillId="0" borderId="6" xfId="0" applyBorder="1" applyAlignment="1" applyProtection="1">
      <alignment vertical="top"/>
      <protection locked="0"/>
    </xf>
    <xf numFmtId="0" fontId="4" fillId="0" borderId="7" xfId="0" applyFont="1" applyBorder="1" applyAlignment="1" applyProtection="1">
      <alignment horizontal="center" vertical="top" wrapText="1"/>
      <protection locked="0"/>
    </xf>
    <xf numFmtId="0" fontId="0" fillId="0" borderId="6" xfId="0" applyBorder="1" applyAlignment="1">
      <alignment vertical="top"/>
    </xf>
    <xf numFmtId="0" fontId="0" fillId="0" borderId="11" xfId="0" applyBorder="1" applyAlignment="1">
      <alignment vertical="top"/>
    </xf>
    <xf numFmtId="0" fontId="0" fillId="0" borderId="8" xfId="0" applyBorder="1" applyAlignment="1">
      <alignment vertical="top"/>
    </xf>
    <xf numFmtId="0" fontId="14" fillId="0" borderId="7" xfId="0" applyFont="1" applyBorder="1" applyAlignment="1">
      <alignment vertical="top"/>
    </xf>
    <xf numFmtId="0" fontId="9" fillId="0" borderId="6" xfId="0" applyFont="1" applyBorder="1" applyAlignment="1">
      <alignment vertical="top" wrapText="1"/>
    </xf>
    <xf numFmtId="0" fontId="14" fillId="0" borderId="8" xfId="0" applyFont="1" applyBorder="1" applyAlignment="1">
      <alignment vertical="top"/>
    </xf>
    <xf numFmtId="0" fontId="5" fillId="0" borderId="0" xfId="0" applyFont="1" applyBorder="1" applyAlignment="1">
      <alignment vertical="top"/>
    </xf>
    <xf numFmtId="0" fontId="7" fillId="0" borderId="0" xfId="0" applyFont="1" applyAlignment="1" applyProtection="1">
      <alignment vertical="top"/>
      <protection locked="0"/>
    </xf>
    <xf numFmtId="0" fontId="4" fillId="3" borderId="8" xfId="0" applyFont="1" applyFill="1" applyBorder="1" applyAlignment="1" applyProtection="1">
      <alignment vertical="top" wrapText="1"/>
      <protection locked="0"/>
    </xf>
    <xf numFmtId="0" fontId="4" fillId="3" borderId="8" xfId="0" applyFont="1" applyFill="1" applyBorder="1" applyAlignment="1" applyProtection="1">
      <alignment vertical="top"/>
      <protection locked="0"/>
    </xf>
    <xf numFmtId="9" fontId="4" fillId="3" borderId="8" xfId="0" applyNumberFormat="1" applyFont="1" applyFill="1" applyBorder="1" applyAlignment="1" applyProtection="1">
      <alignment vertical="top"/>
      <protection locked="0"/>
    </xf>
    <xf numFmtId="9" fontId="4" fillId="0" borderId="8" xfId="0" applyNumberFormat="1" applyFont="1" applyFill="1" applyBorder="1" applyAlignment="1" applyProtection="1">
      <alignment vertical="top"/>
      <protection locked="0"/>
    </xf>
    <xf numFmtId="0" fontId="5" fillId="0" borderId="8" xfId="0" applyFont="1" applyBorder="1" applyAlignment="1" applyProtection="1">
      <alignment vertical="top" wrapText="1"/>
      <protection locked="0"/>
    </xf>
    <xf numFmtId="0" fontId="4" fillId="0" borderId="8" xfId="0" applyFont="1" applyBorder="1" applyAlignment="1" applyProtection="1">
      <alignment vertical="top"/>
      <protection locked="0"/>
    </xf>
    <xf numFmtId="17" fontId="4" fillId="0" borderId="13" xfId="0" applyNumberFormat="1" applyFont="1" applyBorder="1" applyAlignment="1" applyProtection="1">
      <alignment vertical="top" wrapText="1"/>
      <protection locked="0"/>
    </xf>
    <xf numFmtId="0" fontId="4" fillId="0" borderId="12" xfId="0" applyFont="1" applyBorder="1" applyAlignment="1" applyProtection="1">
      <alignment vertical="top" wrapText="1"/>
      <protection locked="0"/>
    </xf>
    <xf numFmtId="0" fontId="7" fillId="0" borderId="0" xfId="0" applyFont="1" applyAlignment="1">
      <alignment vertical="top"/>
    </xf>
    <xf numFmtId="0" fontId="4" fillId="0" borderId="7" xfId="0" applyFont="1" applyBorder="1" applyAlignment="1">
      <alignment vertical="top"/>
    </xf>
    <xf numFmtId="0" fontId="4" fillId="0" borderId="8" xfId="0" applyFont="1" applyBorder="1" applyAlignment="1">
      <alignment vertical="top"/>
    </xf>
    <xf numFmtId="0" fontId="4" fillId="0" borderId="8" xfId="0" applyFont="1" applyBorder="1" applyAlignment="1">
      <alignment vertical="top" wrapText="1"/>
    </xf>
    <xf numFmtId="0" fontId="4" fillId="4" borderId="8" xfId="0" applyFont="1" applyFill="1" applyBorder="1" applyAlignment="1">
      <alignment vertical="top"/>
    </xf>
    <xf numFmtId="0" fontId="4" fillId="0" borderId="7" xfId="0" applyFont="1" applyBorder="1" applyAlignment="1">
      <alignment vertical="top" wrapText="1"/>
    </xf>
    <xf numFmtId="0" fontId="4" fillId="3" borderId="8" xfId="0" applyFont="1" applyFill="1" applyBorder="1" applyAlignment="1">
      <alignment vertical="top" wrapText="1"/>
    </xf>
    <xf numFmtId="0" fontId="4" fillId="0" borderId="13" xfId="0" applyFont="1" applyBorder="1" applyAlignment="1">
      <alignment vertical="top"/>
    </xf>
    <xf numFmtId="0" fontId="4" fillId="0" borderId="6" xfId="0" applyFont="1" applyBorder="1" applyAlignment="1">
      <alignment vertical="top" wrapText="1"/>
    </xf>
    <xf numFmtId="0" fontId="4" fillId="0" borderId="13" xfId="0" applyFont="1" applyBorder="1" applyAlignment="1">
      <alignment vertical="top" wrapText="1"/>
    </xf>
    <xf numFmtId="0" fontId="5" fillId="0" borderId="8" xfId="0" applyFont="1" applyBorder="1" applyAlignment="1">
      <alignment vertical="top" wrapText="1"/>
    </xf>
    <xf numFmtId="17" fontId="4" fillId="0" borderId="13" xfId="0" applyNumberFormat="1" applyFont="1" applyBorder="1" applyAlignment="1">
      <alignment vertical="top" wrapText="1"/>
    </xf>
    <xf numFmtId="0" fontId="6" fillId="0" borderId="8" xfId="0" applyFont="1" applyBorder="1" applyAlignment="1">
      <alignment vertical="top" wrapText="1"/>
    </xf>
    <xf numFmtId="0" fontId="12" fillId="0" borderId="12" xfId="0" applyFont="1" applyBorder="1" applyAlignment="1">
      <alignment vertical="top" wrapText="1"/>
    </xf>
    <xf numFmtId="0" fontId="4" fillId="0" borderId="12" xfId="0" applyFont="1" applyBorder="1" applyAlignment="1">
      <alignment vertical="top" wrapText="1"/>
    </xf>
    <xf numFmtId="0" fontId="3" fillId="0" borderId="6" xfId="0" applyFont="1" applyBorder="1" applyAlignment="1">
      <alignment vertical="top" wrapText="1"/>
    </xf>
    <xf numFmtId="0" fontId="15" fillId="0" borderId="6" xfId="0" applyFont="1" applyBorder="1" applyAlignment="1">
      <alignment vertical="top" wrapText="1"/>
    </xf>
    <xf numFmtId="0" fontId="17" fillId="0" borderId="6" xfId="2" applyBorder="1" applyAlignment="1">
      <alignment vertical="top" wrapText="1"/>
    </xf>
    <xf numFmtId="0" fontId="17" fillId="0" borderId="8" xfId="2" applyBorder="1" applyAlignment="1">
      <alignment vertical="top" wrapText="1"/>
    </xf>
    <xf numFmtId="0" fontId="12" fillId="0" borderId="6" xfId="0" applyFont="1" applyBorder="1" applyAlignment="1">
      <alignment vertical="top" wrapText="1"/>
    </xf>
    <xf numFmtId="0" fontId="6" fillId="0" borderId="6" xfId="0" applyFont="1" applyBorder="1" applyAlignment="1">
      <alignment vertical="top" wrapText="1"/>
    </xf>
    <xf numFmtId="0" fontId="7" fillId="0" borderId="0" xfId="0" applyFont="1" applyAlignment="1">
      <alignment vertical="top" wrapText="1"/>
    </xf>
    <xf numFmtId="0" fontId="19" fillId="0" borderId="13" xfId="0" applyFont="1" applyBorder="1" applyAlignment="1">
      <alignment vertical="top" wrapText="1"/>
    </xf>
    <xf numFmtId="0" fontId="16" fillId="0" borderId="6" xfId="0" applyFont="1" applyBorder="1" applyAlignment="1">
      <alignment vertical="top" wrapText="1"/>
    </xf>
    <xf numFmtId="0" fontId="16" fillId="0" borderId="8" xfId="0" applyFont="1" applyBorder="1" applyAlignment="1">
      <alignment vertical="top" wrapText="1"/>
    </xf>
    <xf numFmtId="0" fontId="4" fillId="0" borderId="4" xfId="0" applyFont="1" applyBorder="1" applyAlignment="1">
      <alignment vertical="top" wrapText="1"/>
    </xf>
    <xf numFmtId="0" fontId="3" fillId="0" borderId="4" xfId="0" applyFont="1" applyBorder="1" applyAlignment="1">
      <alignment vertical="top" wrapText="1"/>
    </xf>
    <xf numFmtId="0" fontId="8" fillId="0" borderId="8" xfId="0" applyFont="1" applyBorder="1" applyAlignment="1">
      <alignment vertical="top" wrapText="1"/>
    </xf>
    <xf numFmtId="0" fontId="8" fillId="0" borderId="7" xfId="0" applyFont="1" applyBorder="1" applyAlignment="1">
      <alignment vertical="top" wrapText="1"/>
    </xf>
    <xf numFmtId="0" fontId="3" fillId="0" borderId="7" xfId="0" applyFont="1" applyBorder="1" applyAlignment="1">
      <alignment vertical="top"/>
    </xf>
    <xf numFmtId="0" fontId="3" fillId="0" borderId="8" xfId="0" applyFont="1" applyBorder="1" applyAlignment="1">
      <alignment vertical="top" wrapText="1"/>
    </xf>
    <xf numFmtId="0" fontId="8" fillId="0" borderId="6" xfId="0" applyFont="1" applyBorder="1" applyAlignment="1">
      <alignment vertical="top" wrapText="1"/>
    </xf>
    <xf numFmtId="0" fontId="3" fillId="0" borderId="7" xfId="0" applyFont="1" applyBorder="1" applyAlignment="1">
      <alignment vertical="top" wrapText="1"/>
    </xf>
    <xf numFmtId="0" fontId="15" fillId="0" borderId="8" xfId="0" applyFont="1" applyBorder="1" applyAlignment="1">
      <alignment vertical="top" wrapText="1"/>
    </xf>
    <xf numFmtId="0" fontId="8" fillId="0" borderId="13" xfId="0" applyFont="1" applyBorder="1" applyAlignment="1">
      <alignment vertical="top" wrapText="1"/>
    </xf>
    <xf numFmtId="0" fontId="8" fillId="0" borderId="4" xfId="0" applyFont="1" applyBorder="1" applyAlignment="1">
      <alignment vertical="top" wrapText="1"/>
    </xf>
    <xf numFmtId="0" fontId="0" fillId="3" borderId="16" xfId="0" applyFill="1" applyBorder="1" applyAlignment="1">
      <alignment vertical="top"/>
    </xf>
    <xf numFmtId="0" fontId="20" fillId="0" borderId="0" xfId="0" applyFont="1" applyBorder="1" applyAlignment="1">
      <alignment vertical="top"/>
    </xf>
    <xf numFmtId="0" fontId="4" fillId="0" borderId="0" xfId="0" applyFont="1" applyAlignment="1">
      <alignment horizontal="center" vertical="top"/>
    </xf>
    <xf numFmtId="0" fontId="6" fillId="0" borderId="0" xfId="0" applyFont="1" applyBorder="1" applyAlignment="1">
      <alignment horizontal="center" vertical="top" wrapText="1"/>
    </xf>
    <xf numFmtId="0" fontId="7" fillId="0" borderId="0" xfId="0" applyFont="1" applyAlignment="1" applyProtection="1">
      <alignment horizontal="center" vertical="top"/>
      <protection locked="0"/>
    </xf>
    <xf numFmtId="0" fontId="4" fillId="0" borderId="13" xfId="0" applyFont="1" applyBorder="1" applyAlignment="1" applyProtection="1">
      <alignment horizontal="center" vertical="top" wrapText="1"/>
      <protection locked="0"/>
    </xf>
    <xf numFmtId="0" fontId="0" fillId="0" borderId="0" xfId="0" applyAlignment="1" applyProtection="1">
      <alignment horizontal="center" vertical="top"/>
      <protection locked="0"/>
    </xf>
    <xf numFmtId="0" fontId="4" fillId="0" borderId="0" xfId="0" applyFont="1" applyAlignment="1" applyProtection="1">
      <alignment horizontal="center" vertical="top"/>
      <protection locked="0"/>
    </xf>
    <xf numFmtId="0" fontId="4" fillId="0" borderId="6" xfId="0" applyFont="1" applyBorder="1" applyAlignment="1" applyProtection="1">
      <alignment horizontal="center" vertical="top" wrapText="1"/>
      <protection locked="0"/>
    </xf>
    <xf numFmtId="0" fontId="3" fillId="0" borderId="0" xfId="0" applyFont="1" applyAlignment="1" applyProtection="1">
      <alignment horizontal="center" vertical="top"/>
      <protection locked="0"/>
    </xf>
    <xf numFmtId="0" fontId="3" fillId="0" borderId="0" xfId="0" applyFont="1" applyBorder="1" applyAlignment="1" applyProtection="1">
      <alignment horizontal="center" vertical="top" wrapText="1"/>
      <protection locked="0"/>
    </xf>
    <xf numFmtId="0" fontId="12" fillId="0" borderId="0" xfId="0" applyFont="1" applyBorder="1" applyAlignment="1" applyProtection="1">
      <alignment horizontal="center" vertical="top" wrapText="1"/>
      <protection locked="0"/>
    </xf>
    <xf numFmtId="0" fontId="4" fillId="0" borderId="10" xfId="0" applyFont="1" applyBorder="1" applyAlignment="1" applyProtection="1">
      <alignment horizontal="center" vertical="top" wrapText="1"/>
      <protection locked="0"/>
    </xf>
    <xf numFmtId="0" fontId="0" fillId="0" borderId="0" xfId="0" applyAlignment="1">
      <alignment horizontal="center" vertical="top"/>
    </xf>
    <xf numFmtId="0" fontId="7" fillId="0" borderId="0" xfId="0" applyFont="1" applyAlignment="1">
      <alignment horizontal="center" vertical="top"/>
    </xf>
    <xf numFmtId="0" fontId="4" fillId="0" borderId="2" xfId="0" applyFont="1" applyBorder="1" applyAlignment="1">
      <alignment horizontal="center" vertical="top" wrapText="1"/>
    </xf>
    <xf numFmtId="0" fontId="4" fillId="0" borderId="7" xfId="0" applyFont="1" applyBorder="1" applyAlignment="1">
      <alignment horizontal="center" vertical="top"/>
    </xf>
    <xf numFmtId="0" fontId="4" fillId="0" borderId="8" xfId="0" applyFont="1" applyBorder="1" applyAlignment="1">
      <alignment horizontal="center" vertical="top"/>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0" fontId="4" fillId="0" borderId="6" xfId="0" applyFont="1" applyBorder="1" applyAlignment="1">
      <alignment horizontal="center" vertical="top" wrapText="1"/>
    </xf>
    <xf numFmtId="0" fontId="3" fillId="0" borderId="0" xfId="0" applyFont="1" applyAlignment="1">
      <alignment horizontal="center" vertical="top"/>
    </xf>
    <xf numFmtId="0" fontId="3" fillId="0" borderId="0" xfId="0" applyFont="1" applyBorder="1" applyAlignment="1">
      <alignment horizontal="center" vertical="top" wrapText="1"/>
    </xf>
    <xf numFmtId="0" fontId="12" fillId="0" borderId="0" xfId="0" applyFont="1" applyBorder="1" applyAlignment="1">
      <alignment horizontal="center" vertical="top" wrapText="1"/>
    </xf>
    <xf numFmtId="0" fontId="4" fillId="0" borderId="7" xfId="0" applyFont="1" applyBorder="1" applyAlignment="1">
      <alignment horizontal="center" vertical="top" wrapText="1"/>
    </xf>
    <xf numFmtId="0" fontId="4" fillId="0" borderId="1" xfId="0" applyFont="1" applyBorder="1" applyAlignment="1">
      <alignment horizontal="center" vertical="top" wrapText="1"/>
    </xf>
    <xf numFmtId="0" fontId="4" fillId="0" borderId="13" xfId="0" applyFont="1" applyBorder="1" applyAlignment="1">
      <alignment horizontal="center" vertical="top" wrapText="1"/>
    </xf>
    <xf numFmtId="0" fontId="4" fillId="0" borderId="0" xfId="0" applyFont="1" applyBorder="1" applyAlignment="1">
      <alignment horizontal="center" vertical="top" wrapText="1"/>
    </xf>
    <xf numFmtId="0" fontId="8" fillId="0" borderId="2" xfId="0" applyFont="1" applyBorder="1" applyAlignment="1">
      <alignment horizontal="center" vertical="top" wrapText="1"/>
    </xf>
    <xf numFmtId="0" fontId="8" fillId="0" borderId="9" xfId="0" applyFont="1" applyBorder="1" applyAlignment="1">
      <alignment horizontal="center" vertical="top" wrapText="1"/>
    </xf>
    <xf numFmtId="0" fontId="19" fillId="0" borderId="10" xfId="0" applyFont="1" applyBorder="1" applyAlignment="1">
      <alignment horizontal="center" vertical="top" wrapText="1"/>
    </xf>
    <xf numFmtId="0" fontId="4" fillId="0" borderId="4" xfId="0" applyFont="1" applyBorder="1" applyAlignment="1">
      <alignment horizontal="center" vertical="top" wrapText="1"/>
    </xf>
    <xf numFmtId="0" fontId="3" fillId="0" borderId="8" xfId="0" applyFont="1" applyBorder="1" applyAlignment="1">
      <alignment horizontal="center" vertical="top" wrapText="1"/>
    </xf>
    <xf numFmtId="0" fontId="4" fillId="0" borderId="0" xfId="0" applyFont="1" applyBorder="1" applyAlignment="1">
      <alignment horizontal="center" vertical="top"/>
    </xf>
    <xf numFmtId="0" fontId="8" fillId="0" borderId="10" xfId="0" applyFont="1" applyBorder="1" applyAlignment="1">
      <alignment horizontal="center" vertical="top" wrapText="1"/>
    </xf>
    <xf numFmtId="0" fontId="8" fillId="0" borderId="6" xfId="0" applyFont="1" applyBorder="1" applyAlignment="1">
      <alignment horizontal="center" vertical="top" wrapText="1"/>
    </xf>
    <xf numFmtId="0" fontId="8" fillId="0" borderId="8" xfId="0" applyFont="1" applyBorder="1" applyAlignment="1">
      <alignment horizontal="center" vertical="top" wrapText="1"/>
    </xf>
    <xf numFmtId="0" fontId="14" fillId="0" borderId="8" xfId="0" applyFont="1" applyBorder="1" applyAlignment="1">
      <alignment horizontal="center" vertical="top"/>
    </xf>
    <xf numFmtId="0" fontId="4" fillId="0" borderId="8" xfId="0" applyFont="1" applyFill="1" applyBorder="1" applyAlignment="1">
      <alignment vertical="top" wrapText="1"/>
    </xf>
    <xf numFmtId="0" fontId="0" fillId="0" borderId="1" xfId="0"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0" fillId="0" borderId="1" xfId="0" applyBorder="1" applyAlignment="1">
      <alignment vertical="top"/>
    </xf>
    <xf numFmtId="0" fontId="0" fillId="0" borderId="5" xfId="0" applyBorder="1" applyAlignment="1">
      <alignment vertical="top"/>
    </xf>
    <xf numFmtId="0" fontId="0" fillId="0" borderId="13" xfId="0" applyBorder="1" applyAlignment="1">
      <alignment vertical="top"/>
    </xf>
    <xf numFmtId="0" fontId="0" fillId="0" borderId="1" xfId="0" applyBorder="1"/>
    <xf numFmtId="0" fontId="4" fillId="4" borderId="13" xfId="0" applyFont="1" applyFill="1" applyBorder="1" applyAlignment="1">
      <alignment horizontal="left" vertical="center" wrapText="1"/>
    </xf>
    <xf numFmtId="0" fontId="12" fillId="0" borderId="14" xfId="0" applyFont="1" applyBorder="1" applyAlignment="1">
      <alignment vertical="top"/>
    </xf>
    <xf numFmtId="0" fontId="12" fillId="0" borderId="15" xfId="0" applyFont="1" applyBorder="1" applyAlignment="1">
      <alignment vertical="top"/>
    </xf>
    <xf numFmtId="0" fontId="12" fillId="0" borderId="7" xfId="0" applyFont="1" applyBorder="1" applyAlignment="1">
      <alignment vertical="top"/>
    </xf>
    <xf numFmtId="0" fontId="4" fillId="0" borderId="7" xfId="0" applyFont="1" applyBorder="1" applyAlignment="1">
      <alignment vertical="top" wrapText="1"/>
    </xf>
    <xf numFmtId="0" fontId="12" fillId="0" borderId="14" xfId="0" applyFont="1" applyBorder="1" applyAlignment="1">
      <alignment vertical="top" wrapText="1"/>
    </xf>
    <xf numFmtId="0" fontId="12" fillId="0" borderId="15" xfId="0" applyFont="1" applyBorder="1" applyAlignment="1">
      <alignment vertical="top" wrapText="1"/>
    </xf>
    <xf numFmtId="0" fontId="12" fillId="0" borderId="7" xfId="0" applyFont="1" applyBorder="1" applyAlignment="1">
      <alignment vertical="top" wrapText="1"/>
    </xf>
    <xf numFmtId="0" fontId="4" fillId="0" borderId="11" xfId="0" applyFont="1" applyBorder="1" applyAlignment="1">
      <alignment vertical="top" wrapText="1"/>
    </xf>
    <xf numFmtId="0" fontId="4" fillId="0" borderId="8" xfId="0" applyFont="1" applyBorder="1" applyAlignment="1">
      <alignment vertical="top" wrapText="1"/>
    </xf>
    <xf numFmtId="0" fontId="4" fillId="0" borderId="8" xfId="0" applyFont="1" applyBorder="1" applyAlignment="1">
      <alignment horizontal="center" vertical="top" wrapText="1"/>
    </xf>
    <xf numFmtId="0" fontId="4" fillId="0" borderId="0" xfId="0" applyFont="1" applyBorder="1" applyAlignment="1">
      <alignment horizontal="center" vertical="top" wrapText="1"/>
    </xf>
    <xf numFmtId="0" fontId="4" fillId="0" borderId="14" xfId="0" applyFont="1" applyBorder="1" applyAlignment="1">
      <alignment vertical="top"/>
    </xf>
    <xf numFmtId="0" fontId="4" fillId="0" borderId="15" xfId="0" applyFont="1" applyBorder="1" applyAlignment="1">
      <alignment vertical="top"/>
    </xf>
    <xf numFmtId="0" fontId="4" fillId="0" borderId="7" xfId="0" applyFont="1" applyBorder="1" applyAlignment="1">
      <alignment vertical="top"/>
    </xf>
    <xf numFmtId="0" fontId="3" fillId="0" borderId="1" xfId="0" applyFont="1" applyBorder="1" applyAlignment="1">
      <alignment vertical="top" wrapText="1"/>
    </xf>
    <xf numFmtId="0" fontId="4" fillId="0" borderId="0" xfId="0" applyFont="1" applyBorder="1" applyAlignment="1">
      <alignment vertical="top" wrapText="1"/>
    </xf>
    <xf numFmtId="0" fontId="0" fillId="0" borderId="0" xfId="0" applyAlignment="1">
      <alignment horizontal="left" vertical="top"/>
    </xf>
    <xf numFmtId="0" fontId="0" fillId="0" borderId="0" xfId="0" applyAlignment="1">
      <alignment horizontal="left"/>
    </xf>
    <xf numFmtId="0" fontId="0" fillId="0" borderId="0" xfId="0" applyAlignment="1">
      <alignment horizontal="center"/>
    </xf>
    <xf numFmtId="0" fontId="4" fillId="3" borderId="8" xfId="0" applyFont="1" applyFill="1" applyBorder="1" applyAlignment="1">
      <alignment horizontal="left" vertical="top"/>
    </xf>
    <xf numFmtId="3" fontId="4" fillId="4" borderId="8" xfId="0" applyNumberFormat="1" applyFont="1" applyFill="1" applyBorder="1" applyAlignment="1">
      <alignment vertical="top"/>
    </xf>
    <xf numFmtId="3" fontId="4" fillId="4" borderId="13" xfId="0" applyNumberFormat="1" applyFont="1" applyFill="1" applyBorder="1" applyAlignment="1">
      <alignment vertical="top"/>
    </xf>
    <xf numFmtId="3" fontId="4" fillId="4" borderId="13" xfId="0" applyNumberFormat="1" applyFont="1" applyFill="1" applyBorder="1" applyAlignment="1">
      <alignment horizontal="center" vertical="top"/>
    </xf>
    <xf numFmtId="9" fontId="4" fillId="4" borderId="12" xfId="3" applyFont="1" applyFill="1" applyBorder="1" applyAlignment="1">
      <alignment horizontal="center" vertical="top"/>
    </xf>
    <xf numFmtId="3" fontId="4" fillId="4" borderId="13" xfId="0" applyNumberFormat="1" applyFont="1" applyFill="1" applyBorder="1" applyAlignment="1">
      <alignment horizontal="right" vertical="top"/>
    </xf>
    <xf numFmtId="3" fontId="4" fillId="4" borderId="8" xfId="0" applyNumberFormat="1" applyFont="1" applyFill="1" applyBorder="1" applyAlignment="1">
      <alignment vertical="top" wrapText="1"/>
    </xf>
    <xf numFmtId="9" fontId="4" fillId="4" borderId="12" xfId="3" applyFont="1" applyFill="1" applyBorder="1" applyAlignment="1">
      <alignment vertical="top" wrapText="1"/>
    </xf>
    <xf numFmtId="9" fontId="4" fillId="4" borderId="8" xfId="3" applyFont="1" applyFill="1" applyBorder="1" applyAlignment="1">
      <alignment vertical="top"/>
    </xf>
    <xf numFmtId="9" fontId="4" fillId="4" borderId="8" xfId="0" applyNumberFormat="1" applyFont="1" applyFill="1" applyBorder="1" applyAlignment="1">
      <alignment vertical="top"/>
    </xf>
    <xf numFmtId="9" fontId="4" fillId="4" borderId="8" xfId="3" applyFont="1" applyFill="1" applyBorder="1" applyAlignment="1">
      <alignment vertical="top" wrapText="1"/>
    </xf>
    <xf numFmtId="0" fontId="4" fillId="4" borderId="8" xfId="0" applyFont="1" applyFill="1" applyBorder="1" applyAlignment="1">
      <alignment horizontal="center" vertical="top"/>
    </xf>
    <xf numFmtId="167" fontId="4" fillId="4" borderId="8" xfId="0" applyNumberFormat="1" applyFont="1" applyFill="1" applyBorder="1" applyAlignment="1">
      <alignment horizontal="center" vertical="top"/>
    </xf>
    <xf numFmtId="3" fontId="4" fillId="3" borderId="7" xfId="0" applyNumberFormat="1" applyFont="1" applyFill="1" applyBorder="1" applyAlignment="1" applyProtection="1">
      <alignment horizontal="right" vertical="top" wrapText="1"/>
      <protection locked="0"/>
    </xf>
    <xf numFmtId="9" fontId="4" fillId="4" borderId="12" xfId="3" applyFont="1" applyFill="1" applyBorder="1" applyAlignment="1">
      <alignment horizontal="center" vertical="center"/>
    </xf>
    <xf numFmtId="9" fontId="4" fillId="4" borderId="12" xfId="3" applyFont="1" applyFill="1" applyBorder="1" applyAlignment="1">
      <alignment horizontal="center" vertical="top" wrapText="1"/>
    </xf>
    <xf numFmtId="0" fontId="4" fillId="4" borderId="12" xfId="0" applyFont="1" applyFill="1" applyBorder="1" applyAlignment="1">
      <alignment horizontal="center" vertical="top" wrapText="1"/>
    </xf>
    <xf numFmtId="0" fontId="4" fillId="6" borderId="8" xfId="0" applyFont="1" applyFill="1" applyBorder="1" applyAlignment="1">
      <alignment horizontal="center" vertical="top" wrapText="1"/>
    </xf>
    <xf numFmtId="0" fontId="4" fillId="6" borderId="7" xfId="0" applyFont="1" applyFill="1" applyBorder="1" applyAlignment="1" applyProtection="1">
      <alignment horizontal="center" vertical="top" wrapText="1"/>
      <protection locked="0"/>
    </xf>
    <xf numFmtId="9" fontId="4" fillId="6" borderId="12" xfId="3" applyFont="1" applyFill="1" applyBorder="1" applyAlignment="1">
      <alignment horizontal="center" vertical="top" wrapText="1"/>
    </xf>
    <xf numFmtId="9" fontId="4" fillId="6" borderId="8" xfId="3" applyNumberFormat="1" applyFont="1" applyFill="1" applyBorder="1" applyAlignment="1">
      <alignment horizontal="center" vertical="top" wrapText="1"/>
    </xf>
    <xf numFmtId="9" fontId="4" fillId="4" borderId="7" xfId="0" applyNumberFormat="1" applyFont="1" applyFill="1" applyBorder="1" applyAlignment="1">
      <alignment horizontal="center" vertical="top"/>
    </xf>
    <xf numFmtId="9" fontId="4" fillId="4" borderId="8" xfId="0" applyNumberFormat="1" applyFont="1" applyFill="1" applyBorder="1" applyAlignment="1">
      <alignment horizontal="center" vertical="top"/>
    </xf>
    <xf numFmtId="0" fontId="22" fillId="0" borderId="0" xfId="0" applyFont="1" applyAlignment="1">
      <alignment vertical="top"/>
    </xf>
    <xf numFmtId="9" fontId="4" fillId="3" borderId="8" xfId="0" applyNumberFormat="1" applyFont="1" applyFill="1" applyBorder="1" applyAlignment="1" applyProtection="1">
      <alignment horizontal="center" vertical="top"/>
      <protection locked="0"/>
    </xf>
    <xf numFmtId="9" fontId="4" fillId="4" borderId="14" xfId="0" applyNumberFormat="1" applyFont="1" applyFill="1" applyBorder="1" applyAlignment="1" applyProtection="1">
      <alignment horizontal="center" vertical="top"/>
    </xf>
    <xf numFmtId="0" fontId="0" fillId="0" borderId="16" xfId="0" applyBorder="1"/>
    <xf numFmtId="0" fontId="4" fillId="3" borderId="8" xfId="0" applyFont="1" applyFill="1" applyBorder="1" applyAlignment="1" applyProtection="1">
      <alignment horizontal="left" vertical="top"/>
      <protection locked="0"/>
    </xf>
    <xf numFmtId="0" fontId="3" fillId="3" borderId="24" xfId="0" applyFont="1" applyFill="1" applyBorder="1" applyAlignment="1">
      <alignment horizontal="left" vertical="top" wrapText="1"/>
    </xf>
    <xf numFmtId="0" fontId="3" fillId="3" borderId="25" xfId="0" applyFont="1" applyFill="1" applyBorder="1" applyAlignment="1">
      <alignment horizontal="left" vertical="top" wrapText="1"/>
    </xf>
    <xf numFmtId="0" fontId="3" fillId="3" borderId="26" xfId="0" applyFont="1" applyFill="1" applyBorder="1" applyAlignment="1">
      <alignment horizontal="left" vertical="top" wrapText="1"/>
    </xf>
    <xf numFmtId="0" fontId="12" fillId="0" borderId="14" xfId="0" applyFont="1" applyBorder="1" applyAlignment="1">
      <alignment horizontal="left" vertical="top"/>
    </xf>
    <xf numFmtId="0" fontId="4" fillId="5" borderId="8" xfId="0" applyFont="1" applyFill="1" applyBorder="1" applyAlignment="1" applyProtection="1">
      <alignment horizontal="left" vertical="top"/>
      <protection locked="0"/>
    </xf>
    <xf numFmtId="0" fontId="4" fillId="5" borderId="8" xfId="0" applyFont="1" applyFill="1" applyBorder="1" applyAlignment="1">
      <alignment vertical="top"/>
    </xf>
    <xf numFmtId="0" fontId="4" fillId="0" borderId="14" xfId="0" applyFont="1" applyBorder="1" applyAlignment="1">
      <alignment horizontal="left" vertical="top"/>
    </xf>
    <xf numFmtId="0" fontId="4" fillId="5" borderId="8" xfId="0" applyFont="1" applyFill="1" applyBorder="1" applyAlignment="1">
      <alignment horizontal="left" vertical="top" wrapText="1"/>
    </xf>
    <xf numFmtId="0" fontId="4" fillId="5" borderId="8" xfId="0" applyFont="1" applyFill="1" applyBorder="1" applyAlignment="1">
      <alignment horizontal="left" vertical="top"/>
    </xf>
    <xf numFmtId="0" fontId="7" fillId="0" borderId="0" xfId="0" applyFont="1" applyAlignment="1">
      <alignment horizontal="right" vertical="top"/>
    </xf>
    <xf numFmtId="0" fontId="4" fillId="0" borderId="0" xfId="0" applyFont="1" applyAlignment="1">
      <alignment horizontal="right" vertical="top"/>
    </xf>
    <xf numFmtId="0" fontId="0" fillId="0" borderId="0" xfId="0" applyAlignment="1">
      <alignment horizontal="right" vertical="top"/>
    </xf>
    <xf numFmtId="0" fontId="0" fillId="0" borderId="0" xfId="0" applyFill="1"/>
    <xf numFmtId="0" fontId="0" fillId="0" borderId="0" xfId="0" applyFill="1" applyBorder="1" applyAlignment="1">
      <alignment horizontal="left" vertical="top"/>
    </xf>
    <xf numFmtId="0" fontId="0" fillId="0" borderId="0" xfId="0" applyFill="1" applyBorder="1" applyAlignment="1">
      <alignment horizontal="left" vertical="top" wrapText="1"/>
    </xf>
    <xf numFmtId="0" fontId="22" fillId="0" borderId="0" xfId="0" applyFont="1"/>
    <xf numFmtId="0" fontId="6" fillId="0" borderId="8"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0" fillId="0" borderId="6" xfId="0"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12" fillId="0" borderId="14" xfId="0" applyFont="1" applyBorder="1" applyAlignment="1" applyProtection="1">
      <alignment vertical="top" wrapText="1"/>
      <protection locked="0"/>
    </xf>
    <xf numFmtId="0" fontId="12" fillId="0" borderId="15" xfId="0" applyFont="1" applyBorder="1" applyAlignment="1" applyProtection="1">
      <alignment vertical="top" wrapText="1"/>
      <protection locked="0"/>
    </xf>
    <xf numFmtId="0" fontId="12" fillId="0" borderId="7" xfId="0" applyFont="1" applyBorder="1" applyAlignment="1" applyProtection="1">
      <alignment vertical="top" wrapText="1"/>
      <protection locked="0"/>
    </xf>
    <xf numFmtId="0" fontId="4" fillId="0" borderId="8" xfId="0" applyFont="1" applyBorder="1" applyAlignment="1">
      <alignment vertical="top" wrapText="1"/>
    </xf>
    <xf numFmtId="0" fontId="3" fillId="0" borderId="1" xfId="0" applyFont="1" applyBorder="1" applyAlignment="1">
      <alignment vertical="top" wrapText="1"/>
    </xf>
    <xf numFmtId="9" fontId="4" fillId="4" borderId="12" xfId="3" applyFont="1" applyFill="1" applyBorder="1" applyAlignment="1" applyProtection="1">
      <alignment horizontal="center" vertical="top"/>
    </xf>
    <xf numFmtId="3" fontId="4" fillId="3" borderId="8" xfId="0" applyNumberFormat="1" applyFont="1" applyFill="1" applyBorder="1" applyAlignment="1" applyProtection="1">
      <alignment vertical="top" wrapText="1"/>
      <protection locked="0"/>
    </xf>
    <xf numFmtId="0" fontId="0" fillId="3" borderId="16" xfId="0" applyFill="1" applyBorder="1" applyAlignment="1" applyProtection="1">
      <alignment vertical="top"/>
      <protection locked="0"/>
    </xf>
    <xf numFmtId="0" fontId="0" fillId="0" borderId="0" xfId="0" applyProtection="1">
      <protection locked="0"/>
    </xf>
    <xf numFmtId="3" fontId="4" fillId="4" borderId="8" xfId="0" applyNumberFormat="1" applyFont="1" applyFill="1" applyBorder="1" applyAlignment="1" applyProtection="1">
      <alignment vertical="top"/>
      <protection locked="0"/>
    </xf>
    <xf numFmtId="3" fontId="4" fillId="4" borderId="13" xfId="0" applyNumberFormat="1" applyFont="1" applyFill="1" applyBorder="1" applyAlignment="1" applyProtection="1">
      <alignment vertical="top"/>
      <protection locked="0"/>
    </xf>
    <xf numFmtId="0" fontId="0" fillId="0" borderId="8" xfId="0" applyBorder="1" applyAlignment="1" applyProtection="1">
      <alignment vertical="top"/>
      <protection locked="0"/>
    </xf>
    <xf numFmtId="0" fontId="12" fillId="0" borderId="12" xfId="0" applyFont="1" applyBorder="1" applyAlignment="1" applyProtection="1">
      <alignment vertical="top" wrapText="1"/>
      <protection locked="0"/>
    </xf>
    <xf numFmtId="0" fontId="4" fillId="0" borderId="1" xfId="0" applyFont="1" applyBorder="1" applyAlignment="1" applyProtection="1">
      <alignment horizontal="center" vertical="top" wrapText="1"/>
      <protection locked="0"/>
    </xf>
    <xf numFmtId="0" fontId="15" fillId="0" borderId="6" xfId="0" applyFont="1" applyBorder="1" applyAlignment="1" applyProtection="1">
      <alignment vertical="top" wrapText="1"/>
      <protection locked="0"/>
    </xf>
    <xf numFmtId="9" fontId="25" fillId="6" borderId="8" xfId="0" applyNumberFormat="1" applyFont="1" applyFill="1" applyBorder="1" applyAlignment="1" applyProtection="1">
      <alignment horizontal="center" vertical="top"/>
    </xf>
    <xf numFmtId="9" fontId="4" fillId="4" borderId="14" xfId="0" applyNumberFormat="1" applyFont="1" applyFill="1" applyBorder="1" applyAlignment="1" applyProtection="1">
      <alignment horizontal="right" vertical="top"/>
    </xf>
    <xf numFmtId="9" fontId="26" fillId="4" borderId="8" xfId="0" applyNumberFormat="1" applyFont="1" applyFill="1" applyBorder="1" applyAlignment="1">
      <alignment vertical="top"/>
    </xf>
    <xf numFmtId="0" fontId="14" fillId="0" borderId="16" xfId="0" applyFont="1" applyBorder="1"/>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4" fillId="0" borderId="12" xfId="0" applyFont="1" applyBorder="1" applyAlignment="1">
      <alignment horizontal="center" vertical="top" wrapText="1"/>
    </xf>
    <xf numFmtId="9" fontId="4" fillId="6" borderId="8" xfId="3" applyFont="1" applyFill="1" applyBorder="1" applyAlignment="1">
      <alignment horizontal="center" vertical="top"/>
    </xf>
    <xf numFmtId="9" fontId="8" fillId="4" borderId="14" xfId="0" applyNumberFormat="1" applyFont="1" applyFill="1" applyBorder="1" applyAlignment="1" applyProtection="1">
      <alignment horizontal="distributed" vertical="top"/>
    </xf>
    <xf numFmtId="0" fontId="4" fillId="3" borderId="7" xfId="0" applyFont="1" applyFill="1" applyBorder="1" applyAlignment="1" applyProtection="1">
      <alignment horizontal="center" vertical="top"/>
      <protection locked="0"/>
    </xf>
    <xf numFmtId="3" fontId="4" fillId="3" borderId="8" xfId="0" applyNumberFormat="1" applyFont="1" applyFill="1" applyBorder="1" applyAlignment="1" applyProtection="1">
      <alignment vertical="top"/>
      <protection locked="0"/>
    </xf>
    <xf numFmtId="168" fontId="4" fillId="4" borderId="12" xfId="4" applyNumberFormat="1" applyFont="1" applyFill="1" applyBorder="1" applyAlignment="1">
      <alignment horizontal="center" vertical="top" wrapText="1"/>
    </xf>
    <xf numFmtId="9" fontId="25" fillId="6" borderId="8" xfId="3" applyNumberFormat="1" applyFont="1" applyFill="1" applyBorder="1" applyAlignment="1">
      <alignment horizontal="center" vertical="top" wrapText="1"/>
    </xf>
    <xf numFmtId="0" fontId="0" fillId="3" borderId="30" xfId="0" applyFill="1" applyBorder="1" applyAlignment="1">
      <alignment vertical="top"/>
    </xf>
    <xf numFmtId="0" fontId="23" fillId="6" borderId="18" xfId="0" applyFont="1" applyFill="1" applyBorder="1" applyAlignment="1">
      <alignment vertical="top"/>
    </xf>
    <xf numFmtId="0" fontId="0" fillId="6" borderId="20" xfId="0" applyFill="1" applyBorder="1" applyAlignment="1">
      <alignment vertical="top"/>
    </xf>
    <xf numFmtId="9" fontId="0" fillId="8" borderId="12" xfId="0" applyNumberFormat="1" applyFill="1" applyBorder="1" applyAlignment="1">
      <alignment horizontal="center" vertical="top"/>
    </xf>
    <xf numFmtId="9" fontId="0" fillId="0" borderId="0" xfId="3" applyFont="1"/>
    <xf numFmtId="9" fontId="0" fillId="6" borderId="12" xfId="0" applyNumberFormat="1" applyFill="1" applyBorder="1" applyAlignment="1">
      <alignment horizontal="center" vertical="top"/>
    </xf>
    <xf numFmtId="0" fontId="4" fillId="0" borderId="5"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5" xfId="0" applyFont="1" applyBorder="1" applyAlignment="1">
      <alignment vertical="top" wrapText="1"/>
    </xf>
    <xf numFmtId="0" fontId="4" fillId="0" borderId="13" xfId="0" applyFont="1" applyBorder="1" applyAlignment="1">
      <alignment vertical="top" wrapText="1"/>
    </xf>
    <xf numFmtId="0" fontId="4" fillId="0" borderId="8" xfId="0" applyFont="1" applyBorder="1" applyAlignment="1" applyProtection="1">
      <alignment horizontal="center" vertical="top" wrapText="1"/>
      <protection locked="0"/>
    </xf>
    <xf numFmtId="0" fontId="4" fillId="0" borderId="14" xfId="0" applyFont="1" applyBorder="1" applyAlignment="1" applyProtection="1">
      <alignment vertical="top"/>
      <protection locked="0"/>
    </xf>
    <xf numFmtId="0" fontId="4" fillId="0" borderId="7" xfId="0" applyFont="1" applyBorder="1" applyAlignment="1" applyProtection="1">
      <alignment vertical="top"/>
      <protection locked="0"/>
    </xf>
    <xf numFmtId="0" fontId="8" fillId="0" borderId="5"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14" xfId="0" applyFont="1" applyBorder="1" applyAlignment="1" applyProtection="1">
      <alignment vertical="top"/>
      <protection locked="0"/>
    </xf>
    <xf numFmtId="0" fontId="4" fillId="0" borderId="6" xfId="0" applyFont="1" applyBorder="1" applyAlignment="1" applyProtection="1">
      <alignment horizontal="center" vertical="top" wrapText="1"/>
      <protection locked="0"/>
    </xf>
    <xf numFmtId="0" fontId="4" fillId="0" borderId="8" xfId="0" applyFont="1" applyBorder="1" applyAlignment="1" applyProtection="1">
      <alignment horizontal="center" vertical="top" wrapText="1"/>
      <protection locked="0"/>
    </xf>
    <xf numFmtId="0" fontId="0" fillId="7" borderId="20" xfId="0" applyFill="1" applyBorder="1" applyAlignment="1">
      <alignment vertical="top"/>
    </xf>
    <xf numFmtId="9" fontId="4" fillId="3" borderId="8" xfId="0" applyNumberFormat="1" applyFont="1" applyFill="1" applyBorder="1" applyAlignment="1" applyProtection="1">
      <alignment horizontal="center" vertical="top" wrapText="1"/>
      <protection locked="0"/>
    </xf>
    <xf numFmtId="0" fontId="0" fillId="0" borderId="0" xfId="0" applyAlignment="1" applyProtection="1">
      <protection locked="0"/>
    </xf>
    <xf numFmtId="0" fontId="4" fillId="6" borderId="8" xfId="0" applyFont="1" applyFill="1" applyBorder="1" applyAlignment="1" applyProtection="1">
      <alignment horizontal="left" vertical="top"/>
      <protection locked="0"/>
    </xf>
    <xf numFmtId="0" fontId="0" fillId="0" borderId="0" xfId="0" applyProtection="1"/>
    <xf numFmtId="0" fontId="2" fillId="0" borderId="0" xfId="0" applyFont="1" applyAlignment="1" applyProtection="1">
      <alignment vertical="top"/>
    </xf>
    <xf numFmtId="0" fontId="2" fillId="0" borderId="0" xfId="0" applyFont="1" applyAlignment="1" applyProtection="1">
      <alignment horizontal="center" vertical="top"/>
    </xf>
    <xf numFmtId="0" fontId="0" fillId="0" borderId="0" xfId="0" applyAlignment="1" applyProtection="1">
      <alignment vertical="top"/>
    </xf>
    <xf numFmtId="0" fontId="4" fillId="0" borderId="0" xfId="0" applyFont="1" applyAlignment="1" applyProtection="1">
      <alignment vertical="top"/>
    </xf>
    <xf numFmtId="0" fontId="4" fillId="0" borderId="0" xfId="0" applyFont="1" applyAlignment="1" applyProtection="1">
      <alignment horizontal="center" vertical="top"/>
    </xf>
    <xf numFmtId="0" fontId="20" fillId="0" borderId="0" xfId="0" applyFont="1" applyBorder="1" applyAlignment="1" applyProtection="1">
      <alignment vertical="top"/>
    </xf>
    <xf numFmtId="0" fontId="6" fillId="0" borderId="0" xfId="0" applyFont="1" applyBorder="1" applyAlignment="1" applyProtection="1">
      <alignment horizontal="center" vertical="top" wrapText="1"/>
    </xf>
    <xf numFmtId="0" fontId="0" fillId="7" borderId="16" xfId="0" applyFill="1" applyBorder="1" applyAlignment="1" applyProtection="1">
      <alignment vertical="top"/>
    </xf>
    <xf numFmtId="0" fontId="0" fillId="0" borderId="0" xfId="0" applyFont="1" applyAlignment="1" applyProtection="1">
      <alignment vertical="top"/>
    </xf>
    <xf numFmtId="0" fontId="7" fillId="0" borderId="0" xfId="0" applyFont="1" applyAlignment="1" applyProtection="1">
      <alignment horizontal="right" vertical="top"/>
    </xf>
    <xf numFmtId="0" fontId="23" fillId="6" borderId="18" xfId="1" applyFont="1" applyFill="1" applyBorder="1" applyAlignment="1" applyProtection="1">
      <alignment vertical="top"/>
    </xf>
    <xf numFmtId="9" fontId="0" fillId="6" borderId="12" xfId="0" applyNumberFormat="1" applyFill="1" applyBorder="1" applyAlignment="1" applyProtection="1">
      <alignment horizontal="center" vertical="top"/>
    </xf>
    <xf numFmtId="0" fontId="1" fillId="6" borderId="20" xfId="1" applyFill="1" applyBorder="1" applyAlignment="1" applyProtection="1">
      <alignment vertical="top"/>
    </xf>
    <xf numFmtId="0" fontId="0" fillId="3" borderId="16" xfId="0" applyFill="1" applyBorder="1" applyAlignment="1" applyProtection="1">
      <alignment vertical="top"/>
    </xf>
    <xf numFmtId="0" fontId="4" fillId="0" borderId="0" xfId="0" applyFont="1" applyBorder="1" applyAlignment="1" applyProtection="1">
      <alignment horizontal="center" vertical="top"/>
    </xf>
    <xf numFmtId="0" fontId="4" fillId="0" borderId="0" xfId="0" applyFont="1" applyAlignment="1" applyProtection="1">
      <alignment horizontal="right" vertical="top"/>
    </xf>
    <xf numFmtId="0" fontId="23" fillId="6" borderId="18" xfId="0" applyFont="1" applyFill="1" applyBorder="1" applyAlignment="1" applyProtection="1">
      <alignment vertical="top"/>
    </xf>
    <xf numFmtId="9" fontId="7" fillId="6" borderId="12" xfId="0" applyNumberFormat="1" applyFont="1" applyFill="1" applyBorder="1" applyAlignment="1" applyProtection="1">
      <alignment horizontal="center" vertical="top"/>
    </xf>
    <xf numFmtId="0" fontId="0" fillId="6" borderId="20" xfId="0" applyFill="1" applyBorder="1" applyAlignment="1" applyProtection="1">
      <alignment vertical="top"/>
    </xf>
    <xf numFmtId="0" fontId="0" fillId="0" borderId="0" xfId="0" applyAlignment="1" applyProtection="1">
      <alignment horizontal="center" vertical="top"/>
    </xf>
    <xf numFmtId="0" fontId="7" fillId="0" borderId="0" xfId="0" applyFont="1" applyBorder="1" applyAlignment="1" applyProtection="1">
      <alignment vertical="top" wrapText="1"/>
    </xf>
    <xf numFmtId="0" fontId="4" fillId="0" borderId="1" xfId="0" applyFont="1" applyBorder="1" applyAlignment="1" applyProtection="1">
      <alignment vertical="top" wrapText="1"/>
    </xf>
    <xf numFmtId="0" fontId="4" fillId="0" borderId="2" xfId="0" applyFont="1" applyBorder="1" applyAlignment="1" applyProtection="1">
      <alignment horizontal="center" vertical="top" wrapText="1"/>
    </xf>
    <xf numFmtId="0" fontId="4" fillId="0" borderId="2" xfId="0" applyFont="1" applyBorder="1" applyAlignment="1" applyProtection="1">
      <alignment vertical="top" wrapText="1"/>
    </xf>
    <xf numFmtId="0" fontId="4" fillId="0" borderId="3" xfId="0" applyFont="1" applyBorder="1" applyAlignment="1" applyProtection="1">
      <alignment vertical="top" wrapText="1"/>
    </xf>
    <xf numFmtId="0" fontId="4" fillId="0" borderId="4" xfId="0" applyFont="1" applyBorder="1" applyAlignment="1" applyProtection="1">
      <alignment vertical="top" wrapText="1"/>
    </xf>
    <xf numFmtId="0" fontId="4" fillId="0" borderId="6" xfId="0" applyFont="1" applyBorder="1" applyAlignment="1" applyProtection="1">
      <alignment horizontal="center" vertical="top" wrapText="1"/>
    </xf>
    <xf numFmtId="0" fontId="4" fillId="0" borderId="7" xfId="0" applyFont="1" applyBorder="1" applyAlignment="1" applyProtection="1">
      <alignment vertical="top" wrapText="1"/>
    </xf>
    <xf numFmtId="0" fontId="0" fillId="0" borderId="6" xfId="0" applyBorder="1" applyAlignment="1" applyProtection="1">
      <alignment vertical="top"/>
    </xf>
    <xf numFmtId="0" fontId="4" fillId="0" borderId="8" xfId="0" applyFont="1" applyBorder="1" applyAlignment="1" applyProtection="1">
      <alignment vertical="top" wrapText="1"/>
    </xf>
    <xf numFmtId="0" fontId="4" fillId="0" borderId="9" xfId="0" applyFont="1" applyBorder="1" applyAlignment="1" applyProtection="1">
      <alignment horizontal="center" vertical="top" wrapText="1"/>
    </xf>
    <xf numFmtId="0" fontId="4" fillId="0" borderId="11" xfId="0" applyFont="1" applyBorder="1" applyAlignment="1" applyProtection="1">
      <alignment vertical="top" wrapText="1"/>
    </xf>
    <xf numFmtId="0" fontId="4" fillId="0" borderId="8" xfId="0" applyFont="1" applyBorder="1" applyAlignment="1" applyProtection="1">
      <alignment vertical="top" wrapText="1"/>
    </xf>
    <xf numFmtId="0" fontId="4" fillId="0" borderId="7" xfId="0" applyFont="1" applyBorder="1" applyAlignment="1" applyProtection="1">
      <alignment horizontal="center" vertical="top" wrapText="1"/>
    </xf>
    <xf numFmtId="0" fontId="4" fillId="0" borderId="7" xfId="0" applyFont="1" applyBorder="1" applyAlignment="1" applyProtection="1">
      <alignment vertical="top"/>
    </xf>
    <xf numFmtId="0" fontId="0" fillId="0" borderId="1" xfId="0" applyBorder="1" applyAlignment="1" applyProtection="1">
      <alignment vertical="top"/>
    </xf>
    <xf numFmtId="0" fontId="4" fillId="0" borderId="8" xfId="0" applyFont="1" applyBorder="1" applyAlignment="1" applyProtection="1">
      <alignment horizontal="center" vertical="top" wrapText="1"/>
    </xf>
    <xf numFmtId="0" fontId="4" fillId="4" borderId="8" xfId="0" applyFont="1" applyFill="1" applyBorder="1" applyAlignment="1" applyProtection="1">
      <alignment vertical="top"/>
    </xf>
    <xf numFmtId="0" fontId="0" fillId="0" borderId="13" xfId="0" applyBorder="1" applyAlignment="1" applyProtection="1">
      <alignment vertical="top"/>
    </xf>
    <xf numFmtId="0" fontId="4" fillId="0" borderId="13" xfId="0" applyFont="1" applyBorder="1" applyAlignment="1" applyProtection="1">
      <alignment vertical="top" wrapText="1"/>
    </xf>
    <xf numFmtId="0" fontId="4" fillId="0" borderId="10" xfId="0" applyFont="1" applyBorder="1" applyAlignment="1" applyProtection="1">
      <alignment horizontal="center" vertical="top" wrapText="1"/>
    </xf>
    <xf numFmtId="0" fontId="4" fillId="0" borderId="7" xfId="0" applyFont="1" applyBorder="1" applyAlignment="1" applyProtection="1">
      <alignment vertical="top" wrapText="1"/>
    </xf>
    <xf numFmtId="0" fontId="12" fillId="0" borderId="14" xfId="0" applyFont="1" applyBorder="1" applyAlignment="1" applyProtection="1">
      <alignment vertical="top" wrapText="1"/>
    </xf>
    <xf numFmtId="0" fontId="5" fillId="0" borderId="8" xfId="0" applyFont="1" applyBorder="1" applyAlignment="1" applyProtection="1">
      <alignment vertical="top" wrapText="1"/>
    </xf>
    <xf numFmtId="0" fontId="4" fillId="3" borderId="8" xfId="0" applyFont="1" applyFill="1" applyBorder="1" applyAlignment="1" applyProtection="1">
      <alignment vertical="top"/>
    </xf>
    <xf numFmtId="0" fontId="12" fillId="0" borderId="14" xfId="0" applyFont="1" applyBorder="1" applyAlignment="1" applyProtection="1">
      <alignment vertical="top"/>
    </xf>
    <xf numFmtId="0" fontId="12" fillId="0" borderId="15" xfId="0" applyFont="1" applyBorder="1" applyAlignment="1" applyProtection="1">
      <alignment vertical="top"/>
    </xf>
    <xf numFmtId="0" fontId="12" fillId="0" borderId="7" xfId="0" applyFont="1" applyBorder="1" applyAlignment="1" applyProtection="1">
      <alignment vertical="top"/>
    </xf>
    <xf numFmtId="0" fontId="4" fillId="0" borderId="8" xfId="0" applyFont="1" applyBorder="1" applyAlignment="1" applyProtection="1">
      <alignment vertical="top"/>
    </xf>
    <xf numFmtId="17" fontId="4" fillId="0" borderId="13" xfId="0" applyNumberFormat="1" applyFont="1" applyBorder="1" applyAlignment="1" applyProtection="1">
      <alignment vertical="top" wrapText="1"/>
    </xf>
    <xf numFmtId="0" fontId="6" fillId="0" borderId="8" xfId="0" applyFont="1" applyBorder="1" applyAlignment="1" applyProtection="1">
      <alignment vertical="top" wrapText="1"/>
    </xf>
    <xf numFmtId="0" fontId="3" fillId="0" borderId="1" xfId="0" applyFont="1" applyBorder="1" applyAlignment="1" applyProtection="1">
      <alignment vertical="top" wrapText="1"/>
    </xf>
    <xf numFmtId="0" fontId="3" fillId="0" borderId="0" xfId="0" applyFont="1" applyBorder="1" applyAlignment="1" applyProtection="1">
      <alignment horizontal="center" vertical="top" wrapText="1"/>
    </xf>
    <xf numFmtId="0" fontId="4" fillId="0" borderId="12" xfId="0" applyFont="1" applyBorder="1" applyAlignment="1" applyProtection="1">
      <alignment vertical="top" wrapText="1"/>
    </xf>
    <xf numFmtId="0" fontId="4" fillId="0" borderId="14" xfId="0" applyFont="1" applyBorder="1" applyAlignment="1" applyProtection="1">
      <alignment horizontal="center" vertical="top" wrapText="1"/>
    </xf>
    <xf numFmtId="0" fontId="4" fillId="0" borderId="9" xfId="0" applyFont="1" applyBorder="1" applyAlignment="1" applyProtection="1">
      <alignment vertical="top" wrapText="1"/>
    </xf>
    <xf numFmtId="0" fontId="4" fillId="0" borderId="8" xfId="0" applyFont="1" applyBorder="1" applyAlignment="1" applyProtection="1">
      <alignment horizontal="left" vertical="top"/>
      <protection locked="0"/>
    </xf>
    <xf numFmtId="0" fontId="4" fillId="5" borderId="8" xfId="0" applyFont="1" applyFill="1" applyBorder="1" applyAlignment="1" applyProtection="1">
      <alignment vertical="top" wrapText="1"/>
      <protection locked="0"/>
    </xf>
    <xf numFmtId="0" fontId="7" fillId="0" borderId="0" xfId="0" applyFont="1" applyAlignment="1" applyProtection="1">
      <alignment horizontal="center" vertical="top"/>
    </xf>
    <xf numFmtId="9" fontId="4" fillId="9" borderId="12" xfId="3" applyFont="1" applyFill="1" applyBorder="1" applyAlignment="1" applyProtection="1">
      <alignment horizontal="center" vertical="top"/>
    </xf>
    <xf numFmtId="0" fontId="12" fillId="0" borderId="14" xfId="0" applyFont="1" applyBorder="1" applyAlignment="1" applyProtection="1">
      <alignment horizontal="center" vertical="top"/>
    </xf>
    <xf numFmtId="0" fontId="3" fillId="0" borderId="8" xfId="0" applyFont="1" applyBorder="1" applyAlignment="1" applyProtection="1">
      <alignment vertical="top" wrapText="1"/>
    </xf>
    <xf numFmtId="0" fontId="3" fillId="0" borderId="0" xfId="0" applyFont="1" applyAlignment="1" applyProtection="1">
      <alignment vertical="top"/>
    </xf>
    <xf numFmtId="0" fontId="3" fillId="0" borderId="0" xfId="0" applyFont="1" applyAlignment="1" applyProtection="1">
      <alignment horizontal="center" vertical="top"/>
    </xf>
    <xf numFmtId="0" fontId="12" fillId="0" borderId="12" xfId="0" applyFont="1" applyBorder="1" applyAlignment="1" applyProtection="1">
      <alignment vertical="top" wrapText="1"/>
    </xf>
    <xf numFmtId="0" fontId="12" fillId="0" borderId="0" xfId="0" applyFont="1" applyBorder="1" applyAlignment="1" applyProtection="1">
      <alignment horizontal="center" vertical="top" wrapText="1"/>
    </xf>
    <xf numFmtId="0" fontId="3" fillId="0" borderId="6" xfId="0" applyFont="1" applyBorder="1" applyAlignment="1" applyProtection="1">
      <alignment vertical="top" wrapText="1"/>
    </xf>
    <xf numFmtId="0" fontId="4" fillId="0" borderId="6" xfId="0" applyFont="1" applyBorder="1" applyAlignment="1" applyProtection="1">
      <alignment vertical="top" wrapText="1"/>
    </xf>
    <xf numFmtId="0" fontId="0" fillId="0" borderId="6" xfId="0" applyBorder="1" applyAlignment="1" applyProtection="1">
      <alignment vertical="top" wrapText="1"/>
    </xf>
    <xf numFmtId="0" fontId="4" fillId="5" borderId="8" xfId="0" applyFont="1" applyFill="1" applyBorder="1" applyAlignment="1" applyProtection="1">
      <alignment vertical="top"/>
      <protection locked="0"/>
    </xf>
    <xf numFmtId="0" fontId="7" fillId="0" borderId="0" xfId="0" applyFont="1" applyAlignment="1" applyProtection="1">
      <alignment vertical="top" wrapText="1"/>
    </xf>
    <xf numFmtId="0" fontId="4" fillId="0" borderId="7" xfId="0" applyFont="1" applyBorder="1" applyAlignment="1" applyProtection="1">
      <alignment horizontal="center" vertical="top"/>
    </xf>
    <xf numFmtId="0" fontId="7" fillId="0" borderId="0" xfId="0" applyFont="1" applyAlignment="1" applyProtection="1">
      <alignment vertical="top"/>
    </xf>
    <xf numFmtId="0" fontId="0" fillId="0" borderId="7" xfId="0" applyBorder="1" applyAlignment="1" applyProtection="1">
      <alignment vertical="top"/>
    </xf>
    <xf numFmtId="0" fontId="12" fillId="0" borderId="15" xfId="0" applyFont="1" applyBorder="1" applyAlignment="1" applyProtection="1">
      <alignment vertical="top" wrapText="1"/>
    </xf>
    <xf numFmtId="0" fontId="12" fillId="0" borderId="7" xfId="0" applyFont="1" applyBorder="1" applyAlignment="1" applyProtection="1">
      <alignment vertical="top" wrapText="1"/>
    </xf>
    <xf numFmtId="0" fontId="5" fillId="0" borderId="14" xfId="0" applyFont="1" applyBorder="1" applyAlignment="1" applyProtection="1">
      <alignment vertical="top" wrapText="1"/>
    </xf>
    <xf numFmtId="0" fontId="0" fillId="0" borderId="4" xfId="0" applyBorder="1" applyAlignment="1" applyProtection="1">
      <alignment vertical="top"/>
    </xf>
    <xf numFmtId="0" fontId="4" fillId="0" borderId="14" xfId="0" applyFont="1" applyBorder="1" applyAlignment="1" applyProtection="1">
      <alignment vertical="top" wrapText="1"/>
    </xf>
    <xf numFmtId="0" fontId="7" fillId="0" borderId="11" xfId="0" applyFont="1" applyBorder="1" applyAlignment="1" applyProtection="1">
      <alignment vertical="top" wrapText="1"/>
    </xf>
    <xf numFmtId="0" fontId="0" fillId="0" borderId="8" xfId="0" applyBorder="1" applyAlignment="1" applyProtection="1">
      <alignment vertical="top"/>
    </xf>
    <xf numFmtId="0" fontId="5" fillId="0" borderId="14" xfId="0" applyFont="1" applyBorder="1" applyAlignment="1" applyProtection="1">
      <alignment vertical="top"/>
    </xf>
    <xf numFmtId="0" fontId="4" fillId="0" borderId="14" xfId="0" applyFont="1" applyBorder="1" applyAlignment="1" applyProtection="1">
      <alignment vertical="top"/>
    </xf>
    <xf numFmtId="0" fontId="4" fillId="0" borderId="10" xfId="0" applyFont="1" applyBorder="1" applyAlignment="1" applyProtection="1">
      <alignment vertical="top" wrapText="1"/>
    </xf>
    <xf numFmtId="0" fontId="4" fillId="0" borderId="11" xfId="0" applyFont="1" applyBorder="1" applyAlignment="1" applyProtection="1">
      <alignment horizontal="center" vertical="top" wrapText="1"/>
    </xf>
    <xf numFmtId="0" fontId="4" fillId="0" borderId="15" xfId="0" applyFont="1" applyBorder="1" applyAlignment="1" applyProtection="1">
      <alignment vertical="top" wrapText="1"/>
    </xf>
    <xf numFmtId="0" fontId="3" fillId="0" borderId="7" xfId="0" applyFont="1" applyBorder="1" applyAlignment="1" applyProtection="1">
      <alignment vertical="top" wrapText="1"/>
    </xf>
    <xf numFmtId="0" fontId="14" fillId="0" borderId="0" xfId="0" applyFont="1" applyAlignment="1" applyProtection="1">
      <alignment vertical="top" wrapText="1"/>
    </xf>
    <xf numFmtId="0" fontId="14" fillId="0" borderId="0" xfId="0" applyFont="1" applyAlignment="1" applyProtection="1">
      <alignment horizontal="center" vertical="top" wrapText="1"/>
    </xf>
    <xf numFmtId="0" fontId="3" fillId="0" borderId="12" xfId="0" applyFont="1" applyBorder="1" applyAlignment="1" applyProtection="1">
      <alignment vertical="top" wrapText="1"/>
    </xf>
    <xf numFmtId="0" fontId="4" fillId="3" borderId="7" xfId="0" applyFont="1" applyFill="1" applyBorder="1" applyAlignment="1" applyProtection="1">
      <alignment vertical="top"/>
      <protection locked="0"/>
    </xf>
    <xf numFmtId="0" fontId="4" fillId="0" borderId="5" xfId="0" applyFont="1" applyBorder="1" applyAlignment="1" applyProtection="1">
      <alignment vertical="top" wrapText="1"/>
    </xf>
    <xf numFmtId="0" fontId="4" fillId="0" borderId="5" xfId="0" applyFont="1" applyBorder="1" applyAlignment="1">
      <alignment horizontal="left" vertical="top" wrapText="1"/>
    </xf>
    <xf numFmtId="0" fontId="4" fillId="0" borderId="12" xfId="0" applyFont="1" applyBorder="1" applyAlignment="1">
      <alignment vertical="top"/>
    </xf>
    <xf numFmtId="0" fontId="4" fillId="9" borderId="8" xfId="0" applyFont="1" applyFill="1" applyBorder="1" applyAlignment="1" applyProtection="1">
      <alignment vertical="top"/>
      <protection locked="0"/>
    </xf>
    <xf numFmtId="0" fontId="4" fillId="9" borderId="8" xfId="0" applyFont="1" applyFill="1" applyBorder="1" applyAlignment="1" applyProtection="1">
      <alignment horizontal="center" vertical="top"/>
      <protection locked="0"/>
    </xf>
    <xf numFmtId="0" fontId="4" fillId="9" borderId="7" xfId="0" applyFont="1" applyFill="1" applyBorder="1" applyAlignment="1" applyProtection="1">
      <alignment vertical="top"/>
    </xf>
    <xf numFmtId="0" fontId="4" fillId="0" borderId="8" xfId="0" applyFont="1" applyBorder="1" applyAlignment="1" applyProtection="1">
      <alignment horizontal="left" vertical="top" wrapText="1"/>
    </xf>
    <xf numFmtId="0" fontId="4" fillId="0" borderId="4" xfId="0" applyFont="1" applyBorder="1" applyAlignment="1" applyProtection="1">
      <alignment horizontal="center" vertical="top" wrapText="1"/>
    </xf>
    <xf numFmtId="0" fontId="4" fillId="0" borderId="8" xfId="0" applyFont="1" applyBorder="1" applyAlignment="1" applyProtection="1">
      <alignment horizontal="center" vertical="top" wrapText="1"/>
    </xf>
    <xf numFmtId="0" fontId="17" fillId="0" borderId="8" xfId="2" applyBorder="1" applyAlignment="1" applyProtection="1">
      <alignment vertical="top" wrapText="1"/>
    </xf>
    <xf numFmtId="0" fontId="16" fillId="0" borderId="6" xfId="0" applyFont="1" applyBorder="1" applyAlignment="1" applyProtection="1">
      <alignment vertical="top" wrapText="1"/>
    </xf>
    <xf numFmtId="0" fontId="16" fillId="0" borderId="8" xfId="0" applyFont="1" applyBorder="1" applyAlignment="1" applyProtection="1">
      <alignment vertical="top" wrapText="1"/>
    </xf>
    <xf numFmtId="0" fontId="4" fillId="0" borderId="1" xfId="0" applyFont="1" applyBorder="1" applyAlignment="1" applyProtection="1">
      <alignment horizontal="center" vertical="top" wrapText="1"/>
    </xf>
    <xf numFmtId="0" fontId="0" fillId="0" borderId="9" xfId="0" applyBorder="1" applyProtection="1">
      <protection locked="0"/>
    </xf>
    <xf numFmtId="3" fontId="4" fillId="4" borderId="13" xfId="0" applyNumberFormat="1" applyFont="1" applyFill="1" applyBorder="1" applyAlignment="1" applyProtection="1">
      <alignment horizontal="center" vertical="top"/>
    </xf>
    <xf numFmtId="0" fontId="0" fillId="0" borderId="13" xfId="0" applyBorder="1" applyProtection="1"/>
    <xf numFmtId="0" fontId="8" fillId="0" borderId="13" xfId="0" applyFont="1" applyBorder="1" applyAlignment="1" applyProtection="1">
      <alignment vertical="top" wrapText="1"/>
    </xf>
    <xf numFmtId="0" fontId="8" fillId="0" borderId="10" xfId="0" applyFont="1" applyBorder="1" applyAlignment="1" applyProtection="1">
      <alignment horizontal="center" vertical="top" wrapText="1"/>
    </xf>
    <xf numFmtId="0" fontId="4" fillId="0" borderId="13" xfId="0" applyFont="1" applyBorder="1" applyAlignment="1" applyProtection="1">
      <alignment horizontal="center" vertical="top" wrapText="1"/>
    </xf>
    <xf numFmtId="0" fontId="15" fillId="0" borderId="6" xfId="0" applyFont="1" applyBorder="1" applyAlignment="1" applyProtection="1">
      <alignment vertical="top" wrapText="1"/>
    </xf>
    <xf numFmtId="0" fontId="14" fillId="0" borderId="16" xfId="0" applyFont="1" applyBorder="1" applyAlignment="1" applyProtection="1">
      <alignment horizontal="left" vertical="top"/>
    </xf>
    <xf numFmtId="0" fontId="24" fillId="0" borderId="16" xfId="2" applyFont="1" applyBorder="1" applyAlignment="1" applyProtection="1">
      <alignment horizontal="left" vertical="top" wrapText="1"/>
    </xf>
    <xf numFmtId="0" fontId="0" fillId="0" borderId="0" xfId="0" applyAlignment="1" applyProtection="1"/>
    <xf numFmtId="0" fontId="8" fillId="0" borderId="2" xfId="0" applyFont="1" applyBorder="1" applyAlignment="1" applyProtection="1">
      <alignment horizontal="center" vertical="top" wrapText="1"/>
    </xf>
    <xf numFmtId="0" fontId="8" fillId="0" borderId="6" xfId="0" applyFont="1" applyBorder="1" applyAlignment="1" applyProtection="1">
      <alignment horizontal="center" vertical="top" wrapText="1"/>
    </xf>
    <xf numFmtId="0" fontId="8" fillId="0" borderId="9" xfId="0" applyFont="1" applyBorder="1" applyAlignment="1" applyProtection="1">
      <alignment horizontal="center" vertical="top" wrapText="1"/>
    </xf>
    <xf numFmtId="0" fontId="8" fillId="0" borderId="7" xfId="0" applyFont="1" applyBorder="1" applyAlignment="1" applyProtection="1">
      <alignment horizontal="center" vertical="top" wrapText="1"/>
    </xf>
    <xf numFmtId="0" fontId="0" fillId="0" borderId="5" xfId="0" applyBorder="1" applyAlignment="1" applyProtection="1">
      <alignment vertical="top"/>
    </xf>
    <xf numFmtId="0" fontId="3" fillId="0" borderId="7" xfId="0" applyFont="1" applyBorder="1" applyAlignment="1" applyProtection="1">
      <alignment horizontal="center" vertical="top" wrapText="1"/>
    </xf>
    <xf numFmtId="0" fontId="3" fillId="0" borderId="7" xfId="0" applyFont="1" applyBorder="1" applyAlignment="1" applyProtection="1">
      <alignment vertical="top"/>
    </xf>
    <xf numFmtId="0" fontId="4" fillId="6" borderId="8" xfId="0" applyFont="1" applyFill="1" applyBorder="1" applyAlignment="1" applyProtection="1">
      <alignment vertical="top"/>
    </xf>
    <xf numFmtId="9" fontId="4" fillId="6" borderId="8" xfId="0" applyNumberFormat="1" applyFont="1" applyFill="1" applyBorder="1" applyAlignment="1" applyProtection="1">
      <alignment horizontal="center" vertical="top"/>
    </xf>
    <xf numFmtId="0" fontId="3" fillId="0" borderId="12" xfId="0" applyFont="1" applyBorder="1" applyAlignment="1" applyProtection="1">
      <alignment horizontal="center" vertical="top" wrapText="1"/>
    </xf>
    <xf numFmtId="0" fontId="3" fillId="0" borderId="7" xfId="0" applyFont="1" applyFill="1" applyBorder="1" applyAlignment="1" applyProtection="1">
      <alignment vertical="top"/>
    </xf>
    <xf numFmtId="9" fontId="4" fillId="4" borderId="8" xfId="0" applyNumberFormat="1" applyFont="1" applyFill="1" applyBorder="1" applyAlignment="1" applyProtection="1">
      <alignment horizontal="center" vertical="top"/>
    </xf>
    <xf numFmtId="0" fontId="12" fillId="0" borderId="4" xfId="0" applyFont="1" applyBorder="1" applyAlignment="1" applyProtection="1">
      <alignment vertical="top"/>
    </xf>
    <xf numFmtId="0" fontId="4" fillId="0" borderId="12" xfId="0" applyFont="1" applyBorder="1" applyAlignment="1" applyProtection="1">
      <alignment vertical="top"/>
    </xf>
    <xf numFmtId="0" fontId="12" fillId="0" borderId="12" xfId="0" applyFont="1" applyBorder="1" applyAlignment="1" applyProtection="1">
      <alignment vertical="top"/>
    </xf>
    <xf numFmtId="9" fontId="4" fillId="5" borderId="8" xfId="0" applyNumberFormat="1" applyFont="1" applyFill="1" applyBorder="1" applyAlignment="1" applyProtection="1">
      <alignment vertical="top" wrapText="1"/>
    </xf>
    <xf numFmtId="9" fontId="0" fillId="0" borderId="0" xfId="0" applyNumberFormat="1" applyAlignment="1" applyProtection="1">
      <alignment vertical="top"/>
    </xf>
    <xf numFmtId="0" fontId="4" fillId="0" borderId="0" xfId="0" applyFont="1" applyBorder="1" applyAlignment="1" applyProtection="1">
      <alignment vertical="top" wrapText="1"/>
    </xf>
    <xf numFmtId="0" fontId="8" fillId="0" borderId="5" xfId="0" applyFont="1" applyBorder="1" applyAlignment="1" applyProtection="1">
      <alignment vertical="top" wrapText="1"/>
    </xf>
    <xf numFmtId="0" fontId="4" fillId="3" borderId="8" xfId="0" applyFont="1" applyFill="1" applyBorder="1" applyAlignment="1" applyProtection="1">
      <alignment horizontal="center" vertical="top"/>
      <protection locked="0"/>
    </xf>
    <xf numFmtId="0" fontId="4" fillId="3" borderId="8" xfId="0" applyFont="1" applyFill="1" applyBorder="1" applyAlignment="1" applyProtection="1">
      <alignment horizontal="center" vertical="top" wrapText="1"/>
      <protection locked="0"/>
    </xf>
    <xf numFmtId="3" fontId="4" fillId="4" borderId="8" xfId="0" applyNumberFormat="1" applyFont="1" applyFill="1" applyBorder="1" applyAlignment="1" applyProtection="1">
      <alignment vertical="top"/>
    </xf>
    <xf numFmtId="0" fontId="3" fillId="0" borderId="9" xfId="0" applyFont="1" applyBorder="1" applyAlignment="1" applyProtection="1">
      <alignment vertical="top"/>
    </xf>
    <xf numFmtId="3" fontId="4" fillId="9" borderId="13" xfId="0" applyNumberFormat="1" applyFont="1" applyFill="1" applyBorder="1" applyAlignment="1" applyProtection="1">
      <alignment horizontal="right" vertical="top"/>
    </xf>
    <xf numFmtId="3" fontId="4" fillId="9" borderId="13" xfId="0" applyNumberFormat="1" applyFont="1" applyFill="1" applyBorder="1" applyAlignment="1" applyProtection="1">
      <alignment horizontal="center" vertical="top"/>
    </xf>
    <xf numFmtId="0" fontId="4" fillId="9" borderId="8" xfId="0" applyFont="1" applyFill="1" applyBorder="1" applyAlignment="1" applyProtection="1">
      <alignment vertical="top"/>
    </xf>
    <xf numFmtId="0" fontId="4" fillId="0" borderId="31" xfId="0" applyFont="1" applyBorder="1" applyAlignment="1" applyProtection="1">
      <alignment vertical="top"/>
    </xf>
    <xf numFmtId="0" fontId="4" fillId="0" borderId="32" xfId="0" applyFont="1" applyBorder="1" applyAlignment="1" applyProtection="1">
      <alignment vertical="top"/>
    </xf>
    <xf numFmtId="0" fontId="4" fillId="0" borderId="33" xfId="0" applyFont="1" applyBorder="1" applyAlignment="1" applyProtection="1">
      <alignment vertical="top"/>
    </xf>
    <xf numFmtId="0" fontId="4" fillId="0" borderId="34" xfId="0" applyFont="1" applyBorder="1" applyAlignment="1" applyProtection="1">
      <alignment vertical="top"/>
    </xf>
    <xf numFmtId="3" fontId="4" fillId="6" borderId="16" xfId="0" applyNumberFormat="1" applyFont="1" applyFill="1" applyBorder="1" applyAlignment="1" applyProtection="1">
      <alignment horizontal="center" vertical="top"/>
    </xf>
    <xf numFmtId="3" fontId="4" fillId="6" borderId="35" xfId="0" applyNumberFormat="1" applyFont="1" applyFill="1" applyBorder="1" applyAlignment="1" applyProtection="1">
      <alignment horizontal="center" vertical="top"/>
    </xf>
    <xf numFmtId="0" fontId="4" fillId="0" borderId="34" xfId="0" applyFont="1" applyBorder="1" applyAlignment="1" applyProtection="1">
      <alignment vertical="top" wrapText="1"/>
    </xf>
    <xf numFmtId="9" fontId="4" fillId="6" borderId="36" xfId="3" applyFont="1" applyFill="1" applyBorder="1" applyAlignment="1" applyProtection="1">
      <alignment horizontal="center" vertical="top"/>
    </xf>
    <xf numFmtId="0" fontId="4" fillId="3" borderId="12" xfId="0" applyFont="1" applyFill="1" applyBorder="1" applyAlignment="1" applyProtection="1">
      <alignment vertical="top"/>
      <protection locked="0"/>
    </xf>
    <xf numFmtId="0" fontId="0" fillId="0" borderId="9" xfId="0" applyBorder="1" applyAlignment="1" applyProtection="1">
      <alignment vertical="top"/>
      <protection locked="0"/>
    </xf>
    <xf numFmtId="0" fontId="0" fillId="0" borderId="0" xfId="0" applyBorder="1" applyProtection="1">
      <protection locked="0"/>
    </xf>
    <xf numFmtId="0" fontId="0" fillId="0" borderId="6" xfId="0" applyBorder="1" applyProtection="1">
      <protection locked="0"/>
    </xf>
    <xf numFmtId="0" fontId="0" fillId="0" borderId="10" xfId="0" applyBorder="1" applyAlignment="1" applyProtection="1">
      <alignment vertical="top"/>
      <protection locked="0"/>
    </xf>
    <xf numFmtId="0" fontId="0" fillId="0" borderId="11" xfId="0" applyBorder="1" applyProtection="1">
      <protection locked="0"/>
    </xf>
    <xf numFmtId="0" fontId="0" fillId="0" borderId="8" xfId="0" applyBorder="1" applyProtection="1">
      <protection locked="0"/>
    </xf>
    <xf numFmtId="0" fontId="0" fillId="0" borderId="2" xfId="0" applyBorder="1" applyAlignment="1" applyProtection="1">
      <alignment vertical="top"/>
    </xf>
    <xf numFmtId="0" fontId="0" fillId="0" borderId="3" xfId="0" applyBorder="1" applyProtection="1"/>
    <xf numFmtId="0" fontId="0" fillId="0" borderId="4" xfId="0" applyBorder="1" applyProtection="1"/>
    <xf numFmtId="0" fontId="4" fillId="0" borderId="0" xfId="0" applyFont="1" applyBorder="1" applyAlignment="1" applyProtection="1">
      <alignment horizontal="center" vertical="top" wrapText="1"/>
    </xf>
    <xf numFmtId="3" fontId="4" fillId="0" borderId="8" xfId="0" applyNumberFormat="1" applyFont="1" applyFill="1" applyBorder="1" applyAlignment="1">
      <alignment vertical="top"/>
    </xf>
    <xf numFmtId="3" fontId="4" fillId="4" borderId="16" xfId="0" applyNumberFormat="1" applyFont="1" applyFill="1" applyBorder="1" applyAlignment="1">
      <alignment horizontal="right" vertical="top"/>
    </xf>
    <xf numFmtId="3" fontId="4" fillId="6" borderId="13" xfId="0" applyNumberFormat="1" applyFont="1" applyFill="1" applyBorder="1" applyAlignment="1">
      <alignment horizontal="right" vertical="top"/>
    </xf>
    <xf numFmtId="9" fontId="4" fillId="4" borderId="16" xfId="3" applyFont="1" applyFill="1" applyBorder="1" applyAlignment="1">
      <alignment horizontal="right" vertical="top"/>
    </xf>
    <xf numFmtId="9" fontId="4" fillId="3" borderId="16" xfId="0" applyNumberFormat="1" applyFont="1" applyFill="1" applyBorder="1" applyAlignment="1" applyProtection="1">
      <alignment horizontal="center" vertical="top"/>
      <protection locked="0"/>
    </xf>
    <xf numFmtId="0" fontId="28" fillId="0" borderId="16" xfId="0" applyFont="1" applyBorder="1" applyAlignment="1">
      <alignment vertical="top"/>
    </xf>
    <xf numFmtId="0" fontId="0" fillId="0" borderId="0" xfId="0"/>
    <xf numFmtId="0" fontId="0" fillId="0" borderId="0" xfId="0"/>
    <xf numFmtId="9" fontId="4" fillId="0" borderId="16" xfId="0" applyNumberFormat="1" applyFont="1" applyFill="1" applyBorder="1" applyAlignment="1" applyProtection="1">
      <alignment horizontal="center" vertical="top"/>
      <protection locked="0"/>
    </xf>
    <xf numFmtId="9" fontId="4" fillId="3" borderId="20" xfId="0" applyNumberFormat="1" applyFont="1" applyFill="1" applyBorder="1" applyAlignment="1" applyProtection="1">
      <alignment horizontal="right" vertical="top"/>
      <protection locked="0"/>
    </xf>
    <xf numFmtId="1" fontId="4" fillId="4" borderId="12" xfId="3" applyNumberFormat="1" applyFont="1" applyFill="1" applyBorder="1" applyAlignment="1">
      <alignment horizontal="center" vertical="top"/>
    </xf>
    <xf numFmtId="0" fontId="8" fillId="0" borderId="0" xfId="0" applyFont="1" applyBorder="1" applyAlignment="1">
      <alignment vertical="top" wrapText="1"/>
    </xf>
    <xf numFmtId="0" fontId="8" fillId="0" borderId="12" xfId="0" applyFont="1" applyBorder="1" applyAlignment="1">
      <alignment vertical="top" wrapText="1"/>
    </xf>
    <xf numFmtId="9" fontId="0" fillId="6" borderId="12" xfId="3" applyFont="1" applyFill="1" applyBorder="1" applyAlignment="1">
      <alignment horizontal="center" vertical="top"/>
    </xf>
    <xf numFmtId="0" fontId="4" fillId="0" borderId="4" xfId="0" applyFont="1" applyBorder="1" applyAlignment="1" applyProtection="1">
      <alignment vertical="top" wrapText="1"/>
    </xf>
    <xf numFmtId="0" fontId="4" fillId="0" borderId="0" xfId="0" applyFont="1" applyBorder="1" applyAlignment="1" applyProtection="1">
      <alignment vertical="top" wrapText="1"/>
    </xf>
    <xf numFmtId="0" fontId="4" fillId="0" borderId="7" xfId="0" applyFont="1" applyBorder="1" applyAlignment="1" applyProtection="1">
      <alignment vertical="top" wrapText="1"/>
    </xf>
    <xf numFmtId="0" fontId="12" fillId="0" borderId="14" xfId="0" applyFont="1" applyBorder="1" applyAlignment="1" applyProtection="1">
      <alignment vertical="top" wrapText="1"/>
    </xf>
    <xf numFmtId="0" fontId="12" fillId="0" borderId="15" xfId="0" applyFont="1" applyBorder="1" applyAlignment="1" applyProtection="1">
      <alignment vertical="top" wrapText="1"/>
    </xf>
    <xf numFmtId="0" fontId="12" fillId="0" borderId="7" xfId="0" applyFont="1" applyBorder="1" applyAlignment="1" applyProtection="1">
      <alignment vertical="top" wrapText="1"/>
    </xf>
    <xf numFmtId="0" fontId="4" fillId="0" borderId="13" xfId="0" applyFont="1" applyBorder="1" applyAlignment="1" applyProtection="1">
      <alignment vertical="top" wrapText="1"/>
    </xf>
    <xf numFmtId="0" fontId="4" fillId="0" borderId="8" xfId="0" applyFont="1" applyBorder="1" applyAlignment="1" applyProtection="1">
      <alignment vertical="top" wrapText="1"/>
    </xf>
    <xf numFmtId="0" fontId="6" fillId="0" borderId="8" xfId="0" applyFont="1" applyBorder="1" applyAlignment="1" applyProtection="1">
      <alignment vertical="top" wrapText="1"/>
    </xf>
    <xf numFmtId="0" fontId="4" fillId="0" borderId="8" xfId="0" applyFont="1" applyBorder="1" applyAlignment="1" applyProtection="1">
      <alignment horizontal="center" vertical="top" wrapText="1"/>
    </xf>
    <xf numFmtId="0" fontId="3" fillId="0" borderId="4" xfId="0" applyFont="1" applyBorder="1" applyAlignment="1">
      <alignment vertical="top" wrapText="1"/>
    </xf>
    <xf numFmtId="0" fontId="4" fillId="0" borderId="14" xfId="0" applyFont="1" applyBorder="1" applyAlignment="1">
      <alignment horizontal="center" vertical="top" wrapText="1"/>
    </xf>
    <xf numFmtId="0" fontId="3" fillId="0" borderId="3" xfId="0" applyFont="1" applyBorder="1" applyAlignment="1">
      <alignment vertical="top" wrapText="1"/>
    </xf>
    <xf numFmtId="0" fontId="4" fillId="0" borderId="14" xfId="0" applyFont="1" applyBorder="1" applyAlignment="1" applyProtection="1">
      <alignment vertical="top"/>
      <protection locked="0"/>
    </xf>
    <xf numFmtId="0" fontId="28" fillId="0" borderId="16" xfId="0" applyFont="1" applyBorder="1" applyAlignment="1">
      <alignment vertical="top" wrapText="1"/>
    </xf>
    <xf numFmtId="0" fontId="4" fillId="0" borderId="7" xfId="0" applyFont="1" applyBorder="1" applyAlignment="1" applyProtection="1">
      <alignment vertical="top" wrapText="1"/>
    </xf>
    <xf numFmtId="0" fontId="4" fillId="3" borderId="7" xfId="0" applyFont="1" applyFill="1" applyBorder="1" applyAlignment="1" applyProtection="1">
      <alignment vertical="top"/>
      <protection locked="0"/>
    </xf>
    <xf numFmtId="0" fontId="4" fillId="0" borderId="5" xfId="0" applyFont="1" applyBorder="1" applyAlignment="1">
      <alignment vertical="top" wrapText="1"/>
    </xf>
    <xf numFmtId="0" fontId="4" fillId="0" borderId="13" xfId="0" applyFont="1" applyBorder="1" applyAlignment="1">
      <alignment vertical="top" wrapText="1"/>
    </xf>
    <xf numFmtId="0" fontId="4" fillId="0" borderId="0" xfId="0" applyFont="1" applyAlignment="1">
      <alignment vertical="top" wrapText="1"/>
    </xf>
    <xf numFmtId="0" fontId="4" fillId="0" borderId="11" xfId="0" applyFont="1" applyBorder="1" applyAlignment="1">
      <alignment vertical="top" wrapText="1"/>
    </xf>
    <xf numFmtId="0" fontId="4" fillId="0" borderId="15" xfId="0" applyFont="1" applyBorder="1" applyAlignment="1">
      <alignment vertical="top"/>
    </xf>
    <xf numFmtId="0" fontId="4" fillId="0" borderId="8" xfId="0" applyFont="1" applyBorder="1" applyAlignment="1">
      <alignment horizontal="center" vertical="top" wrapText="1"/>
    </xf>
    <xf numFmtId="0" fontId="8" fillId="0" borderId="7" xfId="0" applyFont="1" applyBorder="1" applyAlignment="1">
      <alignment vertical="top" wrapText="1"/>
    </xf>
    <xf numFmtId="0" fontId="3" fillId="0" borderId="1" xfId="0" applyFont="1" applyBorder="1" applyAlignment="1">
      <alignment vertical="top" wrapText="1"/>
    </xf>
    <xf numFmtId="0" fontId="4" fillId="0" borderId="14" xfId="0" applyFont="1" applyBorder="1" applyAlignment="1" applyProtection="1">
      <alignment vertical="top"/>
      <protection locked="0"/>
    </xf>
    <xf numFmtId="9" fontId="4" fillId="3" borderId="12" xfId="0" applyNumberFormat="1" applyFont="1" applyFill="1" applyBorder="1" applyAlignment="1" applyProtection="1">
      <alignment vertical="top"/>
      <protection locked="0"/>
    </xf>
    <xf numFmtId="9" fontId="4" fillId="4" borderId="12" xfId="0" applyNumberFormat="1" applyFont="1" applyFill="1" applyBorder="1" applyAlignment="1" applyProtection="1">
      <alignment horizontal="right" vertical="top"/>
    </xf>
    <xf numFmtId="0" fontId="0" fillId="0" borderId="6" xfId="0" applyBorder="1" applyAlignment="1" applyProtection="1">
      <alignment horizontal="center" vertical="top"/>
    </xf>
    <xf numFmtId="3" fontId="4" fillId="4" borderId="8" xfId="0" applyNumberFormat="1" applyFont="1" applyFill="1" applyBorder="1" applyAlignment="1" applyProtection="1">
      <alignment horizontal="right" vertical="top"/>
    </xf>
    <xf numFmtId="3" fontId="4" fillId="4" borderId="8" xfId="0" applyNumberFormat="1" applyFont="1" applyFill="1" applyBorder="1" applyAlignment="1" applyProtection="1">
      <alignment horizontal="right" vertical="top" wrapText="1"/>
    </xf>
    <xf numFmtId="9" fontId="4" fillId="4" borderId="3" xfId="3" applyFont="1" applyFill="1" applyBorder="1" applyAlignment="1" applyProtection="1">
      <alignment horizontal="center" vertical="top"/>
    </xf>
    <xf numFmtId="9" fontId="4" fillId="4" borderId="4" xfId="3" applyFont="1" applyFill="1" applyBorder="1" applyAlignment="1" applyProtection="1">
      <alignment horizontal="center" vertical="top"/>
    </xf>
    <xf numFmtId="0" fontId="4" fillId="0" borderId="14" xfId="0" applyFont="1" applyBorder="1" applyAlignment="1" applyProtection="1">
      <alignment horizontal="left" vertical="top"/>
      <protection locked="0"/>
    </xf>
    <xf numFmtId="9" fontId="4" fillId="4" borderId="8" xfId="3" applyFont="1" applyFill="1" applyBorder="1" applyAlignment="1" applyProtection="1">
      <alignment horizontal="right" vertical="top"/>
    </xf>
    <xf numFmtId="0" fontId="4" fillId="0" borderId="12" xfId="0" applyFont="1" applyBorder="1" applyAlignment="1" applyProtection="1">
      <alignment horizontal="center" vertical="center" wrapText="1"/>
    </xf>
    <xf numFmtId="0" fontId="3" fillId="3" borderId="8" xfId="0" applyFont="1" applyFill="1" applyBorder="1" applyAlignment="1" applyProtection="1">
      <alignment horizontal="center" vertical="top" wrapText="1"/>
      <protection locked="0"/>
    </xf>
    <xf numFmtId="9" fontId="25" fillId="6" borderId="16" xfId="0" applyNumberFormat="1" applyFont="1" applyFill="1" applyBorder="1" applyAlignment="1" applyProtection="1">
      <alignment horizontal="right" vertical="top"/>
    </xf>
    <xf numFmtId="9" fontId="25" fillId="6" borderId="16" xfId="3" applyFont="1" applyFill="1" applyBorder="1" applyAlignment="1" applyProtection="1">
      <alignment horizontal="right" vertical="top"/>
    </xf>
    <xf numFmtId="0" fontId="14" fillId="6" borderId="16" xfId="0" applyFont="1" applyFill="1" applyBorder="1" applyAlignment="1">
      <alignment horizontal="right"/>
    </xf>
    <xf numFmtId="0" fontId="14" fillId="6" borderId="37" xfId="0" applyFont="1" applyFill="1" applyBorder="1" applyAlignment="1">
      <alignment horizontal="right"/>
    </xf>
    <xf numFmtId="3" fontId="4" fillId="4" borderId="16" xfId="0" applyNumberFormat="1" applyFont="1" applyFill="1" applyBorder="1" applyAlignment="1" applyProtection="1">
      <alignment horizontal="right" vertical="top"/>
    </xf>
    <xf numFmtId="0" fontId="14" fillId="6" borderId="30" xfId="0" applyFont="1" applyFill="1" applyBorder="1" applyAlignment="1">
      <alignment horizontal="right"/>
    </xf>
    <xf numFmtId="9" fontId="25" fillId="6" borderId="16" xfId="0" applyNumberFormat="1" applyFont="1" applyFill="1" applyBorder="1" applyAlignment="1">
      <alignment horizontal="right" vertical="top" wrapText="1"/>
    </xf>
    <xf numFmtId="9" fontId="25" fillId="6" borderId="16" xfId="3" applyFont="1" applyFill="1" applyBorder="1" applyAlignment="1">
      <alignment horizontal="right" vertical="top"/>
    </xf>
    <xf numFmtId="9" fontId="25" fillId="6" borderId="16" xfId="0" applyNumberFormat="1" applyFont="1" applyFill="1" applyBorder="1" applyAlignment="1">
      <alignment horizontal="right" vertical="top"/>
    </xf>
    <xf numFmtId="0" fontId="0" fillId="3" borderId="16" xfId="0" applyFill="1" applyBorder="1" applyAlignment="1" applyProtection="1">
      <alignment horizontal="center"/>
      <protection locked="0"/>
    </xf>
    <xf numFmtId="0" fontId="4" fillId="3" borderId="7" xfId="0" applyFont="1" applyFill="1" applyBorder="1" applyAlignment="1" applyProtection="1">
      <alignment horizontal="left" vertical="center"/>
      <protection locked="0"/>
    </xf>
    <xf numFmtId="0" fontId="4" fillId="3" borderId="8" xfId="0" applyFont="1" applyFill="1" applyBorder="1" applyAlignment="1" applyProtection="1">
      <alignment horizontal="left" vertical="center"/>
      <protection locked="0"/>
    </xf>
    <xf numFmtId="0" fontId="0" fillId="3" borderId="16" xfId="0" applyFill="1" applyBorder="1" applyAlignment="1" applyProtection="1">
      <alignment horizontal="center" vertical="center"/>
      <protection locked="0"/>
    </xf>
    <xf numFmtId="9" fontId="4" fillId="4" borderId="14" xfId="3" applyFont="1" applyFill="1" applyBorder="1" applyAlignment="1">
      <alignment horizontal="center" vertical="center"/>
    </xf>
    <xf numFmtId="0" fontId="0" fillId="0" borderId="2" xfId="0" applyBorder="1" applyAlignment="1">
      <alignment vertical="top"/>
    </xf>
    <xf numFmtId="0" fontId="0" fillId="0" borderId="4" xfId="0" applyBorder="1" applyAlignment="1">
      <alignment vertical="top"/>
    </xf>
    <xf numFmtId="0" fontId="0" fillId="0" borderId="9" xfId="0" applyBorder="1" applyAlignment="1">
      <alignment vertical="top"/>
    </xf>
    <xf numFmtId="0" fontId="0" fillId="0" borderId="10" xfId="0" applyBorder="1" applyAlignment="1">
      <alignment vertical="top"/>
    </xf>
    <xf numFmtId="0" fontId="4" fillId="7" borderId="8" xfId="0" applyFont="1" applyFill="1" applyBorder="1" applyAlignment="1" applyProtection="1">
      <alignment horizontal="left" vertical="top"/>
      <protection locked="0"/>
    </xf>
    <xf numFmtId="3" fontId="4" fillId="3" borderId="16" xfId="0" applyNumberFormat="1" applyFont="1" applyFill="1" applyBorder="1" applyAlignment="1" applyProtection="1">
      <alignment vertical="top"/>
      <protection locked="0"/>
    </xf>
    <xf numFmtId="0" fontId="4" fillId="10" borderId="8" xfId="0" applyFont="1" applyFill="1" applyBorder="1" applyAlignment="1" applyProtection="1">
      <alignment vertical="top" wrapText="1"/>
    </xf>
    <xf numFmtId="3" fontId="4" fillId="3" borderId="13" xfId="0" applyNumberFormat="1" applyFont="1" applyFill="1" applyBorder="1" applyAlignment="1" applyProtection="1">
      <alignment vertical="top" wrapText="1"/>
      <protection locked="0"/>
    </xf>
    <xf numFmtId="0" fontId="4" fillId="3" borderId="8" xfId="0" applyFont="1" applyFill="1" applyBorder="1" applyAlignment="1" applyProtection="1">
      <alignment horizontal="left" vertical="top" wrapText="1"/>
      <protection locked="0"/>
    </xf>
    <xf numFmtId="0" fontId="4" fillId="3" borderId="12" xfId="0" applyFont="1" applyFill="1" applyBorder="1" applyAlignment="1" applyProtection="1">
      <alignment vertical="top" wrapText="1"/>
      <protection locked="0"/>
    </xf>
    <xf numFmtId="0" fontId="3" fillId="3" borderId="8" xfId="0" applyFont="1" applyFill="1" applyBorder="1" applyAlignment="1" applyProtection="1">
      <alignment vertical="top" wrapText="1"/>
      <protection locked="0"/>
    </xf>
    <xf numFmtId="9" fontId="3" fillId="3" borderId="8" xfId="0" applyNumberFormat="1" applyFont="1" applyFill="1" applyBorder="1" applyAlignment="1" applyProtection="1">
      <alignment horizontal="center" vertical="top"/>
      <protection locked="0"/>
    </xf>
    <xf numFmtId="0" fontId="29" fillId="0" borderId="1" xfId="0" applyFont="1" applyBorder="1" applyAlignment="1">
      <alignment vertical="top" wrapText="1"/>
    </xf>
    <xf numFmtId="167" fontId="4" fillId="3" borderId="8" xfId="0" applyNumberFormat="1" applyFont="1" applyFill="1" applyBorder="1" applyAlignment="1" applyProtection="1">
      <alignment horizontal="center" vertical="top"/>
      <protection locked="0"/>
    </xf>
    <xf numFmtId="168" fontId="4" fillId="8" borderId="15" xfId="0" applyNumberFormat="1" applyFont="1" applyFill="1" applyBorder="1" applyAlignment="1" applyProtection="1">
      <alignment horizontal="center" wrapText="1"/>
      <protection locked="0"/>
    </xf>
    <xf numFmtId="0" fontId="4" fillId="0" borderId="0" xfId="0" applyFont="1" applyAlignment="1">
      <alignment vertical="center" wrapText="1"/>
    </xf>
    <xf numFmtId="0" fontId="4" fillId="0" borderId="6" xfId="0" applyFont="1" applyBorder="1" applyAlignment="1">
      <alignment vertical="center" wrapText="1"/>
    </xf>
    <xf numFmtId="0" fontId="0" fillId="3" borderId="30" xfId="0" applyFill="1" applyBorder="1" applyAlignment="1" applyProtection="1">
      <alignment vertical="top"/>
      <protection locked="0"/>
    </xf>
    <xf numFmtId="0" fontId="4" fillId="0" borderId="16" xfId="0" applyFont="1" applyBorder="1" applyAlignment="1">
      <alignment vertical="top"/>
    </xf>
    <xf numFmtId="9" fontId="4" fillId="4" borderId="13" xfId="3" applyFont="1" applyFill="1" applyBorder="1" applyAlignment="1">
      <alignment horizontal="center" vertical="top" wrapText="1"/>
    </xf>
    <xf numFmtId="0" fontId="3" fillId="0" borderId="1" xfId="0" applyFont="1" applyBorder="1" applyAlignment="1" applyProtection="1">
      <alignment vertical="top" wrapText="1"/>
      <protection locked="0"/>
    </xf>
    <xf numFmtId="9" fontId="4" fillId="3" borderId="12" xfId="3" applyFont="1" applyFill="1" applyBorder="1" applyAlignment="1" applyProtection="1">
      <alignment horizontal="center" vertical="top"/>
      <protection locked="0"/>
    </xf>
    <xf numFmtId="0" fontId="4" fillId="0" borderId="14" xfId="0" applyFont="1" applyBorder="1" applyAlignment="1" applyProtection="1">
      <alignment vertical="top"/>
      <protection locked="0"/>
    </xf>
    <xf numFmtId="0" fontId="17" fillId="0" borderId="0" xfId="2" applyFill="1"/>
    <xf numFmtId="0" fontId="0" fillId="0" borderId="16" xfId="0" applyBorder="1" applyAlignment="1">
      <alignment horizontal="center"/>
    </xf>
    <xf numFmtId="0" fontId="0" fillId="0" borderId="0" xfId="0" applyFill="1" applyBorder="1" applyAlignment="1">
      <alignment vertical="top"/>
    </xf>
    <xf numFmtId="0" fontId="17" fillId="0" borderId="0" xfId="2" applyFill="1" applyBorder="1"/>
    <xf numFmtId="0" fontId="7" fillId="0" borderId="0" xfId="0" applyFont="1" applyBorder="1" applyAlignment="1" applyProtection="1">
      <alignment horizontal="center" vertical="top"/>
    </xf>
    <xf numFmtId="0" fontId="4" fillId="0" borderId="0" xfId="0" applyFont="1" applyBorder="1" applyAlignment="1" applyProtection="1">
      <alignment horizontal="right" vertical="top"/>
    </xf>
    <xf numFmtId="0" fontId="4" fillId="3" borderId="16" xfId="0" applyFont="1" applyFill="1" applyBorder="1" applyAlignment="1" applyProtection="1">
      <alignment horizontal="center" vertical="top" wrapText="1"/>
      <protection locked="0"/>
    </xf>
    <xf numFmtId="0" fontId="7" fillId="3" borderId="16" xfId="0" applyFont="1" applyFill="1" applyBorder="1" applyAlignment="1" applyProtection="1">
      <alignment horizontal="center" vertical="top"/>
      <protection locked="0"/>
    </xf>
    <xf numFmtId="0" fontId="7" fillId="0" borderId="16" xfId="0" applyFont="1"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6" xfId="0" applyBorder="1" applyAlignment="1" applyProtection="1">
      <alignment vertical="center"/>
    </xf>
    <xf numFmtId="0" fontId="0" fillId="0" borderId="16" xfId="0" applyBorder="1" applyAlignment="1" applyProtection="1">
      <alignment horizontal="center" vertical="center"/>
    </xf>
    <xf numFmtId="0" fontId="4" fillId="0" borderId="6" xfId="0" applyFont="1" applyBorder="1" applyAlignment="1" applyProtection="1">
      <alignment vertical="top" wrapText="1"/>
    </xf>
    <xf numFmtId="0" fontId="4" fillId="0" borderId="7" xfId="0" applyFont="1" applyBorder="1" applyAlignment="1" applyProtection="1">
      <alignment vertical="top" wrapText="1"/>
    </xf>
    <xf numFmtId="0" fontId="4" fillId="0" borderId="8" xfId="0" applyFont="1" applyBorder="1" applyAlignment="1" applyProtection="1">
      <alignment vertical="top" wrapText="1"/>
    </xf>
    <xf numFmtId="0" fontId="4" fillId="0" borderId="8" xfId="0" applyFont="1" applyBorder="1" applyAlignment="1" applyProtection="1">
      <alignment horizontal="center" vertical="top" wrapText="1"/>
    </xf>
    <xf numFmtId="0" fontId="0" fillId="6" borderId="16" xfId="3" applyNumberFormat="1" applyFont="1" applyFill="1" applyBorder="1" applyAlignment="1" applyProtection="1">
      <alignment horizontal="left" vertical="top"/>
    </xf>
    <xf numFmtId="0" fontId="0" fillId="0" borderId="16" xfId="0" applyBorder="1" applyAlignment="1" applyProtection="1">
      <alignment vertical="center"/>
      <protection locked="0"/>
    </xf>
    <xf numFmtId="9" fontId="0" fillId="0" borderId="16" xfId="0" applyNumberFormat="1" applyBorder="1" applyAlignment="1" applyProtection="1">
      <alignment horizontal="center" vertical="top"/>
      <protection locked="0"/>
    </xf>
    <xf numFmtId="0" fontId="0" fillId="0" borderId="16" xfId="0" applyBorder="1" applyAlignment="1" applyProtection="1">
      <alignment horizontal="center" vertical="top"/>
      <protection locked="0"/>
    </xf>
    <xf numFmtId="0" fontId="7" fillId="0" borderId="18" xfId="0" applyFont="1" applyBorder="1" applyAlignment="1" applyProtection="1">
      <alignment horizontal="center" vertical="center"/>
    </xf>
    <xf numFmtId="0" fontId="7" fillId="0" borderId="20" xfId="0" applyFont="1" applyBorder="1" applyAlignment="1" applyProtection="1">
      <alignment horizontal="center" vertical="center"/>
      <protection locked="0"/>
    </xf>
    <xf numFmtId="0" fontId="7" fillId="6" borderId="20" xfId="3" applyNumberFormat="1" applyFont="1" applyFill="1" applyBorder="1" applyAlignment="1" applyProtection="1">
      <alignment horizontal="left" vertical="top"/>
      <protection locked="0"/>
    </xf>
    <xf numFmtId="0" fontId="7" fillId="0" borderId="19" xfId="0" applyFont="1" applyBorder="1" applyAlignment="1" applyProtection="1">
      <alignment horizontal="center" vertical="center"/>
    </xf>
    <xf numFmtId="0" fontId="7" fillId="6" borderId="19" xfId="3" applyNumberFormat="1" applyFont="1" applyFill="1" applyBorder="1" applyAlignment="1" applyProtection="1">
      <alignment horizontal="left" vertical="top"/>
    </xf>
    <xf numFmtId="0" fontId="7" fillId="0" borderId="16" xfId="0" applyFont="1" applyBorder="1" applyAlignment="1">
      <alignment horizontal="center" vertical="center"/>
    </xf>
    <xf numFmtId="0" fontId="17" fillId="0" borderId="0" xfId="2" applyFill="1" applyProtection="1"/>
    <xf numFmtId="0" fontId="17" fillId="0" borderId="0" xfId="2" applyFill="1" applyBorder="1" applyProtection="1"/>
    <xf numFmtId="0" fontId="4" fillId="0" borderId="8" xfId="0" applyFont="1" applyBorder="1" applyAlignment="1" applyProtection="1">
      <alignment horizontal="center" vertical="top"/>
    </xf>
    <xf numFmtId="0" fontId="4" fillId="0" borderId="13" xfId="0" applyFont="1" applyBorder="1" applyAlignment="1" applyProtection="1">
      <alignment vertical="top"/>
    </xf>
    <xf numFmtId="3" fontId="4" fillId="4" borderId="13" xfId="0" applyNumberFormat="1" applyFont="1" applyFill="1" applyBorder="1" applyAlignment="1" applyProtection="1">
      <alignment vertical="top"/>
    </xf>
    <xf numFmtId="9" fontId="4" fillId="4" borderId="8" xfId="3" applyFont="1" applyFill="1" applyBorder="1" applyAlignment="1" applyProtection="1">
      <alignment vertical="top"/>
    </xf>
    <xf numFmtId="9" fontId="0" fillId="0" borderId="0" xfId="0" applyNumberFormat="1" applyProtection="1"/>
    <xf numFmtId="9" fontId="4" fillId="4" borderId="12" xfId="0" applyNumberFormat="1" applyFont="1" applyFill="1" applyBorder="1" applyAlignment="1" applyProtection="1">
      <alignment horizontal="center" vertical="top"/>
    </xf>
    <xf numFmtId="0" fontId="0" fillId="0" borderId="11" xfId="0" applyBorder="1" applyAlignment="1" applyProtection="1">
      <alignment vertical="top"/>
    </xf>
    <xf numFmtId="0" fontId="0" fillId="3" borderId="16" xfId="0" applyFill="1" applyBorder="1" applyAlignment="1" applyProtection="1">
      <alignment horizontal="left" vertical="top"/>
      <protection locked="0"/>
    </xf>
    <xf numFmtId="0" fontId="0" fillId="3" borderId="16" xfId="0" applyFill="1" applyBorder="1" applyAlignment="1" applyProtection="1">
      <alignment horizontal="left" vertical="top" wrapText="1"/>
      <protection locked="0"/>
    </xf>
    <xf numFmtId="0" fontId="17" fillId="0" borderId="0" xfId="2" applyProtection="1">
      <protection locked="0"/>
    </xf>
    <xf numFmtId="9" fontId="0" fillId="6" borderId="0" xfId="3" applyFont="1" applyFill="1" applyAlignment="1" applyProtection="1">
      <alignment horizontal="center" vertical="top"/>
      <protection hidden="1"/>
    </xf>
    <xf numFmtId="9" fontId="0" fillId="6" borderId="16" xfId="3" applyFont="1" applyFill="1" applyBorder="1" applyAlignment="1" applyProtection="1">
      <alignment horizontal="center" vertical="top"/>
      <protection hidden="1"/>
    </xf>
    <xf numFmtId="0" fontId="7" fillId="6" borderId="16" xfId="3" applyNumberFormat="1" applyFont="1" applyFill="1" applyBorder="1" applyAlignment="1" applyProtection="1">
      <alignment horizontal="left" vertical="top" wrapText="1"/>
      <protection hidden="1"/>
    </xf>
    <xf numFmtId="0" fontId="7" fillId="6" borderId="18" xfId="3" applyNumberFormat="1" applyFont="1" applyFill="1" applyBorder="1" applyAlignment="1" applyProtection="1">
      <alignment horizontal="left" vertical="top" wrapText="1"/>
      <protection hidden="1"/>
    </xf>
    <xf numFmtId="0" fontId="4" fillId="0" borderId="6" xfId="0" applyFont="1" applyBorder="1" applyAlignment="1" applyProtection="1">
      <alignment horizontal="center" vertical="top"/>
    </xf>
    <xf numFmtId="0" fontId="4" fillId="3" borderId="7" xfId="0" applyFont="1" applyFill="1" applyBorder="1" applyAlignment="1" applyProtection="1">
      <alignment horizontal="center" vertical="top"/>
    </xf>
    <xf numFmtId="0" fontId="4" fillId="0" borderId="0" xfId="0" applyFont="1" applyBorder="1" applyAlignment="1" applyProtection="1">
      <alignment horizontal="right" vertical="top" wrapText="1"/>
    </xf>
    <xf numFmtId="0" fontId="30" fillId="0" borderId="0" xfId="0" applyFont="1" applyFill="1" applyAlignment="1">
      <alignment vertical="center" wrapText="1"/>
    </xf>
    <xf numFmtId="0" fontId="30" fillId="0" borderId="0" xfId="0" applyFont="1" applyBorder="1" applyAlignment="1">
      <alignment vertical="center"/>
    </xf>
    <xf numFmtId="0" fontId="30" fillId="0" borderId="0" xfId="5" applyFont="1" applyFill="1" applyAlignment="1">
      <alignment vertical="center" wrapText="1"/>
    </xf>
    <xf numFmtId="0" fontId="30" fillId="0" borderId="0" xfId="5" applyFont="1" applyBorder="1" applyAlignment="1">
      <alignment vertical="center"/>
    </xf>
    <xf numFmtId="3" fontId="37" fillId="0" borderId="40" xfId="5" applyNumberFormat="1" applyFont="1" applyFill="1" applyBorder="1" applyAlignment="1">
      <alignment vertical="center" wrapText="1"/>
    </xf>
    <xf numFmtId="0" fontId="33" fillId="0" borderId="9" xfId="5" applyFont="1" applyFill="1" applyBorder="1" applyAlignment="1">
      <alignment horizontal="center" vertical="top" wrapText="1"/>
    </xf>
    <xf numFmtId="3" fontId="36" fillId="0" borderId="42" xfId="5" applyNumberFormat="1" applyFont="1" applyFill="1" applyBorder="1" applyAlignment="1">
      <alignment vertical="center" wrapText="1"/>
    </xf>
    <xf numFmtId="3" fontId="37" fillId="0" borderId="43" xfId="5" applyNumberFormat="1" applyFont="1" applyFill="1" applyBorder="1" applyAlignment="1">
      <alignment vertical="center" wrapText="1"/>
    </xf>
    <xf numFmtId="3" fontId="37" fillId="0" borderId="44" xfId="5" applyNumberFormat="1" applyFont="1" applyFill="1" applyBorder="1" applyAlignment="1">
      <alignment vertical="center" wrapText="1"/>
    </xf>
    <xf numFmtId="3" fontId="36" fillId="0" borderId="44" xfId="5" applyNumberFormat="1" applyFont="1" applyFill="1" applyBorder="1" applyAlignment="1">
      <alignment vertical="center" wrapText="1"/>
    </xf>
    <xf numFmtId="3" fontId="36" fillId="0" borderId="43" xfId="5" applyNumberFormat="1" applyFont="1" applyFill="1" applyBorder="1" applyAlignment="1">
      <alignment vertical="center" wrapText="1"/>
    </xf>
    <xf numFmtId="3" fontId="37" fillId="0" borderId="46" xfId="5" applyNumberFormat="1" applyFont="1" applyFill="1" applyBorder="1" applyAlignment="1">
      <alignment vertical="center" wrapText="1"/>
    </xf>
    <xf numFmtId="3" fontId="36" fillId="0" borderId="47" xfId="5" applyNumberFormat="1" applyFont="1" applyFill="1" applyBorder="1" applyAlignment="1">
      <alignment vertical="center" wrapText="1"/>
    </xf>
    <xf numFmtId="3" fontId="36" fillId="0" borderId="46" xfId="5" applyNumberFormat="1" applyFont="1" applyFill="1" applyBorder="1" applyAlignment="1">
      <alignment vertical="center" wrapText="1"/>
    </xf>
    <xf numFmtId="3" fontId="37" fillId="0" borderId="48" xfId="5" applyNumberFormat="1" applyFont="1" applyFill="1" applyBorder="1" applyAlignment="1">
      <alignment vertical="center" wrapText="1"/>
    </xf>
    <xf numFmtId="3" fontId="36" fillId="0" borderId="49" xfId="5" applyNumberFormat="1" applyFont="1" applyFill="1" applyBorder="1" applyAlignment="1">
      <alignment vertical="center" wrapText="1"/>
    </xf>
    <xf numFmtId="3" fontId="36" fillId="0" borderId="48" xfId="5" applyNumberFormat="1" applyFont="1" applyFill="1" applyBorder="1" applyAlignment="1">
      <alignment vertical="center" wrapText="1"/>
    </xf>
    <xf numFmtId="3" fontId="36" fillId="0" borderId="51" xfId="5" applyNumberFormat="1" applyFont="1" applyFill="1" applyBorder="1" applyAlignment="1">
      <alignment vertical="center" wrapText="1"/>
    </xf>
    <xf numFmtId="0" fontId="37" fillId="0" borderId="41" xfId="5" applyFont="1" applyFill="1" applyBorder="1" applyAlignment="1">
      <alignment vertical="center" wrapText="1"/>
    </xf>
    <xf numFmtId="0" fontId="37" fillId="0" borderId="46" xfId="5" applyFont="1" applyFill="1" applyBorder="1" applyAlignment="1">
      <alignment vertical="center" wrapText="1"/>
    </xf>
    <xf numFmtId="0" fontId="37" fillId="0" borderId="47" xfId="5" applyFont="1" applyFill="1" applyBorder="1" applyAlignment="1">
      <alignment vertical="center" wrapText="1"/>
    </xf>
    <xf numFmtId="0" fontId="37" fillId="0" borderId="49" xfId="5" applyFont="1" applyFill="1" applyBorder="1" applyAlignment="1">
      <alignment vertical="center" wrapText="1"/>
    </xf>
    <xf numFmtId="0" fontId="34" fillId="13" borderId="7" xfId="5" applyFont="1" applyFill="1" applyBorder="1" applyAlignment="1">
      <alignment horizontal="center" vertical="center" wrapText="1"/>
    </xf>
    <xf numFmtId="3" fontId="36" fillId="13" borderId="12" xfId="5" applyNumberFormat="1" applyFont="1" applyFill="1" applyBorder="1" applyAlignment="1">
      <alignment vertical="center" wrapText="1"/>
    </xf>
    <xf numFmtId="0" fontId="33" fillId="0" borderId="0" xfId="5" applyFont="1" applyBorder="1" applyAlignment="1">
      <alignment horizontal="right" vertical="top"/>
    </xf>
    <xf numFmtId="0" fontId="33" fillId="0" borderId="0" xfId="5" applyFont="1" applyFill="1" applyBorder="1" applyAlignment="1">
      <alignment horizontal="center" vertical="center" wrapText="1"/>
    </xf>
    <xf numFmtId="0" fontId="33" fillId="0" borderId="0" xfId="5" applyFont="1" applyFill="1" applyBorder="1" applyAlignment="1">
      <alignment horizontal="left" vertical="center" wrapText="1"/>
    </xf>
    <xf numFmtId="0" fontId="32" fillId="0" borderId="0" xfId="5" applyAlignment="1">
      <alignment vertical="center"/>
    </xf>
    <xf numFmtId="0" fontId="39" fillId="13" borderId="1" xfId="5" applyFont="1" applyFill="1" applyBorder="1" applyAlignment="1">
      <alignment horizontal="center" vertical="center" wrapText="1"/>
    </xf>
    <xf numFmtId="0" fontId="39" fillId="0" borderId="44" xfId="5" applyFont="1" applyBorder="1" applyAlignment="1">
      <alignment vertical="center" wrapText="1"/>
    </xf>
    <xf numFmtId="0" fontId="40" fillId="0" borderId="44" xfId="5" applyFont="1" applyBorder="1" applyAlignment="1">
      <alignment horizontal="justify" vertical="center" wrapText="1"/>
    </xf>
    <xf numFmtId="0" fontId="39" fillId="0" borderId="49" xfId="5" applyFont="1" applyBorder="1" applyAlignment="1">
      <alignment vertical="center" wrapText="1"/>
    </xf>
    <xf numFmtId="0" fontId="40" fillId="0" borderId="49" xfId="5" applyFont="1" applyBorder="1" applyAlignment="1">
      <alignment horizontal="justify" vertical="center" wrapText="1"/>
    </xf>
    <xf numFmtId="0" fontId="0" fillId="0" borderId="0" xfId="0" applyAlignment="1">
      <alignment vertical="center"/>
    </xf>
    <xf numFmtId="0" fontId="22" fillId="0" borderId="31" xfId="0" applyFont="1" applyBorder="1" applyAlignment="1">
      <alignment vertical="center"/>
    </xf>
    <xf numFmtId="0" fontId="0" fillId="0" borderId="33" xfId="0" applyBorder="1" applyAlignment="1">
      <alignment vertical="center"/>
    </xf>
    <xf numFmtId="0" fontId="22" fillId="0" borderId="34" xfId="0" applyFont="1" applyBorder="1" applyAlignment="1">
      <alignment vertical="center"/>
    </xf>
    <xf numFmtId="0" fontId="0" fillId="0" borderId="35" xfId="0" applyBorder="1" applyAlignment="1">
      <alignment vertical="center"/>
    </xf>
    <xf numFmtId="0" fontId="22" fillId="0" borderId="38" xfId="0" applyFont="1" applyBorder="1" applyAlignment="1">
      <alignment vertical="center"/>
    </xf>
    <xf numFmtId="0" fontId="0" fillId="0" borderId="39" xfId="0" applyBorder="1" applyAlignment="1">
      <alignment vertical="center"/>
    </xf>
    <xf numFmtId="0" fontId="31" fillId="12" borderId="14" xfId="5" applyFont="1" applyFill="1" applyBorder="1" applyAlignment="1">
      <alignment vertical="center" wrapText="1"/>
    </xf>
    <xf numFmtId="0" fontId="31" fillId="12" borderId="15" xfId="5" applyFont="1" applyFill="1" applyBorder="1" applyAlignment="1">
      <alignment vertical="center" wrapText="1"/>
    </xf>
    <xf numFmtId="0" fontId="31" fillId="12" borderId="7" xfId="5" applyFont="1" applyFill="1" applyBorder="1" applyAlignment="1">
      <alignment vertical="center" wrapText="1"/>
    </xf>
    <xf numFmtId="0" fontId="31" fillId="12" borderId="15" xfId="0" applyFont="1" applyFill="1" applyBorder="1" applyAlignment="1">
      <alignment vertical="center" wrapText="1"/>
    </xf>
    <xf numFmtId="0" fontId="31" fillId="12" borderId="7" xfId="0" applyFont="1" applyFill="1" applyBorder="1" applyAlignment="1">
      <alignment vertical="center" wrapText="1"/>
    </xf>
    <xf numFmtId="0" fontId="30" fillId="11" borderId="14" xfId="0" applyFont="1" applyFill="1" applyBorder="1" applyAlignment="1">
      <alignment vertical="center" wrapText="1"/>
    </xf>
    <xf numFmtId="0" fontId="30" fillId="11" borderId="15" xfId="0" applyFont="1" applyFill="1" applyBorder="1" applyAlignment="1">
      <alignment vertical="center" wrapText="1"/>
    </xf>
    <xf numFmtId="0" fontId="30" fillId="11" borderId="7" xfId="0" applyFont="1" applyFill="1" applyBorder="1" applyAlignment="1">
      <alignment vertical="center" wrapText="1"/>
    </xf>
    <xf numFmtId="0" fontId="4" fillId="3" borderId="30" xfId="0" applyFont="1" applyFill="1" applyBorder="1" applyAlignment="1" applyProtection="1">
      <alignment vertical="top" wrapText="1"/>
    </xf>
    <xf numFmtId="49" fontId="45" fillId="0" borderId="59" xfId="5" applyNumberFormat="1" applyFont="1" applyBorder="1" applyAlignment="1">
      <alignment vertical="center" wrapText="1"/>
    </xf>
    <xf numFmtId="49" fontId="45" fillId="0" borderId="59" xfId="5" quotePrefix="1" applyNumberFormat="1" applyFont="1" applyBorder="1" applyAlignment="1">
      <alignment vertical="center" wrapText="1"/>
    </xf>
    <xf numFmtId="0" fontId="45" fillId="0" borderId="59" xfId="5" applyFont="1" applyBorder="1" applyAlignment="1">
      <alignment vertical="center" wrapText="1"/>
    </xf>
    <xf numFmtId="49" fontId="45" fillId="0" borderId="58" xfId="5" applyNumberFormat="1" applyFont="1" applyBorder="1" applyAlignment="1">
      <alignment horizontal="center" vertical="center" wrapText="1"/>
    </xf>
    <xf numFmtId="49" fontId="46" fillId="0" borderId="58" xfId="5" applyNumberFormat="1" applyFont="1" applyBorder="1" applyAlignment="1">
      <alignment horizontal="center" vertical="center" wrapText="1"/>
    </xf>
    <xf numFmtId="49" fontId="45" fillId="9" borderId="58" xfId="5" applyNumberFormat="1" applyFont="1" applyFill="1" applyBorder="1" applyAlignment="1">
      <alignment horizontal="center" vertical="center" wrapText="1"/>
    </xf>
    <xf numFmtId="0" fontId="22" fillId="0" borderId="0" xfId="0" applyFont="1" applyAlignment="1">
      <alignment horizontal="center" wrapText="1"/>
    </xf>
    <xf numFmtId="49" fontId="45" fillId="19" borderId="58" xfId="5" applyNumberFormat="1" applyFont="1" applyFill="1" applyBorder="1" applyAlignment="1">
      <alignment horizontal="center" vertical="center"/>
    </xf>
    <xf numFmtId="49" fontId="47" fillId="19" borderId="58" xfId="5" applyNumberFormat="1" applyFont="1" applyFill="1" applyBorder="1" applyAlignment="1">
      <alignment horizontal="center" vertical="center"/>
    </xf>
    <xf numFmtId="0" fontId="47" fillId="19" borderId="58" xfId="5" applyNumberFormat="1" applyFont="1" applyFill="1" applyBorder="1" applyAlignment="1">
      <alignment horizontal="left" vertical="center"/>
    </xf>
    <xf numFmtId="0" fontId="45" fillId="19" borderId="58" xfId="5" applyFont="1" applyFill="1" applyBorder="1" applyAlignment="1">
      <alignment horizontal="left" vertical="center"/>
    </xf>
    <xf numFmtId="169" fontId="45" fillId="19" borderId="58" xfId="4" applyNumberFormat="1" applyFont="1" applyFill="1" applyBorder="1" applyAlignment="1">
      <alignment horizontal="right" vertical="center"/>
    </xf>
    <xf numFmtId="10" fontId="45" fillId="19" borderId="58" xfId="3" applyNumberFormat="1" applyFont="1" applyFill="1" applyBorder="1" applyAlignment="1">
      <alignment horizontal="right" vertical="center"/>
    </xf>
    <xf numFmtId="49" fontId="45" fillId="0" borderId="0" xfId="5" applyNumberFormat="1" applyFont="1" applyFill="1" applyBorder="1" applyAlignment="1">
      <alignment horizontal="center" vertical="center"/>
    </xf>
    <xf numFmtId="0" fontId="45" fillId="20" borderId="58" xfId="5" applyNumberFormat="1" applyFont="1" applyFill="1" applyBorder="1" applyAlignment="1">
      <alignment horizontal="center" vertical="center"/>
    </xf>
    <xf numFmtId="49" fontId="45" fillId="20" borderId="58" xfId="5" applyNumberFormat="1" applyFont="1" applyFill="1" applyBorder="1" applyAlignment="1">
      <alignment horizontal="center" vertical="center"/>
    </xf>
    <xf numFmtId="49" fontId="47" fillId="20" borderId="58" xfId="5" applyNumberFormat="1" applyFont="1" applyFill="1" applyBorder="1" applyAlignment="1">
      <alignment horizontal="center" vertical="center"/>
    </xf>
    <xf numFmtId="0" fontId="45" fillId="20" borderId="58" xfId="5" applyNumberFormat="1" applyFont="1" applyFill="1" applyBorder="1" applyAlignment="1">
      <alignment horizontal="left" vertical="center"/>
    </xf>
    <xf numFmtId="169" fontId="45" fillId="20" borderId="58" xfId="4" applyNumberFormat="1" applyFont="1" applyFill="1" applyBorder="1" applyAlignment="1">
      <alignment horizontal="right" vertical="center"/>
    </xf>
    <xf numFmtId="10" fontId="45" fillId="20" borderId="58" xfId="3" applyNumberFormat="1" applyFont="1" applyFill="1" applyBorder="1" applyAlignment="1">
      <alignment horizontal="right" vertical="center"/>
    </xf>
    <xf numFmtId="0" fontId="45" fillId="20" borderId="58" xfId="5" applyFont="1" applyFill="1" applyBorder="1" applyAlignment="1">
      <alignment horizontal="center" vertical="center"/>
    </xf>
    <xf numFmtId="0" fontId="45" fillId="21" borderId="58" xfId="5" applyNumberFormat="1" applyFont="1" applyFill="1" applyBorder="1" applyAlignment="1">
      <alignment horizontal="center" vertical="center"/>
    </xf>
    <xf numFmtId="49" fontId="45" fillId="21" borderId="58" xfId="5" applyNumberFormat="1" applyFont="1" applyFill="1" applyBorder="1" applyAlignment="1">
      <alignment horizontal="center" vertical="center"/>
    </xf>
    <xf numFmtId="49" fontId="47" fillId="21" borderId="58" xfId="5" applyNumberFormat="1" applyFont="1" applyFill="1" applyBorder="1" applyAlignment="1">
      <alignment horizontal="center" vertical="center"/>
    </xf>
    <xf numFmtId="0" fontId="45" fillId="21" borderId="58" xfId="5" applyNumberFormat="1" applyFont="1" applyFill="1" applyBorder="1" applyAlignment="1">
      <alignment horizontal="left" vertical="center"/>
    </xf>
    <xf numFmtId="169" fontId="45" fillId="21" borderId="58" xfId="4" applyNumberFormat="1" applyFont="1" applyFill="1" applyBorder="1" applyAlignment="1">
      <alignment horizontal="right" vertical="center"/>
    </xf>
    <xf numFmtId="10" fontId="45" fillId="21" borderId="58" xfId="3" applyNumberFormat="1" applyFont="1" applyFill="1" applyBorder="1" applyAlignment="1">
      <alignment horizontal="right" vertical="center"/>
    </xf>
    <xf numFmtId="0" fontId="45" fillId="21" borderId="58" xfId="5" applyFont="1" applyFill="1" applyBorder="1" applyAlignment="1">
      <alignment horizontal="center" vertical="center"/>
    </xf>
    <xf numFmtId="0" fontId="45" fillId="22" borderId="58" xfId="5" applyNumberFormat="1" applyFont="1" applyFill="1" applyBorder="1" applyAlignment="1">
      <alignment horizontal="center" vertical="center"/>
    </xf>
    <xf numFmtId="49" fontId="45" fillId="22" borderId="58" xfId="5" applyNumberFormat="1" applyFont="1" applyFill="1" applyBorder="1" applyAlignment="1">
      <alignment horizontal="center" vertical="center"/>
    </xf>
    <xf numFmtId="49" fontId="47" fillId="22" borderId="58" xfId="5" applyNumberFormat="1" applyFont="1" applyFill="1" applyBorder="1" applyAlignment="1">
      <alignment horizontal="center" vertical="center"/>
    </xf>
    <xf numFmtId="0" fontId="45" fillId="22" borderId="58" xfId="5" applyNumberFormat="1" applyFont="1" applyFill="1" applyBorder="1" applyAlignment="1">
      <alignment horizontal="left" vertical="center"/>
    </xf>
    <xf numFmtId="169" fontId="45" fillId="22" borderId="58" xfId="4" applyNumberFormat="1" applyFont="1" applyFill="1" applyBorder="1" applyAlignment="1">
      <alignment horizontal="right" vertical="center"/>
    </xf>
    <xf numFmtId="10" fontId="45" fillId="22" borderId="58" xfId="3" applyNumberFormat="1" applyFont="1" applyFill="1" applyBorder="1" applyAlignment="1">
      <alignment horizontal="right" vertical="center"/>
    </xf>
    <xf numFmtId="0" fontId="45" fillId="22" borderId="58" xfId="5" applyFont="1" applyFill="1" applyBorder="1" applyAlignment="1">
      <alignment horizontal="center" vertical="center"/>
    </xf>
    <xf numFmtId="49" fontId="45" fillId="0" borderId="58" xfId="5" applyNumberFormat="1" applyFont="1" applyBorder="1" applyAlignment="1">
      <alignment horizontal="center" vertical="center"/>
    </xf>
    <xf numFmtId="49" fontId="45" fillId="0" borderId="58" xfId="5" applyNumberFormat="1" applyFont="1" applyFill="1" applyBorder="1" applyAlignment="1">
      <alignment horizontal="center" vertical="center"/>
    </xf>
    <xf numFmtId="49" fontId="47" fillId="0" borderId="58" xfId="5" applyNumberFormat="1" applyFont="1" applyBorder="1" applyAlignment="1">
      <alignment horizontal="center" vertical="center"/>
    </xf>
    <xf numFmtId="0" fontId="45" fillId="0" borderId="58" xfId="5" applyNumberFormat="1" applyFont="1" applyBorder="1" applyAlignment="1">
      <alignment horizontal="left" vertical="center"/>
    </xf>
    <xf numFmtId="169" fontId="45" fillId="0" borderId="58" xfId="4" applyNumberFormat="1" applyFont="1" applyBorder="1" applyAlignment="1">
      <alignment horizontal="right" vertical="center"/>
    </xf>
    <xf numFmtId="10" fontId="45" fillId="0" borderId="58" xfId="3" applyNumberFormat="1" applyFont="1" applyBorder="1" applyAlignment="1">
      <alignment horizontal="right" vertical="center"/>
    </xf>
    <xf numFmtId="0" fontId="45" fillId="0" borderId="58" xfId="5" applyNumberFormat="1" applyFont="1" applyBorder="1" applyAlignment="1">
      <alignment horizontal="center" vertical="center"/>
    </xf>
    <xf numFmtId="0" fontId="45" fillId="0" borderId="58" xfId="5" applyFont="1" applyBorder="1" applyAlignment="1">
      <alignment horizontal="center" vertical="center"/>
    </xf>
    <xf numFmtId="49" fontId="47" fillId="0" borderId="58" xfId="5" applyNumberFormat="1" applyFont="1" applyFill="1" applyBorder="1" applyAlignment="1">
      <alignment horizontal="center" vertical="center"/>
    </xf>
    <xf numFmtId="0" fontId="47" fillId="0" borderId="58" xfId="5" applyNumberFormat="1" applyFont="1" applyBorder="1" applyAlignment="1">
      <alignment horizontal="left" vertical="center"/>
    </xf>
    <xf numFmtId="169" fontId="47" fillId="0" borderId="58" xfId="4" applyNumberFormat="1" applyFont="1" applyBorder="1" applyAlignment="1">
      <alignment horizontal="right" vertical="center"/>
    </xf>
    <xf numFmtId="10" fontId="47" fillId="0" borderId="58" xfId="3" applyNumberFormat="1" applyFont="1" applyBorder="1" applyAlignment="1">
      <alignment horizontal="right" vertical="center"/>
    </xf>
    <xf numFmtId="0" fontId="47" fillId="0" borderId="58" xfId="5" applyNumberFormat="1" applyFont="1" applyBorder="1" applyAlignment="1">
      <alignment horizontal="center" vertical="center"/>
    </xf>
    <xf numFmtId="0" fontId="47" fillId="0" borderId="58" xfId="5" applyFont="1" applyBorder="1" applyAlignment="1">
      <alignment horizontal="center" vertical="center"/>
    </xf>
    <xf numFmtId="0" fontId="0" fillId="0" borderId="0" xfId="0" applyFont="1"/>
    <xf numFmtId="0" fontId="45" fillId="0" borderId="58" xfId="5" applyNumberFormat="1" applyFont="1" applyFill="1" applyBorder="1" applyAlignment="1">
      <alignment horizontal="left" vertical="center"/>
    </xf>
    <xf numFmtId="169" fontId="45" fillId="0" borderId="58" xfId="4" applyNumberFormat="1" applyFont="1" applyFill="1" applyBorder="1" applyAlignment="1">
      <alignment horizontal="right" vertical="center"/>
    </xf>
    <xf numFmtId="10" fontId="45" fillId="0" borderId="58" xfId="3" applyNumberFormat="1" applyFont="1" applyFill="1" applyBorder="1" applyAlignment="1">
      <alignment horizontal="right" vertical="center"/>
    </xf>
    <xf numFmtId="0" fontId="47" fillId="0" borderId="58" xfId="5" applyNumberFormat="1" applyFont="1" applyFill="1" applyBorder="1" applyAlignment="1">
      <alignment horizontal="left" vertical="center"/>
    </xf>
    <xf numFmtId="169" fontId="47" fillId="0" borderId="58" xfId="4" applyNumberFormat="1" applyFont="1" applyFill="1" applyBorder="1" applyAlignment="1">
      <alignment horizontal="right" vertical="center"/>
    </xf>
    <xf numFmtId="10" fontId="47" fillId="0" borderId="58" xfId="3" applyNumberFormat="1" applyFont="1" applyFill="1" applyBorder="1" applyAlignment="1">
      <alignment horizontal="right" vertical="center"/>
    </xf>
    <xf numFmtId="49" fontId="47" fillId="0" borderId="0" xfId="5" applyNumberFormat="1" applyFont="1" applyFill="1" applyBorder="1" applyAlignment="1">
      <alignment horizontal="center" vertical="center"/>
    </xf>
    <xf numFmtId="166" fontId="45" fillId="22" borderId="58" xfId="4" applyFont="1" applyFill="1" applyBorder="1" applyAlignment="1">
      <alignment horizontal="right" vertical="center"/>
    </xf>
    <xf numFmtId="166" fontId="45" fillId="0" borderId="58" xfId="4" applyFont="1" applyFill="1" applyBorder="1" applyAlignment="1">
      <alignment horizontal="right" vertical="center"/>
    </xf>
    <xf numFmtId="166" fontId="47" fillId="0" borderId="58" xfId="4" applyFont="1" applyFill="1" applyBorder="1" applyAlignment="1">
      <alignment horizontal="right" vertical="center"/>
    </xf>
    <xf numFmtId="166" fontId="45" fillId="0" borderId="58" xfId="4" applyFont="1" applyBorder="1" applyAlignment="1">
      <alignment horizontal="right" vertical="center"/>
    </xf>
    <xf numFmtId="166" fontId="47" fillId="0" borderId="58" xfId="4" applyFont="1" applyBorder="1" applyAlignment="1">
      <alignment horizontal="right" vertical="center"/>
    </xf>
    <xf numFmtId="166" fontId="45" fillId="21" borderId="58" xfId="4" applyFont="1" applyFill="1" applyBorder="1" applyAlignment="1">
      <alignment horizontal="right" vertical="center"/>
    </xf>
    <xf numFmtId="166" fontId="45" fillId="0" borderId="58" xfId="4" applyFont="1" applyBorder="1" applyAlignment="1">
      <alignment horizontal="left" vertical="center"/>
    </xf>
    <xf numFmtId="10" fontId="45" fillId="0" borderId="58" xfId="3" applyNumberFormat="1" applyFont="1" applyBorder="1" applyAlignment="1">
      <alignment horizontal="left" vertical="center"/>
    </xf>
    <xf numFmtId="166" fontId="47" fillId="0" borderId="58" xfId="4" applyFont="1" applyBorder="1" applyAlignment="1">
      <alignment horizontal="left" vertical="center"/>
    </xf>
    <xf numFmtId="10" fontId="47" fillId="0" borderId="58" xfId="3" applyNumberFormat="1" applyFont="1" applyBorder="1" applyAlignment="1">
      <alignment horizontal="left" vertical="center"/>
    </xf>
    <xf numFmtId="166" fontId="45" fillId="22" borderId="58" xfId="4" applyFont="1" applyFill="1" applyBorder="1" applyAlignment="1">
      <alignment horizontal="left" vertical="center"/>
    </xf>
    <xf numFmtId="10" fontId="45" fillId="22" borderId="58" xfId="3" applyNumberFormat="1" applyFont="1" applyFill="1" applyBorder="1" applyAlignment="1">
      <alignment horizontal="left" vertical="center"/>
    </xf>
    <xf numFmtId="49" fontId="45" fillId="21" borderId="58" xfId="5" applyNumberFormat="1" applyFont="1" applyFill="1" applyBorder="1" applyAlignment="1">
      <alignment horizontal="left" vertical="center"/>
    </xf>
    <xf numFmtId="166" fontId="45" fillId="21" borderId="58" xfId="4" applyFont="1" applyFill="1" applyBorder="1" applyAlignment="1">
      <alignment horizontal="center" vertical="center"/>
    </xf>
    <xf numFmtId="10" fontId="45" fillId="21" borderId="58" xfId="3" applyNumberFormat="1" applyFont="1" applyFill="1" applyBorder="1" applyAlignment="1">
      <alignment horizontal="center" vertical="center"/>
    </xf>
    <xf numFmtId="166" fontId="47" fillId="0" borderId="58" xfId="4" applyFont="1" applyFill="1" applyBorder="1" applyAlignment="1">
      <alignment horizontal="left" vertical="center"/>
    </xf>
    <xf numFmtId="10" fontId="47" fillId="0" borderId="58" xfId="3" applyNumberFormat="1" applyFont="1" applyFill="1" applyBorder="1" applyAlignment="1">
      <alignment horizontal="left" vertical="center"/>
    </xf>
    <xf numFmtId="0" fontId="47" fillId="0" borderId="58" xfId="5" applyFont="1" applyFill="1" applyBorder="1" applyAlignment="1">
      <alignment horizontal="center" vertical="center"/>
    </xf>
    <xf numFmtId="0" fontId="0" fillId="0" borderId="0" xfId="0" applyFont="1" applyFill="1"/>
    <xf numFmtId="166" fontId="45" fillId="0" borderId="58" xfId="4" applyFont="1" applyFill="1" applyBorder="1" applyAlignment="1">
      <alignment horizontal="left" vertical="center"/>
    </xf>
    <xf numFmtId="10" fontId="45" fillId="0" borderId="58" xfId="3" applyNumberFormat="1" applyFont="1" applyFill="1" applyBorder="1" applyAlignment="1">
      <alignment horizontal="left" vertical="center"/>
    </xf>
    <xf numFmtId="0" fontId="22" fillId="0" borderId="0" xfId="0" applyFont="1" applyFill="1"/>
    <xf numFmtId="166" fontId="45" fillId="21" borderId="58" xfId="4" applyFont="1" applyFill="1" applyBorder="1" applyAlignment="1">
      <alignment horizontal="left" vertical="center"/>
    </xf>
    <xf numFmtId="10" fontId="45" fillId="21" borderId="58" xfId="3" applyNumberFormat="1" applyFont="1" applyFill="1" applyBorder="1" applyAlignment="1">
      <alignment horizontal="left" vertical="center"/>
    </xf>
    <xf numFmtId="0" fontId="0" fillId="0" borderId="0" xfId="0" applyFont="1" applyAlignment="1"/>
    <xf numFmtId="166" fontId="0" fillId="0" borderId="0" xfId="0" applyNumberFormat="1" applyFont="1" applyAlignment="1"/>
    <xf numFmtId="49" fontId="48" fillId="24" borderId="64" xfId="0" applyNumberFormat="1" applyFont="1" applyFill="1" applyBorder="1" applyAlignment="1">
      <alignment horizontal="center" vertical="center"/>
    </xf>
    <xf numFmtId="49" fontId="48" fillId="25" borderId="64" xfId="0" applyNumberFormat="1" applyFont="1" applyFill="1" applyBorder="1" applyAlignment="1">
      <alignment horizontal="center" vertical="center"/>
    </xf>
    <xf numFmtId="0" fontId="48" fillId="25" borderId="64" xfId="0" applyFont="1" applyFill="1" applyBorder="1" applyAlignment="1">
      <alignment horizontal="center" vertical="center"/>
    </xf>
    <xf numFmtId="0" fontId="50" fillId="0" borderId="64" xfId="0" applyFont="1" applyBorder="1" applyAlignment="1">
      <alignment horizontal="center" vertical="center"/>
    </xf>
    <xf numFmtId="49" fontId="50" fillId="0" borderId="64" xfId="0" applyNumberFormat="1" applyFont="1" applyBorder="1" applyAlignment="1">
      <alignment horizontal="center" vertical="center"/>
    </xf>
    <xf numFmtId="49" fontId="48" fillId="0" borderId="64" xfId="0" applyNumberFormat="1" applyFont="1" applyBorder="1" applyAlignment="1">
      <alignment horizontal="center" vertical="center"/>
    </xf>
    <xf numFmtId="0" fontId="51" fillId="0" borderId="0" xfId="0" applyFont="1" applyAlignment="1"/>
    <xf numFmtId="0" fontId="48" fillId="26" borderId="64" xfId="0" applyFont="1" applyFill="1" applyBorder="1" applyAlignment="1">
      <alignment horizontal="center" vertical="center"/>
    </xf>
    <xf numFmtId="49" fontId="48" fillId="26" borderId="64" xfId="0" applyNumberFormat="1" applyFont="1" applyFill="1" applyBorder="1" applyAlignment="1">
      <alignment horizontal="center" vertical="center"/>
    </xf>
    <xf numFmtId="0" fontId="50" fillId="0" borderId="64" xfId="0" applyFont="1" applyFill="1" applyBorder="1" applyAlignment="1">
      <alignment horizontal="center" vertical="center"/>
    </xf>
    <xf numFmtId="49" fontId="50" fillId="0" borderId="64" xfId="0" applyNumberFormat="1" applyFont="1" applyFill="1" applyBorder="1" applyAlignment="1">
      <alignment horizontal="center" vertical="center"/>
    </xf>
    <xf numFmtId="0" fontId="49" fillId="0" borderId="0" xfId="0" applyFont="1" applyFill="1" applyAlignment="1"/>
    <xf numFmtId="0" fontId="48" fillId="0" borderId="64" xfId="0" applyFont="1" applyFill="1" applyBorder="1" applyAlignment="1">
      <alignment horizontal="center" vertical="center"/>
    </xf>
    <xf numFmtId="49" fontId="48" fillId="0" borderId="64" xfId="0" applyNumberFormat="1" applyFont="1" applyFill="1" applyBorder="1" applyAlignment="1">
      <alignment horizontal="center" vertical="center"/>
    </xf>
    <xf numFmtId="0" fontId="0" fillId="0" borderId="0" xfId="0" applyFont="1" applyFill="1" applyAlignment="1"/>
    <xf numFmtId="0" fontId="49" fillId="0" borderId="0" xfId="0" applyFont="1" applyAlignment="1"/>
    <xf numFmtId="0" fontId="50" fillId="26" borderId="64" xfId="0" applyFont="1" applyFill="1" applyBorder="1" applyAlignment="1">
      <alignment horizontal="center" vertical="center"/>
    </xf>
    <xf numFmtId="49" fontId="50" fillId="26" borderId="64" xfId="0" applyNumberFormat="1" applyFont="1" applyFill="1" applyBorder="1" applyAlignment="1">
      <alignment horizontal="center" vertical="center"/>
    </xf>
    <xf numFmtId="0" fontId="50" fillId="25" borderId="64" xfId="0" applyFont="1" applyFill="1" applyBorder="1" applyAlignment="1">
      <alignment horizontal="center" vertical="center"/>
    </xf>
    <xf numFmtId="0" fontId="30" fillId="26" borderId="64" xfId="0" quotePrefix="1" applyFont="1" applyFill="1" applyBorder="1" applyAlignment="1">
      <alignment horizontal="left"/>
    </xf>
    <xf numFmtId="0" fontId="30" fillId="26" borderId="64" xfId="0" quotePrefix="1" applyFont="1" applyFill="1" applyBorder="1" applyAlignment="1">
      <alignment horizontal="center"/>
    </xf>
    <xf numFmtId="49" fontId="48" fillId="27" borderId="64" xfId="0" applyNumberFormat="1" applyFont="1" applyFill="1" applyBorder="1" applyAlignment="1">
      <alignment horizontal="center" vertical="center"/>
    </xf>
    <xf numFmtId="0" fontId="50" fillId="27" borderId="64" xfId="0" applyFont="1" applyFill="1" applyBorder="1" applyAlignment="1">
      <alignment horizontal="center" vertical="center"/>
    </xf>
    <xf numFmtId="0" fontId="52" fillId="0" borderId="0" xfId="0" applyFont="1" applyAlignment="1">
      <alignment horizontal="left" vertical="center"/>
    </xf>
    <xf numFmtId="0" fontId="33" fillId="13" borderId="12" xfId="5" applyFont="1" applyFill="1" applyBorder="1" applyAlignment="1">
      <alignment horizontal="center" vertical="center" wrapText="1"/>
    </xf>
    <xf numFmtId="49" fontId="53" fillId="0" borderId="55" xfId="5" quotePrefix="1" applyNumberFormat="1" applyFont="1" applyBorder="1" applyAlignment="1">
      <alignment horizontal="left" vertical="center" wrapText="1"/>
    </xf>
    <xf numFmtId="0" fontId="54" fillId="0" borderId="55" xfId="0" quotePrefix="1" applyFont="1" applyBorder="1" applyAlignment="1">
      <alignment horizontal="left" vertical="center" wrapText="1"/>
    </xf>
    <xf numFmtId="49" fontId="53" fillId="0" borderId="58" xfId="5" applyNumberFormat="1" applyFont="1" applyBorder="1" applyAlignment="1">
      <alignment horizontal="left" vertical="center" wrapText="1"/>
    </xf>
    <xf numFmtId="0" fontId="54" fillId="0" borderId="55" xfId="0" applyFont="1" applyBorder="1" applyAlignment="1">
      <alignment vertical="center" wrapText="1"/>
    </xf>
    <xf numFmtId="49" fontId="33" fillId="0" borderId="58" xfId="5" applyNumberFormat="1" applyFont="1" applyBorder="1" applyAlignment="1">
      <alignment horizontal="left" vertical="center" wrapText="1"/>
    </xf>
    <xf numFmtId="49" fontId="53" fillId="9" borderId="58" xfId="5" applyNumberFormat="1" applyFont="1" applyFill="1" applyBorder="1" applyAlignment="1">
      <alignment horizontal="left" vertical="center" wrapText="1"/>
    </xf>
    <xf numFmtId="49" fontId="53" fillId="9" borderId="59" xfId="5" applyNumberFormat="1" applyFont="1" applyFill="1" applyBorder="1" applyAlignment="1">
      <alignment horizontal="left" vertical="center" wrapText="1"/>
    </xf>
    <xf numFmtId="49" fontId="53" fillId="0" borderId="59" xfId="5" applyNumberFormat="1" applyFont="1" applyBorder="1" applyAlignment="1">
      <alignment horizontal="left" vertical="center" wrapText="1"/>
    </xf>
    <xf numFmtId="49" fontId="52" fillId="0" borderId="58" xfId="5" quotePrefix="1" applyNumberFormat="1" applyFont="1" applyBorder="1" applyAlignment="1">
      <alignment horizontal="left" vertical="center" wrapText="1"/>
    </xf>
    <xf numFmtId="49" fontId="53" fillId="0" borderId="58" xfId="5" quotePrefix="1" applyNumberFormat="1" applyFont="1" applyBorder="1" applyAlignment="1">
      <alignment horizontal="left" vertical="center" wrapText="1"/>
    </xf>
    <xf numFmtId="0" fontId="52" fillId="0" borderId="0" xfId="0" applyFont="1"/>
    <xf numFmtId="0" fontId="30" fillId="0" borderId="16" xfId="2" applyFont="1" applyBorder="1" applyAlignment="1" applyProtection="1">
      <alignment horizontal="left" vertical="top"/>
    </xf>
    <xf numFmtId="3" fontId="36" fillId="0" borderId="19" xfId="5" applyNumberFormat="1" applyFont="1" applyFill="1" applyBorder="1" applyAlignment="1">
      <alignment vertical="center" wrapText="1"/>
    </xf>
    <xf numFmtId="3" fontId="36" fillId="0" borderId="22" xfId="5" applyNumberFormat="1" applyFont="1" applyFill="1" applyBorder="1" applyAlignment="1">
      <alignment vertical="center" wrapText="1"/>
    </xf>
    <xf numFmtId="3" fontId="36" fillId="0" borderId="41" xfId="5" applyNumberFormat="1" applyFont="1" applyFill="1" applyBorder="1" applyAlignment="1">
      <alignment vertical="center" wrapText="1"/>
    </xf>
    <xf numFmtId="3" fontId="36" fillId="0" borderId="45" xfId="5" applyNumberFormat="1" applyFont="1" applyFill="1" applyBorder="1" applyAlignment="1">
      <alignment vertical="center" wrapText="1"/>
    </xf>
    <xf numFmtId="3" fontId="36" fillId="0" borderId="30" xfId="5" applyNumberFormat="1" applyFont="1" applyFill="1" applyBorder="1" applyAlignment="1">
      <alignment vertical="center" wrapText="1"/>
    </xf>
    <xf numFmtId="3" fontId="36" fillId="0" borderId="66" xfId="5" applyNumberFormat="1" applyFont="1" applyFill="1" applyBorder="1" applyAlignment="1">
      <alignment vertical="center" wrapText="1"/>
    </xf>
    <xf numFmtId="9" fontId="37" fillId="0" borderId="44" xfId="3" applyFont="1" applyFill="1" applyBorder="1" applyAlignment="1">
      <alignment vertical="center" wrapText="1"/>
    </xf>
    <xf numFmtId="9" fontId="37" fillId="0" borderId="43" xfId="3" applyFont="1" applyFill="1" applyBorder="1" applyAlignment="1">
      <alignment vertical="center" wrapText="1"/>
    </xf>
    <xf numFmtId="170" fontId="37" fillId="0" borderId="44" xfId="3" applyNumberFormat="1" applyFont="1" applyFill="1" applyBorder="1" applyAlignment="1">
      <alignment vertical="center" wrapText="1"/>
    </xf>
    <xf numFmtId="10" fontId="37" fillId="0" borderId="44" xfId="3" applyNumberFormat="1" applyFont="1" applyFill="1" applyBorder="1" applyAlignment="1">
      <alignment vertical="center" wrapText="1"/>
    </xf>
    <xf numFmtId="10" fontId="36" fillId="0" borderId="43" xfId="3" applyNumberFormat="1" applyFont="1" applyFill="1" applyBorder="1" applyAlignment="1">
      <alignment vertical="center" wrapText="1"/>
    </xf>
    <xf numFmtId="9" fontId="36" fillId="0" borderId="44" xfId="3" applyFont="1" applyFill="1" applyBorder="1" applyAlignment="1">
      <alignment vertical="center" wrapText="1"/>
    </xf>
    <xf numFmtId="10" fontId="34" fillId="13" borderId="7" xfId="3" applyNumberFormat="1" applyFont="1" applyFill="1" applyBorder="1" applyAlignment="1">
      <alignment horizontal="center" vertical="center" wrapText="1"/>
    </xf>
    <xf numFmtId="10" fontId="36" fillId="13" borderId="12" xfId="3" applyNumberFormat="1" applyFont="1" applyFill="1" applyBorder="1" applyAlignment="1">
      <alignment vertical="center" wrapText="1"/>
    </xf>
    <xf numFmtId="9" fontId="4" fillId="3" borderId="7" xfId="0" applyNumberFormat="1" applyFont="1" applyFill="1" applyBorder="1" applyAlignment="1" applyProtection="1">
      <alignment vertical="top"/>
      <protection locked="0"/>
    </xf>
    <xf numFmtId="49" fontId="45" fillId="0" borderId="58" xfId="5" applyNumberFormat="1" applyFont="1" applyBorder="1" applyAlignment="1">
      <alignment horizontal="center" vertical="center"/>
    </xf>
    <xf numFmtId="170" fontId="4" fillId="6" borderId="8" xfId="0" applyNumberFormat="1" applyFont="1" applyFill="1" applyBorder="1" applyAlignment="1" applyProtection="1">
      <alignment horizontal="center" vertical="top"/>
    </xf>
    <xf numFmtId="10" fontId="4" fillId="4" borderId="8" xfId="0" applyNumberFormat="1" applyFont="1" applyFill="1" applyBorder="1" applyAlignment="1" applyProtection="1">
      <alignment horizontal="center" vertical="top"/>
    </xf>
    <xf numFmtId="10" fontId="25" fillId="6" borderId="8" xfId="0" applyNumberFormat="1" applyFont="1" applyFill="1" applyBorder="1" applyAlignment="1" applyProtection="1">
      <alignment horizontal="center" vertical="top"/>
    </xf>
    <xf numFmtId="10" fontId="36" fillId="0" borderId="41" xfId="3" applyNumberFormat="1" applyFont="1" applyFill="1" applyBorder="1" applyAlignment="1">
      <alignment vertical="center" wrapText="1"/>
    </xf>
    <xf numFmtId="168" fontId="36" fillId="13" borderId="12" xfId="4" applyNumberFormat="1" applyFont="1" applyFill="1" applyBorder="1" applyAlignment="1">
      <alignment vertical="center" wrapText="1"/>
    </xf>
    <xf numFmtId="168" fontId="36" fillId="0" borderId="51" xfId="4" applyNumberFormat="1" applyFont="1" applyFill="1" applyBorder="1" applyAlignment="1">
      <alignment vertical="center" wrapText="1"/>
    </xf>
    <xf numFmtId="168" fontId="36" fillId="0" borderId="43" xfId="4" applyNumberFormat="1" applyFont="1" applyFill="1" applyBorder="1" applyAlignment="1">
      <alignment vertical="center" wrapText="1"/>
    </xf>
    <xf numFmtId="168" fontId="36" fillId="0" borderId="46" xfId="4" applyNumberFormat="1" applyFont="1" applyFill="1" applyBorder="1" applyAlignment="1">
      <alignment vertical="center" wrapText="1"/>
    </xf>
    <xf numFmtId="168" fontId="36" fillId="0" borderId="48" xfId="4" applyNumberFormat="1" applyFont="1" applyFill="1" applyBorder="1" applyAlignment="1">
      <alignment vertical="center" wrapText="1"/>
    </xf>
    <xf numFmtId="168" fontId="36" fillId="0" borderId="42" xfId="4" applyNumberFormat="1" applyFont="1" applyFill="1" applyBorder="1" applyAlignment="1">
      <alignment vertical="center" wrapText="1"/>
    </xf>
    <xf numFmtId="168" fontId="36" fillId="0" borderId="44" xfId="4" applyNumberFormat="1" applyFont="1" applyFill="1" applyBorder="1" applyAlignment="1">
      <alignment vertical="center" wrapText="1"/>
    </xf>
    <xf numFmtId="168" fontId="36" fillId="0" borderId="47" xfId="4" applyNumberFormat="1" applyFont="1" applyFill="1" applyBorder="1" applyAlignment="1">
      <alignment vertical="center" wrapText="1"/>
    </xf>
    <xf numFmtId="168" fontId="36" fillId="0" borderId="49" xfId="4" applyNumberFormat="1" applyFont="1" applyFill="1" applyBorder="1" applyAlignment="1">
      <alignment vertical="center" wrapText="1"/>
    </xf>
    <xf numFmtId="0" fontId="4" fillId="29" borderId="8" xfId="0" applyFont="1" applyFill="1" applyBorder="1" applyAlignment="1">
      <alignment vertical="top" wrapText="1"/>
    </xf>
    <xf numFmtId="49" fontId="45" fillId="0" borderId="58" xfId="5" applyNumberFormat="1" applyFont="1" applyBorder="1" applyAlignment="1">
      <alignment horizontal="center" vertical="center"/>
    </xf>
    <xf numFmtId="49" fontId="45" fillId="0" borderId="58" xfId="5" applyNumberFormat="1" applyFont="1" applyBorder="1" applyAlignment="1">
      <alignment horizontal="center" vertical="center"/>
    </xf>
    <xf numFmtId="0" fontId="47" fillId="29" borderId="58" xfId="5" applyNumberFormat="1" applyFont="1" applyFill="1" applyBorder="1" applyAlignment="1">
      <alignment horizontal="center" vertical="center"/>
    </xf>
    <xf numFmtId="49" fontId="47" fillId="29" borderId="58" xfId="5" applyNumberFormat="1" applyFont="1" applyFill="1" applyBorder="1" applyAlignment="1">
      <alignment horizontal="center" vertical="center"/>
    </xf>
    <xf numFmtId="49" fontId="45" fillId="29" borderId="58" xfId="5" applyNumberFormat="1" applyFont="1" applyFill="1" applyBorder="1" applyAlignment="1">
      <alignment horizontal="center" vertical="center"/>
    </xf>
    <xf numFmtId="0" fontId="45" fillId="29" borderId="58" xfId="5" applyNumberFormat="1" applyFont="1" applyFill="1" applyBorder="1" applyAlignment="1">
      <alignment horizontal="left" vertical="center"/>
    </xf>
    <xf numFmtId="166" fontId="47" fillId="29" borderId="58" xfId="4" applyFont="1" applyFill="1" applyBorder="1" applyAlignment="1">
      <alignment horizontal="right" vertical="center"/>
    </xf>
    <xf numFmtId="10" fontId="47" fillId="29" borderId="58" xfId="3" applyNumberFormat="1" applyFont="1" applyFill="1" applyBorder="1" applyAlignment="1">
      <alignment horizontal="right" vertical="center"/>
    </xf>
    <xf numFmtId="0" fontId="47" fillId="29" borderId="58" xfId="5" applyFont="1" applyFill="1" applyBorder="1" applyAlignment="1">
      <alignment horizontal="center" vertical="center"/>
    </xf>
    <xf numFmtId="49" fontId="45" fillId="29" borderId="0" xfId="5" applyNumberFormat="1" applyFont="1" applyFill="1" applyBorder="1" applyAlignment="1">
      <alignment horizontal="center" vertical="center"/>
    </xf>
    <xf numFmtId="0" fontId="0" fillId="29" borderId="0" xfId="0" applyFill="1"/>
    <xf numFmtId="0" fontId="45" fillId="29" borderId="58" xfId="5" applyNumberFormat="1" applyFont="1" applyFill="1" applyBorder="1" applyAlignment="1">
      <alignment horizontal="center" vertical="center"/>
    </xf>
    <xf numFmtId="166" fontId="45" fillId="29" borderId="58" xfId="4" applyFont="1" applyFill="1" applyBorder="1" applyAlignment="1">
      <alignment horizontal="right" vertical="center"/>
    </xf>
    <xf numFmtId="10" fontId="45" fillId="29" borderId="58" xfId="3" applyNumberFormat="1" applyFont="1" applyFill="1" applyBorder="1" applyAlignment="1">
      <alignment horizontal="right" vertical="center"/>
    </xf>
    <xf numFmtId="0" fontId="22" fillId="29" borderId="0" xfId="0" applyFont="1" applyFill="1"/>
    <xf numFmtId="0" fontId="45" fillId="29" borderId="58" xfId="5" applyFont="1" applyFill="1" applyBorder="1" applyAlignment="1">
      <alignment horizontal="center" vertical="center"/>
    </xf>
    <xf numFmtId="0" fontId="45" fillId="0" borderId="58" xfId="5" applyFont="1" applyBorder="1" applyAlignment="1">
      <alignment horizontal="left" vertical="center"/>
    </xf>
    <xf numFmtId="0" fontId="47" fillId="0" borderId="58" xfId="5" applyFont="1" applyBorder="1" applyAlignment="1">
      <alignment horizontal="left" vertical="center"/>
    </xf>
    <xf numFmtId="0" fontId="45" fillId="9" borderId="58" xfId="5" applyFont="1" applyFill="1" applyBorder="1" applyAlignment="1">
      <alignment horizontal="left" vertical="center"/>
    </xf>
    <xf numFmtId="0" fontId="47" fillId="9" borderId="58" xfId="5" applyFont="1" applyFill="1" applyBorder="1" applyAlignment="1">
      <alignment horizontal="left" vertical="center"/>
    </xf>
    <xf numFmtId="0" fontId="0" fillId="0" borderId="0" xfId="0"/>
    <xf numFmtId="0" fontId="0" fillId="0" borderId="0" xfId="0" applyFill="1"/>
    <xf numFmtId="0" fontId="45" fillId="0" borderId="59" xfId="5" applyFont="1" applyBorder="1" applyAlignment="1">
      <alignment vertical="center" wrapText="1"/>
    </xf>
    <xf numFmtId="0" fontId="0" fillId="0" borderId="0" xfId="0" applyFont="1"/>
    <xf numFmtId="0" fontId="33" fillId="0" borderId="0" xfId="5" applyFont="1" applyFill="1" applyBorder="1" applyAlignment="1">
      <alignment horizontal="left" vertical="center" wrapText="1"/>
    </xf>
    <xf numFmtId="0" fontId="33" fillId="0" borderId="0" xfId="5" applyFont="1" applyFill="1" applyBorder="1" applyAlignment="1">
      <alignment horizontal="center" vertical="center" wrapText="1"/>
    </xf>
    <xf numFmtId="0" fontId="34" fillId="13" borderId="7" xfId="5" applyFont="1" applyFill="1" applyBorder="1" applyAlignment="1">
      <alignment horizontal="center" vertical="center" wrapText="1"/>
    </xf>
    <xf numFmtId="168" fontId="45" fillId="19" borderId="58" xfId="4" applyNumberFormat="1" applyFont="1" applyFill="1" applyBorder="1" applyAlignment="1">
      <alignment horizontal="left" vertical="center"/>
    </xf>
    <xf numFmtId="49" fontId="45" fillId="0" borderId="58" xfId="5" applyNumberFormat="1" applyFont="1" applyFill="1" applyBorder="1" applyAlignment="1">
      <alignment horizontal="left" vertical="center"/>
    </xf>
    <xf numFmtId="9" fontId="36" fillId="0" borderId="51" xfId="3" applyFont="1" applyFill="1" applyBorder="1" applyAlignment="1">
      <alignment vertical="center" wrapText="1"/>
    </xf>
    <xf numFmtId="0" fontId="36" fillId="15" borderId="14" xfId="5" applyFont="1" applyFill="1" applyBorder="1" applyAlignment="1">
      <alignment horizontal="center" vertical="top" wrapText="1"/>
    </xf>
    <xf numFmtId="0" fontId="36" fillId="15" borderId="12" xfId="5" applyFont="1" applyFill="1" applyBorder="1" applyAlignment="1">
      <alignment horizontal="center" vertical="center" wrapText="1"/>
    </xf>
    <xf numFmtId="3" fontId="37" fillId="0" borderId="41" xfId="5" applyNumberFormat="1" applyFont="1" applyFill="1" applyBorder="1" applyAlignment="1">
      <alignment vertical="center" wrapText="1"/>
    </xf>
    <xf numFmtId="10" fontId="37" fillId="0" borderId="51" xfId="3" applyNumberFormat="1" applyFont="1" applyFill="1" applyBorder="1" applyAlignment="1">
      <alignment vertical="center" wrapText="1"/>
    </xf>
    <xf numFmtId="10" fontId="30" fillId="0" borderId="5" xfId="3" applyNumberFormat="1" applyFont="1" applyFill="1" applyBorder="1" applyAlignment="1">
      <alignment horizontal="right" vertical="top" wrapText="1"/>
    </xf>
    <xf numFmtId="9" fontId="33" fillId="0" borderId="5" xfId="3" applyFont="1" applyFill="1" applyBorder="1" applyAlignment="1">
      <alignment horizontal="right" vertical="top" wrapText="1"/>
    </xf>
    <xf numFmtId="3" fontId="36" fillId="0" borderId="25" xfId="5" applyNumberFormat="1" applyFont="1" applyFill="1" applyBorder="1" applyAlignment="1">
      <alignment vertical="center" wrapText="1"/>
    </xf>
    <xf numFmtId="0" fontId="36" fillId="18" borderId="1" xfId="5" applyFont="1" applyFill="1" applyBorder="1" applyAlignment="1">
      <alignment horizontal="center" vertical="center" wrapText="1"/>
    </xf>
    <xf numFmtId="0" fontId="30" fillId="0" borderId="0" xfId="5" applyFont="1" applyFill="1" applyAlignment="1">
      <alignment horizontal="center" vertical="center" wrapText="1"/>
    </xf>
    <xf numFmtId="0" fontId="36" fillId="18" borderId="13" xfId="5" applyFont="1" applyFill="1" applyBorder="1" applyAlignment="1">
      <alignment horizontal="center" vertical="center" wrapText="1"/>
    </xf>
    <xf numFmtId="1" fontId="37" fillId="0" borderId="41" xfId="5" applyNumberFormat="1" applyFont="1" applyFill="1" applyBorder="1" applyAlignment="1">
      <alignment vertical="center" wrapText="1"/>
    </xf>
    <xf numFmtId="1" fontId="37" fillId="0" borderId="43" xfId="5" applyNumberFormat="1" applyFont="1" applyFill="1" applyBorder="1" applyAlignment="1">
      <alignment vertical="center" wrapText="1"/>
    </xf>
    <xf numFmtId="1" fontId="37" fillId="0" borderId="46" xfId="5" applyNumberFormat="1" applyFont="1" applyFill="1" applyBorder="1" applyAlignment="1">
      <alignment vertical="center" wrapText="1"/>
    </xf>
    <xf numFmtId="1" fontId="37" fillId="0" borderId="48" xfId="5" applyNumberFormat="1" applyFont="1" applyFill="1" applyBorder="1" applyAlignment="1">
      <alignment vertical="center" wrapText="1"/>
    </xf>
    <xf numFmtId="3" fontId="37" fillId="0" borderId="9" xfId="5" applyNumberFormat="1" applyFont="1" applyFill="1" applyBorder="1" applyAlignment="1">
      <alignment vertical="center" wrapText="1"/>
    </xf>
    <xf numFmtId="1" fontId="37" fillId="0" borderId="9" xfId="5" applyNumberFormat="1" applyFont="1" applyFill="1" applyBorder="1" applyAlignment="1">
      <alignment vertical="center" wrapText="1"/>
    </xf>
    <xf numFmtId="3" fontId="36" fillId="0" borderId="5" xfId="5" applyNumberFormat="1" applyFont="1" applyFill="1" applyBorder="1" applyAlignment="1">
      <alignment vertical="center" wrapText="1"/>
    </xf>
    <xf numFmtId="168" fontId="36" fillId="0" borderId="5" xfId="4" applyNumberFormat="1" applyFont="1" applyFill="1" applyBorder="1" applyAlignment="1">
      <alignment vertical="center" wrapText="1"/>
    </xf>
    <xf numFmtId="3" fontId="37" fillId="0" borderId="2" xfId="5" applyNumberFormat="1" applyFont="1" applyFill="1" applyBorder="1" applyAlignment="1">
      <alignment vertical="center" wrapText="1"/>
    </xf>
    <xf numFmtId="0" fontId="36" fillId="0" borderId="12" xfId="5" applyFont="1" applyFill="1" applyBorder="1" applyAlignment="1">
      <alignment vertical="top" wrapText="1"/>
    </xf>
    <xf numFmtId="3" fontId="37" fillId="15" borderId="30" xfId="0" applyNumberFormat="1" applyFont="1" applyFill="1" applyBorder="1" applyAlignment="1">
      <alignment horizontal="center" vertical="center" wrapText="1"/>
    </xf>
    <xf numFmtId="9" fontId="37" fillId="15" borderId="30" xfId="3" applyFont="1" applyFill="1" applyBorder="1" applyAlignment="1">
      <alignment horizontal="center" vertical="center" wrapText="1"/>
    </xf>
    <xf numFmtId="0" fontId="7" fillId="0" borderId="20" xfId="0" applyFont="1" applyBorder="1" applyAlignment="1">
      <alignment horizontal="justify" vertical="top" wrapText="1"/>
    </xf>
    <xf numFmtId="3" fontId="37" fillId="15" borderId="16" xfId="0" applyNumberFormat="1" applyFont="1" applyFill="1" applyBorder="1" applyAlignment="1">
      <alignment horizontal="center" vertical="center" wrapText="1"/>
    </xf>
    <xf numFmtId="9" fontId="37" fillId="15" borderId="16" xfId="3" applyFont="1" applyFill="1" applyBorder="1" applyAlignment="1">
      <alignment horizontal="center" vertical="center" wrapText="1"/>
    </xf>
    <xf numFmtId="9" fontId="37" fillId="0" borderId="43" xfId="3" applyFont="1" applyFill="1" applyBorder="1" applyAlignment="1">
      <alignment horizontal="center" vertical="center" wrapText="1"/>
    </xf>
    <xf numFmtId="0" fontId="7" fillId="32" borderId="34" xfId="0" applyFont="1" applyFill="1" applyBorder="1" applyAlignment="1">
      <alignment horizontal="justify" vertical="top" wrapText="1"/>
    </xf>
    <xf numFmtId="9" fontId="37" fillId="0" borderId="43" xfId="5" applyNumberFormat="1" applyFont="1" applyFill="1" applyBorder="1" applyAlignment="1">
      <alignment horizontal="center" vertical="center" wrapText="1"/>
    </xf>
    <xf numFmtId="0" fontId="59" fillId="0" borderId="34" xfId="0" applyFont="1" applyBorder="1" applyAlignment="1">
      <alignment horizontal="justify" vertical="top" wrapText="1"/>
    </xf>
    <xf numFmtId="9" fontId="60" fillId="15" borderId="16" xfId="0" applyNumberFormat="1" applyFont="1" applyFill="1" applyBorder="1" applyAlignment="1">
      <alignment horizontal="center" vertical="center" wrapText="1"/>
    </xf>
    <xf numFmtId="9" fontId="37" fillId="15" borderId="16" xfId="0" applyNumberFormat="1" applyFont="1" applyFill="1" applyBorder="1" applyAlignment="1">
      <alignment horizontal="center" vertical="center" wrapText="1"/>
    </xf>
    <xf numFmtId="0" fontId="7" fillId="0" borderId="20" xfId="0" applyFont="1" applyFill="1" applyBorder="1" applyAlignment="1">
      <alignment horizontal="justify" vertical="top" wrapText="1"/>
    </xf>
    <xf numFmtId="0" fontId="59" fillId="32" borderId="20" xfId="0" applyFont="1" applyFill="1" applyBorder="1" applyAlignment="1">
      <alignment horizontal="justify" vertical="top" wrapText="1"/>
    </xf>
    <xf numFmtId="3" fontId="37" fillId="15" borderId="16" xfId="3" applyNumberFormat="1" applyFont="1" applyFill="1" applyBorder="1" applyAlignment="1">
      <alignment horizontal="center" vertical="center" wrapText="1"/>
    </xf>
    <xf numFmtId="3" fontId="37" fillId="0" borderId="43" xfId="5" applyNumberFormat="1" applyFont="1" applyFill="1" applyBorder="1" applyAlignment="1">
      <alignment horizontal="center" vertical="center" wrapText="1"/>
    </xf>
    <xf numFmtId="0" fontId="7" fillId="32" borderId="0" xfId="0" applyFont="1" applyFill="1" applyBorder="1" applyAlignment="1">
      <alignment horizontal="justify" vertical="top" wrapText="1"/>
    </xf>
    <xf numFmtId="3" fontId="37" fillId="15" borderId="37" xfId="0" applyNumberFormat="1" applyFont="1" applyFill="1" applyBorder="1" applyAlignment="1">
      <alignment horizontal="center" vertical="center" wrapText="1"/>
    </xf>
    <xf numFmtId="9" fontId="37" fillId="15" borderId="37" xfId="3" applyFont="1" applyFill="1" applyBorder="1" applyAlignment="1">
      <alignment horizontal="center" vertical="center" wrapText="1"/>
    </xf>
    <xf numFmtId="9" fontId="37" fillId="0" borderId="46" xfId="3" applyFont="1" applyFill="1" applyBorder="1" applyAlignment="1">
      <alignment horizontal="center" vertical="center" wrapText="1"/>
    </xf>
    <xf numFmtId="3" fontId="37" fillId="0" borderId="14" xfId="5" applyNumberFormat="1" applyFont="1" applyFill="1" applyBorder="1" applyAlignment="1">
      <alignment vertical="center" wrapText="1"/>
    </xf>
    <xf numFmtId="3" fontId="61" fillId="33" borderId="37" xfId="0" applyNumberFormat="1" applyFont="1" applyFill="1" applyBorder="1" applyAlignment="1">
      <alignment horizontal="center" vertical="center" wrapText="1"/>
    </xf>
    <xf numFmtId="9" fontId="61" fillId="33" borderId="25" xfId="3" applyFont="1" applyFill="1" applyBorder="1" applyAlignment="1">
      <alignment horizontal="center" vertical="center" wrapText="1"/>
    </xf>
    <xf numFmtId="9" fontId="37" fillId="0" borderId="41" xfId="3" applyFont="1" applyFill="1" applyBorder="1" applyAlignment="1">
      <alignment horizontal="center" vertical="center" wrapText="1"/>
    </xf>
    <xf numFmtId="0" fontId="62" fillId="0" borderId="45" xfId="0" applyFont="1" applyFill="1" applyBorder="1" applyAlignment="1">
      <alignment horizontal="justify" vertical="top" wrapText="1"/>
    </xf>
    <xf numFmtId="2" fontId="61" fillId="15" borderId="37" xfId="0" applyNumberFormat="1" applyFont="1" applyFill="1" applyBorder="1" applyAlignment="1">
      <alignment horizontal="center" vertical="center" wrapText="1"/>
    </xf>
    <xf numFmtId="1" fontId="61" fillId="33" borderId="19" xfId="5" applyNumberFormat="1" applyFont="1" applyFill="1" applyBorder="1" applyAlignment="1">
      <alignment horizontal="center" vertical="center" wrapText="1"/>
    </xf>
    <xf numFmtId="0" fontId="28" fillId="0" borderId="43" xfId="0" applyFont="1" applyFill="1" applyBorder="1" applyAlignment="1">
      <alignment horizontal="justify" vertical="top" wrapText="1"/>
    </xf>
    <xf numFmtId="3" fontId="61" fillId="15" borderId="37" xfId="0" applyNumberFormat="1" applyFont="1" applyFill="1" applyBorder="1" applyAlignment="1">
      <alignment horizontal="center" vertical="center" wrapText="1"/>
    </xf>
    <xf numFmtId="9" fontId="61" fillId="33" borderId="19" xfId="3" applyFont="1" applyFill="1" applyBorder="1" applyAlignment="1">
      <alignment horizontal="center" vertical="center" wrapText="1"/>
    </xf>
    <xf numFmtId="0" fontId="8" fillId="0" borderId="0" xfId="0" applyFont="1" applyFill="1" applyBorder="1" applyAlignment="1">
      <alignment horizontal="justify" vertical="top" wrapText="1"/>
    </xf>
    <xf numFmtId="0" fontId="61" fillId="33" borderId="19" xfId="5" applyFont="1" applyFill="1" applyBorder="1" applyAlignment="1">
      <alignment horizontal="center" vertical="center" wrapText="1"/>
    </xf>
    <xf numFmtId="0" fontId="8" fillId="0" borderId="20" xfId="0" applyFont="1" applyFill="1" applyBorder="1" applyAlignment="1">
      <alignment horizontal="justify" vertical="top" wrapText="1"/>
    </xf>
    <xf numFmtId="0" fontId="8" fillId="0" borderId="0" xfId="0" applyFont="1" applyBorder="1" applyAlignment="1">
      <alignment horizontal="justify" vertical="top" wrapText="1"/>
    </xf>
    <xf numFmtId="0" fontId="8" fillId="0" borderId="19" xfId="0" applyFont="1" applyFill="1" applyBorder="1" applyAlignment="1">
      <alignment horizontal="justify" vertical="top" wrapText="1"/>
    </xf>
    <xf numFmtId="9" fontId="37" fillId="33" borderId="19" xfId="3" applyFont="1" applyFill="1" applyBorder="1" applyAlignment="1">
      <alignment horizontal="center" vertical="center" wrapText="1"/>
    </xf>
    <xf numFmtId="0" fontId="8" fillId="32" borderId="0" xfId="0" applyFont="1" applyFill="1" applyBorder="1" applyAlignment="1">
      <alignment horizontal="justify" vertical="top" wrapText="1"/>
    </xf>
    <xf numFmtId="0" fontId="36" fillId="33" borderId="47" xfId="5" applyFont="1" applyFill="1" applyBorder="1" applyAlignment="1">
      <alignment horizontal="center" vertical="center" wrapText="1"/>
    </xf>
    <xf numFmtId="9" fontId="37" fillId="33" borderId="22" xfId="3" applyFont="1" applyFill="1" applyBorder="1" applyAlignment="1">
      <alignment horizontal="center" vertical="center" wrapText="1"/>
    </xf>
    <xf numFmtId="0" fontId="36" fillId="33" borderId="32" xfId="5" applyFont="1" applyFill="1" applyBorder="1" applyAlignment="1">
      <alignment horizontal="center" vertical="center" wrapText="1"/>
    </xf>
    <xf numFmtId="9" fontId="37" fillId="33" borderId="25" xfId="3" applyFont="1" applyFill="1" applyBorder="1" applyAlignment="1">
      <alignment horizontal="center" vertical="center" wrapText="1"/>
    </xf>
    <xf numFmtId="0" fontId="28" fillId="0" borderId="16" xfId="0" applyFont="1" applyFill="1" applyBorder="1" applyAlignment="1">
      <alignment horizontal="justify" vertical="top" wrapText="1"/>
    </xf>
    <xf numFmtId="2" fontId="61" fillId="15" borderId="16" xfId="0" applyNumberFormat="1" applyFont="1" applyFill="1" applyBorder="1" applyAlignment="1">
      <alignment horizontal="center" vertical="center" wrapText="1"/>
    </xf>
    <xf numFmtId="0" fontId="37" fillId="33" borderId="19" xfId="5" applyFont="1" applyFill="1" applyBorder="1" applyAlignment="1">
      <alignment horizontal="center" vertical="center" wrapText="1"/>
    </xf>
    <xf numFmtId="0" fontId="28" fillId="0" borderId="18" xfId="0" applyFont="1" applyFill="1" applyBorder="1" applyAlignment="1">
      <alignment horizontal="justify" vertical="top" wrapText="1"/>
    </xf>
    <xf numFmtId="0" fontId="36" fillId="33" borderId="18" xfId="5" applyFont="1" applyFill="1" applyBorder="1" applyAlignment="1">
      <alignment horizontal="center" vertical="center" wrapText="1"/>
    </xf>
    <xf numFmtId="9" fontId="37" fillId="0" borderId="19" xfId="3" applyFont="1" applyFill="1" applyBorder="1" applyAlignment="1">
      <alignment horizontal="center" vertical="center" wrapText="1"/>
    </xf>
    <xf numFmtId="0" fontId="28" fillId="0" borderId="18" xfId="0" applyFont="1" applyBorder="1" applyAlignment="1">
      <alignment horizontal="justify" vertical="top" wrapText="1"/>
    </xf>
    <xf numFmtId="3" fontId="37" fillId="0" borderId="19" xfId="5" applyNumberFormat="1" applyFont="1" applyFill="1" applyBorder="1" applyAlignment="1">
      <alignment horizontal="center" vertical="center" wrapText="1"/>
    </xf>
    <xf numFmtId="0" fontId="28" fillId="0" borderId="43" xfId="0" applyFont="1" applyBorder="1" applyAlignment="1">
      <alignment horizontal="justify" vertical="top" wrapText="1"/>
    </xf>
    <xf numFmtId="0" fontId="28" fillId="0" borderId="0" xfId="0" applyFont="1" applyFill="1" applyBorder="1" applyAlignment="1">
      <alignment horizontal="justify" vertical="top" wrapText="1"/>
    </xf>
    <xf numFmtId="2" fontId="61" fillId="15" borderId="21" xfId="0" applyNumberFormat="1" applyFont="1" applyFill="1" applyBorder="1" applyAlignment="1">
      <alignment horizontal="center" vertical="center" wrapText="1"/>
    </xf>
    <xf numFmtId="3" fontId="37" fillId="33" borderId="37" xfId="5" applyNumberFormat="1" applyFont="1" applyFill="1" applyBorder="1" applyAlignment="1">
      <alignment horizontal="center" vertical="center" wrapText="1"/>
    </xf>
    <xf numFmtId="3" fontId="37" fillId="0" borderId="22" xfId="5" applyNumberFormat="1" applyFont="1" applyFill="1" applyBorder="1" applyAlignment="1">
      <alignment horizontal="center" vertical="center" wrapText="1"/>
    </xf>
    <xf numFmtId="0" fontId="61" fillId="0" borderId="45" xfId="5" applyFont="1" applyFill="1" applyBorder="1" applyAlignment="1">
      <alignment horizontal="justify" vertical="top" wrapText="1"/>
    </xf>
    <xf numFmtId="2" fontId="61" fillId="15" borderId="27" xfId="0" applyNumberFormat="1" applyFont="1" applyFill="1" applyBorder="1" applyAlignment="1">
      <alignment horizontal="center" vertical="center" wrapText="1"/>
    </xf>
    <xf numFmtId="3" fontId="37" fillId="33" borderId="68" xfId="5" applyNumberFormat="1" applyFont="1" applyFill="1" applyBorder="1" applyAlignment="1">
      <alignment horizontal="center" vertical="center" wrapText="1"/>
    </xf>
    <xf numFmtId="0" fontId="64" fillId="0" borderId="25" xfId="5" applyFont="1" applyFill="1" applyBorder="1" applyAlignment="1">
      <alignment horizontal="center" vertical="center" wrapText="1"/>
    </xf>
    <xf numFmtId="0" fontId="61" fillId="0" borderId="16" xfId="5" applyFont="1" applyFill="1" applyBorder="1" applyAlignment="1">
      <alignment horizontal="justify" vertical="top" wrapText="1"/>
    </xf>
    <xf numFmtId="0" fontId="64" fillId="33" borderId="16" xfId="5" applyFont="1" applyFill="1" applyBorder="1" applyAlignment="1">
      <alignment horizontal="center" vertical="center" wrapText="1"/>
    </xf>
    <xf numFmtId="0" fontId="64" fillId="0" borderId="19" xfId="5" applyFont="1" applyFill="1" applyBorder="1" applyAlignment="1">
      <alignment horizontal="center" vertical="center" wrapText="1"/>
    </xf>
    <xf numFmtId="0" fontId="61" fillId="32" borderId="16" xfId="5" applyFont="1" applyFill="1" applyBorder="1" applyAlignment="1">
      <alignment horizontal="justify" vertical="top" wrapText="1"/>
    </xf>
    <xf numFmtId="9" fontId="61" fillId="15" borderId="21" xfId="3" applyFont="1" applyFill="1" applyBorder="1" applyAlignment="1">
      <alignment horizontal="center" vertical="center" wrapText="1"/>
    </xf>
    <xf numFmtId="9" fontId="64" fillId="33" borderId="16" xfId="3" applyFont="1" applyFill="1" applyBorder="1" applyAlignment="1">
      <alignment horizontal="center" vertical="center" wrapText="1"/>
    </xf>
    <xf numFmtId="9" fontId="64" fillId="0" borderId="19" xfId="3" applyFont="1" applyFill="1" applyBorder="1" applyAlignment="1">
      <alignment horizontal="center" vertical="center" wrapText="1"/>
    </xf>
    <xf numFmtId="0" fontId="65" fillId="0" borderId="16" xfId="0" applyFont="1" applyFill="1" applyBorder="1" applyAlignment="1">
      <alignment horizontal="justify" vertical="top" wrapText="1"/>
    </xf>
    <xf numFmtId="0" fontId="61" fillId="0" borderId="43" xfId="5" applyFont="1" applyFill="1" applyBorder="1" applyAlignment="1">
      <alignment horizontal="justify" vertical="top" wrapText="1"/>
    </xf>
    <xf numFmtId="0" fontId="61" fillId="0" borderId="78" xfId="5" applyFont="1" applyFill="1" applyBorder="1" applyAlignment="1">
      <alignment horizontal="justify" vertical="top" wrapText="1"/>
    </xf>
    <xf numFmtId="0" fontId="64" fillId="0" borderId="51" xfId="5" applyFont="1" applyFill="1" applyBorder="1" applyAlignment="1">
      <alignment horizontal="justify" vertical="top" wrapText="1"/>
    </xf>
    <xf numFmtId="2" fontId="61" fillId="15" borderId="1" xfId="0" applyNumberFormat="1" applyFont="1" applyFill="1" applyBorder="1" applyAlignment="1">
      <alignment horizontal="center" vertical="center" wrapText="1"/>
    </xf>
    <xf numFmtId="2" fontId="61" fillId="15" borderId="47" xfId="0" applyNumberFormat="1" applyFont="1" applyFill="1" applyBorder="1" applyAlignment="1">
      <alignment horizontal="center" vertical="center" wrapText="1"/>
    </xf>
    <xf numFmtId="0" fontId="64" fillId="33" borderId="19" xfId="5" applyFont="1" applyFill="1" applyBorder="1" applyAlignment="1">
      <alignment horizontal="center" vertical="center" wrapText="1"/>
    </xf>
    <xf numFmtId="3" fontId="37" fillId="33" borderId="43" xfId="5" applyNumberFormat="1" applyFont="1" applyFill="1" applyBorder="1" applyAlignment="1">
      <alignment horizontal="center" vertical="center" wrapText="1"/>
    </xf>
    <xf numFmtId="0" fontId="64" fillId="0" borderId="5" xfId="5" applyFont="1" applyFill="1" applyBorder="1" applyAlignment="1">
      <alignment horizontal="justify" vertical="top" wrapText="1"/>
    </xf>
    <xf numFmtId="3" fontId="37" fillId="33" borderId="46" xfId="5" applyNumberFormat="1" applyFont="1" applyFill="1" applyBorder="1" applyAlignment="1">
      <alignment horizontal="center" vertical="center" wrapText="1"/>
    </xf>
    <xf numFmtId="0" fontId="63" fillId="33" borderId="7" xfId="5" applyFont="1" applyFill="1" applyBorder="1" applyAlignment="1">
      <alignment vertical="top" wrapText="1"/>
    </xf>
    <xf numFmtId="0" fontId="63" fillId="0" borderId="8" xfId="5" applyFont="1" applyFill="1" applyBorder="1" applyAlignment="1">
      <alignment vertical="top"/>
    </xf>
    <xf numFmtId="9" fontId="67" fillId="33" borderId="32" xfId="0" applyNumberFormat="1" applyFont="1" applyFill="1" applyBorder="1" applyAlignment="1">
      <alignment horizontal="center" vertical="center"/>
    </xf>
    <xf numFmtId="9" fontId="67" fillId="33" borderId="16" xfId="0" applyNumberFormat="1" applyFont="1" applyFill="1" applyBorder="1" applyAlignment="1">
      <alignment horizontal="center" vertical="center"/>
    </xf>
    <xf numFmtId="0" fontId="68" fillId="33" borderId="20" xfId="0" applyFont="1" applyFill="1" applyBorder="1" applyAlignment="1">
      <alignment horizontal="center" vertical="center"/>
    </xf>
    <xf numFmtId="0" fontId="68" fillId="33" borderId="16" xfId="3" applyNumberFormat="1" applyFont="1" applyFill="1" applyBorder="1" applyAlignment="1">
      <alignment horizontal="center" vertical="center"/>
    </xf>
    <xf numFmtId="3" fontId="37" fillId="0" borderId="46" xfId="5" applyNumberFormat="1" applyFont="1" applyFill="1" applyBorder="1" applyAlignment="1">
      <alignment horizontal="center" vertical="center" wrapText="1"/>
    </xf>
    <xf numFmtId="0" fontId="64" fillId="0" borderId="12" xfId="5" applyFont="1" applyFill="1" applyBorder="1" applyAlignment="1">
      <alignment horizontal="justify" vertical="top" wrapText="1"/>
    </xf>
    <xf numFmtId="1" fontId="37" fillId="0" borderId="46" xfId="3" applyNumberFormat="1" applyFont="1" applyFill="1" applyBorder="1" applyAlignment="1">
      <alignment horizontal="center" vertical="center" wrapText="1"/>
    </xf>
    <xf numFmtId="0" fontId="64" fillId="0" borderId="67" xfId="5" applyFont="1" applyFill="1" applyBorder="1" applyAlignment="1">
      <alignment horizontal="justify" vertical="top" wrapText="1"/>
    </xf>
    <xf numFmtId="2" fontId="61" fillId="15" borderId="5" xfId="0" applyNumberFormat="1" applyFont="1" applyFill="1" applyBorder="1" applyAlignment="1">
      <alignment horizontal="center" vertical="center" wrapText="1"/>
    </xf>
    <xf numFmtId="0" fontId="68" fillId="0" borderId="9" xfId="5" applyFont="1" applyFill="1" applyBorder="1" applyAlignment="1">
      <alignment horizontal="justify" vertical="top" wrapText="1"/>
    </xf>
    <xf numFmtId="0" fontId="68" fillId="0" borderId="19" xfId="5" applyFont="1" applyFill="1" applyBorder="1" applyAlignment="1">
      <alignment horizontal="justify" vertical="top" wrapText="1"/>
    </xf>
    <xf numFmtId="0" fontId="37" fillId="0" borderId="79" xfId="5" applyFont="1" applyFill="1" applyBorder="1" applyAlignment="1">
      <alignment horizontal="center" vertical="center" wrapText="1"/>
    </xf>
    <xf numFmtId="0" fontId="67" fillId="33" borderId="44" xfId="0" applyFont="1" applyFill="1" applyBorder="1" applyAlignment="1">
      <alignment horizontal="center" vertical="center" wrapText="1"/>
    </xf>
    <xf numFmtId="0" fontId="68" fillId="0" borderId="18" xfId="5" applyFont="1" applyFill="1" applyBorder="1" applyAlignment="1">
      <alignment horizontal="justify" vertical="top" wrapText="1"/>
    </xf>
    <xf numFmtId="3" fontId="37" fillId="0" borderId="20" xfId="5" applyNumberFormat="1" applyFont="1" applyFill="1" applyBorder="1" applyAlignment="1">
      <alignment horizontal="center" vertical="center" wrapText="1"/>
    </xf>
    <xf numFmtId="0" fontId="67" fillId="33" borderId="16" xfId="0" applyFont="1" applyFill="1" applyBorder="1" applyAlignment="1">
      <alignment horizontal="center" vertical="center" wrapText="1"/>
    </xf>
    <xf numFmtId="0" fontId="67" fillId="33" borderId="37" xfId="0" applyFont="1" applyFill="1" applyBorder="1" applyAlignment="1">
      <alignment horizontal="center" vertical="center" wrapText="1"/>
    </xf>
    <xf numFmtId="3" fontId="37" fillId="0" borderId="12" xfId="5" applyNumberFormat="1" applyFont="1" applyFill="1" applyBorder="1" applyAlignment="1">
      <alignment vertical="center" wrapText="1"/>
    </xf>
    <xf numFmtId="3" fontId="37" fillId="0" borderId="10" xfId="5" applyNumberFormat="1" applyFont="1" applyFill="1" applyBorder="1" applyAlignment="1">
      <alignment vertical="center" wrapText="1"/>
    </xf>
    <xf numFmtId="0" fontId="66" fillId="0" borderId="30" xfId="0" applyFont="1" applyFill="1" applyBorder="1" applyAlignment="1">
      <alignment horizontal="justify" vertical="top" wrapText="1"/>
    </xf>
    <xf numFmtId="0" fontId="67" fillId="33" borderId="30" xfId="0" applyFont="1" applyFill="1" applyBorder="1" applyAlignment="1">
      <alignment horizontal="center" vertical="center" wrapText="1"/>
    </xf>
    <xf numFmtId="3" fontId="37" fillId="0" borderId="9" xfId="5" applyNumberFormat="1" applyFont="1" applyFill="1" applyBorder="1" applyAlignment="1">
      <alignment horizontal="center" vertical="center" wrapText="1"/>
    </xf>
    <xf numFmtId="0" fontId="66" fillId="0" borderId="16" xfId="0" applyFont="1" applyFill="1" applyBorder="1" applyAlignment="1">
      <alignment horizontal="justify" vertical="top" wrapText="1"/>
    </xf>
    <xf numFmtId="0" fontId="68" fillId="0" borderId="16" xfId="0" applyFont="1" applyFill="1" applyBorder="1" applyAlignment="1">
      <alignment horizontal="center" vertical="center" wrapText="1"/>
    </xf>
    <xf numFmtId="0" fontId="68" fillId="0" borderId="16" xfId="0" applyFont="1" applyFill="1" applyBorder="1" applyAlignment="1">
      <alignment horizontal="justify" vertical="top" wrapText="1"/>
    </xf>
    <xf numFmtId="0" fontId="68" fillId="0" borderId="16" xfId="0" applyFont="1" applyFill="1" applyBorder="1" applyAlignment="1">
      <alignment horizontal="center" vertical="center"/>
    </xf>
    <xf numFmtId="0" fontId="66" fillId="0" borderId="16" xfId="0" applyFont="1" applyFill="1" applyBorder="1" applyAlignment="1">
      <alignment horizontal="center" vertical="center"/>
    </xf>
    <xf numFmtId="0" fontId="66" fillId="0" borderId="16" xfId="0" applyFont="1" applyFill="1" applyBorder="1" applyAlignment="1">
      <alignment horizontal="center" vertical="center" wrapText="1"/>
    </xf>
    <xf numFmtId="0" fontId="68" fillId="0" borderId="67" xfId="5" applyFont="1" applyFill="1" applyBorder="1" applyAlignment="1">
      <alignment horizontal="justify" vertical="top" wrapText="1"/>
    </xf>
    <xf numFmtId="9" fontId="66" fillId="0" borderId="37" xfId="3" applyFont="1" applyFill="1" applyBorder="1" applyAlignment="1">
      <alignment horizontal="center" vertical="center" wrapText="1"/>
    </xf>
    <xf numFmtId="0" fontId="68" fillId="0" borderId="30" xfId="0" applyFont="1" applyFill="1" applyBorder="1" applyAlignment="1">
      <alignment horizontal="justify" vertical="top" wrapText="1"/>
    </xf>
    <xf numFmtId="0" fontId="67" fillId="0" borderId="16" xfId="0" applyFont="1" applyFill="1" applyBorder="1" applyAlignment="1">
      <alignment horizontal="justify" vertical="top" wrapText="1"/>
    </xf>
    <xf numFmtId="0" fontId="68" fillId="32" borderId="67" xfId="5" applyFont="1" applyFill="1" applyBorder="1" applyAlignment="1">
      <alignment horizontal="justify" vertical="top" wrapText="1"/>
    </xf>
    <xf numFmtId="3" fontId="37" fillId="0" borderId="0" xfId="5" applyNumberFormat="1" applyFont="1" applyFill="1" applyBorder="1" applyAlignment="1">
      <alignment horizontal="center" vertical="center" wrapText="1"/>
    </xf>
    <xf numFmtId="3" fontId="68" fillId="33" borderId="44" xfId="5" applyNumberFormat="1" applyFont="1" applyFill="1" applyBorder="1" applyAlignment="1">
      <alignment horizontal="center" vertical="center" wrapText="1"/>
    </xf>
    <xf numFmtId="9" fontId="37" fillId="0" borderId="22" xfId="3" applyFont="1" applyFill="1" applyBorder="1" applyAlignment="1">
      <alignment horizontal="center" vertical="center" wrapText="1"/>
    </xf>
    <xf numFmtId="3" fontId="68" fillId="33" borderId="79" xfId="5" applyNumberFormat="1" applyFont="1" applyFill="1" applyBorder="1" applyAlignment="1">
      <alignment horizontal="center" vertical="center" wrapText="1"/>
    </xf>
    <xf numFmtId="9" fontId="68" fillId="33" borderId="47" xfId="3" applyFont="1" applyFill="1" applyBorder="1" applyAlignment="1">
      <alignment horizontal="center" vertical="center" wrapText="1"/>
    </xf>
    <xf numFmtId="3" fontId="37" fillId="0" borderId="12" xfId="5" applyNumberFormat="1" applyFont="1" applyFill="1" applyBorder="1" applyAlignment="1">
      <alignment horizontal="center" vertical="center" wrapText="1"/>
    </xf>
    <xf numFmtId="9" fontId="68" fillId="33" borderId="51" xfId="3" applyFont="1" applyFill="1" applyBorder="1" applyAlignment="1">
      <alignment horizontal="center" vertical="center" wrapText="1"/>
    </xf>
    <xf numFmtId="9" fontId="37" fillId="0" borderId="25" xfId="3" applyFont="1" applyFill="1" applyBorder="1" applyAlignment="1">
      <alignment horizontal="center" vertical="center" wrapText="1"/>
    </xf>
    <xf numFmtId="9" fontId="37" fillId="0" borderId="9" xfId="3" applyFont="1" applyFill="1" applyBorder="1" applyAlignment="1">
      <alignment horizontal="center" vertical="center" wrapText="1"/>
    </xf>
    <xf numFmtId="9" fontId="68" fillId="33" borderId="44" xfId="3" applyFont="1" applyFill="1" applyBorder="1" applyAlignment="1">
      <alignment horizontal="center" vertical="center" wrapText="1"/>
    </xf>
    <xf numFmtId="9" fontId="37" fillId="0" borderId="44" xfId="3" applyFont="1" applyFill="1" applyBorder="1" applyAlignment="1">
      <alignment horizontal="center" vertical="center" wrapText="1"/>
    </xf>
    <xf numFmtId="3" fontId="37" fillId="0" borderId="44" xfId="5" applyNumberFormat="1" applyFont="1" applyFill="1" applyBorder="1" applyAlignment="1">
      <alignment horizontal="center" vertical="center" wrapText="1"/>
    </xf>
    <xf numFmtId="1" fontId="37" fillId="0" borderId="19" xfId="3" applyNumberFormat="1" applyFont="1" applyFill="1" applyBorder="1" applyAlignment="1">
      <alignment horizontal="center" vertical="center" wrapText="1"/>
    </xf>
    <xf numFmtId="3" fontId="68" fillId="33" borderId="47" xfId="5" applyNumberFormat="1" applyFont="1" applyFill="1" applyBorder="1" applyAlignment="1">
      <alignment horizontal="center" vertical="center" wrapText="1"/>
    </xf>
    <xf numFmtId="3" fontId="37" fillId="0" borderId="47" xfId="5" applyNumberFormat="1" applyFont="1" applyFill="1" applyBorder="1" applyAlignment="1">
      <alignment horizontal="center" vertical="center" wrapText="1"/>
    </xf>
    <xf numFmtId="9" fontId="37" fillId="0" borderId="47" xfId="3" applyFont="1" applyFill="1" applyBorder="1" applyAlignment="1">
      <alignment horizontal="center" vertical="center" wrapText="1"/>
    </xf>
    <xf numFmtId="0" fontId="68" fillId="0" borderId="78" xfId="5" applyFont="1" applyFill="1" applyBorder="1" applyAlignment="1">
      <alignment horizontal="justify" vertical="top" wrapText="1"/>
    </xf>
    <xf numFmtId="9" fontId="37" fillId="0" borderId="48" xfId="3" applyFont="1" applyFill="1" applyBorder="1" applyAlignment="1">
      <alignment horizontal="center" vertical="center" wrapText="1"/>
    </xf>
    <xf numFmtId="0" fontId="70" fillId="34" borderId="12" xfId="5" applyFont="1" applyFill="1" applyBorder="1" applyAlignment="1">
      <alignment horizontal="justify" vertical="top" wrapText="1"/>
    </xf>
    <xf numFmtId="3" fontId="37" fillId="0" borderId="14" xfId="5" applyNumberFormat="1" applyFont="1" applyFill="1" applyBorder="1" applyAlignment="1">
      <alignment horizontal="center" vertical="center" wrapText="1"/>
    </xf>
    <xf numFmtId="0" fontId="37" fillId="0" borderId="41" xfId="5" applyFont="1" applyFill="1" applyBorder="1" applyAlignment="1">
      <alignment horizontal="center" vertical="center" wrapText="1"/>
    </xf>
    <xf numFmtId="0" fontId="37" fillId="0" borderId="46" xfId="5" applyFont="1" applyFill="1" applyBorder="1" applyAlignment="1">
      <alignment horizontal="center" vertical="center" wrapText="1"/>
    </xf>
    <xf numFmtId="9" fontId="56" fillId="0" borderId="41" xfId="3" applyFont="1" applyFill="1" applyBorder="1" applyAlignment="1">
      <alignment horizontal="center" vertical="center" wrapText="1"/>
    </xf>
    <xf numFmtId="3" fontId="56" fillId="0" borderId="43" xfId="5" applyNumberFormat="1" applyFont="1" applyFill="1" applyBorder="1" applyAlignment="1">
      <alignment horizontal="center" vertical="center" wrapText="1"/>
    </xf>
    <xf numFmtId="9" fontId="56" fillId="0" borderId="43" xfId="3" applyFont="1" applyFill="1" applyBorder="1" applyAlignment="1">
      <alignment horizontal="center" vertical="center" wrapText="1"/>
    </xf>
    <xf numFmtId="9" fontId="56" fillId="0" borderId="46" xfId="3" applyFont="1" applyFill="1" applyBorder="1" applyAlignment="1">
      <alignment horizontal="center" vertical="center" wrapText="1"/>
    </xf>
    <xf numFmtId="3" fontId="37" fillId="0" borderId="41" xfId="5" applyNumberFormat="1" applyFont="1" applyFill="1" applyBorder="1" applyAlignment="1">
      <alignment horizontal="center" vertical="center" wrapText="1"/>
    </xf>
    <xf numFmtId="9" fontId="67" fillId="0" borderId="12" xfId="0" applyNumberFormat="1" applyFont="1" applyFill="1" applyBorder="1" applyAlignment="1">
      <alignment horizontal="center" vertical="center"/>
    </xf>
    <xf numFmtId="9" fontId="67" fillId="0" borderId="12" xfId="3" applyFont="1" applyBorder="1" applyAlignment="1">
      <alignment horizontal="center" vertical="center"/>
    </xf>
    <xf numFmtId="9" fontId="67" fillId="0" borderId="42" xfId="0" applyNumberFormat="1" applyFont="1" applyFill="1" applyBorder="1" applyAlignment="1">
      <alignment horizontal="center" vertical="center"/>
    </xf>
    <xf numFmtId="9" fontId="67" fillId="0" borderId="13" xfId="0" applyNumberFormat="1" applyFont="1" applyBorder="1" applyAlignment="1">
      <alignment horizontal="center" vertical="center"/>
    </xf>
    <xf numFmtId="0" fontId="67" fillId="0" borderId="13" xfId="0" applyNumberFormat="1" applyFont="1" applyBorder="1" applyAlignment="1">
      <alignment horizontal="center" vertical="center"/>
    </xf>
    <xf numFmtId="9" fontId="37" fillId="0" borderId="1" xfId="3" applyFont="1" applyFill="1" applyBorder="1" applyAlignment="1">
      <alignment horizontal="center" vertical="center" wrapText="1"/>
    </xf>
    <xf numFmtId="9" fontId="37" fillId="0" borderId="42" xfId="3" applyFont="1" applyFill="1" applyBorder="1" applyAlignment="1">
      <alignment horizontal="center" vertical="center" wrapText="1"/>
    </xf>
    <xf numFmtId="3" fontId="37" fillId="0" borderId="49" xfId="5" applyNumberFormat="1" applyFont="1" applyFill="1" applyBorder="1" applyAlignment="1">
      <alignment horizontal="center" vertical="center" wrapText="1"/>
    </xf>
    <xf numFmtId="9" fontId="37" fillId="0" borderId="20" xfId="3" applyFont="1" applyFill="1" applyBorder="1" applyAlignment="1">
      <alignment horizontal="center" vertical="center" wrapText="1"/>
    </xf>
    <xf numFmtId="1" fontId="37" fillId="0" borderId="20" xfId="3" applyNumberFormat="1" applyFont="1" applyFill="1" applyBorder="1" applyAlignment="1">
      <alignment horizontal="center" vertical="center" wrapText="1"/>
    </xf>
    <xf numFmtId="3" fontId="37" fillId="0" borderId="23" xfId="5" applyNumberFormat="1" applyFont="1" applyFill="1" applyBorder="1" applyAlignment="1">
      <alignment horizontal="center" vertical="center" wrapText="1"/>
    </xf>
    <xf numFmtId="3" fontId="37" fillId="0" borderId="82" xfId="5" applyNumberFormat="1" applyFont="1" applyFill="1" applyBorder="1" applyAlignment="1">
      <alignment vertical="center" wrapText="1"/>
    </xf>
    <xf numFmtId="9" fontId="37" fillId="0" borderId="23" xfId="3" applyFont="1" applyFill="1" applyBorder="1" applyAlignment="1">
      <alignment horizontal="center" vertical="center" wrapText="1"/>
    </xf>
    <xf numFmtId="3" fontId="37" fillId="0" borderId="13" xfId="5" applyNumberFormat="1" applyFont="1" applyFill="1" applyBorder="1" applyAlignment="1">
      <alignment vertical="center" wrapText="1"/>
    </xf>
    <xf numFmtId="0" fontId="66" fillId="0" borderId="30" xfId="0" applyFont="1" applyFill="1" applyBorder="1" applyAlignment="1">
      <alignment horizontal="center" vertical="center"/>
    </xf>
    <xf numFmtId="9" fontId="68" fillId="0" borderId="37" xfId="3" applyFont="1" applyFill="1" applyBorder="1" applyAlignment="1">
      <alignment horizontal="center" vertical="center"/>
    </xf>
    <xf numFmtId="3" fontId="37" fillId="0" borderId="51" xfId="5" applyNumberFormat="1" applyFont="1" applyFill="1" applyBorder="1" applyAlignment="1">
      <alignment horizontal="center" vertical="center" wrapText="1"/>
    </xf>
    <xf numFmtId="3" fontId="37" fillId="0" borderId="5" xfId="5" applyNumberFormat="1" applyFont="1" applyFill="1" applyBorder="1" applyAlignment="1">
      <alignment horizontal="center" vertical="center" wrapText="1"/>
    </xf>
    <xf numFmtId="3" fontId="37" fillId="0" borderId="79" xfId="5" applyNumberFormat="1" applyFont="1" applyFill="1" applyBorder="1" applyAlignment="1">
      <alignment horizontal="center" vertical="center" wrapText="1"/>
    </xf>
    <xf numFmtId="3" fontId="37" fillId="0" borderId="6" xfId="5" applyNumberFormat="1" applyFont="1" applyFill="1" applyBorder="1" applyAlignment="1">
      <alignment horizontal="center" vertical="center" wrapText="1"/>
    </xf>
    <xf numFmtId="0" fontId="30" fillId="0" borderId="44" xfId="5" applyFont="1" applyFill="1" applyBorder="1" applyAlignment="1">
      <alignment vertical="center" wrapText="1"/>
    </xf>
    <xf numFmtId="3" fontId="37" fillId="0" borderId="1" xfId="5" applyNumberFormat="1" applyFont="1" applyFill="1" applyBorder="1" applyAlignment="1">
      <alignment vertical="center" wrapText="1"/>
    </xf>
    <xf numFmtId="3" fontId="37" fillId="0" borderId="40" xfId="5" applyNumberFormat="1" applyFont="1" applyFill="1" applyBorder="1" applyAlignment="1">
      <alignment horizontal="center" vertical="center" wrapText="1"/>
    </xf>
    <xf numFmtId="3" fontId="36" fillId="0" borderId="14" xfId="5" applyNumberFormat="1" applyFont="1" applyFill="1" applyBorder="1" applyAlignment="1">
      <alignment vertical="center" wrapText="1"/>
    </xf>
    <xf numFmtId="3" fontId="61" fillId="0" borderId="15" xfId="5" applyNumberFormat="1" applyFont="1" applyFill="1" applyBorder="1" applyAlignment="1">
      <alignment vertical="center" wrapText="1"/>
    </xf>
    <xf numFmtId="3" fontId="36" fillId="0" borderId="84" xfId="5" applyNumberFormat="1" applyFont="1" applyFill="1" applyBorder="1" applyAlignment="1">
      <alignment vertical="center" wrapText="1"/>
    </xf>
    <xf numFmtId="3" fontId="36" fillId="0" borderId="85" xfId="5" applyNumberFormat="1" applyFont="1" applyFill="1" applyBorder="1" applyAlignment="1">
      <alignment vertical="center" wrapText="1"/>
    </xf>
    <xf numFmtId="3" fontId="61" fillId="0" borderId="25" xfId="5" applyNumberFormat="1" applyFont="1" applyFill="1" applyBorder="1" applyAlignment="1">
      <alignment vertical="center" wrapText="1"/>
    </xf>
    <xf numFmtId="3" fontId="61" fillId="0" borderId="30" xfId="5" applyNumberFormat="1" applyFont="1" applyFill="1" applyBorder="1" applyAlignment="1">
      <alignment horizontal="justify" vertical="top" wrapText="1"/>
    </xf>
    <xf numFmtId="3" fontId="61" fillId="0" borderId="66" xfId="5" applyNumberFormat="1" applyFont="1" applyFill="1" applyBorder="1" applyAlignment="1">
      <alignment horizontal="justify" vertical="top" wrapText="1"/>
    </xf>
    <xf numFmtId="3" fontId="61" fillId="0" borderId="35" xfId="5" applyNumberFormat="1" applyFont="1" applyFill="1" applyBorder="1" applyAlignment="1">
      <alignment horizontal="justify" vertical="top" wrapText="1"/>
    </xf>
    <xf numFmtId="3" fontId="37" fillId="0" borderId="19" xfId="5" applyNumberFormat="1" applyFont="1" applyFill="1" applyBorder="1" applyAlignment="1">
      <alignment vertical="center" wrapText="1"/>
    </xf>
    <xf numFmtId="3" fontId="71" fillId="0" borderId="35" xfId="5" applyNumberFormat="1" applyFont="1" applyFill="1" applyBorder="1" applyAlignment="1">
      <alignment horizontal="justify" vertical="top" wrapText="1"/>
    </xf>
    <xf numFmtId="3" fontId="71" fillId="0" borderId="86" xfId="5" applyNumberFormat="1" applyFont="1" applyFill="1" applyBorder="1" applyAlignment="1">
      <alignment horizontal="justify" vertical="top" wrapText="1"/>
    </xf>
    <xf numFmtId="3" fontId="36" fillId="0" borderId="15" xfId="5" applyNumberFormat="1" applyFont="1" applyFill="1" applyBorder="1" applyAlignment="1">
      <alignment vertical="center" wrapText="1"/>
    </xf>
    <xf numFmtId="3" fontId="71" fillId="0" borderId="85" xfId="5" applyNumberFormat="1" applyFont="1" applyFill="1" applyBorder="1" applyAlignment="1">
      <alignment horizontal="justify" vertical="top" wrapText="1"/>
    </xf>
    <xf numFmtId="3" fontId="61" fillId="0" borderId="19" xfId="5" applyNumberFormat="1" applyFont="1" applyFill="1" applyBorder="1" applyAlignment="1">
      <alignment vertical="center" wrapText="1"/>
    </xf>
    <xf numFmtId="3" fontId="61" fillId="0" borderId="86" xfId="5" applyNumberFormat="1" applyFont="1" applyFill="1" applyBorder="1" applyAlignment="1">
      <alignment horizontal="justify" vertical="top" wrapText="1"/>
    </xf>
    <xf numFmtId="3" fontId="61" fillId="0" borderId="22" xfId="5" applyNumberFormat="1" applyFont="1" applyFill="1" applyBorder="1" applyAlignment="1">
      <alignment vertical="center" wrapText="1"/>
    </xf>
    <xf numFmtId="3" fontId="36" fillId="0" borderId="11" xfId="5" applyNumberFormat="1" applyFont="1" applyFill="1" applyBorder="1" applyAlignment="1">
      <alignment vertical="center" wrapText="1"/>
    </xf>
    <xf numFmtId="3" fontId="71" fillId="0" borderId="75" xfId="5" applyNumberFormat="1" applyFont="1" applyFill="1" applyBorder="1" applyAlignment="1">
      <alignment horizontal="justify" vertical="top" wrapText="1"/>
    </xf>
    <xf numFmtId="0" fontId="28" fillId="0" borderId="16" xfId="0" applyFont="1" applyBorder="1" applyAlignment="1">
      <alignment horizontal="center" vertical="center" wrapText="1"/>
    </xf>
    <xf numFmtId="3" fontId="61" fillId="0" borderId="19" xfId="5" applyNumberFormat="1" applyFont="1" applyFill="1" applyBorder="1" applyAlignment="1">
      <alignment horizontal="justify" vertical="top" wrapText="1"/>
    </xf>
    <xf numFmtId="0" fontId="28" fillId="0" borderId="37" xfId="0" applyFont="1" applyBorder="1" applyAlignment="1">
      <alignment horizontal="justify" vertical="top" wrapText="1"/>
    </xf>
    <xf numFmtId="0" fontId="66" fillId="0" borderId="16" xfId="0" applyFont="1" applyBorder="1" applyAlignment="1">
      <alignment horizontal="justify" vertical="top" wrapText="1"/>
    </xf>
    <xf numFmtId="0" fontId="66" fillId="0" borderId="30" xfId="0" applyFont="1" applyBorder="1" applyAlignment="1">
      <alignment horizontal="justify" vertical="top" wrapText="1"/>
    </xf>
    <xf numFmtId="0" fontId="28" fillId="0" borderId="30" xfId="0" applyFont="1" applyBorder="1" applyAlignment="1">
      <alignment horizontal="justify" vertical="top" wrapText="1"/>
    </xf>
    <xf numFmtId="0" fontId="28" fillId="0" borderId="16" xfId="0" applyFont="1" applyBorder="1" applyAlignment="1">
      <alignment horizontal="justify" vertical="top" wrapText="1"/>
    </xf>
    <xf numFmtId="3" fontId="37" fillId="0" borderId="19" xfId="5" applyNumberFormat="1" applyFont="1" applyFill="1" applyBorder="1" applyAlignment="1">
      <alignment horizontal="justify" vertical="top" wrapText="1"/>
    </xf>
    <xf numFmtId="3" fontId="36" fillId="0" borderId="0" xfId="5" applyNumberFormat="1" applyFont="1" applyFill="1" applyBorder="1" applyAlignment="1">
      <alignment vertical="center" wrapText="1"/>
    </xf>
    <xf numFmtId="3" fontId="36" fillId="0" borderId="7" xfId="5" applyNumberFormat="1" applyFont="1" applyFill="1" applyBorder="1" applyAlignment="1">
      <alignment vertical="center" wrapText="1"/>
    </xf>
    <xf numFmtId="0" fontId="4" fillId="0" borderId="5" xfId="0" applyFont="1" applyBorder="1" applyAlignment="1">
      <alignment vertical="top" wrapText="1"/>
    </xf>
    <xf numFmtId="0" fontId="17" fillId="0" borderId="35" xfId="2" applyBorder="1" applyAlignment="1">
      <alignment vertical="center"/>
    </xf>
    <xf numFmtId="0" fontId="4" fillId="3" borderId="7" xfId="0" applyFont="1" applyFill="1" applyBorder="1" applyAlignment="1" applyProtection="1">
      <alignment horizontal="center" vertical="center"/>
      <protection locked="0"/>
    </xf>
    <xf numFmtId="3" fontId="4" fillId="4" borderId="8" xfId="0" applyNumberFormat="1" applyFont="1" applyFill="1" applyBorder="1" applyAlignment="1" applyProtection="1">
      <alignment horizontal="center" vertical="center"/>
    </xf>
    <xf numFmtId="3" fontId="4" fillId="3" borderId="8" xfId="0" applyNumberFormat="1" applyFont="1" applyFill="1" applyBorder="1" applyAlignment="1" applyProtection="1">
      <alignment horizontal="center" vertical="center"/>
      <protection locked="0"/>
    </xf>
    <xf numFmtId="0" fontId="8" fillId="3" borderId="8" xfId="0" applyFont="1" applyFill="1" applyBorder="1" applyAlignment="1" applyProtection="1">
      <alignment vertical="top" wrapText="1"/>
      <protection locked="0"/>
    </xf>
    <xf numFmtId="0" fontId="17" fillId="3" borderId="8" xfId="2" applyFill="1" applyBorder="1" applyAlignment="1" applyProtection="1">
      <alignment vertical="top"/>
      <protection locked="0"/>
    </xf>
    <xf numFmtId="0" fontId="59" fillId="3" borderId="49" xfId="0" applyFont="1" applyFill="1" applyBorder="1" applyAlignment="1">
      <alignment horizontal="justify" vertical="top"/>
    </xf>
    <xf numFmtId="0" fontId="25" fillId="3" borderId="38" xfId="0" applyFont="1" applyFill="1" applyBorder="1" applyAlignment="1" applyProtection="1">
      <alignment horizontal="justify" vertical="top" wrapText="1"/>
      <protection locked="0"/>
    </xf>
    <xf numFmtId="9" fontId="4" fillId="3" borderId="16" xfId="0" applyNumberFormat="1" applyFont="1" applyFill="1" applyBorder="1" applyAlignment="1" applyProtection="1">
      <alignment horizontal="center" vertical="center"/>
      <protection locked="0"/>
    </xf>
    <xf numFmtId="0" fontId="59" fillId="3" borderId="34" xfId="0" applyFont="1" applyFill="1" applyBorder="1" applyAlignment="1" applyProtection="1">
      <alignment horizontal="justify" vertical="top" wrapText="1"/>
      <protection locked="0"/>
    </xf>
    <xf numFmtId="0" fontId="4" fillId="3" borderId="16" xfId="0" applyFont="1" applyFill="1" applyBorder="1" applyAlignment="1" applyProtection="1">
      <alignment vertical="top" wrapText="1"/>
      <protection locked="0"/>
    </xf>
    <xf numFmtId="0" fontId="4" fillId="3" borderId="16" xfId="0" applyFont="1" applyFill="1" applyBorder="1" applyAlignment="1" applyProtection="1">
      <alignment horizontal="justify" vertical="top" wrapText="1"/>
      <protection locked="0"/>
    </xf>
    <xf numFmtId="0" fontId="59" fillId="3" borderId="1" xfId="0" applyFont="1" applyFill="1" applyBorder="1" applyAlignment="1" applyProtection="1">
      <alignment horizontal="justify" vertical="top" wrapText="1"/>
      <protection locked="0"/>
    </xf>
    <xf numFmtId="0" fontId="19" fillId="3" borderId="16" xfId="0" applyFont="1" applyFill="1" applyBorder="1" applyAlignment="1" applyProtection="1">
      <alignment vertical="top" wrapText="1"/>
      <protection locked="0"/>
    </xf>
    <xf numFmtId="0" fontId="59" fillId="3" borderId="16" xfId="0" applyFont="1" applyFill="1" applyBorder="1" applyAlignment="1" applyProtection="1">
      <alignment horizontal="justify" vertical="top" wrapText="1"/>
      <protection locked="0"/>
    </xf>
    <xf numFmtId="0" fontId="59" fillId="3" borderId="16" xfId="0" applyFont="1" applyFill="1" applyBorder="1" applyAlignment="1">
      <alignment horizontal="justify" vertical="top" wrapText="1"/>
    </xf>
    <xf numFmtId="0" fontId="25" fillId="3" borderId="8" xfId="0" applyFont="1" applyFill="1" applyBorder="1" applyAlignment="1" applyProtection="1">
      <alignment horizontal="justify" vertical="top" wrapText="1"/>
      <protection locked="0"/>
    </xf>
    <xf numFmtId="0" fontId="8" fillId="3" borderId="45" xfId="0" applyFont="1" applyFill="1" applyBorder="1" applyAlignment="1" applyProtection="1">
      <alignment horizontal="justify" vertical="top" wrapText="1"/>
      <protection locked="0"/>
    </xf>
    <xf numFmtId="0" fontId="4" fillId="3" borderId="7" xfId="0" applyFont="1" applyFill="1" applyBorder="1" applyAlignment="1" applyProtection="1">
      <alignment horizontal="center" vertical="center" wrapText="1"/>
      <protection locked="0"/>
    </xf>
    <xf numFmtId="0" fontId="59" fillId="3" borderId="7"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0" fontId="8" fillId="3" borderId="16" xfId="0" applyFont="1" applyFill="1" applyBorder="1" applyAlignment="1" applyProtection="1">
      <alignment vertical="center" wrapText="1"/>
      <protection locked="0"/>
    </xf>
    <xf numFmtId="0" fontId="8" fillId="3" borderId="16" xfId="0" applyFont="1" applyFill="1" applyBorder="1" applyAlignment="1" applyProtection="1">
      <alignment horizontal="center" vertical="center" wrapText="1"/>
      <protection locked="0"/>
    </xf>
    <xf numFmtId="0" fontId="59" fillId="3" borderId="16" xfId="0" applyFont="1" applyFill="1" applyBorder="1" applyAlignment="1" applyProtection="1">
      <alignment horizontal="center" vertical="center" wrapText="1"/>
      <protection locked="0"/>
    </xf>
    <xf numFmtId="0" fontId="59" fillId="3" borderId="7" xfId="0" applyFont="1" applyFill="1" applyBorder="1" applyAlignment="1" applyProtection="1">
      <alignment horizontal="center" vertical="top" wrapText="1"/>
      <protection locked="0"/>
    </xf>
    <xf numFmtId="0" fontId="7" fillId="3" borderId="37" xfId="0" applyFont="1" applyFill="1" applyBorder="1" applyAlignment="1" applyProtection="1">
      <alignment horizontal="center" vertical="top"/>
      <protection locked="0"/>
    </xf>
    <xf numFmtId="0" fontId="59" fillId="3" borderId="8" xfId="0" applyFont="1" applyFill="1" applyBorder="1" applyAlignment="1" applyProtection="1">
      <alignment vertical="center" wrapText="1"/>
      <protection locked="0"/>
    </xf>
    <xf numFmtId="0" fontId="4" fillId="3" borderId="8" xfId="0" applyFont="1" applyFill="1" applyBorder="1" applyAlignment="1" applyProtection="1">
      <alignment vertical="center" wrapText="1"/>
      <protection locked="0"/>
    </xf>
    <xf numFmtId="0" fontId="4" fillId="3" borderId="8" xfId="0" applyFont="1" applyFill="1" applyBorder="1" applyAlignment="1" applyProtection="1">
      <alignment vertical="center"/>
      <protection locked="0"/>
    </xf>
    <xf numFmtId="3" fontId="4" fillId="3" borderId="7" xfId="0" applyNumberFormat="1" applyFont="1" applyFill="1" applyBorder="1" applyAlignment="1" applyProtection="1">
      <alignment horizontal="center" vertical="top" wrapText="1"/>
      <protection locked="0"/>
    </xf>
    <xf numFmtId="3" fontId="4" fillId="3" borderId="7" xfId="0" applyNumberFormat="1" applyFont="1" applyFill="1" applyBorder="1" applyAlignment="1" applyProtection="1">
      <alignment horizontal="center" vertical="center" wrapText="1"/>
      <protection locked="0"/>
    </xf>
    <xf numFmtId="0" fontId="33" fillId="13" borderId="13" xfId="5" applyFont="1" applyFill="1" applyBorder="1" applyAlignment="1">
      <alignment horizontal="center" vertical="center" wrapText="1"/>
    </xf>
    <xf numFmtId="0" fontId="68" fillId="0" borderId="51" xfId="5" applyFont="1" applyFill="1" applyBorder="1" applyAlignment="1">
      <alignment horizontal="justify" vertical="top" wrapText="1"/>
    </xf>
    <xf numFmtId="0" fontId="68" fillId="0" borderId="18" xfId="5" applyFont="1" applyFill="1" applyBorder="1" applyAlignment="1">
      <alignment horizontal="justify" vertical="top" wrapText="1"/>
    </xf>
    <xf numFmtId="0" fontId="68" fillId="0" borderId="21" xfId="5" applyFont="1" applyFill="1" applyBorder="1" applyAlignment="1">
      <alignment horizontal="justify" vertical="top" wrapText="1"/>
    </xf>
    <xf numFmtId="0" fontId="68" fillId="0" borderId="9" xfId="5" applyFont="1" applyFill="1" applyBorder="1" applyAlignment="1">
      <alignment horizontal="justify" vertical="top" wrapText="1"/>
    </xf>
    <xf numFmtId="1" fontId="37" fillId="0" borderId="12" xfId="5" applyNumberFormat="1" applyFont="1" applyFill="1" applyBorder="1" applyAlignment="1">
      <alignment vertical="center" wrapText="1"/>
    </xf>
    <xf numFmtId="10" fontId="37" fillId="0" borderId="47" xfId="3" applyNumberFormat="1" applyFont="1" applyFill="1" applyBorder="1" applyAlignment="1">
      <alignment horizontal="center" vertical="center" wrapText="1"/>
    </xf>
    <xf numFmtId="10" fontId="37" fillId="0" borderId="51" xfId="3" applyNumberFormat="1" applyFont="1" applyFill="1" applyBorder="1" applyAlignment="1">
      <alignment horizontal="center" vertical="center" wrapText="1"/>
    </xf>
    <xf numFmtId="0" fontId="68" fillId="0" borderId="18" xfId="5" applyFont="1" applyFill="1" applyBorder="1" applyAlignment="1">
      <alignment horizontal="justify" vertical="top" wrapText="1"/>
    </xf>
    <xf numFmtId="0" fontId="59" fillId="0" borderId="20" xfId="0" applyFont="1" applyBorder="1" applyAlignment="1">
      <alignment horizontal="justify" vertical="top" wrapText="1"/>
    </xf>
    <xf numFmtId="0" fontId="7" fillId="0" borderId="19" xfId="0" applyFont="1" applyFill="1" applyBorder="1" applyAlignment="1">
      <alignment horizontal="justify" vertical="top" wrapText="1"/>
    </xf>
    <xf numFmtId="0" fontId="62" fillId="0" borderId="28" xfId="0" applyFont="1" applyFill="1" applyBorder="1" applyAlignment="1">
      <alignment horizontal="justify" vertical="top" wrapText="1"/>
    </xf>
    <xf numFmtId="0" fontId="8" fillId="0" borderId="23" xfId="0" applyFont="1" applyFill="1" applyBorder="1" applyAlignment="1">
      <alignment horizontal="justify" vertical="top" wrapText="1"/>
    </xf>
    <xf numFmtId="0" fontId="28" fillId="0" borderId="23" xfId="0" applyFont="1" applyBorder="1" applyAlignment="1">
      <alignment horizontal="justify" vertical="top" wrapText="1"/>
    </xf>
    <xf numFmtId="0" fontId="28" fillId="0" borderId="25" xfId="0" applyFont="1" applyFill="1" applyBorder="1" applyAlignment="1">
      <alignment horizontal="justify" vertical="top" wrapText="1"/>
    </xf>
    <xf numFmtId="0" fontId="61" fillId="0" borderId="0" xfId="5" applyFont="1" applyFill="1" applyBorder="1" applyAlignment="1">
      <alignment horizontal="justify" vertical="top" wrapText="1"/>
    </xf>
    <xf numFmtId="0" fontId="61" fillId="0" borderId="21" xfId="5" applyFont="1" applyFill="1" applyBorder="1" applyAlignment="1">
      <alignment horizontal="justify" vertical="top" wrapText="1"/>
    </xf>
    <xf numFmtId="0" fontId="61" fillId="32" borderId="21" xfId="5" applyFont="1" applyFill="1" applyBorder="1" applyAlignment="1">
      <alignment horizontal="justify" vertical="top" wrapText="1"/>
    </xf>
    <xf numFmtId="0" fontId="65" fillId="0" borderId="21" xfId="0" applyFont="1" applyFill="1" applyBorder="1" applyAlignment="1">
      <alignment horizontal="justify" vertical="top" wrapText="1"/>
    </xf>
    <xf numFmtId="0" fontId="61" fillId="0" borderId="22" xfId="5" applyFont="1" applyFill="1" applyBorder="1" applyAlignment="1">
      <alignment horizontal="justify" vertical="top" wrapText="1"/>
    </xf>
    <xf numFmtId="0" fontId="66" fillId="0" borderId="6" xfId="0" applyFont="1" applyBorder="1" applyAlignment="1">
      <alignment horizontal="justify" vertical="top" wrapText="1"/>
    </xf>
    <xf numFmtId="0" fontId="64" fillId="32" borderId="9" xfId="5" applyFont="1" applyFill="1" applyBorder="1" applyAlignment="1">
      <alignment horizontal="justify" vertical="top" wrapText="1"/>
    </xf>
    <xf numFmtId="0" fontId="64" fillId="0" borderId="9" xfId="5" applyFont="1" applyFill="1" applyBorder="1" applyAlignment="1">
      <alignment horizontal="justify" vertical="top" wrapText="1"/>
    </xf>
    <xf numFmtId="0" fontId="68" fillId="0" borderId="22" xfId="5" applyFont="1" applyFill="1" applyBorder="1" applyAlignment="1">
      <alignment horizontal="justify" vertical="top" wrapText="1"/>
    </xf>
    <xf numFmtId="0" fontId="68" fillId="0" borderId="25" xfId="5" applyFont="1" applyFill="1" applyBorder="1" applyAlignment="1">
      <alignment horizontal="justify" vertical="top" wrapText="1"/>
    </xf>
    <xf numFmtId="0" fontId="68" fillId="32" borderId="28" xfId="5" applyFont="1" applyFill="1" applyBorder="1" applyAlignment="1">
      <alignment horizontal="justify" vertical="top" wrapText="1"/>
    </xf>
    <xf numFmtId="0" fontId="68" fillId="32" borderId="22" xfId="5" applyFont="1" applyFill="1" applyBorder="1" applyAlignment="1">
      <alignment horizontal="justify" vertical="top" wrapText="1"/>
    </xf>
    <xf numFmtId="0" fontId="28" fillId="0" borderId="20" xfId="0" applyFont="1" applyBorder="1" applyAlignment="1">
      <alignment horizontal="justify" vertical="top" wrapText="1"/>
    </xf>
    <xf numFmtId="0" fontId="33" fillId="13" borderId="16" xfId="5" applyFont="1" applyFill="1" applyBorder="1" applyAlignment="1">
      <alignment horizontal="center" vertical="center" wrapText="1"/>
    </xf>
    <xf numFmtId="0" fontId="28" fillId="32" borderId="20" xfId="0" applyFont="1" applyFill="1" applyBorder="1" applyAlignment="1">
      <alignment horizontal="justify" vertical="top" wrapText="1"/>
    </xf>
    <xf numFmtId="0" fontId="7" fillId="0" borderId="16" xfId="0" applyFont="1" applyBorder="1" applyAlignment="1">
      <alignment horizontal="justify" vertical="top" wrapText="1"/>
    </xf>
    <xf numFmtId="0" fontId="7" fillId="0" borderId="16" xfId="0" applyFont="1" applyFill="1" applyBorder="1" applyAlignment="1">
      <alignment horizontal="justify" vertical="top" wrapText="1"/>
    </xf>
    <xf numFmtId="0" fontId="8" fillId="0" borderId="16" xfId="0" applyFont="1" applyFill="1" applyBorder="1" applyAlignment="1">
      <alignment horizontal="justify" vertical="top" wrapText="1"/>
    </xf>
    <xf numFmtId="0" fontId="8" fillId="0" borderId="16" xfId="0" applyFont="1" applyBorder="1" applyAlignment="1">
      <alignment horizontal="justify" vertical="top" wrapText="1"/>
    </xf>
    <xf numFmtId="0" fontId="8" fillId="32" borderId="39" xfId="0" applyFont="1" applyFill="1" applyBorder="1" applyAlignment="1">
      <alignment horizontal="justify" vertical="top" wrapText="1"/>
    </xf>
    <xf numFmtId="9" fontId="37" fillId="33" borderId="18" xfId="3" applyFont="1" applyFill="1" applyBorder="1" applyAlignment="1">
      <alignment horizontal="center" vertical="center" wrapText="1"/>
    </xf>
    <xf numFmtId="3" fontId="37" fillId="0" borderId="16" xfId="5" applyNumberFormat="1" applyFont="1" applyFill="1" applyBorder="1" applyAlignment="1">
      <alignment horizontal="center" vertical="center" wrapText="1"/>
    </xf>
    <xf numFmtId="1" fontId="37" fillId="0" borderId="14" xfId="5" applyNumberFormat="1" applyFont="1" applyFill="1" applyBorder="1" applyAlignment="1">
      <alignment vertical="center" wrapText="1"/>
    </xf>
    <xf numFmtId="9" fontId="37" fillId="0" borderId="14" xfId="3" applyFont="1" applyFill="1" applyBorder="1" applyAlignment="1">
      <alignment horizontal="center" vertical="center" wrapText="1"/>
    </xf>
    <xf numFmtId="0" fontId="7" fillId="32" borderId="37" xfId="0" applyFont="1" applyFill="1" applyBorder="1" applyAlignment="1">
      <alignment horizontal="justify" vertical="top" wrapText="1"/>
    </xf>
    <xf numFmtId="0" fontId="28" fillId="32" borderId="41" xfId="0" applyFont="1" applyFill="1" applyBorder="1" applyAlignment="1">
      <alignment horizontal="justify" vertical="top" wrapText="1"/>
    </xf>
    <xf numFmtId="0" fontId="28" fillId="32" borderId="30" xfId="0" applyFont="1" applyFill="1" applyBorder="1" applyAlignment="1">
      <alignment horizontal="justify" vertical="top" wrapText="1"/>
    </xf>
    <xf numFmtId="3" fontId="61" fillId="33" borderId="68" xfId="0" applyNumberFormat="1" applyFont="1" applyFill="1" applyBorder="1" applyAlignment="1">
      <alignment horizontal="center" vertical="center" wrapText="1"/>
    </xf>
    <xf numFmtId="2" fontId="61" fillId="33" borderId="37" xfId="0" applyNumberFormat="1" applyFont="1" applyFill="1" applyBorder="1" applyAlignment="1">
      <alignment horizontal="center" vertical="center" wrapText="1"/>
    </xf>
    <xf numFmtId="0" fontId="36" fillId="33" borderId="12" xfId="5" applyFont="1" applyFill="1" applyBorder="1" applyAlignment="1">
      <alignment vertical="top" wrapText="1"/>
    </xf>
    <xf numFmtId="0" fontId="28" fillId="0" borderId="31" xfId="0" applyFont="1" applyFill="1" applyBorder="1" applyAlignment="1">
      <alignment horizontal="justify" vertical="top" wrapText="1"/>
    </xf>
    <xf numFmtId="0" fontId="28" fillId="0" borderId="74" xfId="0" applyFont="1" applyFill="1" applyBorder="1" applyAlignment="1">
      <alignment horizontal="justify" vertical="top" wrapText="1"/>
    </xf>
    <xf numFmtId="0" fontId="61" fillId="0" borderId="21" xfId="5" applyFont="1" applyFill="1" applyBorder="1" applyAlignment="1">
      <alignment horizontal="center" vertical="center" wrapText="1"/>
    </xf>
    <xf numFmtId="9" fontId="64" fillId="0" borderId="16" xfId="3" applyFont="1" applyFill="1" applyBorder="1" applyAlignment="1">
      <alignment horizontal="center" vertical="center" wrapText="1"/>
    </xf>
    <xf numFmtId="9" fontId="64" fillId="0" borderId="16" xfId="5" applyNumberFormat="1" applyFont="1" applyFill="1" applyBorder="1" applyAlignment="1">
      <alignment horizontal="center" vertical="center" wrapText="1"/>
    </xf>
    <xf numFmtId="0" fontId="64" fillId="0" borderId="16" xfId="5" applyFont="1" applyFill="1" applyBorder="1" applyAlignment="1">
      <alignment horizontal="center" vertical="center" wrapText="1"/>
    </xf>
    <xf numFmtId="1" fontId="37" fillId="0" borderId="16" xfId="5" applyNumberFormat="1" applyFont="1" applyFill="1" applyBorder="1" applyAlignment="1">
      <alignment vertical="center" wrapText="1"/>
    </xf>
    <xf numFmtId="0" fontId="64" fillId="0" borderId="41" xfId="5" applyFont="1" applyFill="1" applyBorder="1" applyAlignment="1">
      <alignment horizontal="justify" vertical="top" wrapText="1"/>
    </xf>
    <xf numFmtId="0" fontId="64" fillId="0" borderId="41" xfId="5" applyFont="1" applyFill="1" applyBorder="1" applyAlignment="1">
      <alignment horizontal="left" vertical="top" wrapText="1"/>
    </xf>
    <xf numFmtId="2" fontId="61" fillId="15" borderId="81" xfId="0" applyNumberFormat="1" applyFont="1" applyFill="1" applyBorder="1" applyAlignment="1">
      <alignment horizontal="center" vertical="center" wrapText="1"/>
    </xf>
    <xf numFmtId="0" fontId="64" fillId="0" borderId="16" xfId="5" applyFont="1" applyFill="1" applyBorder="1" applyAlignment="1">
      <alignment horizontal="justify" vertical="top" wrapText="1"/>
    </xf>
    <xf numFmtId="0" fontId="63" fillId="31" borderId="5" xfId="5" applyFont="1" applyFill="1" applyBorder="1" applyAlignment="1">
      <alignment vertical="top"/>
    </xf>
    <xf numFmtId="0" fontId="66" fillId="32" borderId="16" xfId="0" applyFont="1" applyFill="1" applyBorder="1" applyAlignment="1">
      <alignment horizontal="justify" vertical="top" wrapText="1"/>
    </xf>
    <xf numFmtId="0" fontId="66" fillId="32" borderId="30" xfId="0" applyFont="1" applyFill="1" applyBorder="1" applyAlignment="1">
      <alignment horizontal="justify" vertical="top" wrapText="1"/>
    </xf>
    <xf numFmtId="0" fontId="63" fillId="31" borderId="12" xfId="5" applyFont="1" applyFill="1" applyBorder="1" applyAlignment="1">
      <alignment vertical="top"/>
    </xf>
    <xf numFmtId="0" fontId="66" fillId="0" borderId="9" xfId="0" applyFont="1" applyFill="1" applyBorder="1" applyAlignment="1">
      <alignment horizontal="justify" vertical="top" wrapText="1"/>
    </xf>
    <xf numFmtId="0" fontId="66" fillId="0" borderId="0" xfId="0" applyFont="1" applyBorder="1" applyAlignment="1">
      <alignment horizontal="justify" vertical="center" wrapText="1"/>
    </xf>
    <xf numFmtId="0" fontId="66" fillId="32" borderId="11" xfId="0" applyFont="1" applyFill="1" applyBorder="1" applyAlignment="1">
      <alignment horizontal="justify" vertical="top" wrapText="1"/>
    </xf>
    <xf numFmtId="0" fontId="64" fillId="32" borderId="2" xfId="5" applyFont="1" applyFill="1" applyBorder="1" applyAlignment="1">
      <alignment horizontal="justify" vertical="top" wrapText="1"/>
    </xf>
    <xf numFmtId="0" fontId="64" fillId="32" borderId="16" xfId="5" applyFont="1" applyFill="1" applyBorder="1" applyAlignment="1">
      <alignment horizontal="justify" vertical="top" wrapText="1"/>
    </xf>
    <xf numFmtId="0" fontId="64" fillId="0" borderId="14" xfId="5" applyFont="1" applyFill="1" applyBorder="1" applyAlignment="1">
      <alignment horizontal="justify" vertical="top" wrapText="1"/>
    </xf>
    <xf numFmtId="0" fontId="64" fillId="32" borderId="14" xfId="5" applyFont="1" applyFill="1" applyBorder="1" applyAlignment="1">
      <alignment horizontal="justify" vertical="top" wrapText="1"/>
    </xf>
    <xf numFmtId="0" fontId="64" fillId="32" borderId="37" xfId="5" applyFont="1" applyFill="1" applyBorder="1" applyAlignment="1">
      <alignment horizontal="justify" vertical="top" wrapText="1"/>
    </xf>
    <xf numFmtId="0" fontId="68" fillId="32" borderId="16" xfId="5" applyFont="1" applyFill="1" applyBorder="1" applyAlignment="1">
      <alignment horizontal="justify" vertical="top" wrapText="1"/>
    </xf>
    <xf numFmtId="0" fontId="68" fillId="32" borderId="0" xfId="5" applyFont="1" applyFill="1" applyBorder="1" applyAlignment="1">
      <alignment horizontal="justify" vertical="top" wrapText="1"/>
    </xf>
    <xf numFmtId="0" fontId="68" fillId="32" borderId="81" xfId="5" applyFont="1" applyFill="1" applyBorder="1" applyAlignment="1">
      <alignment horizontal="justify" vertical="top" wrapText="1"/>
    </xf>
    <xf numFmtId="0" fontId="68" fillId="32" borderId="20" xfId="5" applyFont="1" applyFill="1" applyBorder="1" applyAlignment="1">
      <alignment horizontal="justify" vertical="top" wrapText="1"/>
    </xf>
    <xf numFmtId="0" fontId="68" fillId="0" borderId="81" xfId="5" applyFont="1" applyFill="1" applyBorder="1" applyAlignment="1">
      <alignment horizontal="justify" vertical="top" wrapText="1"/>
    </xf>
    <xf numFmtId="0" fontId="68" fillId="32" borderId="70" xfId="5" applyFont="1" applyFill="1" applyBorder="1" applyAlignment="1">
      <alignment horizontal="justify" vertical="top" wrapText="1"/>
    </xf>
    <xf numFmtId="0" fontId="68" fillId="32" borderId="34" xfId="5" applyFont="1" applyFill="1" applyBorder="1" applyAlignment="1">
      <alignment horizontal="justify" vertical="top" wrapText="1"/>
    </xf>
    <xf numFmtId="0" fontId="68" fillId="0" borderId="34" xfId="5" applyFont="1" applyFill="1" applyBorder="1" applyAlignment="1">
      <alignment horizontal="justify" vertical="top" wrapText="1"/>
    </xf>
    <xf numFmtId="0" fontId="68" fillId="0" borderId="16" xfId="5" applyFont="1" applyFill="1" applyBorder="1" applyAlignment="1">
      <alignment horizontal="justify" vertical="top" wrapText="1"/>
    </xf>
    <xf numFmtId="0" fontId="67" fillId="33" borderId="79" xfId="0" applyFont="1" applyFill="1" applyBorder="1" applyAlignment="1">
      <alignment horizontal="center" vertical="center" wrapText="1"/>
    </xf>
    <xf numFmtId="0" fontId="68" fillId="0" borderId="20" xfId="5" applyFont="1" applyFill="1" applyBorder="1" applyAlignment="1">
      <alignment horizontal="justify" vertical="top" wrapText="1"/>
    </xf>
    <xf numFmtId="0" fontId="68" fillId="0" borderId="37" xfId="5" applyFont="1" applyFill="1" applyBorder="1" applyAlignment="1">
      <alignment horizontal="justify" vertical="top" wrapText="1"/>
    </xf>
    <xf numFmtId="0" fontId="64" fillId="33" borderId="37" xfId="5" applyFont="1" applyFill="1" applyBorder="1" applyAlignment="1">
      <alignment horizontal="center" vertical="center" wrapText="1"/>
    </xf>
    <xf numFmtId="1" fontId="37" fillId="0" borderId="37" xfId="5" applyNumberFormat="1" applyFont="1" applyFill="1" applyBorder="1" applyAlignment="1">
      <alignment vertical="center" wrapText="1"/>
    </xf>
    <xf numFmtId="10" fontId="37" fillId="0" borderId="81" xfId="3" applyNumberFormat="1" applyFont="1" applyFill="1" applyBorder="1" applyAlignment="1">
      <alignment vertical="center" wrapText="1"/>
    </xf>
    <xf numFmtId="0" fontId="64" fillId="33" borderId="26" xfId="5" applyFont="1" applyFill="1" applyBorder="1" applyAlignment="1">
      <alignment horizontal="center" vertical="center" wrapText="1"/>
    </xf>
    <xf numFmtId="3" fontId="37" fillId="0" borderId="0" xfId="5" applyNumberFormat="1" applyFont="1" applyFill="1" applyBorder="1" applyAlignment="1">
      <alignment vertical="center" wrapText="1"/>
    </xf>
    <xf numFmtId="3" fontId="37" fillId="0" borderId="16" xfId="5" applyNumberFormat="1" applyFont="1" applyFill="1" applyBorder="1" applyAlignment="1">
      <alignment vertical="center" wrapText="1"/>
    </xf>
    <xf numFmtId="0" fontId="66" fillId="0" borderId="30" xfId="0" applyFont="1" applyFill="1" applyBorder="1" applyAlignment="1">
      <alignment horizontal="center" vertical="center" wrapText="1"/>
    </xf>
    <xf numFmtId="0" fontId="68" fillId="32" borderId="37" xfId="5" applyFont="1" applyFill="1" applyBorder="1" applyAlignment="1">
      <alignment horizontal="justify" vertical="top" wrapText="1"/>
    </xf>
    <xf numFmtId="0" fontId="69" fillId="33" borderId="37" xfId="0" applyFont="1" applyFill="1" applyBorder="1" applyAlignment="1">
      <alignment horizontal="center" vertical="center" wrapText="1"/>
    </xf>
    <xf numFmtId="3" fontId="70" fillId="33" borderId="81" xfId="5" applyNumberFormat="1" applyFont="1" applyFill="1" applyBorder="1" applyAlignment="1">
      <alignment horizontal="center" vertical="center" wrapText="1"/>
    </xf>
    <xf numFmtId="0" fontId="67" fillId="0" borderId="16" xfId="0" applyFont="1" applyBorder="1" applyAlignment="1">
      <alignment horizontal="justify" vertical="top" wrapText="1"/>
    </xf>
    <xf numFmtId="0" fontId="68" fillId="0" borderId="30" xfId="5" applyFont="1" applyFill="1" applyBorder="1" applyAlignment="1">
      <alignment horizontal="justify" vertical="top" wrapText="1"/>
    </xf>
    <xf numFmtId="0" fontId="67" fillId="0" borderId="37" xfId="0" applyFont="1" applyBorder="1" applyAlignment="1">
      <alignment horizontal="justify" vertical="top" wrapText="1"/>
    </xf>
    <xf numFmtId="0" fontId="67" fillId="0" borderId="37" xfId="0" applyFont="1" applyBorder="1" applyAlignment="1">
      <alignment horizontal="justify" vertical="center" wrapText="1"/>
    </xf>
    <xf numFmtId="3" fontId="68" fillId="33" borderId="77" xfId="5" applyNumberFormat="1" applyFont="1" applyFill="1" applyBorder="1" applyAlignment="1">
      <alignment horizontal="center" vertical="center" wrapText="1"/>
    </xf>
    <xf numFmtId="0" fontId="62" fillId="0" borderId="16" xfId="0" applyFont="1" applyFill="1" applyBorder="1" applyAlignment="1">
      <alignment horizontal="justify" vertical="top" wrapText="1"/>
    </xf>
    <xf numFmtId="0" fontId="68" fillId="32" borderId="36" xfId="5" applyFont="1" applyFill="1" applyBorder="1" applyAlignment="1">
      <alignment horizontal="justify" vertical="top" wrapText="1"/>
    </xf>
    <xf numFmtId="1" fontId="37" fillId="0" borderId="30" xfId="5" applyNumberFormat="1" applyFont="1" applyFill="1" applyBorder="1" applyAlignment="1">
      <alignment vertical="center" wrapText="1"/>
    </xf>
    <xf numFmtId="9" fontId="68" fillId="33" borderId="79" xfId="3" applyFont="1" applyFill="1" applyBorder="1" applyAlignment="1">
      <alignment horizontal="center" vertical="center" wrapText="1"/>
    </xf>
    <xf numFmtId="0" fontId="68" fillId="0" borderId="6" xfId="5" applyFont="1" applyFill="1" applyBorder="1" applyAlignment="1">
      <alignment horizontal="justify" vertical="top" wrapText="1"/>
    </xf>
    <xf numFmtId="0" fontId="68" fillId="0" borderId="80" xfId="5" applyFont="1" applyFill="1" applyBorder="1" applyAlignment="1">
      <alignment horizontal="justify" vertical="top" wrapText="1"/>
    </xf>
    <xf numFmtId="3" fontId="68" fillId="33" borderId="81" xfId="5" applyNumberFormat="1" applyFont="1" applyFill="1" applyBorder="1" applyAlignment="1">
      <alignment horizontal="center" vertical="center" wrapText="1"/>
    </xf>
    <xf numFmtId="0" fontId="68" fillId="32" borderId="46" xfId="5" applyFont="1" applyFill="1" applyBorder="1" applyAlignment="1">
      <alignment horizontal="justify" vertical="top" wrapText="1"/>
    </xf>
    <xf numFmtId="3" fontId="68" fillId="33" borderId="6" xfId="5" applyNumberFormat="1" applyFont="1" applyFill="1" applyBorder="1" applyAlignment="1">
      <alignment horizontal="center" vertical="center" wrapText="1"/>
    </xf>
    <xf numFmtId="0" fontId="68" fillId="33" borderId="22" xfId="5" applyFont="1" applyFill="1" applyBorder="1" applyAlignment="1">
      <alignment horizontal="center" vertical="center" wrapText="1"/>
    </xf>
    <xf numFmtId="0" fontId="34" fillId="13" borderId="7" xfId="5" applyFont="1" applyFill="1" applyBorder="1" applyAlignment="1">
      <alignment vertical="center" wrapText="1"/>
    </xf>
    <xf numFmtId="1" fontId="37" fillId="0" borderId="43" xfId="5" applyNumberFormat="1" applyFont="1" applyFill="1" applyBorder="1" applyAlignment="1">
      <alignment horizontal="center" vertical="center" wrapText="1"/>
    </xf>
    <xf numFmtId="10" fontId="37" fillId="0" borderId="44" xfId="3" applyNumberFormat="1" applyFont="1" applyFill="1" applyBorder="1" applyAlignment="1">
      <alignment horizontal="center" vertical="center" wrapText="1"/>
    </xf>
    <xf numFmtId="1" fontId="37" fillId="0" borderId="46" xfId="5" applyNumberFormat="1" applyFont="1" applyFill="1" applyBorder="1" applyAlignment="1">
      <alignment horizontal="center" vertical="center" wrapText="1"/>
    </xf>
    <xf numFmtId="1" fontId="37" fillId="0" borderId="9" xfId="5" applyNumberFormat="1" applyFont="1" applyFill="1" applyBorder="1" applyAlignment="1">
      <alignment horizontal="center" vertical="center" wrapText="1"/>
    </xf>
    <xf numFmtId="1" fontId="37" fillId="0" borderId="48" xfId="5" applyNumberFormat="1" applyFont="1" applyFill="1" applyBorder="1" applyAlignment="1">
      <alignment horizontal="center" vertical="center" wrapText="1"/>
    </xf>
    <xf numFmtId="1" fontId="37" fillId="0" borderId="40" xfId="5" applyNumberFormat="1" applyFont="1" applyFill="1" applyBorder="1" applyAlignment="1">
      <alignment horizontal="center" vertical="center" wrapText="1"/>
    </xf>
    <xf numFmtId="0" fontId="4" fillId="0" borderId="5" xfId="0" applyFont="1" applyBorder="1" applyAlignment="1">
      <alignment vertical="top" wrapText="1"/>
    </xf>
    <xf numFmtId="0" fontId="4" fillId="0" borderId="8" xfId="0" applyFont="1" applyBorder="1" applyAlignment="1">
      <alignment vertical="top" wrapText="1"/>
    </xf>
    <xf numFmtId="0" fontId="4" fillId="0" borderId="5" xfId="0" applyFont="1" applyBorder="1" applyAlignment="1">
      <alignment vertical="top" wrapText="1"/>
    </xf>
    <xf numFmtId="0" fontId="4" fillId="0" borderId="5" xfId="0" applyFont="1" applyBorder="1" applyAlignment="1" applyProtection="1">
      <alignment vertical="top" wrapText="1"/>
      <protection locked="0"/>
    </xf>
    <xf numFmtId="9" fontId="4" fillId="3" borderId="8" xfId="0" applyNumberFormat="1" applyFont="1" applyFill="1" applyBorder="1" applyAlignment="1" applyProtection="1">
      <alignment horizontal="center" vertical="center"/>
      <protection locked="0"/>
    </xf>
    <xf numFmtId="0" fontId="4" fillId="3" borderId="11" xfId="0" applyFont="1" applyFill="1" applyBorder="1" applyAlignment="1">
      <alignment vertical="top" wrapText="1"/>
    </xf>
    <xf numFmtId="0" fontId="8" fillId="3" borderId="1" xfId="0" applyFont="1" applyFill="1" applyBorder="1" applyAlignment="1" applyProtection="1">
      <alignment vertical="top" wrapText="1"/>
      <protection locked="0"/>
    </xf>
    <xf numFmtId="0" fontId="4" fillId="3" borderId="8" xfId="0" applyFont="1" applyFill="1" applyBorder="1" applyAlignment="1">
      <alignment horizontal="justify" vertical="top" wrapText="1"/>
    </xf>
    <xf numFmtId="0" fontId="8" fillId="3" borderId="12" xfId="0" applyFont="1" applyFill="1" applyBorder="1" applyAlignment="1" applyProtection="1">
      <alignment vertical="top" wrapText="1"/>
      <protection locked="0"/>
    </xf>
    <xf numFmtId="0" fontId="4" fillId="3" borderId="15"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justify" vertical="top" wrapText="1"/>
      <protection locked="0"/>
    </xf>
    <xf numFmtId="0" fontId="76" fillId="3" borderId="12" xfId="0" applyFont="1" applyFill="1" applyBorder="1" applyAlignment="1" applyProtection="1">
      <alignment horizontal="center" vertical="center"/>
      <protection locked="0"/>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1" fontId="64" fillId="0" borderId="16" xfId="5" applyNumberFormat="1" applyFont="1" applyFill="1" applyBorder="1" applyAlignment="1">
      <alignment horizontal="center" vertical="center" wrapText="1"/>
    </xf>
    <xf numFmtId="0" fontId="8" fillId="3" borderId="16" xfId="0" applyFont="1" applyFill="1" applyBorder="1" applyAlignment="1" applyProtection="1">
      <alignment horizontal="justify" vertical="center" wrapText="1"/>
      <protection locked="0"/>
    </xf>
    <xf numFmtId="168" fontId="8" fillId="3" borderId="16" xfId="4" applyNumberFormat="1" applyFont="1" applyFill="1" applyBorder="1" applyAlignment="1" applyProtection="1">
      <alignment horizontal="right" vertical="center"/>
      <protection locked="0"/>
    </xf>
    <xf numFmtId="0" fontId="8" fillId="3" borderId="16" xfId="0" applyFont="1" applyFill="1" applyBorder="1" applyAlignment="1" applyProtection="1">
      <alignment horizontal="center" vertical="center"/>
      <protection locked="0"/>
    </xf>
    <xf numFmtId="9" fontId="8" fillId="3" borderId="16" xfId="0" applyNumberFormat="1" applyFont="1" applyFill="1" applyBorder="1" applyAlignment="1" applyProtection="1">
      <alignment horizontal="center" vertical="center"/>
      <protection locked="0"/>
    </xf>
    <xf numFmtId="0" fontId="4" fillId="3" borderId="8" xfId="0" applyFont="1" applyFill="1" applyBorder="1" applyAlignment="1">
      <alignment horizontal="left" vertical="center" wrapText="1"/>
    </xf>
    <xf numFmtId="0" fontId="77" fillId="3" borderId="8" xfId="2" applyFont="1" applyFill="1" applyBorder="1" applyAlignment="1">
      <alignment horizontal="left" vertical="center" wrapText="1"/>
    </xf>
    <xf numFmtId="0" fontId="7" fillId="3" borderId="16" xfId="0" applyFont="1" applyFill="1" applyBorder="1" applyAlignment="1" applyProtection="1">
      <alignment horizontal="center" vertical="center"/>
      <protection locked="0"/>
    </xf>
    <xf numFmtId="0" fontId="4" fillId="3" borderId="16" xfId="0" applyFont="1" applyFill="1" applyBorder="1" applyAlignment="1">
      <alignment horizontal="left" vertical="center" wrapText="1"/>
    </xf>
    <xf numFmtId="0" fontId="4" fillId="3" borderId="16" xfId="0" applyFont="1" applyFill="1" applyBorder="1" applyAlignment="1">
      <alignment vertical="center" wrapText="1"/>
    </xf>
    <xf numFmtId="168" fontId="7" fillId="3" borderId="16" xfId="4" applyNumberFormat="1" applyFont="1" applyFill="1" applyBorder="1" applyAlignment="1" applyProtection="1">
      <alignment horizontal="left" vertical="center"/>
      <protection locked="0"/>
    </xf>
    <xf numFmtId="166" fontId="7" fillId="3" borderId="16" xfId="4" applyFont="1" applyFill="1" applyBorder="1" applyAlignment="1" applyProtection="1">
      <alignment horizontal="left" vertical="center"/>
      <protection locked="0"/>
    </xf>
    <xf numFmtId="0" fontId="4" fillId="0" borderId="16" xfId="0" applyFont="1" applyFill="1" applyBorder="1" applyAlignment="1" applyProtection="1">
      <alignment horizontal="center" vertical="center"/>
      <protection locked="0"/>
    </xf>
    <xf numFmtId="0" fontId="4" fillId="0" borderId="16" xfId="0" applyFont="1" applyFill="1" applyBorder="1" applyAlignment="1">
      <alignment horizontal="left" vertical="center" wrapText="1"/>
    </xf>
    <xf numFmtId="0" fontId="4" fillId="0" borderId="16" xfId="0" applyFont="1" applyFill="1" applyBorder="1" applyAlignment="1">
      <alignment vertical="center" wrapText="1"/>
    </xf>
    <xf numFmtId="0" fontId="4" fillId="3" borderId="16" xfId="0" applyFont="1" applyFill="1" applyBorder="1" applyAlignment="1" applyProtection="1">
      <alignment horizontal="center" vertical="center"/>
      <protection locked="0"/>
    </xf>
    <xf numFmtId="0" fontId="7" fillId="3" borderId="16" xfId="0" applyFont="1" applyFill="1" applyBorder="1" applyAlignment="1">
      <alignment horizontal="left" vertical="center" wrapText="1"/>
    </xf>
    <xf numFmtId="0" fontId="4" fillId="3" borderId="16" xfId="0" applyFont="1" applyFill="1" applyBorder="1" applyAlignment="1">
      <alignment horizontal="center" vertical="center"/>
    </xf>
    <xf numFmtId="0" fontId="4" fillId="0" borderId="16" xfId="0" applyFont="1" applyFill="1" applyBorder="1" applyAlignment="1">
      <alignment horizontal="center" vertical="center"/>
    </xf>
    <xf numFmtId="9" fontId="7" fillId="3" borderId="16" xfId="0" applyNumberFormat="1" applyFont="1" applyFill="1" applyBorder="1" applyAlignment="1">
      <alignment horizontal="center" vertical="center"/>
    </xf>
    <xf numFmtId="9" fontId="7" fillId="0" borderId="16" xfId="0" applyNumberFormat="1" applyFont="1" applyFill="1" applyBorder="1" applyAlignment="1">
      <alignment horizontal="center" vertical="center"/>
    </xf>
    <xf numFmtId="9" fontId="7" fillId="3" borderId="16" xfId="3" applyNumberFormat="1" applyFont="1" applyFill="1" applyBorder="1" applyAlignment="1">
      <alignment horizontal="center" vertical="center"/>
    </xf>
    <xf numFmtId="1" fontId="37" fillId="0" borderId="22" xfId="3" applyNumberFormat="1" applyFont="1" applyFill="1" applyBorder="1" applyAlignment="1">
      <alignment horizontal="center" vertical="center" wrapText="1"/>
    </xf>
    <xf numFmtId="1" fontId="37" fillId="0" borderId="16" xfId="3" applyNumberFormat="1" applyFont="1" applyFill="1" applyBorder="1" applyAlignment="1">
      <alignment horizontal="center" vertical="center" wrapText="1"/>
    </xf>
    <xf numFmtId="166" fontId="7" fillId="3" borderId="12" xfId="4" applyFont="1" applyFill="1" applyBorder="1" applyAlignment="1" applyProtection="1">
      <alignment horizontal="center" vertical="center"/>
      <protection locked="0"/>
    </xf>
    <xf numFmtId="166" fontId="4" fillId="3" borderId="8" xfId="4" applyFont="1" applyFill="1" applyBorder="1" applyAlignment="1" applyProtection="1">
      <alignment horizontal="center" vertical="center" wrapText="1"/>
      <protection locked="0"/>
    </xf>
    <xf numFmtId="166" fontId="4" fillId="3" borderId="12" xfId="4" applyFont="1" applyFill="1" applyBorder="1" applyAlignment="1" applyProtection="1">
      <alignment horizontal="center" vertical="center" wrapText="1"/>
      <protection locked="0"/>
    </xf>
    <xf numFmtId="0" fontId="17" fillId="3" borderId="8" xfId="2" applyFill="1" applyBorder="1" applyAlignment="1" applyProtection="1">
      <alignment horizontal="left" vertical="top"/>
      <protection locked="0"/>
    </xf>
    <xf numFmtId="9" fontId="36" fillId="0" borderId="43" xfId="3" applyFont="1" applyFill="1" applyBorder="1" applyAlignment="1">
      <alignment vertical="center" wrapText="1"/>
    </xf>
    <xf numFmtId="0" fontId="4" fillId="3" borderId="8" xfId="0" applyFont="1" applyFill="1" applyBorder="1" applyAlignment="1" applyProtection="1">
      <alignment horizontal="center" vertical="center"/>
      <protection locked="0"/>
    </xf>
    <xf numFmtId="9" fontId="37" fillId="0" borderId="46" xfId="3" applyNumberFormat="1" applyFont="1" applyFill="1" applyBorder="1" applyAlignment="1">
      <alignment horizontal="center" vertical="center" wrapText="1"/>
    </xf>
    <xf numFmtId="9" fontId="37" fillId="0" borderId="5" xfId="3" applyFont="1" applyFill="1" applyBorder="1" applyAlignment="1">
      <alignment vertical="center" wrapText="1"/>
    </xf>
    <xf numFmtId="165" fontId="45" fillId="19" borderId="58" xfId="11" applyFont="1" applyFill="1" applyBorder="1" applyAlignment="1">
      <alignment horizontal="right" vertical="center"/>
    </xf>
    <xf numFmtId="165" fontId="45" fillId="0" borderId="58" xfId="11" applyFont="1" applyFill="1" applyBorder="1" applyAlignment="1">
      <alignment horizontal="right" vertical="center"/>
    </xf>
    <xf numFmtId="165" fontId="45" fillId="20" borderId="58" xfId="11" applyFont="1" applyFill="1" applyBorder="1" applyAlignment="1">
      <alignment horizontal="right" vertical="center"/>
    </xf>
    <xf numFmtId="165" fontId="45" fillId="21" borderId="58" xfId="11" applyFont="1" applyFill="1" applyBorder="1" applyAlignment="1">
      <alignment horizontal="right" vertical="center"/>
    </xf>
    <xf numFmtId="165" fontId="45" fillId="22" borderId="58" xfId="11" applyFont="1" applyFill="1" applyBorder="1" applyAlignment="1">
      <alignment horizontal="right" vertical="center"/>
    </xf>
    <xf numFmtId="171" fontId="0" fillId="0" borderId="0" xfId="0" applyNumberFormat="1"/>
    <xf numFmtId="165" fontId="47" fillId="0" borderId="58" xfId="11" applyFont="1" applyFill="1" applyBorder="1" applyAlignment="1">
      <alignment horizontal="right" vertical="center"/>
    </xf>
    <xf numFmtId="165" fontId="47" fillId="32" borderId="58" xfId="11" applyFont="1" applyFill="1" applyBorder="1" applyAlignment="1">
      <alignment horizontal="right" vertical="center"/>
    </xf>
    <xf numFmtId="165" fontId="47" fillId="3" borderId="58" xfId="11" applyFont="1" applyFill="1" applyBorder="1" applyAlignment="1">
      <alignment horizontal="right" vertical="center"/>
    </xf>
    <xf numFmtId="165" fontId="47" fillId="0" borderId="58" xfId="11" applyFont="1" applyBorder="1" applyAlignment="1">
      <alignment horizontal="right" vertical="center"/>
    </xf>
    <xf numFmtId="165" fontId="45" fillId="0" borderId="58" xfId="11" applyFont="1" applyBorder="1" applyAlignment="1">
      <alignment horizontal="right" vertical="center"/>
    </xf>
    <xf numFmtId="165" fontId="47" fillId="20" borderId="58" xfId="11" applyFont="1" applyFill="1" applyBorder="1" applyAlignment="1">
      <alignment horizontal="right" vertical="center"/>
    </xf>
    <xf numFmtId="165" fontId="45" fillId="22" borderId="58" xfId="11" applyFont="1" applyFill="1" applyBorder="1" applyAlignment="1">
      <alignment horizontal="left" vertical="center"/>
    </xf>
    <xf numFmtId="165" fontId="45" fillId="0" borderId="58" xfId="11" applyFont="1" applyFill="1" applyBorder="1" applyAlignment="1">
      <alignment horizontal="left" vertical="center"/>
    </xf>
    <xf numFmtId="165" fontId="47" fillId="0" borderId="58" xfId="11" applyFont="1" applyFill="1" applyBorder="1" applyAlignment="1">
      <alignment horizontal="left" vertical="center"/>
    </xf>
    <xf numFmtId="165" fontId="45" fillId="19" borderId="58" xfId="11" applyFont="1" applyFill="1" applyBorder="1" applyAlignment="1">
      <alignment horizontal="left" vertical="center"/>
    </xf>
    <xf numFmtId="165" fontId="33" fillId="25" borderId="64" xfId="11" applyFont="1" applyFill="1" applyBorder="1" applyAlignment="1">
      <alignment horizontal="center"/>
    </xf>
    <xf numFmtId="165" fontId="33" fillId="24" borderId="64" xfId="11" applyFont="1" applyFill="1" applyBorder="1" applyAlignment="1">
      <alignment horizontal="center"/>
    </xf>
    <xf numFmtId="165" fontId="33" fillId="0" borderId="64" xfId="11" applyFont="1" applyFill="1" applyBorder="1" applyAlignment="1">
      <alignment horizontal="center"/>
    </xf>
    <xf numFmtId="9" fontId="37" fillId="0" borderId="47" xfId="5" applyNumberFormat="1" applyFont="1" applyFill="1" applyBorder="1" applyAlignment="1">
      <alignment vertical="center" wrapText="1"/>
    </xf>
    <xf numFmtId="9" fontId="36" fillId="0" borderId="5" xfId="3" applyFont="1" applyFill="1" applyBorder="1" applyAlignment="1">
      <alignment vertical="center" wrapText="1"/>
    </xf>
    <xf numFmtId="9" fontId="36" fillId="0" borderId="47" xfId="3" applyFont="1" applyFill="1" applyBorder="1" applyAlignment="1">
      <alignment vertical="center" wrapText="1"/>
    </xf>
    <xf numFmtId="9" fontId="36" fillId="13" borderId="12" xfId="5" applyNumberFormat="1" applyFont="1" applyFill="1" applyBorder="1" applyAlignment="1">
      <alignment horizontal="center" vertical="center" wrapText="1"/>
    </xf>
    <xf numFmtId="9" fontId="70" fillId="13" borderId="7" xfId="3" applyFont="1" applyFill="1" applyBorder="1" applyAlignment="1">
      <alignment horizontal="center" vertical="center" wrapText="1"/>
    </xf>
    <xf numFmtId="9" fontId="36" fillId="0" borderId="12" xfId="3" applyFont="1" applyFill="1" applyBorder="1" applyAlignment="1">
      <alignment horizontal="center" vertical="center" wrapText="1"/>
    </xf>
    <xf numFmtId="9" fontId="36" fillId="0" borderId="44" xfId="3" applyFont="1" applyFill="1" applyBorder="1" applyAlignment="1">
      <alignment horizontal="center" vertical="center" wrapText="1"/>
    </xf>
    <xf numFmtId="0" fontId="17" fillId="3" borderId="8" xfId="2" applyFill="1" applyBorder="1" applyAlignment="1">
      <alignment horizontal="left" vertical="top"/>
    </xf>
    <xf numFmtId="0" fontId="4" fillId="3" borderId="45" xfId="0" applyFont="1" applyFill="1" applyBorder="1" applyAlignment="1" applyProtection="1">
      <alignment horizontal="justify" vertical="top" wrapText="1"/>
      <protection locked="0"/>
    </xf>
    <xf numFmtId="9" fontId="59" fillId="3" borderId="16" xfId="0" applyNumberFormat="1" applyFont="1" applyFill="1" applyBorder="1" applyAlignment="1" applyProtection="1">
      <alignment horizontal="center" vertical="top"/>
      <protection locked="0"/>
    </xf>
    <xf numFmtId="9" fontId="73" fillId="3" borderId="16" xfId="0" applyNumberFormat="1" applyFont="1" applyFill="1" applyBorder="1" applyAlignment="1" applyProtection="1">
      <alignment horizontal="center" vertical="top"/>
      <protection locked="0"/>
    </xf>
    <xf numFmtId="0" fontId="4" fillId="3" borderId="34" xfId="0" applyFont="1" applyFill="1" applyBorder="1" applyAlignment="1" applyProtection="1">
      <alignment horizontal="justify" vertical="top" wrapText="1"/>
      <protection locked="0"/>
    </xf>
    <xf numFmtId="9" fontId="73" fillId="3" borderId="16" xfId="0" applyNumberFormat="1" applyFont="1" applyFill="1" applyBorder="1" applyAlignment="1" applyProtection="1">
      <alignment horizontal="center" vertical="center"/>
      <protection locked="0"/>
    </xf>
    <xf numFmtId="0" fontId="4" fillId="3" borderId="11" xfId="0" applyFont="1" applyFill="1" applyBorder="1" applyAlignment="1" applyProtection="1">
      <alignment horizontal="justify" vertical="top" wrapText="1"/>
      <protection locked="0"/>
    </xf>
    <xf numFmtId="0" fontId="4" fillId="3" borderId="16" xfId="0" applyFont="1" applyFill="1" applyBorder="1" applyAlignment="1" applyProtection="1">
      <alignment vertical="center" wrapText="1"/>
      <protection locked="0"/>
    </xf>
    <xf numFmtId="0" fontId="7" fillId="3" borderId="14" xfId="0" applyFont="1" applyFill="1" applyBorder="1" applyAlignment="1">
      <alignment vertical="center"/>
    </xf>
    <xf numFmtId="0" fontId="7" fillId="3" borderId="12" xfId="0" applyFont="1" applyFill="1" applyBorder="1" applyAlignment="1">
      <alignment horizontal="left" vertical="center"/>
    </xf>
    <xf numFmtId="0" fontId="7" fillId="3" borderId="15" xfId="0" applyFont="1" applyFill="1" applyBorder="1" applyAlignment="1">
      <alignment horizontal="left" vertical="center"/>
    </xf>
    <xf numFmtId="0" fontId="4" fillId="3" borderId="12" xfId="0" applyFont="1" applyFill="1" applyBorder="1" applyAlignment="1" applyProtection="1">
      <alignment horizontal="left" vertical="center" wrapText="1"/>
      <protection locked="0"/>
    </xf>
    <xf numFmtId="0" fontId="7" fillId="3" borderId="14" xfId="0" applyFont="1" applyFill="1" applyBorder="1" applyAlignment="1">
      <alignment wrapText="1"/>
    </xf>
    <xf numFmtId="0" fontId="7" fillId="3" borderId="15" xfId="0" applyFont="1" applyFill="1" applyBorder="1" applyAlignment="1">
      <alignment horizontal="left" vertical="center" wrapText="1"/>
    </xf>
    <xf numFmtId="0" fontId="4" fillId="3" borderId="14" xfId="0" applyFont="1" applyFill="1" applyBorder="1" applyAlignment="1" applyProtection="1">
      <alignment vertical="center" wrapText="1"/>
      <protection locked="0"/>
    </xf>
    <xf numFmtId="0" fontId="4" fillId="3" borderId="15" xfId="0" applyFont="1" applyFill="1" applyBorder="1" applyAlignment="1" applyProtection="1">
      <alignment horizontal="left" vertical="center" wrapText="1"/>
      <protection locked="0"/>
    </xf>
    <xf numFmtId="3" fontId="4" fillId="3" borderId="15" xfId="0" applyNumberFormat="1" applyFont="1" applyFill="1" applyBorder="1" applyAlignment="1" applyProtection="1">
      <alignment horizontal="left" vertical="center" wrapText="1"/>
      <protection locked="0"/>
    </xf>
    <xf numFmtId="0" fontId="4" fillId="3" borderId="10" xfId="0" applyFont="1" applyFill="1" applyBorder="1" applyAlignment="1" applyProtection="1">
      <alignment vertical="center" wrapText="1"/>
      <protection locked="0"/>
    </xf>
    <xf numFmtId="0" fontId="4" fillId="3" borderId="13" xfId="0" applyFont="1" applyFill="1" applyBorder="1" applyAlignment="1" applyProtection="1">
      <alignment horizontal="left" vertical="center" wrapText="1"/>
      <protection locked="0"/>
    </xf>
    <xf numFmtId="0" fontId="4" fillId="3" borderId="11" xfId="0" applyFont="1" applyFill="1" applyBorder="1" applyAlignment="1" applyProtection="1">
      <alignment horizontal="left" vertical="center" wrapText="1"/>
      <protection locked="0"/>
    </xf>
    <xf numFmtId="0" fontId="7" fillId="3" borderId="13" xfId="0" applyFont="1" applyFill="1" applyBorder="1" applyAlignment="1">
      <alignment horizontal="left" vertical="center"/>
    </xf>
    <xf numFmtId="3" fontId="4" fillId="3" borderId="11" xfId="0" applyNumberFormat="1" applyFont="1" applyFill="1" applyBorder="1" applyAlignment="1" applyProtection="1">
      <alignment horizontal="left" vertical="center" wrapText="1"/>
      <protection locked="0"/>
    </xf>
    <xf numFmtId="0" fontId="4" fillId="3" borderId="8" xfId="0" applyFont="1" applyFill="1" applyBorder="1" applyAlignment="1" applyProtection="1">
      <alignment horizontal="justify" vertical="top"/>
      <protection locked="0"/>
    </xf>
    <xf numFmtId="0" fontId="8" fillId="3" borderId="8" xfId="0" applyFont="1" applyFill="1" applyBorder="1" applyAlignment="1" applyProtection="1">
      <alignment horizontal="justify" vertical="top" wrapText="1"/>
      <protection locked="0"/>
    </xf>
    <xf numFmtId="3" fontId="4" fillId="3" borderId="8" xfId="0" applyNumberFormat="1"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protection locked="0"/>
    </xf>
    <xf numFmtId="0" fontId="4" fillId="0" borderId="5" xfId="0" applyFont="1" applyBorder="1" applyAlignment="1">
      <alignment vertical="top" wrapText="1"/>
    </xf>
    <xf numFmtId="10" fontId="37" fillId="0" borderId="43" xfId="3" applyNumberFormat="1" applyFont="1" applyFill="1" applyBorder="1" applyAlignment="1">
      <alignment horizontal="center" vertical="center" wrapText="1"/>
    </xf>
    <xf numFmtId="1" fontId="37" fillId="0" borderId="30" xfId="5" applyNumberFormat="1" applyFont="1" applyFill="1" applyBorder="1" applyAlignment="1">
      <alignment horizontal="center" vertical="center" wrapText="1"/>
    </xf>
    <xf numFmtId="0" fontId="77" fillId="3" borderId="8" xfId="2" applyFont="1" applyFill="1" applyBorder="1" applyAlignment="1" applyProtection="1">
      <alignment vertical="top"/>
      <protection locked="0"/>
    </xf>
    <xf numFmtId="0" fontId="4" fillId="33" borderId="34" xfId="0" applyFont="1" applyFill="1" applyBorder="1" applyAlignment="1">
      <alignment horizontal="center" vertical="top"/>
    </xf>
    <xf numFmtId="3" fontId="4" fillId="3" borderId="12" xfId="0" applyNumberFormat="1" applyFont="1" applyFill="1" applyBorder="1" applyAlignment="1" applyProtection="1">
      <alignment horizontal="center" vertical="center"/>
      <protection locked="0"/>
    </xf>
    <xf numFmtId="0" fontId="4" fillId="3" borderId="13" xfId="0" applyFont="1" applyFill="1" applyBorder="1" applyAlignment="1" applyProtection="1">
      <alignment vertical="top" wrapText="1"/>
      <protection locked="0"/>
    </xf>
    <xf numFmtId="3" fontId="7" fillId="3" borderId="8" xfId="0" applyNumberFormat="1" applyFont="1" applyFill="1" applyBorder="1" applyAlignment="1" applyProtection="1">
      <alignment horizontal="center" vertical="center"/>
      <protection locked="0"/>
    </xf>
    <xf numFmtId="1" fontId="4" fillId="3" borderId="7" xfId="4" applyNumberFormat="1" applyFont="1" applyFill="1" applyBorder="1" applyAlignment="1" applyProtection="1">
      <alignment horizontal="center" vertical="center" wrapText="1"/>
      <protection locked="0"/>
    </xf>
    <xf numFmtId="166" fontId="4" fillId="3" borderId="8" xfId="4" applyFont="1" applyFill="1" applyBorder="1" applyAlignment="1" applyProtection="1">
      <alignment vertical="top" wrapText="1"/>
      <protection locked="0"/>
    </xf>
    <xf numFmtId="0" fontId="67" fillId="3" borderId="2" xfId="0" applyFont="1" applyFill="1" applyBorder="1" applyAlignment="1">
      <alignment horizontal="justify" vertical="center" wrapText="1"/>
    </xf>
    <xf numFmtId="0" fontId="4" fillId="3" borderId="12" xfId="0" applyFont="1" applyFill="1" applyBorder="1" applyAlignment="1" applyProtection="1">
      <alignment horizontal="center" vertical="center" wrapText="1"/>
      <protection locked="0"/>
    </xf>
    <xf numFmtId="3" fontId="4" fillId="3" borderId="1" xfId="0" applyNumberFormat="1" applyFont="1" applyFill="1" applyBorder="1" applyAlignment="1" applyProtection="1">
      <alignment vertical="center" wrapText="1"/>
      <protection locked="0"/>
    </xf>
    <xf numFmtId="0" fontId="67" fillId="3" borderId="14" xfId="0" applyFont="1" applyFill="1" applyBorder="1" applyAlignment="1">
      <alignment horizontal="justify" vertical="center" wrapText="1"/>
    </xf>
    <xf numFmtId="0" fontId="67" fillId="3" borderId="9" xfId="0" applyFont="1" applyFill="1" applyBorder="1" applyAlignment="1">
      <alignment horizontal="justify" vertical="center" wrapText="1"/>
    </xf>
    <xf numFmtId="9" fontId="4" fillId="3" borderId="8" xfId="0" applyNumberFormat="1" applyFont="1" applyFill="1" applyBorder="1" applyAlignment="1" applyProtection="1">
      <alignment horizontal="right" vertical="center"/>
      <protection locked="0"/>
    </xf>
    <xf numFmtId="9" fontId="4" fillId="3" borderId="7" xfId="0" applyNumberFormat="1" applyFont="1" applyFill="1" applyBorder="1" applyAlignment="1" applyProtection="1">
      <alignment horizontal="right" vertical="center"/>
      <protection locked="0"/>
    </xf>
    <xf numFmtId="166" fontId="4" fillId="3" borderId="7" xfId="4" applyFont="1" applyFill="1" applyBorder="1" applyAlignment="1" applyProtection="1">
      <alignment horizontal="right" vertical="center" wrapText="1"/>
      <protection locked="0"/>
    </xf>
    <xf numFmtId="1" fontId="37" fillId="0" borderId="30" xfId="5" applyNumberFormat="1" applyFont="1" applyFill="1" applyBorder="1" applyAlignment="1">
      <alignment horizontal="center" vertical="center" wrapText="1"/>
    </xf>
    <xf numFmtId="10" fontId="37" fillId="0" borderId="16" xfId="3" applyNumberFormat="1" applyFont="1" applyFill="1" applyBorder="1" applyAlignment="1">
      <alignment horizontal="center" vertical="center" wrapText="1"/>
    </xf>
    <xf numFmtId="9" fontId="37" fillId="0" borderId="30" xfId="3" applyFont="1" applyFill="1" applyBorder="1" applyAlignment="1">
      <alignment horizontal="center" vertical="center" wrapText="1"/>
    </xf>
    <xf numFmtId="9" fontId="37" fillId="0" borderId="16" xfId="3" applyFont="1" applyFill="1" applyBorder="1" applyAlignment="1">
      <alignment horizontal="center" vertical="center" wrapText="1"/>
    </xf>
    <xf numFmtId="49" fontId="45" fillId="0" borderId="58" xfId="5" applyNumberFormat="1" applyFont="1" applyBorder="1" applyAlignment="1">
      <alignment horizontal="center" vertical="center" wrapText="1"/>
    </xf>
    <xf numFmtId="0" fontId="44" fillId="0" borderId="54" xfId="0" applyFont="1" applyBorder="1" applyAlignment="1">
      <alignment horizontal="center" vertical="center"/>
    </xf>
    <xf numFmtId="49" fontId="45" fillId="9" borderId="57" xfId="5" applyNumberFormat="1" applyFont="1" applyFill="1" applyBorder="1" applyAlignment="1">
      <alignment horizontal="center" vertical="center" wrapText="1"/>
    </xf>
    <xf numFmtId="0" fontId="45" fillId="0" borderId="59" xfId="5" applyFont="1" applyBorder="1" applyAlignment="1">
      <alignment horizontal="center" vertical="center" wrapText="1"/>
    </xf>
    <xf numFmtId="0" fontId="0" fillId="0" borderId="0" xfId="0" applyAlignment="1"/>
    <xf numFmtId="9" fontId="36" fillId="0" borderId="1" xfId="3" applyFont="1" applyFill="1" applyBorder="1" applyAlignment="1">
      <alignment horizontal="center" vertical="center" wrapText="1"/>
    </xf>
    <xf numFmtId="10" fontId="36" fillId="0" borderId="44" xfId="3" applyNumberFormat="1" applyFont="1" applyFill="1" applyBorder="1" applyAlignment="1">
      <alignment horizontal="center" vertical="center" wrapText="1"/>
    </xf>
    <xf numFmtId="9" fontId="36" fillId="0" borderId="43" xfId="3" applyFont="1" applyFill="1" applyBorder="1" applyAlignment="1">
      <alignment horizontal="center" vertical="center" wrapText="1"/>
    </xf>
    <xf numFmtId="3" fontId="37" fillId="0" borderId="43" xfId="5" applyNumberFormat="1" applyFont="1" applyFill="1" applyBorder="1" applyAlignment="1">
      <alignment horizontal="justify" vertical="top" wrapText="1"/>
    </xf>
    <xf numFmtId="0" fontId="7" fillId="32" borderId="91" xfId="0" applyFont="1" applyFill="1" applyBorder="1" applyAlignment="1">
      <alignment horizontal="justify" vertical="top" wrapText="1"/>
    </xf>
    <xf numFmtId="0" fontId="7" fillId="32" borderId="32" xfId="0" applyFont="1" applyFill="1" applyBorder="1" applyAlignment="1">
      <alignment horizontal="justify" vertical="top" wrapText="1"/>
    </xf>
    <xf numFmtId="3" fontId="37" fillId="0" borderId="46" xfId="5" applyNumberFormat="1" applyFont="1" applyFill="1" applyBorder="1" applyAlignment="1">
      <alignment horizontal="justify" vertical="top" wrapText="1"/>
    </xf>
    <xf numFmtId="10" fontId="36" fillId="0" borderId="12" xfId="3" applyNumberFormat="1" applyFont="1" applyFill="1" applyBorder="1" applyAlignment="1">
      <alignment horizontal="center" vertical="center" wrapText="1"/>
    </xf>
    <xf numFmtId="3" fontId="37" fillId="0" borderId="48" xfId="5" applyNumberFormat="1" applyFont="1" applyFill="1" applyBorder="1" applyAlignment="1">
      <alignment horizontal="justify" vertical="top" wrapText="1"/>
    </xf>
    <xf numFmtId="3" fontId="37" fillId="0" borderId="40" xfId="5" applyNumberFormat="1" applyFont="1" applyFill="1" applyBorder="1" applyAlignment="1">
      <alignment horizontal="justify" vertical="top" wrapText="1"/>
    </xf>
    <xf numFmtId="1" fontId="37" fillId="0" borderId="19" xfId="5" applyNumberFormat="1" applyFont="1" applyFill="1" applyBorder="1" applyAlignment="1">
      <alignment horizontal="center" vertical="center" wrapText="1"/>
    </xf>
    <xf numFmtId="1" fontId="37" fillId="0" borderId="22" xfId="5" applyNumberFormat="1" applyFont="1" applyFill="1" applyBorder="1" applyAlignment="1">
      <alignment horizontal="center" vertical="center" wrapText="1"/>
    </xf>
    <xf numFmtId="170" fontId="36" fillId="0" borderId="12" xfId="3" applyNumberFormat="1" applyFont="1" applyFill="1" applyBorder="1" applyAlignment="1">
      <alignment horizontal="center" vertical="center" wrapText="1"/>
    </xf>
    <xf numFmtId="9" fontId="36" fillId="0" borderId="14" xfId="3" applyFont="1" applyFill="1" applyBorder="1" applyAlignment="1">
      <alignment horizontal="center" vertical="center" wrapText="1"/>
    </xf>
    <xf numFmtId="1" fontId="37" fillId="0" borderId="89" xfId="5" applyNumberFormat="1" applyFont="1" applyFill="1" applyBorder="1" applyAlignment="1">
      <alignment horizontal="center" vertical="center" wrapText="1"/>
    </xf>
    <xf numFmtId="1" fontId="37" fillId="0" borderId="31" xfId="5" applyNumberFormat="1" applyFont="1" applyFill="1" applyBorder="1" applyAlignment="1">
      <alignment horizontal="center" vertical="center" wrapText="1"/>
    </xf>
    <xf numFmtId="10" fontId="37" fillId="0" borderId="79" xfId="3" applyNumberFormat="1" applyFont="1" applyFill="1" applyBorder="1" applyAlignment="1">
      <alignment horizontal="center" vertical="center" wrapText="1"/>
    </xf>
    <xf numFmtId="170" fontId="37" fillId="0" borderId="43" xfId="3" applyNumberFormat="1" applyFont="1" applyFill="1" applyBorder="1" applyAlignment="1">
      <alignment horizontal="center" vertical="center" wrapText="1"/>
    </xf>
    <xf numFmtId="1" fontId="37" fillId="0" borderId="16" xfId="5" applyNumberFormat="1" applyFont="1" applyFill="1" applyBorder="1" applyAlignment="1">
      <alignment horizontal="center" vertical="center" wrapText="1"/>
    </xf>
    <xf numFmtId="10" fontId="64" fillId="0" borderId="16" xfId="3" applyNumberFormat="1" applyFont="1" applyFill="1" applyBorder="1" applyAlignment="1">
      <alignment horizontal="center" vertical="center" wrapText="1"/>
    </xf>
    <xf numFmtId="3" fontId="37" fillId="0" borderId="9" xfId="5" applyNumberFormat="1" applyFont="1" applyFill="1" applyBorder="1" applyAlignment="1">
      <alignment horizontal="justify" vertical="top" wrapText="1"/>
    </xf>
    <xf numFmtId="3" fontId="37" fillId="0" borderId="16" xfId="5" applyNumberFormat="1" applyFont="1" applyFill="1" applyBorder="1" applyAlignment="1">
      <alignment horizontal="justify" vertical="top" wrapText="1"/>
    </xf>
    <xf numFmtId="0" fontId="4" fillId="6" borderId="8" xfId="0" applyFont="1" applyFill="1" applyBorder="1" applyAlignment="1" applyProtection="1">
      <alignment horizontal="center" vertical="top"/>
    </xf>
    <xf numFmtId="2" fontId="37" fillId="0" borderId="16" xfId="5" applyNumberFormat="1" applyFont="1" applyFill="1" applyBorder="1" applyAlignment="1">
      <alignment horizontal="center" vertical="center" wrapText="1"/>
    </xf>
    <xf numFmtId="0" fontId="37" fillId="0" borderId="0" xfId="5" applyFont="1" applyFill="1" applyAlignment="1">
      <alignment horizontal="center" vertical="center" wrapText="1"/>
    </xf>
    <xf numFmtId="10" fontId="36" fillId="0" borderId="7" xfId="3" applyNumberFormat="1" applyFont="1" applyFill="1" applyBorder="1" applyAlignment="1">
      <alignment horizontal="center" vertical="center" wrapText="1"/>
    </xf>
    <xf numFmtId="10" fontId="37" fillId="0" borderId="80" xfId="3" applyNumberFormat="1" applyFont="1" applyFill="1" applyBorder="1" applyAlignment="1">
      <alignment horizontal="center" vertical="center" wrapText="1"/>
    </xf>
    <xf numFmtId="10" fontId="36" fillId="0" borderId="79" xfId="3" applyNumberFormat="1" applyFont="1" applyFill="1" applyBorder="1" applyAlignment="1">
      <alignment horizontal="center" vertical="center" wrapText="1"/>
    </xf>
    <xf numFmtId="9" fontId="37" fillId="0" borderId="12" xfId="3" applyFont="1" applyFill="1" applyBorder="1" applyAlignment="1">
      <alignment horizontal="center" vertical="center" wrapText="1"/>
    </xf>
    <xf numFmtId="165" fontId="45" fillId="3" borderId="58" xfId="11" applyFont="1" applyFill="1" applyBorder="1" applyAlignment="1">
      <alignment horizontal="center" vertical="center" wrapText="1"/>
    </xf>
    <xf numFmtId="49" fontId="45" fillId="0" borderId="59" xfId="5" applyNumberFormat="1" applyFont="1" applyBorder="1" applyAlignment="1">
      <alignment horizontal="center" vertical="center" wrapText="1"/>
    </xf>
    <xf numFmtId="49" fontId="78" fillId="19" borderId="58" xfId="5" applyNumberFormat="1" applyFont="1" applyFill="1" applyBorder="1" applyAlignment="1">
      <alignment horizontal="center" vertical="center"/>
    </xf>
    <xf numFmtId="0" fontId="78" fillId="19" borderId="58" xfId="5" applyFont="1" applyFill="1" applyBorder="1" applyAlignment="1">
      <alignment horizontal="left" vertical="center"/>
    </xf>
    <xf numFmtId="0" fontId="78" fillId="20" borderId="58" xfId="5" applyFont="1" applyFill="1" applyBorder="1" applyAlignment="1">
      <alignment horizontal="center" vertical="center"/>
    </xf>
    <xf numFmtId="49" fontId="78" fillId="20" borderId="58" xfId="5" applyNumberFormat="1" applyFont="1" applyFill="1" applyBorder="1" applyAlignment="1">
      <alignment horizontal="center" vertical="center"/>
    </xf>
    <xf numFmtId="0" fontId="45" fillId="20" borderId="58" xfId="5" applyFont="1" applyFill="1" applyBorder="1" applyAlignment="1">
      <alignment horizontal="left" vertical="center"/>
    </xf>
    <xf numFmtId="0" fontId="78" fillId="21" borderId="58" xfId="5" applyFont="1" applyFill="1" applyBorder="1" applyAlignment="1">
      <alignment horizontal="center" vertical="center"/>
    </xf>
    <xf numFmtId="49" fontId="78" fillId="21" borderId="58" xfId="5" applyNumberFormat="1" applyFont="1" applyFill="1" applyBorder="1" applyAlignment="1">
      <alignment horizontal="center" vertical="center"/>
    </xf>
    <xf numFmtId="0" fontId="45" fillId="21" borderId="58" xfId="5" applyFont="1" applyFill="1" applyBorder="1" applyAlignment="1">
      <alignment horizontal="left" vertical="center"/>
    </xf>
    <xf numFmtId="0" fontId="78" fillId="22" borderId="58" xfId="5" applyFont="1" applyFill="1" applyBorder="1" applyAlignment="1">
      <alignment horizontal="center" vertical="center"/>
    </xf>
    <xf numFmtId="49" fontId="78" fillId="22" borderId="58" xfId="5" applyNumberFormat="1" applyFont="1" applyFill="1" applyBorder="1" applyAlignment="1">
      <alignment horizontal="center" vertical="center"/>
    </xf>
    <xf numFmtId="0" fontId="45" fillId="22" borderId="58" xfId="5" applyFont="1" applyFill="1" applyBorder="1" applyAlignment="1">
      <alignment horizontal="left" vertical="center"/>
    </xf>
    <xf numFmtId="0" fontId="78" fillId="0" borderId="58" xfId="5" applyFont="1" applyBorder="1" applyAlignment="1">
      <alignment horizontal="center" vertical="center"/>
    </xf>
    <xf numFmtId="49" fontId="78" fillId="0" borderId="58" xfId="5" applyNumberFormat="1" applyFont="1" applyBorder="1" applyAlignment="1">
      <alignment horizontal="center" vertical="center"/>
    </xf>
    <xf numFmtId="0" fontId="79" fillId="0" borderId="58" xfId="5" applyFont="1" applyBorder="1" applyAlignment="1">
      <alignment horizontal="center" vertical="center"/>
    </xf>
    <xf numFmtId="49" fontId="79" fillId="0" borderId="58" xfId="5" applyNumberFormat="1" applyFont="1" applyBorder="1" applyAlignment="1">
      <alignment horizontal="center" vertical="center"/>
    </xf>
    <xf numFmtId="1" fontId="79" fillId="0" borderId="58" xfId="5" applyNumberFormat="1" applyFont="1" applyBorder="1" applyAlignment="1">
      <alignment horizontal="center" vertical="center"/>
    </xf>
    <xf numFmtId="49" fontId="79" fillId="22" borderId="58" xfId="5" applyNumberFormat="1" applyFont="1" applyFill="1" applyBorder="1" applyAlignment="1">
      <alignment horizontal="center" vertical="center"/>
    </xf>
    <xf numFmtId="0" fontId="79" fillId="21" borderId="58" xfId="5" applyFont="1" applyFill="1" applyBorder="1" applyAlignment="1">
      <alignment horizontal="center" vertical="center"/>
    </xf>
    <xf numFmtId="49" fontId="79" fillId="21" borderId="58" xfId="5" applyNumberFormat="1" applyFont="1" applyFill="1" applyBorder="1" applyAlignment="1">
      <alignment horizontal="center" vertical="center"/>
    </xf>
    <xf numFmtId="49" fontId="79" fillId="19" borderId="58" xfId="5" applyNumberFormat="1" applyFont="1" applyFill="1" applyBorder="1" applyAlignment="1">
      <alignment horizontal="center" vertical="center"/>
    </xf>
    <xf numFmtId="0" fontId="79" fillId="19" borderId="58" xfId="5" applyFont="1" applyFill="1" applyBorder="1" applyAlignment="1">
      <alignment horizontal="left" vertical="center"/>
    </xf>
    <xf numFmtId="0" fontId="36" fillId="33" borderId="14" xfId="5" applyFont="1" applyFill="1" applyBorder="1" applyAlignment="1">
      <alignment horizontal="center" vertical="center" wrapText="1"/>
    </xf>
    <xf numFmtId="0" fontId="36" fillId="33" borderId="12" xfId="5" applyFont="1" applyFill="1" applyBorder="1" applyAlignment="1">
      <alignment horizontal="center" vertical="center" wrapText="1"/>
    </xf>
    <xf numFmtId="1" fontId="37" fillId="0" borderId="14" xfId="5" applyNumberFormat="1" applyFont="1" applyFill="1" applyBorder="1" applyAlignment="1">
      <alignment horizontal="center" vertical="center" wrapText="1"/>
    </xf>
    <xf numFmtId="0" fontId="36" fillId="0" borderId="12" xfId="5" applyFont="1" applyFill="1" applyBorder="1" applyAlignment="1">
      <alignment horizontal="center" vertical="center" wrapText="1"/>
    </xf>
    <xf numFmtId="0" fontId="36" fillId="0" borderId="15" xfId="5" applyFont="1" applyFill="1" applyBorder="1" applyAlignment="1">
      <alignment horizontal="center" vertical="center" wrapText="1"/>
    </xf>
    <xf numFmtId="1" fontId="37" fillId="0" borderId="41" xfId="5" applyNumberFormat="1" applyFont="1" applyFill="1" applyBorder="1" applyAlignment="1">
      <alignment horizontal="center" vertical="center" wrapText="1"/>
    </xf>
    <xf numFmtId="1" fontId="37" fillId="0" borderId="0" xfId="5" applyNumberFormat="1" applyFont="1" applyFill="1" applyBorder="1" applyAlignment="1">
      <alignment horizontal="center" vertical="center" wrapText="1"/>
    </xf>
    <xf numFmtId="167" fontId="37" fillId="0" borderId="16" xfId="5" applyNumberFormat="1" applyFont="1" applyFill="1" applyBorder="1" applyAlignment="1">
      <alignment horizontal="center" vertical="center" wrapText="1"/>
    </xf>
    <xf numFmtId="170" fontId="37" fillId="0" borderId="16" xfId="3" applyNumberFormat="1" applyFont="1" applyFill="1" applyBorder="1" applyAlignment="1">
      <alignment horizontal="center" vertical="center" wrapText="1"/>
    </xf>
    <xf numFmtId="0" fontId="63" fillId="31" borderId="12" xfId="5" applyFont="1" applyFill="1" applyBorder="1" applyAlignment="1">
      <alignment horizontal="center" vertical="top" wrapText="1"/>
    </xf>
    <xf numFmtId="1" fontId="37" fillId="0" borderId="88" xfId="5" applyNumberFormat="1" applyFont="1" applyFill="1" applyBorder="1" applyAlignment="1">
      <alignment horizontal="center" vertical="center" wrapText="1"/>
    </xf>
    <xf numFmtId="10" fontId="37" fillId="0" borderId="81" xfId="3" applyNumberFormat="1" applyFont="1" applyFill="1" applyBorder="1" applyAlignment="1">
      <alignment horizontal="center" vertical="center" wrapText="1"/>
    </xf>
    <xf numFmtId="1" fontId="37" fillId="0" borderId="12" xfId="5" applyNumberFormat="1" applyFont="1" applyFill="1" applyBorder="1" applyAlignment="1">
      <alignment horizontal="center" vertical="center" wrapText="1"/>
    </xf>
    <xf numFmtId="10" fontId="36" fillId="0" borderId="16" xfId="3" applyNumberFormat="1" applyFont="1" applyFill="1" applyBorder="1" applyAlignment="1">
      <alignment horizontal="center" vertical="center" wrapText="1"/>
    </xf>
    <xf numFmtId="3" fontId="37" fillId="0" borderId="7" xfId="5" applyNumberFormat="1" applyFont="1" applyFill="1" applyBorder="1" applyAlignment="1">
      <alignment horizontal="center" vertical="center" wrapText="1"/>
    </xf>
    <xf numFmtId="9" fontId="36" fillId="0" borderId="47" xfId="3" applyFont="1" applyFill="1" applyBorder="1" applyAlignment="1">
      <alignment horizontal="center" vertical="center" wrapText="1"/>
    </xf>
    <xf numFmtId="3" fontId="68" fillId="33" borderId="5" xfId="5" applyNumberFormat="1" applyFont="1" applyFill="1" applyBorder="1" applyAlignment="1">
      <alignment horizontal="center" vertical="center" wrapText="1"/>
    </xf>
    <xf numFmtId="1" fontId="37" fillId="0" borderId="37" xfId="5" applyNumberFormat="1" applyFont="1" applyFill="1" applyBorder="1" applyAlignment="1">
      <alignment horizontal="center" vertical="center" wrapText="1"/>
    </xf>
    <xf numFmtId="3" fontId="68" fillId="0" borderId="3" xfId="5" applyNumberFormat="1" applyFont="1" applyFill="1" applyBorder="1" applyAlignment="1">
      <alignment horizontal="center" vertical="center" wrapText="1"/>
    </xf>
    <xf numFmtId="170" fontId="37" fillId="0" borderId="9" xfId="3" applyNumberFormat="1" applyFont="1" applyFill="1" applyBorder="1" applyAlignment="1">
      <alignment horizontal="center" vertical="center" wrapText="1"/>
    </xf>
    <xf numFmtId="10" fontId="37" fillId="0" borderId="9" xfId="3" applyNumberFormat="1" applyFont="1" applyFill="1" applyBorder="1" applyAlignment="1">
      <alignment horizontal="center" vertical="center" wrapText="1"/>
    </xf>
    <xf numFmtId="0" fontId="63" fillId="0" borderId="14" xfId="5" applyFont="1" applyFill="1" applyBorder="1" applyAlignment="1">
      <alignment horizontal="center" vertical="top" wrapText="1"/>
    </xf>
    <xf numFmtId="0" fontId="63" fillId="0" borderId="12" xfId="5" applyFont="1" applyFill="1" applyBorder="1" applyAlignment="1">
      <alignment horizontal="center" vertical="top" wrapText="1"/>
    </xf>
    <xf numFmtId="0" fontId="63" fillId="0" borderId="15" xfId="5" applyFont="1" applyFill="1" applyBorder="1" applyAlignment="1">
      <alignment horizontal="center" vertical="top" wrapText="1"/>
    </xf>
    <xf numFmtId="1" fontId="37" fillId="0" borderId="15" xfId="5" applyNumberFormat="1" applyFont="1" applyFill="1" applyBorder="1" applyAlignment="1">
      <alignment horizontal="center" vertical="center" wrapText="1"/>
    </xf>
    <xf numFmtId="10" fontId="37" fillId="0" borderId="41" xfId="3" applyNumberFormat="1" applyFont="1" applyFill="1" applyBorder="1" applyAlignment="1">
      <alignment horizontal="center" vertical="center" wrapText="1"/>
    </xf>
    <xf numFmtId="167" fontId="37" fillId="0" borderId="46" xfId="5" applyNumberFormat="1" applyFont="1" applyFill="1" applyBorder="1" applyAlignment="1">
      <alignment horizontal="center" vertical="center" wrapText="1"/>
    </xf>
    <xf numFmtId="9" fontId="36" fillId="0" borderId="3" xfId="3" applyFont="1" applyFill="1" applyBorder="1" applyAlignment="1">
      <alignment horizontal="center" vertical="top" wrapText="1"/>
    </xf>
    <xf numFmtId="9" fontId="36" fillId="0" borderId="15" xfId="3" applyFont="1" applyFill="1" applyBorder="1" applyAlignment="1">
      <alignment horizontal="center" vertical="center" wrapText="1"/>
    </xf>
    <xf numFmtId="166" fontId="36" fillId="0" borderId="1" xfId="4" applyFont="1" applyFill="1" applyBorder="1" applyAlignment="1">
      <alignment vertical="center" wrapText="1"/>
    </xf>
    <xf numFmtId="166" fontId="36" fillId="0" borderId="12" xfId="4" applyFont="1" applyFill="1" applyBorder="1" applyAlignment="1">
      <alignment vertical="center" wrapText="1"/>
    </xf>
    <xf numFmtId="172" fontId="36" fillId="0" borderId="5" xfId="11" applyNumberFormat="1" applyFont="1" applyFill="1" applyBorder="1" applyAlignment="1">
      <alignment vertical="center" wrapText="1"/>
    </xf>
    <xf numFmtId="166" fontId="37" fillId="0" borderId="51" xfId="4" applyFont="1" applyFill="1" applyBorder="1" applyAlignment="1">
      <alignment vertical="center" wrapText="1"/>
    </xf>
    <xf numFmtId="166" fontId="37" fillId="0" borderId="41" xfId="4" applyFont="1" applyFill="1" applyBorder="1" applyAlignment="1">
      <alignment vertical="center" wrapText="1"/>
    </xf>
    <xf numFmtId="9" fontId="36" fillId="0" borderId="46" xfId="3" applyFont="1" applyFill="1" applyBorder="1" applyAlignment="1">
      <alignment vertical="center" wrapText="1"/>
    </xf>
    <xf numFmtId="9" fontId="36" fillId="0" borderId="48" xfId="3" applyFont="1" applyFill="1" applyBorder="1" applyAlignment="1">
      <alignment vertical="center" wrapText="1"/>
    </xf>
    <xf numFmtId="9" fontId="36" fillId="0" borderId="42" xfId="3" applyFont="1" applyFill="1" applyBorder="1" applyAlignment="1">
      <alignment vertical="center" wrapText="1"/>
    </xf>
    <xf numFmtId="9" fontId="36" fillId="0" borderId="49" xfId="3" applyFont="1" applyFill="1" applyBorder="1" applyAlignment="1">
      <alignment vertical="center" wrapText="1"/>
    </xf>
    <xf numFmtId="9" fontId="36" fillId="13" borderId="12" xfId="3" applyFont="1" applyFill="1" applyBorder="1" applyAlignment="1">
      <alignment horizontal="center" vertical="center" wrapText="1"/>
    </xf>
    <xf numFmtId="9" fontId="36" fillId="0" borderId="43" xfId="3" applyNumberFormat="1" applyFont="1" applyFill="1" applyBorder="1" applyAlignment="1">
      <alignment vertical="center" wrapText="1"/>
    </xf>
    <xf numFmtId="9" fontId="36" fillId="0" borderId="44" xfId="3" applyNumberFormat="1" applyFont="1" applyFill="1" applyBorder="1" applyAlignment="1">
      <alignment vertical="center" wrapText="1"/>
    </xf>
    <xf numFmtId="9" fontId="36" fillId="0" borderId="47" xfId="3" applyNumberFormat="1" applyFont="1" applyFill="1" applyBorder="1" applyAlignment="1">
      <alignment vertical="center" wrapText="1"/>
    </xf>
    <xf numFmtId="9" fontId="36" fillId="0" borderId="49" xfId="3" applyNumberFormat="1" applyFont="1" applyFill="1" applyBorder="1" applyAlignment="1">
      <alignment vertical="center" wrapText="1"/>
    </xf>
    <xf numFmtId="166" fontId="63" fillId="0" borderId="14" xfId="4" applyFont="1" applyFill="1" applyBorder="1" applyAlignment="1">
      <alignment vertical="center" wrapText="1"/>
    </xf>
    <xf numFmtId="170" fontId="37" fillId="0" borderId="5" xfId="3" applyNumberFormat="1" applyFont="1" applyFill="1" applyBorder="1" applyAlignment="1">
      <alignment vertical="center" wrapText="1"/>
    </xf>
    <xf numFmtId="170" fontId="37" fillId="0" borderId="40" xfId="3" applyNumberFormat="1" applyFont="1" applyFill="1" applyBorder="1" applyAlignment="1">
      <alignment vertical="center" wrapText="1"/>
    </xf>
    <xf numFmtId="170" fontId="37" fillId="0" borderId="43" xfId="3" applyNumberFormat="1" applyFont="1" applyFill="1" applyBorder="1" applyAlignment="1">
      <alignment vertical="center" wrapText="1"/>
    </xf>
    <xf numFmtId="170" fontId="37" fillId="0" borderId="46" xfId="3" applyNumberFormat="1" applyFont="1" applyFill="1" applyBorder="1" applyAlignment="1">
      <alignment vertical="center" wrapText="1"/>
    </xf>
    <xf numFmtId="170" fontId="37" fillId="0" borderId="48" xfId="3" applyNumberFormat="1" applyFont="1" applyFill="1" applyBorder="1" applyAlignment="1">
      <alignment vertical="center" wrapText="1"/>
    </xf>
    <xf numFmtId="1" fontId="37" fillId="0" borderId="5" xfId="3" applyNumberFormat="1" applyFont="1" applyFill="1" applyBorder="1" applyAlignment="1">
      <alignment vertical="center" wrapText="1"/>
    </xf>
    <xf numFmtId="170" fontId="36" fillId="0" borderId="5" xfId="3" applyNumberFormat="1" applyFont="1" applyFill="1" applyBorder="1" applyAlignment="1">
      <alignment vertical="center" wrapText="1"/>
    </xf>
    <xf numFmtId="1" fontId="37" fillId="0" borderId="43" xfId="3" applyNumberFormat="1" applyFont="1" applyFill="1" applyBorder="1" applyAlignment="1">
      <alignment horizontal="center" vertical="center" wrapText="1"/>
    </xf>
    <xf numFmtId="3" fontId="36" fillId="0" borderId="34" xfId="5" applyNumberFormat="1" applyFont="1" applyFill="1" applyBorder="1" applyAlignment="1">
      <alignment vertical="center" wrapText="1"/>
    </xf>
    <xf numFmtId="3" fontId="37" fillId="0" borderId="34" xfId="5" applyNumberFormat="1" applyFont="1" applyFill="1" applyBorder="1" applyAlignment="1">
      <alignment vertical="center" wrapText="1"/>
    </xf>
    <xf numFmtId="0" fontId="14" fillId="0" borderId="0" xfId="0" applyFont="1" applyFill="1" applyBorder="1" applyAlignment="1" applyProtection="1">
      <alignment vertical="top" wrapText="1"/>
      <protection locked="0"/>
    </xf>
    <xf numFmtId="3" fontId="4" fillId="3" borderId="27" xfId="0" applyNumberFormat="1" applyFont="1" applyFill="1" applyBorder="1" applyAlignment="1" applyProtection="1">
      <alignment horizontal="center" vertical="center" wrapText="1"/>
      <protection locked="0"/>
    </xf>
    <xf numFmtId="3" fontId="4" fillId="3" borderId="68" xfId="0" applyNumberFormat="1" applyFont="1" applyFill="1" applyBorder="1" applyAlignment="1" applyProtection="1">
      <alignment horizontal="center" vertical="center" wrapText="1"/>
      <protection locked="0"/>
    </xf>
    <xf numFmtId="0" fontId="17" fillId="3" borderId="8" xfId="2" applyFill="1" applyBorder="1" applyAlignment="1" applyProtection="1">
      <alignment horizontal="left" vertical="top" wrapText="1"/>
      <protection locked="0"/>
    </xf>
    <xf numFmtId="0" fontId="56" fillId="3" borderId="16" xfId="0" applyFont="1" applyFill="1" applyBorder="1" applyAlignment="1" applyProtection="1">
      <alignment horizontal="center" vertical="center" wrapText="1"/>
      <protection locked="0"/>
    </xf>
    <xf numFmtId="0" fontId="25" fillId="3" borderId="89" xfId="0" applyFont="1" applyFill="1" applyBorder="1" applyAlignment="1">
      <alignment horizontal="justify" vertical="top" wrapText="1"/>
    </xf>
    <xf numFmtId="9" fontId="8" fillId="3" borderId="22" xfId="0" applyNumberFormat="1" applyFont="1" applyFill="1" applyBorder="1" applyAlignment="1">
      <alignment horizontal="center" vertical="top" wrapText="1"/>
    </xf>
    <xf numFmtId="9" fontId="8" fillId="3" borderId="36" xfId="0" applyNumberFormat="1" applyFont="1" applyFill="1" applyBorder="1" applyAlignment="1">
      <alignment horizontal="center" vertical="top" wrapText="1"/>
    </xf>
    <xf numFmtId="9" fontId="29" fillId="3" borderId="81" xfId="0" applyNumberFormat="1" applyFont="1" applyFill="1" applyBorder="1" applyAlignment="1">
      <alignment horizontal="center" vertical="top" wrapText="1"/>
    </xf>
    <xf numFmtId="0" fontId="14" fillId="3" borderId="16" xfId="0" applyFont="1" applyFill="1" applyBorder="1" applyAlignment="1">
      <alignment horizontal="justify" vertical="top" wrapText="1"/>
    </xf>
    <xf numFmtId="9" fontId="59" fillId="3" borderId="91" xfId="0" applyNumberFormat="1" applyFont="1" applyFill="1" applyBorder="1" applyAlignment="1">
      <alignment horizontal="center" vertical="top" wrapText="1"/>
    </xf>
    <xf numFmtId="9" fontId="8" fillId="3" borderId="32" xfId="0" applyNumberFormat="1" applyFont="1" applyFill="1" applyBorder="1" applyAlignment="1">
      <alignment horizontal="center" vertical="top" wrapText="1"/>
    </xf>
    <xf numFmtId="9" fontId="27" fillId="3" borderId="33" xfId="3" applyFont="1" applyFill="1" applyBorder="1" applyAlignment="1">
      <alignment horizontal="center" vertical="top" wrapText="1"/>
    </xf>
    <xf numFmtId="0" fontId="14" fillId="3" borderId="37" xfId="0" applyFont="1" applyFill="1" applyBorder="1" applyAlignment="1">
      <alignment horizontal="justify" vertical="top" wrapText="1"/>
    </xf>
    <xf numFmtId="9" fontId="59" fillId="3" borderId="26" xfId="0" applyNumberFormat="1" applyFont="1" applyFill="1" applyBorder="1" applyAlignment="1">
      <alignment horizontal="center" vertical="top" wrapText="1"/>
    </xf>
    <xf numFmtId="9" fontId="8" fillId="3" borderId="30" xfId="0" applyNumberFormat="1" applyFont="1" applyFill="1" applyBorder="1" applyAlignment="1">
      <alignment horizontal="center" vertical="top" wrapText="1"/>
    </xf>
    <xf numFmtId="9" fontId="73" fillId="3" borderId="6" xfId="3" applyFont="1" applyFill="1" applyBorder="1" applyAlignment="1">
      <alignment horizontal="center" vertical="top" wrapText="1"/>
    </xf>
    <xf numFmtId="9" fontId="59" fillId="3" borderId="26" xfId="0" applyNumberFormat="1" applyFont="1" applyFill="1" applyBorder="1" applyAlignment="1" applyProtection="1">
      <alignment horizontal="center" vertical="top"/>
      <protection locked="0"/>
    </xf>
    <xf numFmtId="9" fontId="4" fillId="3" borderId="30" xfId="0" applyNumberFormat="1" applyFont="1" applyFill="1" applyBorder="1" applyAlignment="1" applyProtection="1">
      <alignment horizontal="center" vertical="top"/>
      <protection locked="0"/>
    </xf>
    <xf numFmtId="9" fontId="73" fillId="3" borderId="35" xfId="0" applyNumberFormat="1" applyFont="1" applyFill="1" applyBorder="1" applyAlignment="1" applyProtection="1">
      <alignment horizontal="center" vertical="top"/>
      <protection locked="0"/>
    </xf>
    <xf numFmtId="0" fontId="25" fillId="3" borderId="11" xfId="0" applyFont="1" applyFill="1" applyBorder="1" applyAlignment="1" applyProtection="1">
      <alignment horizontal="justify" vertical="top" wrapText="1"/>
      <protection locked="0"/>
    </xf>
    <xf numFmtId="9" fontId="27" fillId="3" borderId="35" xfId="0" applyNumberFormat="1" applyFont="1" applyFill="1" applyBorder="1" applyAlignment="1" applyProtection="1">
      <alignment horizontal="center" vertical="top"/>
      <protection locked="0"/>
    </xf>
    <xf numFmtId="0" fontId="8" fillId="3" borderId="11" xfId="0" applyFont="1" applyFill="1" applyBorder="1" applyAlignment="1" applyProtection="1">
      <alignment horizontal="justify" vertical="top" wrapText="1"/>
      <protection locked="0"/>
    </xf>
    <xf numFmtId="9" fontId="4" fillId="3" borderId="20" xfId="0" applyNumberFormat="1" applyFont="1" applyFill="1" applyBorder="1" applyAlignment="1" applyProtection="1">
      <alignment horizontal="center" vertical="top"/>
      <protection locked="0"/>
    </xf>
    <xf numFmtId="9" fontId="4" fillId="3" borderId="0" xfId="0" applyNumberFormat="1" applyFont="1" applyFill="1" applyBorder="1" applyAlignment="1" applyProtection="1">
      <alignment horizontal="center" vertical="top"/>
      <protection locked="0"/>
    </xf>
    <xf numFmtId="9" fontId="73" fillId="3" borderId="18" xfId="0" applyNumberFormat="1" applyFont="1" applyFill="1" applyBorder="1" applyAlignment="1" applyProtection="1">
      <alignment horizontal="center" vertical="top"/>
      <protection locked="0"/>
    </xf>
    <xf numFmtId="0" fontId="4" fillId="3" borderId="37" xfId="0" applyFont="1" applyFill="1" applyBorder="1" applyAlignment="1" applyProtection="1">
      <alignment horizontal="justify" vertical="top" wrapText="1"/>
      <protection locked="0"/>
    </xf>
    <xf numFmtId="0" fontId="19" fillId="3" borderId="11" xfId="0" applyFont="1" applyFill="1" applyBorder="1" applyAlignment="1" applyProtection="1">
      <alignment horizontal="justify" vertical="top" wrapText="1"/>
      <protection locked="0"/>
    </xf>
    <xf numFmtId="9" fontId="19" fillId="3" borderId="19" xfId="0" applyNumberFormat="1" applyFont="1" applyFill="1" applyBorder="1" applyAlignment="1" applyProtection="1">
      <alignment horizontal="center" vertical="top"/>
      <protection locked="0"/>
    </xf>
    <xf numFmtId="9" fontId="19" fillId="3" borderId="16" xfId="0" applyNumberFormat="1" applyFont="1" applyFill="1" applyBorder="1" applyAlignment="1" applyProtection="1">
      <alignment vertical="top"/>
      <protection locked="0"/>
    </xf>
    <xf numFmtId="9" fontId="80" fillId="3" borderId="16" xfId="0" applyNumberFormat="1" applyFont="1" applyFill="1" applyBorder="1" applyAlignment="1" applyProtection="1">
      <alignment vertical="top"/>
      <protection locked="0"/>
    </xf>
    <xf numFmtId="0" fontId="19" fillId="3" borderId="14" xfId="0" applyFont="1" applyFill="1" applyBorder="1" applyAlignment="1" applyProtection="1">
      <alignment horizontal="justify" vertical="top" wrapText="1"/>
      <protection locked="0"/>
    </xf>
    <xf numFmtId="9" fontId="19" fillId="3" borderId="20" xfId="0" applyNumberFormat="1" applyFont="1" applyFill="1" applyBorder="1" applyAlignment="1" applyProtection="1">
      <alignment horizontal="center" vertical="top"/>
      <protection locked="0"/>
    </xf>
    <xf numFmtId="0" fontId="19" fillId="3" borderId="10" xfId="0" applyFont="1" applyFill="1" applyBorder="1" applyAlignment="1" applyProtection="1">
      <alignment horizontal="justify" vertical="top" wrapText="1"/>
      <protection locked="0"/>
    </xf>
    <xf numFmtId="0" fontId="25" fillId="3" borderId="10" xfId="0" applyFont="1" applyFill="1" applyBorder="1" applyAlignment="1" applyProtection="1">
      <alignment horizontal="justify" vertical="top" wrapText="1"/>
      <protection locked="0"/>
    </xf>
    <xf numFmtId="0" fontId="4" fillId="3" borderId="68" xfId="0" applyFont="1" applyFill="1" applyBorder="1" applyAlignment="1" applyProtection="1">
      <alignment horizontal="justify" vertical="top" wrapText="1"/>
      <protection locked="0"/>
    </xf>
    <xf numFmtId="0" fontId="25" fillId="3" borderId="11" xfId="0" applyFont="1" applyFill="1" applyBorder="1" applyAlignment="1" applyProtection="1">
      <alignment horizontal="justify" vertical="top"/>
      <protection locked="0"/>
    </xf>
    <xf numFmtId="0" fontId="28" fillId="3" borderId="30" xfId="0" applyFont="1" applyFill="1" applyBorder="1" applyAlignment="1">
      <alignment horizontal="justify" vertical="top" wrapText="1"/>
    </xf>
    <xf numFmtId="9" fontId="59" fillId="3" borderId="20" xfId="0" applyNumberFormat="1" applyFont="1" applyFill="1" applyBorder="1" applyAlignment="1" applyProtection="1">
      <alignment horizontal="center" vertical="top"/>
      <protection locked="0"/>
    </xf>
    <xf numFmtId="0" fontId="59" fillId="3" borderId="6" xfId="0" applyFont="1" applyFill="1" applyBorder="1" applyAlignment="1">
      <alignment horizontal="justify" vertical="top" wrapText="1"/>
    </xf>
    <xf numFmtId="0" fontId="59" fillId="3" borderId="5" xfId="0" applyFont="1" applyFill="1" applyBorder="1" applyAlignment="1">
      <alignment horizontal="justify" vertical="top" wrapText="1"/>
    </xf>
    <xf numFmtId="0" fontId="66" fillId="22" borderId="16" xfId="0" applyFont="1" applyFill="1" applyBorder="1" applyAlignment="1">
      <alignment horizontal="justify" vertical="top" wrapText="1"/>
    </xf>
    <xf numFmtId="170" fontId="37" fillId="0" borderId="46" xfId="3" applyNumberFormat="1" applyFont="1" applyFill="1" applyBorder="1" applyAlignment="1">
      <alignment horizontal="center" vertical="center" wrapText="1"/>
    </xf>
    <xf numFmtId="0" fontId="68" fillId="0" borderId="16" xfId="5" applyFont="1" applyFill="1" applyBorder="1" applyAlignment="1">
      <alignment horizontal="justify" vertical="top" wrapText="1"/>
    </xf>
    <xf numFmtId="3" fontId="4" fillId="3" borderId="37" xfId="0" applyNumberFormat="1" applyFont="1" applyFill="1" applyBorder="1" applyAlignment="1" applyProtection="1">
      <alignment horizontal="center" vertical="center" wrapText="1"/>
      <protection locked="0"/>
    </xf>
    <xf numFmtId="3" fontId="4" fillId="3" borderId="1" xfId="0" applyNumberFormat="1" applyFont="1" applyFill="1" applyBorder="1" applyAlignment="1" applyProtection="1">
      <alignment horizontal="center" vertical="center" wrapText="1"/>
      <protection locked="0"/>
    </xf>
    <xf numFmtId="3" fontId="27" fillId="3" borderId="1" xfId="0" applyNumberFormat="1" applyFont="1" applyFill="1" applyBorder="1" applyAlignment="1" applyProtection="1">
      <alignment horizontal="center" vertical="center"/>
      <protection locked="0"/>
    </xf>
    <xf numFmtId="3" fontId="4" fillId="3" borderId="1" xfId="0" applyNumberFormat="1" applyFont="1" applyFill="1" applyBorder="1" applyAlignment="1" applyProtection="1">
      <alignment horizontal="center" vertical="center"/>
      <protection locked="0"/>
    </xf>
    <xf numFmtId="0" fontId="8" fillId="3" borderId="13" xfId="0" applyFont="1" applyFill="1" applyBorder="1" applyAlignment="1" applyProtection="1">
      <alignment vertical="top" wrapText="1"/>
      <protection locked="0"/>
    </xf>
    <xf numFmtId="0" fontId="8" fillId="0" borderId="1" xfId="0" applyFont="1" applyBorder="1" applyAlignment="1" applyProtection="1">
      <alignment horizontal="center" vertical="center" wrapText="1"/>
      <protection locked="0"/>
    </xf>
    <xf numFmtId="3" fontId="4" fillId="0" borderId="1" xfId="0" applyNumberFormat="1" applyFont="1" applyBorder="1" applyAlignment="1" applyProtection="1">
      <alignment horizontal="center" vertical="center"/>
      <protection locked="0"/>
    </xf>
    <xf numFmtId="0" fontId="4" fillId="0" borderId="12" xfId="0" applyFont="1" applyBorder="1" applyAlignment="1" applyProtection="1">
      <alignment horizontal="left" vertical="top" wrapText="1"/>
      <protection locked="0"/>
    </xf>
    <xf numFmtId="0" fontId="8" fillId="0" borderId="12" xfId="0" applyFont="1" applyBorder="1" applyAlignment="1" applyProtection="1">
      <alignment horizontal="center" vertical="center" wrapText="1"/>
      <protection locked="0"/>
    </xf>
    <xf numFmtId="3" fontId="4" fillId="0" borderId="12" xfId="0" applyNumberFormat="1" applyFont="1" applyBorder="1" applyAlignment="1" applyProtection="1">
      <alignment horizontal="center" vertical="center"/>
      <protection locked="0"/>
    </xf>
    <xf numFmtId="3" fontId="37" fillId="0" borderId="5" xfId="5" applyNumberFormat="1" applyFont="1" applyFill="1" applyBorder="1" applyAlignment="1">
      <alignment vertical="center" wrapText="1"/>
    </xf>
    <xf numFmtId="170" fontId="4" fillId="3" borderId="8" xfId="3" applyNumberFormat="1" applyFont="1" applyFill="1" applyBorder="1" applyAlignment="1" applyProtection="1">
      <alignment horizontal="center" vertical="center"/>
      <protection locked="0"/>
    </xf>
    <xf numFmtId="3" fontId="37" fillId="0" borderId="69" xfId="5" applyNumberFormat="1" applyFont="1" applyFill="1" applyBorder="1" applyAlignment="1">
      <alignment vertical="center" wrapText="1"/>
    </xf>
    <xf numFmtId="0" fontId="77" fillId="3" borderId="8" xfId="2" applyFont="1" applyFill="1" applyBorder="1" applyAlignment="1" applyProtection="1">
      <alignment horizontal="left" vertical="top"/>
      <protection locked="0"/>
    </xf>
    <xf numFmtId="10" fontId="37" fillId="0" borderId="30" xfId="3" applyNumberFormat="1" applyFont="1" applyFill="1" applyBorder="1" applyAlignment="1">
      <alignment horizontal="center" vertical="center" wrapText="1"/>
    </xf>
    <xf numFmtId="0" fontId="8" fillId="0" borderId="16" xfId="0" applyFont="1" applyBorder="1" applyAlignment="1" applyProtection="1">
      <alignment horizontal="justify" vertical="center" wrapText="1"/>
      <protection locked="0"/>
    </xf>
    <xf numFmtId="0" fontId="8" fillId="0" borderId="16" xfId="0" applyFont="1" applyBorder="1" applyAlignment="1" applyProtection="1">
      <alignment horizontal="center" vertical="center" wrapText="1"/>
      <protection locked="0"/>
    </xf>
    <xf numFmtId="9" fontId="8" fillId="0" borderId="16" xfId="0" applyNumberFormat="1" applyFont="1" applyBorder="1" applyAlignment="1" applyProtection="1">
      <alignment horizontal="center" vertical="center"/>
      <protection locked="0"/>
    </xf>
    <xf numFmtId="9" fontId="37" fillId="3" borderId="46" xfId="3" applyFont="1" applyFill="1" applyBorder="1" applyAlignment="1">
      <alignment horizontal="center" vertical="center" wrapText="1"/>
    </xf>
    <xf numFmtId="0" fontId="4" fillId="3" borderId="6" xfId="0" applyFont="1" applyFill="1" applyBorder="1" applyAlignment="1" applyProtection="1">
      <alignment horizontal="center" vertical="center"/>
      <protection locked="0"/>
    </xf>
    <xf numFmtId="0" fontId="76" fillId="3" borderId="14" xfId="0" applyFont="1" applyFill="1" applyBorder="1" applyAlignment="1" applyProtection="1">
      <alignment horizontal="center" vertical="center"/>
      <protection locked="0"/>
    </xf>
    <xf numFmtId="0" fontId="0" fillId="3" borderId="14" xfId="0" applyFill="1" applyBorder="1" applyAlignment="1">
      <alignment horizontal="center" vertical="center"/>
    </xf>
    <xf numFmtId="9" fontId="4" fillId="4" borderId="10" xfId="3" applyFont="1" applyFill="1" applyBorder="1" applyAlignment="1">
      <alignment horizontal="center" vertical="top" wrapText="1"/>
    </xf>
    <xf numFmtId="0" fontId="4" fillId="4" borderId="14" xfId="0" applyFont="1" applyFill="1" applyBorder="1" applyAlignment="1">
      <alignment horizontal="center" vertical="top" wrapText="1"/>
    </xf>
    <xf numFmtId="0" fontId="4" fillId="0" borderId="0" xfId="0" applyFont="1" applyFill="1" applyBorder="1" applyAlignment="1" applyProtection="1">
      <alignment vertical="top"/>
      <protection locked="0"/>
    </xf>
    <xf numFmtId="0" fontId="4" fillId="0" borderId="0"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0" fillId="0" borderId="0" xfId="0" applyFill="1" applyBorder="1" applyAlignment="1">
      <alignment horizontal="center" vertical="center"/>
    </xf>
    <xf numFmtId="9" fontId="4" fillId="0" borderId="0" xfId="3" applyFont="1" applyFill="1" applyBorder="1" applyAlignment="1">
      <alignment horizontal="center" vertical="top" wrapText="1"/>
    </xf>
    <xf numFmtId="0" fontId="4" fillId="0" borderId="0" xfId="0" applyFont="1" applyFill="1" applyBorder="1" applyAlignment="1">
      <alignment horizontal="center" vertical="top" wrapText="1"/>
    </xf>
    <xf numFmtId="9" fontId="37" fillId="29" borderId="46" xfId="3" applyNumberFormat="1" applyFont="1" applyFill="1" applyBorder="1" applyAlignment="1">
      <alignment horizontal="center" vertical="center" wrapText="1"/>
    </xf>
    <xf numFmtId="9" fontId="37" fillId="29" borderId="43" xfId="3" applyFont="1" applyFill="1" applyBorder="1" applyAlignment="1">
      <alignment horizontal="center" vertical="center" wrapText="1"/>
    </xf>
    <xf numFmtId="167" fontId="37" fillId="3" borderId="46" xfId="5" applyNumberFormat="1" applyFont="1" applyFill="1" applyBorder="1" applyAlignment="1">
      <alignment horizontal="center" vertical="center" wrapText="1"/>
    </xf>
    <xf numFmtId="9" fontId="0" fillId="0" borderId="0" xfId="0" applyNumberFormat="1"/>
    <xf numFmtId="10" fontId="37" fillId="0" borderId="16" xfId="3" applyNumberFormat="1" applyFont="1" applyFill="1" applyBorder="1" applyAlignment="1">
      <alignment horizontal="center" vertical="center" wrapText="1"/>
    </xf>
    <xf numFmtId="3" fontId="4" fillId="3" borderId="13" xfId="0" applyNumberFormat="1" applyFont="1" applyFill="1" applyBorder="1" applyAlignment="1" applyProtection="1">
      <alignment horizontal="center" vertical="center" wrapText="1"/>
      <protection locked="0"/>
    </xf>
    <xf numFmtId="3" fontId="0" fillId="0" borderId="0" xfId="0" applyNumberFormat="1" applyAlignment="1">
      <alignment vertical="top"/>
    </xf>
    <xf numFmtId="9" fontId="37" fillId="0" borderId="16" xfId="3" applyFont="1" applyFill="1" applyBorder="1" applyAlignment="1">
      <alignment horizontal="center" vertical="center" wrapText="1"/>
    </xf>
    <xf numFmtId="9" fontId="45" fillId="19" borderId="58" xfId="3" applyFont="1" applyFill="1" applyBorder="1" applyAlignment="1">
      <alignment horizontal="right" vertical="center"/>
    </xf>
    <xf numFmtId="49" fontId="45" fillId="0" borderId="58" xfId="5" applyNumberFormat="1" applyFont="1" applyBorder="1" applyAlignment="1">
      <alignment horizontal="left" vertical="center"/>
    </xf>
    <xf numFmtId="9" fontId="45" fillId="20" borderId="58" xfId="3" applyFont="1" applyFill="1" applyBorder="1" applyAlignment="1">
      <alignment horizontal="right" vertical="center"/>
    </xf>
    <xf numFmtId="9" fontId="45" fillId="21" borderId="58" xfId="3" applyFont="1" applyFill="1" applyBorder="1" applyAlignment="1">
      <alignment horizontal="right" vertical="center"/>
    </xf>
    <xf numFmtId="9" fontId="45" fillId="22" borderId="58" xfId="3" applyFont="1" applyFill="1" applyBorder="1" applyAlignment="1">
      <alignment horizontal="right" vertical="center"/>
    </xf>
    <xf numFmtId="9" fontId="45" fillId="0" borderId="58" xfId="3" applyFont="1" applyFill="1" applyBorder="1" applyAlignment="1">
      <alignment horizontal="right" vertical="center"/>
    </xf>
    <xf numFmtId="165" fontId="0" fillId="0" borderId="95" xfId="11" applyFont="1" applyBorder="1"/>
    <xf numFmtId="9" fontId="47" fillId="0" borderId="58" xfId="3" applyFont="1" applyFill="1" applyBorder="1" applyAlignment="1">
      <alignment horizontal="right" vertical="center"/>
    </xf>
    <xf numFmtId="9" fontId="47" fillId="0" borderId="58" xfId="3" applyFont="1" applyBorder="1" applyAlignment="1">
      <alignment horizontal="right" vertical="center"/>
    </xf>
    <xf numFmtId="9" fontId="45" fillId="0" borderId="58" xfId="3" applyFont="1" applyBorder="1" applyAlignment="1">
      <alignment horizontal="right" vertical="center"/>
    </xf>
    <xf numFmtId="9" fontId="47" fillId="20" borderId="58" xfId="3" applyFont="1" applyFill="1" applyBorder="1" applyAlignment="1">
      <alignment horizontal="right" vertical="center"/>
    </xf>
    <xf numFmtId="9" fontId="45" fillId="22" borderId="58" xfId="3" applyFont="1" applyFill="1" applyBorder="1" applyAlignment="1">
      <alignment horizontal="left" vertical="center"/>
    </xf>
    <xf numFmtId="9" fontId="45" fillId="0" borderId="58" xfId="3" applyFont="1" applyFill="1" applyBorder="1" applyAlignment="1">
      <alignment horizontal="left" vertical="center"/>
    </xf>
    <xf numFmtId="9" fontId="47" fillId="0" borderId="58" xfId="3" applyFont="1" applyFill="1" applyBorder="1" applyAlignment="1">
      <alignment horizontal="left" vertical="center"/>
    </xf>
    <xf numFmtId="9" fontId="45" fillId="19" borderId="58" xfId="3" applyFont="1" applyFill="1" applyBorder="1" applyAlignment="1">
      <alignment horizontal="left" vertical="center"/>
    </xf>
    <xf numFmtId="9" fontId="33" fillId="0" borderId="64" xfId="3" applyFont="1" applyFill="1" applyBorder="1" applyAlignment="1">
      <alignment horizontal="center"/>
    </xf>
    <xf numFmtId="165" fontId="82" fillId="0" borderId="62" xfId="11" applyFont="1" applyBorder="1" applyAlignment="1">
      <alignment horizontal="center" vertical="center"/>
    </xf>
    <xf numFmtId="165" fontId="81" fillId="23" borderId="63" xfId="11" applyFont="1" applyFill="1" applyBorder="1" applyAlignment="1">
      <alignment horizontal="center" vertical="center" wrapText="1"/>
    </xf>
    <xf numFmtId="165" fontId="36" fillId="24" borderId="64" xfId="11" applyFont="1" applyFill="1" applyBorder="1" applyAlignment="1">
      <alignment horizontal="center"/>
    </xf>
    <xf numFmtId="165" fontId="83" fillId="0" borderId="62" xfId="11" applyFont="1" applyBorder="1" applyAlignment="1">
      <alignment horizontal="left" vertical="center"/>
    </xf>
    <xf numFmtId="165" fontId="36" fillId="25" borderId="64" xfId="11" applyFont="1" applyFill="1" applyBorder="1" applyAlignment="1">
      <alignment horizontal="center"/>
    </xf>
    <xf numFmtId="165" fontId="37" fillId="0" borderId="64" xfId="11" applyFont="1" applyBorder="1" applyAlignment="1">
      <alignment horizontal="center"/>
    </xf>
    <xf numFmtId="165" fontId="37" fillId="0" borderId="64" xfId="11" quotePrefix="1" applyFont="1" applyFill="1" applyBorder="1" applyAlignment="1">
      <alignment horizontal="left"/>
    </xf>
    <xf numFmtId="165" fontId="36" fillId="26" borderId="64" xfId="11" applyFont="1" applyFill="1" applyBorder="1" applyAlignment="1">
      <alignment horizontal="center"/>
    </xf>
    <xf numFmtId="165" fontId="37" fillId="0" borderId="64" xfId="11" applyFont="1" applyFill="1" applyBorder="1" applyAlignment="1">
      <alignment horizontal="center"/>
    </xf>
    <xf numFmtId="165" fontId="84" fillId="0" borderId="64" xfId="11" applyFont="1" applyBorder="1" applyAlignment="1">
      <alignment horizontal="center" vertical="center"/>
    </xf>
    <xf numFmtId="165" fontId="37" fillId="29" borderId="64" xfId="11" applyFont="1" applyFill="1" applyBorder="1" applyAlignment="1">
      <alignment horizontal="center"/>
    </xf>
    <xf numFmtId="165" fontId="36" fillId="0" borderId="64" xfId="11" applyFont="1" applyFill="1" applyBorder="1" applyAlignment="1">
      <alignment horizontal="center"/>
    </xf>
    <xf numFmtId="165" fontId="37" fillId="26" borderId="64" xfId="11" applyFont="1" applyFill="1" applyBorder="1" applyAlignment="1">
      <alignment horizontal="center"/>
    </xf>
    <xf numFmtId="165" fontId="36" fillId="25" borderId="64" xfId="11" applyFont="1" applyFill="1" applyBorder="1"/>
    <xf numFmtId="165" fontId="36" fillId="26" borderId="64" xfId="11" applyFont="1" applyFill="1" applyBorder="1"/>
    <xf numFmtId="165" fontId="37" fillId="0" borderId="64" xfId="11" applyFont="1" applyBorder="1"/>
    <xf numFmtId="165" fontId="37" fillId="25" borderId="64" xfId="11" applyFont="1" applyFill="1" applyBorder="1"/>
    <xf numFmtId="165" fontId="37" fillId="26" borderId="64" xfId="11" quotePrefix="1" applyFont="1" applyFill="1" applyBorder="1" applyAlignment="1">
      <alignment horizontal="left"/>
    </xf>
    <xf numFmtId="165" fontId="37" fillId="0" borderId="64" xfId="11" quotePrefix="1" applyFont="1" applyBorder="1" applyAlignment="1">
      <alignment horizontal="left"/>
    </xf>
    <xf numFmtId="165" fontId="85" fillId="27" borderId="64" xfId="11" applyFont="1" applyFill="1" applyBorder="1" applyAlignment="1">
      <alignment vertical="center" wrapText="1"/>
    </xf>
    <xf numFmtId="0" fontId="36" fillId="24" borderId="64" xfId="0" applyFont="1" applyFill="1" applyBorder="1"/>
    <xf numFmtId="0" fontId="36" fillId="25" borderId="64" xfId="0" applyFont="1" applyFill="1" applyBorder="1"/>
    <xf numFmtId="0" fontId="37" fillId="0" borderId="64" xfId="0" applyFont="1" applyBorder="1"/>
    <xf numFmtId="0" fontId="36" fillId="26" borderId="64" xfId="0" applyFont="1" applyFill="1" applyBorder="1"/>
    <xf numFmtId="0" fontId="84" fillId="0" borderId="64" xfId="0" applyFont="1" applyBorder="1" applyAlignment="1">
      <alignment vertical="center"/>
    </xf>
    <xf numFmtId="165" fontId="37" fillId="29" borderId="64" xfId="11" applyFont="1" applyFill="1" applyBorder="1" applyAlignment="1">
      <alignment horizontal="left"/>
    </xf>
    <xf numFmtId="0" fontId="36" fillId="0" borderId="64" xfId="0" applyFont="1" applyBorder="1"/>
    <xf numFmtId="0" fontId="84" fillId="25" borderId="64" xfId="0" applyFont="1" applyFill="1" applyBorder="1"/>
    <xf numFmtId="0" fontId="37" fillId="26" borderId="64" xfId="0" quotePrefix="1" applyFont="1" applyFill="1" applyBorder="1" applyAlignment="1">
      <alignment horizontal="left"/>
    </xf>
    <xf numFmtId="0" fontId="37" fillId="0" borderId="64" xfId="0" quotePrefix="1" applyFont="1" applyBorder="1" applyAlignment="1">
      <alignment horizontal="left"/>
    </xf>
    <xf numFmtId="0" fontId="86" fillId="27" borderId="64" xfId="0" applyFont="1" applyFill="1" applyBorder="1" applyAlignment="1">
      <alignment vertical="center" wrapText="1"/>
    </xf>
    <xf numFmtId="0" fontId="4" fillId="33" borderId="45" xfId="0" applyFont="1" applyFill="1" applyBorder="1" applyAlignment="1">
      <alignment horizontal="center" vertical="top"/>
    </xf>
    <xf numFmtId="0" fontId="4" fillId="33" borderId="30" xfId="0" applyFont="1" applyFill="1" applyBorder="1" applyAlignment="1" applyProtection="1">
      <alignment vertical="top" wrapText="1"/>
      <protection locked="0"/>
    </xf>
    <xf numFmtId="0" fontId="4" fillId="33" borderId="78" xfId="0" applyFont="1" applyFill="1" applyBorder="1" applyAlignment="1">
      <alignment horizontal="center" vertical="top"/>
    </xf>
    <xf numFmtId="0" fontId="4" fillId="33" borderId="68" xfId="0" applyFont="1" applyFill="1" applyBorder="1" applyAlignment="1" applyProtection="1">
      <alignment vertical="top" wrapText="1"/>
      <protection locked="0"/>
    </xf>
    <xf numFmtId="0" fontId="4" fillId="35" borderId="2" xfId="0" applyFont="1" applyFill="1" applyBorder="1" applyAlignment="1">
      <alignment horizontal="center" vertical="top"/>
    </xf>
    <xf numFmtId="0" fontId="4" fillId="35" borderId="32" xfId="0" applyFont="1" applyFill="1" applyBorder="1" applyAlignment="1" applyProtection="1">
      <alignment vertical="top" wrapText="1"/>
      <protection locked="0"/>
    </xf>
    <xf numFmtId="0" fontId="4" fillId="35" borderId="34" xfId="0" applyFont="1" applyFill="1" applyBorder="1" applyAlignment="1">
      <alignment horizontal="center" vertical="top" wrapText="1"/>
    </xf>
    <xf numFmtId="0" fontId="4" fillId="35" borderId="16" xfId="0" applyFont="1" applyFill="1" applyBorder="1" applyAlignment="1" applyProtection="1">
      <alignment vertical="top" wrapText="1"/>
      <protection locked="0"/>
    </xf>
    <xf numFmtId="0" fontId="4" fillId="35" borderId="38" xfId="0" applyFont="1" applyFill="1" applyBorder="1" applyAlignment="1">
      <alignment horizontal="center" vertical="top" wrapText="1"/>
    </xf>
    <xf numFmtId="0" fontId="4" fillId="35" borderId="36" xfId="0" applyFont="1" applyFill="1" applyBorder="1" applyAlignment="1" applyProtection="1">
      <alignment vertical="top" wrapText="1"/>
      <protection locked="0"/>
    </xf>
    <xf numFmtId="0" fontId="4" fillId="36" borderId="31" xfId="0" applyFont="1" applyFill="1" applyBorder="1" applyAlignment="1">
      <alignment horizontal="center" vertical="center" wrapText="1"/>
    </xf>
    <xf numFmtId="0" fontId="4" fillId="36" borderId="32" xfId="0" applyFont="1" applyFill="1" applyBorder="1" applyAlignment="1" applyProtection="1">
      <alignment vertical="top" wrapText="1"/>
      <protection locked="0"/>
    </xf>
    <xf numFmtId="0" fontId="4" fillId="36" borderId="78" xfId="0" applyFont="1" applyFill="1" applyBorder="1" applyAlignment="1">
      <alignment horizontal="center" vertical="center" wrapText="1"/>
    </xf>
    <xf numFmtId="0" fontId="4" fillId="36" borderId="37" xfId="0" applyFont="1" applyFill="1" applyBorder="1" applyAlignment="1" applyProtection="1">
      <alignment vertical="top" wrapText="1"/>
      <protection locked="0"/>
    </xf>
    <xf numFmtId="0" fontId="4" fillId="36" borderId="38" xfId="0" applyFont="1" applyFill="1" applyBorder="1" applyAlignment="1">
      <alignment horizontal="center" vertical="center" wrapText="1"/>
    </xf>
    <xf numFmtId="0" fontId="4" fillId="36" borderId="36" xfId="0" applyFont="1" applyFill="1" applyBorder="1" applyAlignment="1" applyProtection="1">
      <alignment vertical="top" wrapText="1"/>
      <protection locked="0"/>
    </xf>
    <xf numFmtId="164" fontId="7" fillId="0" borderId="74" xfId="12" applyFont="1" applyBorder="1" applyAlignment="1">
      <alignment horizontal="center" vertical="center"/>
    </xf>
    <xf numFmtId="0" fontId="8" fillId="0" borderId="75" xfId="0" applyFont="1" applyBorder="1" applyAlignment="1">
      <alignment horizontal="center" vertical="center" wrapText="1"/>
    </xf>
    <xf numFmtId="0" fontId="4" fillId="37" borderId="73" xfId="0" applyFont="1" applyFill="1" applyBorder="1" applyAlignment="1">
      <alignment horizontal="center" vertical="center" wrapText="1"/>
    </xf>
    <xf numFmtId="0" fontId="4" fillId="37" borderId="74" xfId="0" applyFont="1" applyFill="1" applyBorder="1" applyAlignment="1" applyProtection="1">
      <alignment vertical="top" wrapText="1"/>
      <protection locked="0"/>
    </xf>
    <xf numFmtId="0" fontId="4" fillId="37" borderId="11" xfId="0" applyFont="1" applyFill="1" applyBorder="1" applyAlignment="1" applyProtection="1">
      <alignment horizontal="center" vertical="center"/>
      <protection locked="0"/>
    </xf>
    <xf numFmtId="0" fontId="4" fillId="37" borderId="74" xfId="0" applyFont="1" applyFill="1" applyBorder="1" applyAlignment="1" applyProtection="1">
      <alignment horizontal="center" vertical="center"/>
      <protection locked="0"/>
    </xf>
    <xf numFmtId="0" fontId="4" fillId="30" borderId="45" xfId="0" applyFont="1" applyFill="1" applyBorder="1" applyAlignment="1">
      <alignment horizontal="center" vertical="center" wrapText="1"/>
    </xf>
    <xf numFmtId="0" fontId="4" fillId="30" borderId="30" xfId="0" applyFont="1" applyFill="1" applyBorder="1" applyAlignment="1" applyProtection="1">
      <alignment vertical="top" wrapText="1"/>
      <protection locked="0"/>
    </xf>
    <xf numFmtId="0" fontId="4" fillId="30" borderId="34" xfId="0" applyFont="1" applyFill="1" applyBorder="1" applyAlignment="1">
      <alignment horizontal="center" vertical="center" wrapText="1"/>
    </xf>
    <xf numFmtId="0" fontId="4" fillId="30" borderId="16" xfId="0" applyFont="1" applyFill="1" applyBorder="1" applyAlignment="1" applyProtection="1">
      <alignment vertical="top" wrapText="1"/>
      <protection locked="0"/>
    </xf>
    <xf numFmtId="0" fontId="8" fillId="30" borderId="78" xfId="0" applyFont="1" applyFill="1" applyBorder="1" applyAlignment="1">
      <alignment horizontal="center" vertical="center" wrapText="1"/>
    </xf>
    <xf numFmtId="0" fontId="4" fillId="30" borderId="37" xfId="0" applyFont="1" applyFill="1" applyBorder="1" applyAlignment="1" applyProtection="1">
      <alignment vertical="top" wrapText="1"/>
      <protection locked="0"/>
    </xf>
    <xf numFmtId="0" fontId="8" fillId="10" borderId="83" xfId="0" applyFont="1" applyFill="1" applyBorder="1" applyAlignment="1">
      <alignment horizontal="center" vertical="top" wrapText="1"/>
    </xf>
    <xf numFmtId="0" fontId="4" fillId="10" borderId="84" xfId="0" applyFont="1" applyFill="1" applyBorder="1" applyAlignment="1" applyProtection="1">
      <alignment vertical="top" wrapText="1"/>
      <protection locked="0"/>
    </xf>
    <xf numFmtId="0" fontId="8" fillId="10" borderId="84" xfId="0" applyFont="1" applyFill="1" applyBorder="1" applyAlignment="1">
      <alignment horizontal="center" vertical="center" wrapText="1"/>
    </xf>
    <xf numFmtId="164" fontId="7" fillId="0" borderId="84" xfId="12" applyFont="1" applyBorder="1" applyAlignment="1">
      <alignment horizontal="center" vertical="center"/>
    </xf>
    <xf numFmtId="0" fontId="8" fillId="0" borderId="85" xfId="0" applyFont="1" applyBorder="1" applyAlignment="1">
      <alignment horizontal="center" vertical="center" wrapText="1"/>
    </xf>
    <xf numFmtId="0" fontId="3" fillId="21" borderId="5" xfId="0" applyFont="1" applyFill="1" applyBorder="1" applyAlignment="1">
      <alignment horizontal="center" vertical="center" wrapText="1"/>
    </xf>
    <xf numFmtId="0" fontId="4" fillId="21" borderId="16" xfId="0" applyFont="1" applyFill="1" applyBorder="1" applyAlignment="1" applyProtection="1">
      <alignment vertical="center" wrapText="1"/>
      <protection locked="0"/>
    </xf>
    <xf numFmtId="0" fontId="0" fillId="21" borderId="16" xfId="0" applyFill="1" applyBorder="1" applyAlignment="1">
      <alignment horizontal="justify" vertical="center"/>
    </xf>
    <xf numFmtId="0" fontId="76" fillId="21" borderId="16" xfId="0" applyFont="1" applyFill="1" applyBorder="1" applyAlignment="1">
      <alignment horizontal="justify" vertical="center"/>
    </xf>
    <xf numFmtId="164" fontId="4" fillId="21" borderId="16" xfId="12" applyFont="1" applyFill="1" applyBorder="1" applyAlignment="1" applyProtection="1">
      <alignment vertical="center" wrapText="1"/>
      <protection locked="0"/>
    </xf>
    <xf numFmtId="164" fontId="3" fillId="21" borderId="37" xfId="12" applyFont="1" applyFill="1" applyBorder="1" applyAlignment="1">
      <alignment horizontal="center" vertical="center" wrapText="1"/>
    </xf>
    <xf numFmtId="0" fontId="4" fillId="21" borderId="8" xfId="0" applyFont="1" applyFill="1" applyBorder="1" applyAlignment="1" applyProtection="1">
      <alignment vertical="center" wrapText="1"/>
      <protection locked="0"/>
    </xf>
    <xf numFmtId="0" fontId="8" fillId="21" borderId="11" xfId="0" applyFont="1" applyFill="1" applyBorder="1" applyAlignment="1" applyProtection="1">
      <alignment vertical="center" wrapText="1"/>
      <protection locked="0"/>
    </xf>
    <xf numFmtId="3" fontId="4" fillId="21" borderId="16" xfId="0" applyNumberFormat="1" applyFont="1" applyFill="1" applyBorder="1" applyAlignment="1" applyProtection="1">
      <alignment vertical="center" wrapText="1"/>
      <protection locked="0"/>
    </xf>
    <xf numFmtId="0" fontId="4" fillId="21" borderId="6" xfId="0" applyFont="1" applyFill="1" applyBorder="1" applyAlignment="1" applyProtection="1">
      <alignment vertical="center" wrapText="1"/>
      <protection locked="0"/>
    </xf>
    <xf numFmtId="0" fontId="8" fillId="21" borderId="0" xfId="0" applyFont="1" applyFill="1" applyAlignment="1" applyProtection="1">
      <alignment vertical="center" wrapText="1"/>
      <protection locked="0"/>
    </xf>
    <xf numFmtId="0" fontId="4" fillId="21" borderId="37" xfId="0" applyFont="1" applyFill="1" applyBorder="1" applyAlignment="1" applyProtection="1">
      <alignment vertical="center" wrapText="1"/>
      <protection locked="0"/>
    </xf>
    <xf numFmtId="0" fontId="8" fillId="21" borderId="21" xfId="0" applyFont="1" applyFill="1" applyBorder="1" applyAlignment="1" applyProtection="1">
      <alignment vertical="center" wrapText="1"/>
      <protection locked="0"/>
    </xf>
    <xf numFmtId="173" fontId="52" fillId="0" borderId="16" xfId="0" applyNumberFormat="1" applyFont="1" applyBorder="1" applyAlignment="1">
      <alignment horizontal="center" vertical="center" wrapText="1"/>
    </xf>
    <xf numFmtId="3" fontId="7" fillId="0" borderId="8" xfId="0" applyNumberFormat="1" applyFont="1" applyBorder="1" applyAlignment="1" applyProtection="1">
      <alignment horizontal="center" vertical="center"/>
      <protection locked="0"/>
    </xf>
    <xf numFmtId="0" fontId="28" fillId="0" borderId="8" xfId="0" applyFont="1" applyBorder="1" applyAlignment="1" applyProtection="1">
      <alignment vertical="top" wrapText="1"/>
      <protection locked="0"/>
    </xf>
    <xf numFmtId="173" fontId="52" fillId="0" borderId="30" xfId="0" applyNumberFormat="1" applyFont="1" applyBorder="1" applyAlignment="1">
      <alignment horizontal="center" vertical="center"/>
    </xf>
    <xf numFmtId="3" fontId="7" fillId="0" borderId="7" xfId="0" applyNumberFormat="1" applyFont="1" applyBorder="1" applyAlignment="1" applyProtection="1">
      <alignment horizontal="center" vertical="center"/>
      <protection locked="0"/>
    </xf>
    <xf numFmtId="0" fontId="87" fillId="0" borderId="30" xfId="0" applyFont="1" applyBorder="1" applyAlignment="1">
      <alignment horizontal="center" vertical="center" wrapText="1"/>
    </xf>
    <xf numFmtId="173" fontId="52" fillId="0" borderId="30" xfId="0" applyNumberFormat="1" applyFont="1" applyBorder="1" applyAlignment="1">
      <alignment horizontal="center" vertical="center" wrapText="1"/>
    </xf>
    <xf numFmtId="0" fontId="88" fillId="0" borderId="30" xfId="0" applyFont="1" applyBorder="1" applyAlignment="1">
      <alignment horizontal="center" vertical="center" wrapText="1"/>
    </xf>
    <xf numFmtId="0" fontId="9" fillId="0" borderId="12" xfId="0" applyFont="1" applyBorder="1" applyAlignment="1" applyProtection="1">
      <alignment horizontal="left" vertical="top" wrapText="1"/>
      <protection locked="0"/>
    </xf>
    <xf numFmtId="1" fontId="37" fillId="0" borderId="36" xfId="5" applyNumberFormat="1" applyFont="1" applyFill="1" applyBorder="1" applyAlignment="1">
      <alignment horizontal="center" vertical="center" wrapText="1"/>
    </xf>
    <xf numFmtId="9" fontId="37" fillId="0" borderId="16" xfId="3" applyFont="1" applyFill="1" applyBorder="1" applyAlignment="1">
      <alignment horizontal="center" vertical="center" wrapText="1"/>
    </xf>
    <xf numFmtId="0" fontId="31" fillId="12" borderId="14" xfId="0" applyFont="1" applyFill="1" applyBorder="1" applyAlignment="1">
      <alignment horizontal="center" vertical="center" wrapText="1"/>
    </xf>
    <xf numFmtId="0" fontId="31" fillId="12" borderId="15" xfId="0" applyFont="1" applyFill="1" applyBorder="1" applyAlignment="1">
      <alignment horizontal="center" vertical="center" wrapText="1"/>
    </xf>
    <xf numFmtId="0" fontId="31" fillId="12" borderId="7" xfId="0" applyFont="1" applyFill="1" applyBorder="1" applyAlignment="1">
      <alignment horizontal="center" vertical="center" wrapText="1"/>
    </xf>
    <xf numFmtId="10" fontId="37" fillId="0" borderId="47" xfId="3" applyNumberFormat="1" applyFont="1" applyFill="1" applyBorder="1" applyAlignment="1">
      <alignment horizontal="right" vertical="center" wrapText="1"/>
    </xf>
    <xf numFmtId="10" fontId="37" fillId="0" borderId="51" xfId="3" applyNumberFormat="1" applyFont="1" applyFill="1" applyBorder="1" applyAlignment="1">
      <alignment horizontal="right" vertical="center" wrapText="1"/>
    </xf>
    <xf numFmtId="10" fontId="37" fillId="0" borderId="5" xfId="3" applyNumberFormat="1" applyFont="1" applyFill="1" applyBorder="1" applyAlignment="1">
      <alignment horizontal="right" vertical="center" wrapText="1"/>
    </xf>
    <xf numFmtId="3" fontId="71" fillId="0" borderId="86" xfId="5" applyNumberFormat="1" applyFont="1" applyFill="1" applyBorder="1" applyAlignment="1">
      <alignment horizontal="right" vertical="top" wrapText="1"/>
    </xf>
    <xf numFmtId="3" fontId="71" fillId="0" borderId="69" xfId="5" applyNumberFormat="1" applyFont="1" applyFill="1" applyBorder="1" applyAlignment="1">
      <alignment horizontal="right" vertical="top" wrapText="1"/>
    </xf>
    <xf numFmtId="3" fontId="71" fillId="0" borderId="66" xfId="5" applyNumberFormat="1" applyFont="1" applyFill="1" applyBorder="1" applyAlignment="1">
      <alignment horizontal="right" vertical="top" wrapText="1"/>
    </xf>
    <xf numFmtId="3" fontId="71" fillId="0" borderId="86" xfId="5" applyNumberFormat="1" applyFont="1" applyFill="1" applyBorder="1" applyAlignment="1">
      <alignment horizontal="center" vertical="top" wrapText="1"/>
    </xf>
    <xf numFmtId="3" fontId="71" fillId="0" borderId="69" xfId="5" applyNumberFormat="1" applyFont="1" applyFill="1" applyBorder="1" applyAlignment="1">
      <alignment horizontal="center" vertical="top" wrapText="1"/>
    </xf>
    <xf numFmtId="3" fontId="71" fillId="0" borderId="75" xfId="5" applyNumberFormat="1" applyFont="1" applyFill="1" applyBorder="1" applyAlignment="1">
      <alignment horizontal="center" vertical="top" wrapText="1"/>
    </xf>
    <xf numFmtId="3" fontId="71" fillId="0" borderId="72" xfId="5" applyNumberFormat="1" applyFont="1" applyFill="1" applyBorder="1" applyAlignment="1">
      <alignment horizontal="center" vertical="top" wrapText="1"/>
    </xf>
    <xf numFmtId="3" fontId="71" fillId="0" borderId="4" xfId="5" applyNumberFormat="1" applyFont="1" applyFill="1" applyBorder="1" applyAlignment="1">
      <alignment horizontal="center" vertical="top" wrapText="1"/>
    </xf>
    <xf numFmtId="3" fontId="71" fillId="0" borderId="6" xfId="5" applyNumberFormat="1" applyFont="1" applyFill="1" applyBorder="1" applyAlignment="1">
      <alignment horizontal="center" vertical="top" wrapText="1"/>
    </xf>
    <xf numFmtId="3" fontId="71" fillId="0" borderId="80" xfId="5" applyNumberFormat="1" applyFont="1" applyFill="1" applyBorder="1" applyAlignment="1">
      <alignment horizontal="center" vertical="top" wrapText="1"/>
    </xf>
    <xf numFmtId="166" fontId="37" fillId="0" borderId="47" xfId="4" applyFont="1" applyFill="1" applyBorder="1" applyAlignment="1">
      <alignment horizontal="center" vertical="center" wrapText="1"/>
    </xf>
    <xf numFmtId="166" fontId="37" fillId="0" borderId="51" xfId="4" applyFont="1" applyFill="1" applyBorder="1" applyAlignment="1">
      <alignment horizontal="center" vertical="center" wrapText="1"/>
    </xf>
    <xf numFmtId="166" fontId="37" fillId="0" borderId="5" xfId="4" applyFont="1" applyFill="1" applyBorder="1" applyAlignment="1">
      <alignment horizontal="center" vertical="center" wrapText="1"/>
    </xf>
    <xf numFmtId="0" fontId="31" fillId="12" borderId="2" xfId="5" applyFont="1" applyFill="1" applyBorder="1" applyAlignment="1">
      <alignment horizontal="center" vertical="center" wrapText="1"/>
    </xf>
    <xf numFmtId="0" fontId="31" fillId="12" borderId="3" xfId="5" applyFont="1" applyFill="1" applyBorder="1" applyAlignment="1">
      <alignment horizontal="center" vertical="center" wrapText="1"/>
    </xf>
    <xf numFmtId="0" fontId="31" fillId="12" borderId="4" xfId="5" applyFont="1" applyFill="1" applyBorder="1" applyAlignment="1">
      <alignment horizontal="center" vertical="center" wrapText="1"/>
    </xf>
    <xf numFmtId="0" fontId="31" fillId="12" borderId="10" xfId="5" applyFont="1" applyFill="1" applyBorder="1" applyAlignment="1">
      <alignment horizontal="center" vertical="center" wrapText="1"/>
    </xf>
    <xf numFmtId="0" fontId="31" fillId="12" borderId="11" xfId="5" applyFont="1" applyFill="1" applyBorder="1" applyAlignment="1">
      <alignment horizontal="center" vertical="center" wrapText="1"/>
    </xf>
    <xf numFmtId="0" fontId="31" fillId="12" borderId="8" xfId="5" applyFont="1" applyFill="1" applyBorder="1" applyAlignment="1">
      <alignment horizontal="center" vertical="center" wrapText="1"/>
    </xf>
    <xf numFmtId="0" fontId="30" fillId="11" borderId="14" xfId="5" applyFont="1" applyFill="1" applyBorder="1" applyAlignment="1">
      <alignment horizontal="center" vertical="center" wrapText="1"/>
    </xf>
    <xf numFmtId="0" fontId="30" fillId="11" borderId="15" xfId="5" applyFont="1" applyFill="1" applyBorder="1" applyAlignment="1">
      <alignment horizontal="center" vertical="center" wrapText="1"/>
    </xf>
    <xf numFmtId="0" fontId="30" fillId="11" borderId="7" xfId="5" applyFont="1" applyFill="1" applyBorder="1" applyAlignment="1">
      <alignment horizontal="center" vertical="center" wrapText="1"/>
    </xf>
    <xf numFmtId="0" fontId="36" fillId="16" borderId="1" xfId="5" applyFont="1" applyFill="1" applyBorder="1" applyAlignment="1">
      <alignment horizontal="center" vertical="center" wrapText="1"/>
    </xf>
    <xf numFmtId="0" fontId="36" fillId="16" borderId="13" xfId="5" applyFont="1" applyFill="1" applyBorder="1" applyAlignment="1">
      <alignment horizontal="center" vertical="center" wrapText="1"/>
    </xf>
    <xf numFmtId="0" fontId="36" fillId="17" borderId="1" xfId="5" applyFont="1" applyFill="1" applyBorder="1" applyAlignment="1">
      <alignment horizontal="center" vertical="center" wrapText="1"/>
    </xf>
    <xf numFmtId="0" fontId="36" fillId="17" borderId="13" xfId="5" applyFont="1" applyFill="1" applyBorder="1" applyAlignment="1">
      <alignment horizontal="center" vertical="center" wrapText="1"/>
    </xf>
    <xf numFmtId="0" fontId="55" fillId="28" borderId="70" xfId="0" applyFont="1" applyFill="1" applyBorder="1" applyAlignment="1" applyProtection="1">
      <alignment horizontal="center" vertical="center" wrapText="1"/>
      <protection locked="0"/>
    </xf>
    <xf numFmtId="0" fontId="55" fillId="28" borderId="67" xfId="0" applyFont="1" applyFill="1" applyBorder="1" applyAlignment="1" applyProtection="1">
      <alignment horizontal="center" vertical="center" wrapText="1"/>
      <protection locked="0"/>
    </xf>
    <xf numFmtId="0" fontId="55" fillId="28" borderId="73" xfId="0" applyFont="1" applyFill="1" applyBorder="1" applyAlignment="1" applyProtection="1">
      <alignment horizontal="center" vertical="center" wrapText="1"/>
      <protection locked="0"/>
    </xf>
    <xf numFmtId="0" fontId="55" fillId="28" borderId="71" xfId="0" applyFont="1" applyFill="1" applyBorder="1" applyAlignment="1" applyProtection="1">
      <alignment horizontal="center" vertical="center" wrapText="1"/>
      <protection locked="0"/>
    </xf>
    <xf numFmtId="0" fontId="55" fillId="28" borderId="68" xfId="0" applyFont="1" applyFill="1" applyBorder="1" applyAlignment="1" applyProtection="1">
      <alignment horizontal="center" vertical="center" wrapText="1"/>
      <protection locked="0"/>
    </xf>
    <xf numFmtId="0" fontId="55" fillId="28" borderId="74" xfId="0" applyFont="1" applyFill="1" applyBorder="1" applyAlignment="1" applyProtection="1">
      <alignment horizontal="center" vertical="center" wrapText="1"/>
      <protection locked="0"/>
    </xf>
    <xf numFmtId="0" fontId="55" fillId="28" borderId="72" xfId="0" applyFont="1" applyFill="1" applyBorder="1" applyAlignment="1" applyProtection="1">
      <alignment horizontal="center" vertical="center" wrapText="1"/>
      <protection locked="0"/>
    </xf>
    <xf numFmtId="0" fontId="55" fillId="28" borderId="69" xfId="0" applyFont="1" applyFill="1" applyBorder="1" applyAlignment="1" applyProtection="1">
      <alignment horizontal="center" vertical="center" wrapText="1"/>
      <protection locked="0"/>
    </xf>
    <xf numFmtId="0" fontId="55" fillId="28" borderId="75" xfId="0" applyFont="1" applyFill="1" applyBorder="1" applyAlignment="1" applyProtection="1">
      <alignment horizontal="center" vertical="center" wrapText="1"/>
      <protection locked="0"/>
    </xf>
    <xf numFmtId="0" fontId="33" fillId="0" borderId="0" xfId="5" applyFont="1" applyFill="1" applyBorder="1" applyAlignment="1">
      <alignment horizontal="center" vertical="center" wrapText="1"/>
    </xf>
    <xf numFmtId="0" fontId="33" fillId="0" borderId="0" xfId="5" applyFont="1" applyFill="1" applyBorder="1" applyAlignment="1">
      <alignment horizontal="left" vertical="center" wrapText="1"/>
    </xf>
    <xf numFmtId="0" fontId="37" fillId="0" borderId="0" xfId="5" applyFont="1" applyFill="1" applyBorder="1" applyAlignment="1">
      <alignment horizontal="justify" vertical="center" wrapText="1"/>
    </xf>
    <xf numFmtId="0" fontId="31" fillId="14" borderId="14" xfId="5" applyFont="1" applyFill="1" applyBorder="1" applyAlignment="1">
      <alignment horizontal="center" vertical="top" wrapText="1"/>
    </xf>
    <xf numFmtId="0" fontId="31" fillId="14" borderId="15" xfId="5" applyFont="1" applyFill="1" applyBorder="1" applyAlignment="1">
      <alignment horizontal="center" vertical="top" wrapText="1"/>
    </xf>
    <xf numFmtId="0" fontId="30" fillId="0" borderId="3" xfId="5" applyFont="1" applyFill="1" applyBorder="1" applyAlignment="1">
      <alignment horizontal="left" vertical="top" wrapText="1"/>
    </xf>
    <xf numFmtId="0" fontId="36" fillId="15" borderId="14" xfId="5" applyFont="1" applyFill="1" applyBorder="1" applyAlignment="1">
      <alignment horizontal="center" vertical="center" wrapText="1"/>
    </xf>
    <xf numFmtId="0" fontId="36" fillId="15" borderId="7" xfId="5" applyFont="1" applyFill="1" applyBorder="1" applyAlignment="1">
      <alignment horizontal="center" vertical="center" wrapText="1"/>
    </xf>
    <xf numFmtId="0" fontId="36" fillId="15" borderId="1" xfId="5" applyFont="1" applyFill="1" applyBorder="1" applyAlignment="1">
      <alignment horizontal="center" vertical="center" wrapText="1"/>
    </xf>
    <xf numFmtId="0" fontId="36" fillId="15" borderId="13" xfId="5" applyFont="1" applyFill="1" applyBorder="1" applyAlignment="1">
      <alignment horizontal="center" vertical="center" wrapText="1"/>
    </xf>
    <xf numFmtId="0" fontId="36" fillId="13" borderId="1" xfId="5" applyFont="1" applyFill="1" applyBorder="1" applyAlignment="1">
      <alignment horizontal="center" vertical="center" wrapText="1"/>
    </xf>
    <xf numFmtId="0" fontId="36" fillId="13" borderId="5" xfId="5" applyFont="1" applyFill="1" applyBorder="1" applyAlignment="1">
      <alignment horizontal="center" vertical="center" wrapText="1"/>
    </xf>
    <xf numFmtId="0" fontId="36" fillId="13" borderId="13" xfId="5" applyFont="1" applyFill="1" applyBorder="1" applyAlignment="1">
      <alignment horizontal="center" vertical="center" wrapText="1"/>
    </xf>
    <xf numFmtId="0" fontId="33" fillId="13" borderId="1" xfId="5" applyFont="1" applyFill="1" applyBorder="1" applyAlignment="1">
      <alignment horizontal="center" vertical="center" wrapText="1"/>
    </xf>
    <xf numFmtId="0" fontId="33" fillId="13" borderId="9" xfId="5" applyFont="1" applyFill="1" applyBorder="1" applyAlignment="1">
      <alignment horizontal="center" vertical="center" wrapText="1"/>
    </xf>
    <xf numFmtId="0" fontId="33" fillId="13" borderId="13" xfId="5" applyFont="1" applyFill="1" applyBorder="1" applyAlignment="1">
      <alignment horizontal="center" vertical="center" wrapText="1"/>
    </xf>
    <xf numFmtId="0" fontId="35" fillId="13" borderId="2" xfId="5" applyFont="1" applyFill="1" applyBorder="1" applyAlignment="1">
      <alignment horizontal="center" vertical="top" wrapText="1"/>
    </xf>
    <xf numFmtId="0" fontId="35" fillId="13" borderId="3" xfId="5" applyFont="1" applyFill="1" applyBorder="1" applyAlignment="1">
      <alignment horizontal="center" vertical="top" wrapText="1"/>
    </xf>
    <xf numFmtId="0" fontId="35" fillId="13" borderId="4" xfId="5" applyFont="1" applyFill="1" applyBorder="1" applyAlignment="1">
      <alignment horizontal="center" vertical="top" wrapText="1"/>
    </xf>
    <xf numFmtId="0" fontId="36" fillId="18" borderId="1" xfId="5" applyFont="1" applyFill="1" applyBorder="1" applyAlignment="1">
      <alignment horizontal="center" vertical="center" wrapText="1"/>
    </xf>
    <xf numFmtId="0" fontId="36" fillId="18" borderId="13" xfId="5" applyFont="1" applyFill="1" applyBorder="1" applyAlignment="1">
      <alignment horizontal="center" vertical="center" wrapText="1"/>
    </xf>
    <xf numFmtId="0" fontId="36" fillId="30" borderId="40" xfId="5" applyFont="1" applyFill="1" applyBorder="1" applyAlignment="1">
      <alignment horizontal="left" vertical="top" wrapText="1"/>
    </xf>
    <xf numFmtId="0" fontId="36" fillId="30" borderId="76" xfId="5" applyFont="1" applyFill="1" applyBorder="1" applyAlignment="1">
      <alignment horizontal="left" vertical="top" wrapText="1"/>
    </xf>
    <xf numFmtId="0" fontId="36" fillId="30" borderId="4" xfId="5" applyFont="1" applyFill="1" applyBorder="1" applyAlignment="1">
      <alignment horizontal="left" vertical="top" wrapText="1"/>
    </xf>
    <xf numFmtId="0" fontId="63" fillId="31" borderId="14" xfId="5" applyFont="1" applyFill="1" applyBorder="1" applyAlignment="1">
      <alignment horizontal="left" vertical="center" wrapText="1"/>
    </xf>
    <xf numFmtId="0" fontId="63" fillId="31" borderId="15" xfId="5" applyFont="1" applyFill="1" applyBorder="1" applyAlignment="1">
      <alignment horizontal="left" vertical="center" wrapText="1"/>
    </xf>
    <xf numFmtId="0" fontId="63" fillId="31" borderId="7" xfId="5" applyFont="1" applyFill="1" applyBorder="1" applyAlignment="1">
      <alignment horizontal="left" vertical="center" wrapText="1"/>
    </xf>
    <xf numFmtId="0" fontId="61" fillId="32" borderId="37" xfId="5" applyFont="1" applyFill="1" applyBorder="1" applyAlignment="1">
      <alignment horizontal="justify" vertical="center" wrapText="1"/>
    </xf>
    <xf numFmtId="0" fontId="61" fillId="32" borderId="30" xfId="5" applyFont="1" applyFill="1" applyBorder="1" applyAlignment="1">
      <alignment horizontal="justify" vertical="center" wrapText="1"/>
    </xf>
    <xf numFmtId="0" fontId="38" fillId="31" borderId="14" xfId="5" applyFont="1" applyFill="1" applyBorder="1" applyAlignment="1">
      <alignment horizontal="left" vertical="top" wrapText="1"/>
    </xf>
    <xf numFmtId="0" fontId="38" fillId="31" borderId="7" xfId="5" applyFont="1" applyFill="1" applyBorder="1" applyAlignment="1">
      <alignment horizontal="left" vertical="top" wrapText="1"/>
    </xf>
    <xf numFmtId="0" fontId="36" fillId="31" borderId="14" xfId="5" applyFont="1" applyFill="1" applyBorder="1" applyAlignment="1">
      <alignment horizontal="left" vertical="center" wrapText="1"/>
    </xf>
    <xf numFmtId="0" fontId="36" fillId="31" borderId="7" xfId="5" applyFont="1" applyFill="1" applyBorder="1" applyAlignment="1">
      <alignment horizontal="left" vertical="center" wrapText="1"/>
    </xf>
    <xf numFmtId="10" fontId="37" fillId="0" borderId="47" xfId="3" applyNumberFormat="1" applyFont="1" applyFill="1" applyBorder="1" applyAlignment="1">
      <alignment horizontal="center" vertical="center" wrapText="1"/>
    </xf>
    <xf numFmtId="10" fontId="37" fillId="0" borderId="5" xfId="3" applyNumberFormat="1" applyFont="1" applyFill="1" applyBorder="1" applyAlignment="1">
      <alignment horizontal="center" vertical="center" wrapText="1"/>
    </xf>
    <xf numFmtId="0" fontId="30" fillId="0" borderId="0" xfId="5" applyFont="1" applyFill="1" applyBorder="1" applyAlignment="1">
      <alignment horizontal="left" vertical="center" wrapText="1"/>
    </xf>
    <xf numFmtId="0" fontId="63" fillId="30" borderId="14" xfId="5" applyFont="1" applyFill="1" applyBorder="1" applyAlignment="1">
      <alignment horizontal="left" vertical="center" wrapText="1"/>
    </xf>
    <xf numFmtId="0" fontId="63" fillId="30" borderId="7" xfId="5" applyFont="1" applyFill="1" applyBorder="1" applyAlignment="1">
      <alignment horizontal="left" vertical="center" wrapText="1"/>
    </xf>
    <xf numFmtId="3" fontId="71" fillId="0" borderId="72" xfId="5" applyNumberFormat="1" applyFont="1" applyFill="1" applyBorder="1" applyAlignment="1">
      <alignment horizontal="center" vertical="center" wrapText="1"/>
    </xf>
    <xf numFmtId="3" fontId="71" fillId="0" borderId="69" xfId="5" applyNumberFormat="1" applyFont="1" applyFill="1" applyBorder="1" applyAlignment="1">
      <alignment horizontal="center" vertical="center" wrapText="1"/>
    </xf>
    <xf numFmtId="3" fontId="71" fillId="0" borderId="66" xfId="5" applyNumberFormat="1" applyFont="1" applyFill="1" applyBorder="1" applyAlignment="1">
      <alignment horizontal="center" vertical="center" wrapText="1"/>
    </xf>
    <xf numFmtId="10" fontId="37" fillId="0" borderId="30" xfId="3" applyNumberFormat="1" applyFont="1" applyFill="1" applyBorder="1" applyAlignment="1">
      <alignment horizontal="center" vertical="center" wrapText="1"/>
    </xf>
    <xf numFmtId="10" fontId="37" fillId="0" borderId="16" xfId="3" applyNumberFormat="1" applyFont="1" applyFill="1" applyBorder="1" applyAlignment="1">
      <alignment horizontal="center" vertical="center" wrapText="1"/>
    </xf>
    <xf numFmtId="9" fontId="37" fillId="0" borderId="67" xfId="3" applyFont="1" applyFill="1" applyBorder="1" applyAlignment="1">
      <alignment horizontal="center" vertical="center" wrapText="1"/>
    </xf>
    <xf numFmtId="9" fontId="37" fillId="0" borderId="45" xfId="3" applyFont="1" applyFill="1" applyBorder="1" applyAlignment="1">
      <alignment horizontal="center" vertical="center" wrapText="1"/>
    </xf>
    <xf numFmtId="0" fontId="36" fillId="15" borderId="4" xfId="5" applyFont="1" applyFill="1" applyBorder="1" applyAlignment="1">
      <alignment horizontal="center" vertical="center" wrapText="1"/>
    </xf>
    <xf numFmtId="0" fontId="68" fillId="0" borderId="16" xfId="5" applyFont="1" applyFill="1" applyBorder="1" applyAlignment="1">
      <alignment horizontal="justify" vertical="top" wrapText="1"/>
    </xf>
    <xf numFmtId="0" fontId="63" fillId="31" borderId="14" xfId="5" applyFont="1" applyFill="1" applyBorder="1" applyAlignment="1">
      <alignment vertical="top" wrapText="1"/>
    </xf>
    <xf numFmtId="0" fontId="63" fillId="31" borderId="15" xfId="5" applyFont="1" applyFill="1" applyBorder="1" applyAlignment="1">
      <alignment vertical="top" wrapText="1"/>
    </xf>
    <xf numFmtId="0" fontId="63" fillId="31" borderId="7" xfId="5" applyFont="1" applyFill="1" applyBorder="1" applyAlignment="1">
      <alignment vertical="top" wrapText="1"/>
    </xf>
    <xf numFmtId="0" fontId="64" fillId="0" borderId="46" xfId="5" applyFont="1" applyFill="1" applyBorder="1" applyAlignment="1">
      <alignment horizontal="center" vertical="center" wrapText="1"/>
    </xf>
    <xf numFmtId="0" fontId="64" fillId="0" borderId="9" xfId="5" applyFont="1" applyFill="1" applyBorder="1" applyAlignment="1">
      <alignment horizontal="center" vertical="center" wrapText="1"/>
    </xf>
    <xf numFmtId="0" fontId="64" fillId="0" borderId="41" xfId="5" applyFont="1" applyFill="1" applyBorder="1" applyAlignment="1">
      <alignment horizontal="center" vertical="center" wrapText="1"/>
    </xf>
    <xf numFmtId="0" fontId="63" fillId="30" borderId="14" xfId="5" applyFont="1" applyFill="1" applyBorder="1" applyAlignment="1">
      <alignment horizontal="left" vertical="top" wrapText="1"/>
    </xf>
    <xf numFmtId="0" fontId="63" fillId="30" borderId="15" xfId="5" applyFont="1" applyFill="1" applyBorder="1" applyAlignment="1">
      <alignment horizontal="left" vertical="top" wrapText="1"/>
    </xf>
    <xf numFmtId="0" fontId="63" fillId="30" borderId="7" xfId="5" applyFont="1" applyFill="1" applyBorder="1" applyAlignment="1">
      <alignment horizontal="left" vertical="top" wrapText="1"/>
    </xf>
    <xf numFmtId="0" fontId="68" fillId="32" borderId="46" xfId="5" applyFont="1" applyFill="1" applyBorder="1" applyAlignment="1">
      <alignment horizontal="justify" vertical="top" wrapText="1"/>
    </xf>
    <xf numFmtId="0" fontId="68" fillId="32" borderId="9" xfId="5" applyFont="1" applyFill="1" applyBorder="1" applyAlignment="1">
      <alignment horizontal="justify" vertical="top" wrapText="1"/>
    </xf>
    <xf numFmtId="0" fontId="68" fillId="32" borderId="41" xfId="5" applyFont="1" applyFill="1" applyBorder="1" applyAlignment="1">
      <alignment horizontal="justify" vertical="top" wrapText="1"/>
    </xf>
    <xf numFmtId="9" fontId="37" fillId="0" borderId="30" xfId="3" applyFont="1" applyFill="1" applyBorder="1" applyAlignment="1">
      <alignment horizontal="center" vertical="center" wrapText="1"/>
    </xf>
    <xf numFmtId="9" fontId="37" fillId="0" borderId="16" xfId="3" applyFont="1" applyFill="1" applyBorder="1" applyAlignment="1">
      <alignment horizontal="center" vertical="center" wrapText="1"/>
    </xf>
    <xf numFmtId="0" fontId="63" fillId="31" borderId="83" xfId="5" applyFont="1" applyFill="1" applyBorder="1" applyAlignment="1">
      <alignment horizontal="left" vertical="top" wrapText="1"/>
    </xf>
    <xf numFmtId="0" fontId="63" fillId="31" borderId="85" xfId="5" applyFont="1" applyFill="1" applyBorder="1" applyAlignment="1">
      <alignment horizontal="left" vertical="top" wrapText="1"/>
    </xf>
    <xf numFmtId="0" fontId="63" fillId="31" borderId="14" xfId="5" applyFont="1" applyFill="1" applyBorder="1" applyAlignment="1">
      <alignment horizontal="left" vertical="top" wrapText="1"/>
    </xf>
    <xf numFmtId="0" fontId="63" fillId="31" borderId="15" xfId="5" applyFont="1" applyFill="1" applyBorder="1" applyAlignment="1">
      <alignment horizontal="left" vertical="top" wrapText="1"/>
    </xf>
    <xf numFmtId="3" fontId="37" fillId="33" borderId="30" xfId="5" applyNumberFormat="1" applyFont="1" applyFill="1" applyBorder="1" applyAlignment="1">
      <alignment horizontal="center" vertical="center" wrapText="1"/>
    </xf>
    <xf numFmtId="3" fontId="37" fillId="33" borderId="16" xfId="5" applyNumberFormat="1" applyFont="1" applyFill="1" applyBorder="1" applyAlignment="1">
      <alignment horizontal="center" vertical="center" wrapText="1"/>
    </xf>
    <xf numFmtId="0" fontId="36" fillId="31" borderId="48" xfId="5" applyFont="1" applyFill="1" applyBorder="1" applyAlignment="1">
      <alignment horizontal="left" vertical="top" wrapText="1"/>
    </xf>
    <xf numFmtId="0" fontId="36" fillId="31" borderId="50" xfId="5" applyFont="1" applyFill="1" applyBorder="1" applyAlignment="1">
      <alignment horizontal="left" vertical="top" wrapText="1"/>
    </xf>
    <xf numFmtId="3" fontId="71" fillId="0" borderId="66" xfId="5" applyNumberFormat="1" applyFont="1" applyFill="1" applyBorder="1" applyAlignment="1">
      <alignment horizontal="center" vertical="top" wrapText="1"/>
    </xf>
    <xf numFmtId="0" fontId="34" fillId="13" borderId="14" xfId="5" applyFont="1" applyFill="1" applyBorder="1" applyAlignment="1">
      <alignment horizontal="left" vertical="center" wrapText="1"/>
    </xf>
    <xf numFmtId="0" fontId="34" fillId="13" borderId="7" xfId="5" applyFont="1" applyFill="1" applyBorder="1" applyAlignment="1">
      <alignment horizontal="left" vertical="center" wrapText="1"/>
    </xf>
    <xf numFmtId="1" fontId="37" fillId="0" borderId="68" xfId="5" applyNumberFormat="1" applyFont="1" applyFill="1" applyBorder="1" applyAlignment="1">
      <alignment horizontal="center" vertical="center" wrapText="1"/>
    </xf>
    <xf numFmtId="1" fontId="37" fillId="0" borderId="30" xfId="5" applyNumberFormat="1" applyFont="1" applyFill="1" applyBorder="1" applyAlignment="1">
      <alignment horizontal="center" vertical="center" wrapText="1"/>
    </xf>
    <xf numFmtId="0" fontId="63" fillId="31" borderId="7" xfId="5" applyFont="1" applyFill="1" applyBorder="1" applyAlignment="1">
      <alignment horizontal="left" vertical="top" wrapText="1"/>
    </xf>
    <xf numFmtId="0" fontId="68" fillId="32" borderId="87" xfId="5" applyFont="1" applyFill="1" applyBorder="1" applyAlignment="1">
      <alignment horizontal="center" vertical="center" wrapText="1"/>
    </xf>
    <xf numFmtId="0" fontId="68" fillId="32" borderId="27" xfId="5" applyFont="1" applyFill="1" applyBorder="1" applyAlignment="1">
      <alignment horizontal="center" vertical="center" wrapText="1"/>
    </xf>
    <xf numFmtId="0" fontId="68" fillId="32" borderId="24" xfId="5" applyFont="1" applyFill="1" applyBorder="1" applyAlignment="1">
      <alignment horizontal="center" vertical="center" wrapText="1"/>
    </xf>
    <xf numFmtId="0" fontId="68" fillId="0" borderId="46" xfId="5" applyFont="1" applyFill="1" applyBorder="1" applyAlignment="1">
      <alignment horizontal="justify" vertical="top" wrapText="1"/>
    </xf>
    <xf numFmtId="0" fontId="68" fillId="0" borderId="51" xfId="5" applyFont="1" applyFill="1" applyBorder="1" applyAlignment="1">
      <alignment horizontal="justify" vertical="top" wrapText="1"/>
    </xf>
    <xf numFmtId="0" fontId="68" fillId="0" borderId="30" xfId="5" applyFont="1" applyFill="1" applyBorder="1" applyAlignment="1">
      <alignment horizontal="justify" vertical="top" wrapText="1"/>
    </xf>
    <xf numFmtId="0" fontId="68" fillId="0" borderId="16" xfId="5" applyFont="1" applyFill="1" applyBorder="1" applyAlignment="1">
      <alignment horizontal="center" vertical="center" wrapText="1"/>
    </xf>
    <xf numFmtId="0" fontId="68" fillId="0" borderId="37" xfId="5" applyFont="1" applyFill="1" applyBorder="1" applyAlignment="1">
      <alignment horizontal="center" vertical="center" wrapText="1"/>
    </xf>
    <xf numFmtId="0" fontId="63" fillId="32" borderId="14" xfId="5" applyFont="1" applyFill="1" applyBorder="1" applyAlignment="1">
      <alignment horizontal="left" vertical="top" wrapText="1"/>
    </xf>
    <xf numFmtId="0" fontId="63" fillId="32" borderId="7" xfId="5" applyFont="1" applyFill="1" applyBorder="1" applyAlignment="1">
      <alignment horizontal="left" vertical="top" wrapText="1"/>
    </xf>
    <xf numFmtId="0" fontId="63" fillId="32" borderId="16" xfId="5" applyFont="1" applyFill="1" applyBorder="1" applyAlignment="1">
      <alignment horizontal="left" vertical="top" wrapText="1"/>
    </xf>
    <xf numFmtId="0" fontId="68" fillId="0" borderId="46" xfId="5" applyFont="1" applyFill="1" applyBorder="1" applyAlignment="1">
      <alignment horizontal="justify" vertical="center" wrapText="1"/>
    </xf>
    <xf numFmtId="0" fontId="68" fillId="0" borderId="9" xfId="5" applyFont="1" applyFill="1" applyBorder="1" applyAlignment="1">
      <alignment horizontal="justify" vertical="center" wrapText="1"/>
    </xf>
    <xf numFmtId="0" fontId="68" fillId="0" borderId="41" xfId="5" applyFont="1" applyFill="1" applyBorder="1" applyAlignment="1">
      <alignment horizontal="justify" vertical="center" wrapText="1"/>
    </xf>
    <xf numFmtId="0" fontId="68" fillId="0" borderId="18" xfId="5" applyFont="1" applyFill="1" applyBorder="1" applyAlignment="1">
      <alignment horizontal="justify" vertical="top" wrapText="1"/>
    </xf>
    <xf numFmtId="0" fontId="68" fillId="0" borderId="21" xfId="5" applyFont="1" applyFill="1" applyBorder="1" applyAlignment="1">
      <alignment horizontal="justify" vertical="top" wrapText="1"/>
    </xf>
    <xf numFmtId="0" fontId="68" fillId="0" borderId="70" xfId="5" applyFont="1" applyFill="1" applyBorder="1" applyAlignment="1">
      <alignment horizontal="justify" vertical="center" wrapText="1"/>
    </xf>
    <xf numFmtId="0" fontId="68" fillId="0" borderId="67" xfId="5" applyFont="1" applyFill="1" applyBorder="1" applyAlignment="1">
      <alignment horizontal="justify" vertical="center" wrapText="1"/>
    </xf>
    <xf numFmtId="0" fontId="68" fillId="0" borderId="45" xfId="5" applyFont="1" applyFill="1" applyBorder="1" applyAlignment="1">
      <alignment horizontal="justify" vertical="center" wrapText="1"/>
    </xf>
    <xf numFmtId="0" fontId="68" fillId="0" borderId="16" xfId="5" applyFont="1" applyFill="1" applyBorder="1" applyAlignment="1">
      <alignment horizontal="justify" vertical="center" wrapText="1"/>
    </xf>
    <xf numFmtId="0" fontId="68" fillId="0" borderId="24" xfId="5" applyFont="1" applyFill="1" applyBorder="1" applyAlignment="1">
      <alignment horizontal="justify" vertical="top" wrapText="1"/>
    </xf>
    <xf numFmtId="0" fontId="63" fillId="30" borderId="83" xfId="5" applyFont="1" applyFill="1" applyBorder="1" applyAlignment="1">
      <alignment horizontal="left" vertical="top" wrapText="1"/>
    </xf>
    <xf numFmtId="0" fontId="63" fillId="30" borderId="84" xfId="5" applyFont="1" applyFill="1" applyBorder="1" applyAlignment="1">
      <alignment horizontal="left" vertical="top" wrapText="1"/>
    </xf>
    <xf numFmtId="0" fontId="63" fillId="32" borderId="14" xfId="5" applyFont="1" applyFill="1" applyBorder="1" applyAlignment="1">
      <alignment horizontal="justify" vertical="top" wrapText="1"/>
    </xf>
    <xf numFmtId="0" fontId="63" fillId="32" borderId="7" xfId="5" applyFont="1" applyFill="1" applyBorder="1" applyAlignment="1">
      <alignment horizontal="justify" vertical="top" wrapText="1"/>
    </xf>
    <xf numFmtId="0" fontId="38" fillId="11" borderId="11" xfId="5" applyFont="1" applyFill="1" applyBorder="1" applyAlignment="1">
      <alignment horizontal="center" vertical="center"/>
    </xf>
    <xf numFmtId="0" fontId="38" fillId="13" borderId="2" xfId="5" applyFont="1" applyFill="1" applyBorder="1" applyAlignment="1">
      <alignment horizontal="center" vertical="center" wrapText="1"/>
    </xf>
    <xf numFmtId="0" fontId="38" fillId="13" borderId="52" xfId="5" applyFont="1" applyFill="1" applyBorder="1" applyAlignment="1">
      <alignment horizontal="center" vertical="center" wrapText="1"/>
    </xf>
    <xf numFmtId="0" fontId="38" fillId="13" borderId="14" xfId="5" applyFont="1" applyFill="1" applyBorder="1" applyAlignment="1">
      <alignment horizontal="center" vertical="center" wrapText="1"/>
    </xf>
    <xf numFmtId="0" fontId="38" fillId="13" borderId="7" xfId="5" applyFont="1" applyFill="1" applyBorder="1" applyAlignment="1">
      <alignment horizontal="center" vertical="center" wrapText="1"/>
    </xf>
    <xf numFmtId="49" fontId="45" fillId="0" borderId="57" xfId="5" applyNumberFormat="1" applyFont="1" applyBorder="1" applyAlignment="1">
      <alignment horizontal="center" vertical="center" wrapText="1"/>
    </xf>
    <xf numFmtId="49" fontId="45" fillId="0" borderId="55" xfId="5" applyNumberFormat="1" applyFont="1" applyBorder="1" applyAlignment="1">
      <alignment horizontal="center" vertical="center" wrapText="1"/>
    </xf>
    <xf numFmtId="49" fontId="45" fillId="0" borderId="58" xfId="5" applyNumberFormat="1" applyFont="1" applyBorder="1" applyAlignment="1">
      <alignment horizontal="center" vertical="center" wrapText="1"/>
    </xf>
    <xf numFmtId="49" fontId="45" fillId="0" borderId="58" xfId="5" applyNumberFormat="1" applyFont="1" applyBorder="1" applyAlignment="1">
      <alignment horizontal="center" vertical="center"/>
    </xf>
    <xf numFmtId="0" fontId="45" fillId="0" borderId="58" xfId="5" applyFont="1" applyBorder="1" applyAlignment="1">
      <alignment horizontal="center" vertical="center" wrapText="1"/>
    </xf>
    <xf numFmtId="0" fontId="32" fillId="11" borderId="14" xfId="5" applyFill="1" applyBorder="1" applyAlignment="1">
      <alignment horizontal="center"/>
    </xf>
    <xf numFmtId="0" fontId="32" fillId="11" borderId="15" xfId="5" applyFill="1" applyBorder="1" applyAlignment="1">
      <alignment horizontal="center"/>
    </xf>
    <xf numFmtId="0" fontId="21" fillId="11" borderId="15" xfId="5" applyFont="1" applyFill="1" applyBorder="1" applyAlignment="1">
      <alignment horizontal="center"/>
    </xf>
    <xf numFmtId="0" fontId="32" fillId="11" borderId="7" xfId="5" applyFill="1" applyBorder="1" applyAlignment="1">
      <alignment horizontal="center"/>
    </xf>
    <xf numFmtId="0" fontId="42" fillId="0" borderId="2" xfId="5" applyFont="1" applyBorder="1" applyAlignment="1" applyProtection="1">
      <alignment horizontal="center"/>
    </xf>
    <xf numFmtId="0" fontId="42" fillId="0" borderId="3" xfId="5" applyFont="1" applyBorder="1" applyAlignment="1" applyProtection="1">
      <alignment horizontal="center"/>
    </xf>
    <xf numFmtId="0" fontId="43" fillId="0" borderId="3" xfId="5" applyFont="1" applyBorder="1" applyAlignment="1" applyProtection="1">
      <alignment horizontal="center"/>
    </xf>
    <xf numFmtId="0" fontId="42" fillId="0" borderId="4" xfId="5" applyFont="1" applyBorder="1" applyAlignment="1" applyProtection="1">
      <alignment horizontal="center"/>
    </xf>
    <xf numFmtId="0" fontId="42" fillId="0" borderId="9" xfId="5" applyFont="1" applyBorder="1" applyAlignment="1" applyProtection="1">
      <alignment horizontal="center"/>
    </xf>
    <xf numFmtId="0" fontId="42" fillId="0" borderId="0" xfId="5" applyFont="1" applyBorder="1" applyAlignment="1" applyProtection="1">
      <alignment horizontal="center"/>
    </xf>
    <xf numFmtId="0" fontId="43" fillId="0" borderId="0" xfId="5" applyFont="1" applyBorder="1" applyAlignment="1" applyProtection="1">
      <alignment horizontal="center"/>
    </xf>
    <xf numFmtId="0" fontId="42" fillId="0" borderId="6" xfId="5" applyFont="1" applyBorder="1" applyAlignment="1" applyProtection="1">
      <alignment horizontal="center"/>
    </xf>
    <xf numFmtId="0" fontId="42" fillId="0" borderId="10" xfId="5" applyFont="1" applyBorder="1" applyAlignment="1" applyProtection="1">
      <alignment horizontal="center"/>
    </xf>
    <xf numFmtId="0" fontId="42" fillId="0" borderId="11" xfId="5" applyFont="1" applyBorder="1" applyAlignment="1" applyProtection="1">
      <alignment horizontal="center"/>
    </xf>
    <xf numFmtId="0" fontId="43" fillId="0" borderId="11" xfId="5" applyFont="1" applyBorder="1" applyAlignment="1" applyProtection="1">
      <alignment horizontal="center"/>
    </xf>
    <xf numFmtId="0" fontId="42" fillId="0" borderId="8" xfId="5" applyFont="1" applyBorder="1" applyAlignment="1" applyProtection="1">
      <alignment horizontal="center"/>
    </xf>
    <xf numFmtId="0" fontId="44" fillId="0" borderId="53" xfId="0" applyFont="1" applyBorder="1" applyAlignment="1">
      <alignment horizontal="center" vertical="center" wrapText="1"/>
    </xf>
    <xf numFmtId="0" fontId="44" fillId="0" borderId="53" xfId="0" applyFont="1" applyBorder="1" applyAlignment="1">
      <alignment horizontal="center" vertical="center"/>
    </xf>
    <xf numFmtId="0" fontId="44" fillId="0" borderId="54" xfId="0" applyFont="1" applyBorder="1" applyAlignment="1">
      <alignment horizontal="center" vertical="center"/>
    </xf>
    <xf numFmtId="49" fontId="46" fillId="0" borderId="55" xfId="5" applyNumberFormat="1" applyFont="1" applyBorder="1" applyAlignment="1">
      <alignment horizontal="center" vertical="center" wrapText="1"/>
    </xf>
    <xf numFmtId="49" fontId="45" fillId="0" borderId="56" xfId="5" applyNumberFormat="1" applyFont="1" applyBorder="1" applyAlignment="1">
      <alignment horizontal="center" vertical="center" wrapText="1"/>
    </xf>
    <xf numFmtId="49" fontId="45" fillId="0" borderId="53" xfId="5" applyNumberFormat="1" applyFont="1" applyBorder="1" applyAlignment="1">
      <alignment horizontal="center" vertical="center" wrapText="1"/>
    </xf>
    <xf numFmtId="49" fontId="45" fillId="0" borderId="54" xfId="5" applyNumberFormat="1" applyFont="1" applyBorder="1" applyAlignment="1">
      <alignment horizontal="center" vertical="center" wrapText="1"/>
    </xf>
    <xf numFmtId="49" fontId="45" fillId="9" borderId="57" xfId="5" applyNumberFormat="1" applyFont="1" applyFill="1" applyBorder="1" applyAlignment="1">
      <alignment horizontal="center" vertical="center" wrapText="1"/>
    </xf>
    <xf numFmtId="49" fontId="45" fillId="9" borderId="55" xfId="5" applyNumberFormat="1" applyFont="1" applyFill="1" applyBorder="1" applyAlignment="1">
      <alignment horizontal="center" vertical="center" wrapText="1"/>
    </xf>
    <xf numFmtId="0" fontId="33" fillId="11" borderId="11" xfId="5" applyFont="1" applyFill="1" applyBorder="1" applyAlignment="1">
      <alignment horizontal="center" vertical="center"/>
    </xf>
    <xf numFmtId="0" fontId="33" fillId="13" borderId="2" xfId="5" applyFont="1" applyFill="1" applyBorder="1" applyAlignment="1">
      <alignment horizontal="center" vertical="center" wrapText="1"/>
    </xf>
    <xf numFmtId="0" fontId="33" fillId="13" borderId="4" xfId="5" applyFont="1" applyFill="1" applyBorder="1" applyAlignment="1">
      <alignment horizontal="center" vertical="center" wrapText="1"/>
    </xf>
    <xf numFmtId="0" fontId="33" fillId="13" borderId="14" xfId="5" applyFont="1" applyFill="1" applyBorder="1" applyAlignment="1">
      <alignment horizontal="center" vertical="center" wrapText="1"/>
    </xf>
    <xf numFmtId="0" fontId="33" fillId="13" borderId="7" xfId="5" applyFont="1" applyFill="1" applyBorder="1" applyAlignment="1">
      <alignment horizontal="center" vertical="center" wrapText="1"/>
    </xf>
    <xf numFmtId="0" fontId="32" fillId="0" borderId="3" xfId="5" applyFont="1" applyBorder="1" applyAlignment="1" applyProtection="1">
      <alignment horizontal="center"/>
    </xf>
    <xf numFmtId="0" fontId="32" fillId="0" borderId="0" xfId="5" applyFont="1" applyBorder="1" applyAlignment="1" applyProtection="1">
      <alignment horizontal="center"/>
    </xf>
    <xf numFmtId="0" fontId="32" fillId="0" borderId="11" xfId="5" applyFont="1" applyBorder="1" applyAlignment="1" applyProtection="1">
      <alignment horizontal="center"/>
    </xf>
    <xf numFmtId="49" fontId="45" fillId="0" borderId="92" xfId="5" applyNumberFormat="1" applyFont="1" applyBorder="1" applyAlignment="1">
      <alignment horizontal="center" vertical="center" wrapText="1"/>
    </xf>
    <xf numFmtId="49" fontId="45" fillId="0" borderId="93" xfId="5" applyNumberFormat="1" applyFont="1" applyBorder="1" applyAlignment="1">
      <alignment horizontal="center" vertical="center" wrapText="1"/>
    </xf>
    <xf numFmtId="49" fontId="45" fillId="0" borderId="94" xfId="5" applyNumberFormat="1" applyFont="1" applyBorder="1" applyAlignment="1">
      <alignment horizontal="center" vertical="center" wrapText="1"/>
    </xf>
    <xf numFmtId="49" fontId="48" fillId="23" borderId="63" xfId="0" applyNumberFormat="1" applyFont="1" applyFill="1" applyBorder="1" applyAlignment="1">
      <alignment horizontal="center" vertical="center" wrapText="1"/>
    </xf>
    <xf numFmtId="49" fontId="48" fillId="23" borderId="65" xfId="0" applyNumberFormat="1" applyFont="1" applyFill="1" applyBorder="1" applyAlignment="1">
      <alignment horizontal="center" vertical="center" wrapText="1"/>
    </xf>
    <xf numFmtId="165" fontId="81" fillId="0" borderId="60" xfId="11" quotePrefix="1" applyFont="1" applyBorder="1" applyAlignment="1">
      <alignment horizontal="center" vertical="center" wrapText="1"/>
    </xf>
    <xf numFmtId="165" fontId="81" fillId="0" borderId="61" xfId="11" quotePrefix="1" applyFont="1" applyBorder="1" applyAlignment="1">
      <alignment horizontal="center" vertical="center" wrapText="1"/>
    </xf>
    <xf numFmtId="165" fontId="81" fillId="0" borderId="62" xfId="11" quotePrefix="1" applyFont="1" applyBorder="1" applyAlignment="1">
      <alignment horizontal="center" vertical="center" wrapText="1"/>
    </xf>
    <xf numFmtId="49" fontId="48" fillId="23" borderId="63" xfId="0" quotePrefix="1" applyNumberFormat="1" applyFont="1" applyFill="1" applyBorder="1" applyAlignment="1">
      <alignment horizontal="center" vertical="center" wrapText="1"/>
    </xf>
    <xf numFmtId="49" fontId="48" fillId="23" borderId="65" xfId="0" quotePrefix="1" applyNumberFormat="1" applyFont="1" applyFill="1" applyBorder="1" applyAlignment="1">
      <alignment horizontal="center" vertical="center" wrapText="1"/>
    </xf>
    <xf numFmtId="165" fontId="83" fillId="29" borderId="63" xfId="11" applyFont="1" applyFill="1" applyBorder="1" applyAlignment="1">
      <alignment horizontal="center" vertical="center" wrapText="1"/>
    </xf>
    <xf numFmtId="165" fontId="83" fillId="29" borderId="90" xfId="11" applyFont="1" applyFill="1" applyBorder="1" applyAlignment="1">
      <alignment horizontal="center" vertical="center" wrapText="1"/>
    </xf>
    <xf numFmtId="165" fontId="83" fillId="29" borderId="65" xfId="11" applyFont="1" applyFill="1" applyBorder="1" applyAlignment="1">
      <alignment horizontal="center" vertical="center" wrapText="1"/>
    </xf>
    <xf numFmtId="0" fontId="33" fillId="13" borderId="2" xfId="5" quotePrefix="1" applyFont="1" applyFill="1" applyBorder="1" applyAlignment="1">
      <alignment horizontal="center" vertical="center" wrapText="1"/>
    </xf>
    <xf numFmtId="0" fontId="30" fillId="11" borderId="14" xfId="0" applyFont="1" applyFill="1" applyBorder="1" applyAlignment="1">
      <alignment horizontal="center" vertical="center" wrapText="1"/>
    </xf>
    <xf numFmtId="0" fontId="30" fillId="11" borderId="15" xfId="0" applyFont="1" applyFill="1" applyBorder="1" applyAlignment="1">
      <alignment horizontal="center" vertical="center" wrapText="1"/>
    </xf>
    <xf numFmtId="0" fontId="30" fillId="11" borderId="7" xfId="0" applyFont="1" applyFill="1" applyBorder="1" applyAlignment="1">
      <alignment horizontal="center" vertical="center" wrapText="1"/>
    </xf>
    <xf numFmtId="0" fontId="31" fillId="12" borderId="14" xfId="0" applyFont="1" applyFill="1" applyBorder="1" applyAlignment="1">
      <alignment horizontal="left" vertical="center" wrapText="1"/>
    </xf>
    <xf numFmtId="0" fontId="31" fillId="12" borderId="15" xfId="0" applyFont="1" applyFill="1" applyBorder="1" applyAlignment="1">
      <alignment horizontal="left" vertical="center" wrapText="1"/>
    </xf>
    <xf numFmtId="0" fontId="31" fillId="12" borderId="7" xfId="0" applyFont="1" applyFill="1" applyBorder="1" applyAlignment="1">
      <alignment horizontal="left" vertical="center" wrapText="1"/>
    </xf>
    <xf numFmtId="0" fontId="31" fillId="12" borderId="14" xfId="5" applyFont="1" applyFill="1" applyBorder="1" applyAlignment="1">
      <alignment horizontal="left" vertical="center" wrapText="1"/>
    </xf>
    <xf numFmtId="0" fontId="31" fillId="12" borderId="15" xfId="5" applyFont="1" applyFill="1" applyBorder="1" applyAlignment="1">
      <alignment horizontal="left" vertical="center" wrapText="1"/>
    </xf>
    <xf numFmtId="0" fontId="31" fillId="12" borderId="14" xfId="5" applyFont="1" applyFill="1" applyBorder="1" applyAlignment="1">
      <alignment horizontal="center" vertical="center" wrapText="1"/>
    </xf>
    <xf numFmtId="0" fontId="31" fillId="12" borderId="15" xfId="5" applyFont="1" applyFill="1" applyBorder="1" applyAlignment="1">
      <alignment horizontal="center" vertical="center" wrapText="1"/>
    </xf>
    <xf numFmtId="0" fontId="31" fillId="12" borderId="7" xfId="5" applyFont="1" applyFill="1" applyBorder="1" applyAlignment="1">
      <alignment horizontal="center" vertical="center" wrapText="1"/>
    </xf>
    <xf numFmtId="0" fontId="4" fillId="0" borderId="1" xfId="0" applyFont="1" applyBorder="1" applyAlignment="1" applyProtection="1">
      <alignment horizontal="left" vertical="top" wrapText="1"/>
    </xf>
    <xf numFmtId="0" fontId="4" fillId="0" borderId="5" xfId="0" applyFont="1" applyBorder="1" applyAlignment="1" applyProtection="1">
      <alignment horizontal="left" vertical="top" wrapText="1"/>
    </xf>
    <xf numFmtId="0" fontId="4" fillId="0" borderId="13" xfId="0" applyFont="1" applyBorder="1" applyAlignment="1" applyProtection="1">
      <alignment horizontal="left" vertical="top" wrapText="1"/>
    </xf>
    <xf numFmtId="0" fontId="3" fillId="0" borderId="10" xfId="0" applyFont="1" applyBorder="1" applyAlignment="1" applyProtection="1">
      <alignment vertical="top" wrapText="1"/>
    </xf>
    <xf numFmtId="0" fontId="3" fillId="0" borderId="11" xfId="0" applyFont="1" applyBorder="1" applyAlignment="1" applyProtection="1">
      <alignment vertical="top" wrapText="1"/>
    </xf>
    <xf numFmtId="0" fontId="3" fillId="0" borderId="8" xfId="0" applyFont="1" applyBorder="1" applyAlignment="1" applyProtection="1">
      <alignment vertical="top" wrapText="1"/>
    </xf>
    <xf numFmtId="0" fontId="4" fillId="0" borderId="2" xfId="0" applyFont="1" applyBorder="1" applyAlignment="1" applyProtection="1">
      <alignment vertical="top" wrapText="1"/>
    </xf>
    <xf numFmtId="0" fontId="4" fillId="0" borderId="3" xfId="0" applyFont="1" applyBorder="1" applyAlignment="1" applyProtection="1">
      <alignment vertical="top" wrapText="1"/>
    </xf>
    <xf numFmtId="0" fontId="4" fillId="0" borderId="4" xfId="0" applyFont="1" applyBorder="1" applyAlignment="1" applyProtection="1">
      <alignment vertical="top" wrapText="1"/>
    </xf>
    <xf numFmtId="0" fontId="3" fillId="0" borderId="9" xfId="0" applyFont="1" applyBorder="1" applyAlignment="1" applyProtection="1">
      <alignment vertical="top" wrapText="1"/>
    </xf>
    <xf numFmtId="0" fontId="3" fillId="0" borderId="0" xfId="0" applyFont="1" applyBorder="1" applyAlignment="1" applyProtection="1">
      <alignment vertical="top" wrapText="1"/>
    </xf>
    <xf numFmtId="0" fontId="3" fillId="0" borderId="6" xfId="0" applyFont="1" applyBorder="1" applyAlignment="1" applyProtection="1">
      <alignment vertical="top" wrapText="1"/>
    </xf>
    <xf numFmtId="0" fontId="4" fillId="0" borderId="9" xfId="0" applyFont="1" applyBorder="1" applyAlignment="1" applyProtection="1">
      <alignment vertical="top" wrapText="1"/>
    </xf>
    <xf numFmtId="0" fontId="4" fillId="0" borderId="0" xfId="0" applyFont="1" applyBorder="1" applyAlignment="1" applyProtection="1">
      <alignment vertical="top" wrapText="1"/>
    </xf>
    <xf numFmtId="0" fontId="4" fillId="0" borderId="6" xfId="0" applyFont="1" applyBorder="1" applyAlignment="1" applyProtection="1">
      <alignment vertical="top" wrapText="1"/>
    </xf>
    <xf numFmtId="0" fontId="9" fillId="0" borderId="9" xfId="0" applyFont="1" applyBorder="1" applyAlignment="1" applyProtection="1">
      <alignment vertical="top" wrapText="1"/>
    </xf>
    <xf numFmtId="0" fontId="9" fillId="0" borderId="0" xfId="0" applyFont="1" applyBorder="1" applyAlignment="1" applyProtection="1">
      <alignment vertical="top" wrapText="1"/>
    </xf>
    <xf numFmtId="0" fontId="9" fillId="0" borderId="6" xfId="0" applyFont="1" applyBorder="1" applyAlignment="1" applyProtection="1">
      <alignment vertical="top" wrapText="1"/>
    </xf>
    <xf numFmtId="0" fontId="3" fillId="0" borderId="2" xfId="0" applyFont="1" applyBorder="1" applyAlignment="1" applyProtection="1">
      <alignment vertical="top" wrapText="1"/>
    </xf>
    <xf numFmtId="0" fontId="3" fillId="0" borderId="3" xfId="0" applyFont="1" applyBorder="1" applyAlignment="1" applyProtection="1">
      <alignment vertical="top" wrapText="1"/>
    </xf>
    <xf numFmtId="0" fontId="3" fillId="0" borderId="4" xfId="0" applyFont="1" applyBorder="1" applyAlignment="1" applyProtection="1">
      <alignment vertical="top" wrapText="1"/>
    </xf>
    <xf numFmtId="0" fontId="12" fillId="0" borderId="14" xfId="0" applyFont="1" applyBorder="1" applyAlignment="1" applyProtection="1">
      <alignment vertical="top" wrapText="1"/>
    </xf>
    <xf numFmtId="0" fontId="12" fillId="0" borderId="15" xfId="0" applyFont="1" applyBorder="1" applyAlignment="1" applyProtection="1">
      <alignment vertical="top" wrapText="1"/>
    </xf>
    <xf numFmtId="0" fontId="12" fillId="0" borderId="7" xfId="0" applyFont="1" applyBorder="1" applyAlignment="1" applyProtection="1">
      <alignment vertical="top" wrapText="1"/>
    </xf>
    <xf numFmtId="0" fontId="4" fillId="0" borderId="1" xfId="0" applyFont="1" applyBorder="1" applyAlignment="1" applyProtection="1">
      <alignment vertical="top" wrapText="1"/>
    </xf>
    <xf numFmtId="0" fontId="4" fillId="0" borderId="5" xfId="0" applyFont="1" applyBorder="1" applyAlignment="1" applyProtection="1">
      <alignment vertical="top" wrapText="1"/>
    </xf>
    <xf numFmtId="0" fontId="4" fillId="0" borderId="13" xfId="0" applyFont="1" applyBorder="1" applyAlignment="1" applyProtection="1">
      <alignment vertical="top" wrapText="1"/>
    </xf>
    <xf numFmtId="0" fontId="3" fillId="3" borderId="16" xfId="0" applyFont="1" applyFill="1" applyBorder="1" applyAlignment="1" applyProtection="1">
      <alignment horizontal="center" vertical="top" wrapText="1"/>
      <protection locked="0"/>
    </xf>
    <xf numFmtId="9" fontId="4" fillId="4" borderId="14" xfId="0" applyNumberFormat="1" applyFont="1" applyFill="1" applyBorder="1" applyAlignment="1" applyProtection="1">
      <alignment horizontal="right" vertical="top"/>
    </xf>
    <xf numFmtId="9" fontId="4" fillId="4" borderId="7" xfId="0" applyNumberFormat="1" applyFont="1" applyFill="1" applyBorder="1" applyAlignment="1" applyProtection="1">
      <alignment horizontal="right" vertical="top"/>
    </xf>
    <xf numFmtId="9" fontId="3" fillId="0" borderId="2" xfId="0" applyNumberFormat="1" applyFont="1" applyFill="1" applyBorder="1" applyAlignment="1" applyProtection="1">
      <alignment vertical="top" wrapText="1"/>
    </xf>
    <xf numFmtId="9" fontId="3" fillId="0" borderId="3" xfId="0" applyNumberFormat="1" applyFont="1" applyFill="1" applyBorder="1" applyAlignment="1" applyProtection="1">
      <alignment vertical="top" wrapText="1"/>
    </xf>
    <xf numFmtId="9" fontId="3" fillId="0" borderId="4" xfId="0" applyNumberFormat="1" applyFont="1" applyFill="1" applyBorder="1" applyAlignment="1" applyProtection="1">
      <alignment vertical="top" wrapText="1"/>
    </xf>
    <xf numFmtId="0" fontId="4" fillId="0" borderId="14" xfId="0" applyFont="1" applyBorder="1" applyAlignment="1" applyProtection="1">
      <alignment vertical="top" wrapText="1"/>
    </xf>
    <xf numFmtId="0" fontId="4" fillId="0" borderId="15" xfId="0" applyFont="1" applyBorder="1" applyAlignment="1" applyProtection="1">
      <alignment vertical="top" wrapText="1"/>
    </xf>
    <xf numFmtId="0" fontId="4" fillId="0" borderId="7" xfId="0" applyFont="1" applyBorder="1" applyAlignment="1" applyProtection="1">
      <alignment vertical="top" wrapText="1"/>
    </xf>
    <xf numFmtId="0" fontId="4" fillId="0" borderId="10" xfId="0" applyFont="1" applyBorder="1" applyAlignment="1" applyProtection="1">
      <alignment vertical="top" wrapText="1"/>
    </xf>
    <xf numFmtId="0" fontId="4" fillId="0" borderId="11" xfId="0" applyFont="1" applyBorder="1" applyAlignment="1" applyProtection="1">
      <alignment vertical="top" wrapText="1"/>
    </xf>
    <xf numFmtId="0" fontId="4" fillId="0" borderId="8" xfId="0" applyFont="1" applyBorder="1" applyAlignment="1" applyProtection="1">
      <alignment vertical="top" wrapText="1"/>
    </xf>
    <xf numFmtId="0" fontId="6" fillId="0" borderId="10" xfId="0" applyFont="1" applyBorder="1" applyAlignment="1" applyProtection="1">
      <alignment vertical="top" wrapText="1"/>
    </xf>
    <xf numFmtId="0" fontId="6" fillId="0" borderId="11" xfId="0" applyFont="1" applyBorder="1" applyAlignment="1" applyProtection="1">
      <alignment vertical="top" wrapText="1"/>
    </xf>
    <xf numFmtId="0" fontId="6" fillId="0" borderId="8" xfId="0" applyFont="1" applyBorder="1" applyAlignment="1" applyProtection="1">
      <alignment vertical="top" wrapText="1"/>
    </xf>
    <xf numFmtId="0" fontId="0" fillId="0" borderId="9" xfId="0" applyBorder="1" applyAlignment="1" applyProtection="1">
      <alignment vertical="top" wrapText="1"/>
    </xf>
    <xf numFmtId="0" fontId="0" fillId="0" borderId="0" xfId="0" applyBorder="1" applyAlignment="1" applyProtection="1">
      <alignment vertical="top" wrapText="1"/>
    </xf>
    <xf numFmtId="0" fontId="0" fillId="0" borderId="6" xfId="0" applyBorder="1" applyAlignment="1" applyProtection="1">
      <alignment vertical="top" wrapText="1"/>
    </xf>
    <xf numFmtId="0" fontId="4" fillId="0" borderId="0" xfId="0" applyFont="1" applyBorder="1" applyAlignment="1" applyProtection="1">
      <alignment horizontal="right" vertical="top" wrapText="1"/>
    </xf>
    <xf numFmtId="0" fontId="0" fillId="0" borderId="27" xfId="0" applyFill="1" applyBorder="1" applyAlignment="1" applyProtection="1">
      <alignment horizontal="left" vertical="top" wrapText="1"/>
      <protection locked="0"/>
    </xf>
    <xf numFmtId="0" fontId="0" fillId="0" borderId="0" xfId="0" applyFill="1" applyAlignment="1" applyProtection="1">
      <alignment horizontal="left" vertical="top" wrapText="1"/>
      <protection locked="0"/>
    </xf>
    <xf numFmtId="0" fontId="14" fillId="3" borderId="18" xfId="0" applyFont="1" applyFill="1" applyBorder="1" applyAlignment="1" applyProtection="1">
      <alignment horizontal="left" vertical="top" wrapText="1"/>
      <protection locked="0"/>
    </xf>
    <xf numFmtId="0" fontId="14" fillId="3" borderId="19" xfId="0" applyFont="1" applyFill="1" applyBorder="1" applyAlignment="1" applyProtection="1">
      <alignment horizontal="left" vertical="top" wrapText="1"/>
      <protection locked="0"/>
    </xf>
    <xf numFmtId="0" fontId="14" fillId="3" borderId="20" xfId="0" applyFont="1" applyFill="1" applyBorder="1" applyAlignment="1" applyProtection="1">
      <alignment horizontal="left" vertical="top" wrapText="1"/>
      <protection locked="0"/>
    </xf>
    <xf numFmtId="0" fontId="0" fillId="0" borderId="27" xfId="0" applyFill="1" applyBorder="1" applyAlignment="1" applyProtection="1">
      <alignment horizontal="left" vertical="top"/>
      <protection hidden="1"/>
    </xf>
    <xf numFmtId="0" fontId="0" fillId="0" borderId="0" xfId="0" applyFill="1" applyBorder="1" applyAlignment="1" applyProtection="1">
      <alignment horizontal="left" vertical="top"/>
      <protection hidden="1"/>
    </xf>
    <xf numFmtId="0" fontId="14" fillId="0" borderId="25" xfId="0" applyFont="1" applyFill="1" applyBorder="1" applyAlignment="1" applyProtection="1">
      <alignment horizontal="center" vertical="top" wrapText="1"/>
      <protection locked="0"/>
    </xf>
    <xf numFmtId="0" fontId="14" fillId="3" borderId="25" xfId="0" applyFont="1" applyFill="1" applyBorder="1" applyAlignment="1" applyProtection="1">
      <alignment horizontal="left" vertical="top" wrapText="1"/>
      <protection locked="0"/>
    </xf>
    <xf numFmtId="0" fontId="14" fillId="0" borderId="0" xfId="0" applyFont="1" applyFill="1" applyBorder="1" applyAlignment="1" applyProtection="1">
      <alignment horizontal="left" vertical="top" wrapText="1"/>
      <protection locked="0"/>
    </xf>
    <xf numFmtId="0" fontId="3" fillId="3" borderId="18" xfId="0" applyFont="1" applyFill="1" applyBorder="1" applyAlignment="1" applyProtection="1">
      <alignment horizontal="left" vertical="top" wrapText="1"/>
      <protection locked="0"/>
    </xf>
    <xf numFmtId="0" fontId="3" fillId="3" borderId="19" xfId="0" applyFont="1" applyFill="1" applyBorder="1" applyAlignment="1" applyProtection="1">
      <alignment horizontal="left" vertical="top" wrapText="1"/>
      <protection locked="0"/>
    </xf>
    <xf numFmtId="0" fontId="3" fillId="3" borderId="20" xfId="0" applyFont="1" applyFill="1" applyBorder="1" applyAlignment="1" applyProtection="1">
      <alignment horizontal="left" vertical="top" wrapText="1"/>
      <protection locked="0"/>
    </xf>
    <xf numFmtId="0" fontId="4" fillId="0" borderId="0" xfId="0" applyFont="1" applyAlignment="1" applyProtection="1">
      <alignment vertical="top" wrapText="1"/>
    </xf>
    <xf numFmtId="0" fontId="3" fillId="0" borderId="0" xfId="0" applyFont="1" applyAlignment="1" applyProtection="1">
      <alignment vertical="top" wrapText="1"/>
    </xf>
    <xf numFmtId="0" fontId="0" fillId="0" borderId="0" xfId="0" applyAlignment="1" applyProtection="1">
      <alignment vertical="top" wrapText="1"/>
    </xf>
    <xf numFmtId="0" fontId="3" fillId="3" borderId="18" xfId="0" applyFont="1" applyFill="1" applyBorder="1" applyAlignment="1" applyProtection="1">
      <alignment horizontal="center" vertical="top" wrapText="1"/>
      <protection locked="0"/>
    </xf>
    <xf numFmtId="0" fontId="3" fillId="3" borderId="19" xfId="0" applyFont="1" applyFill="1" applyBorder="1" applyAlignment="1" applyProtection="1">
      <alignment horizontal="center" vertical="top" wrapText="1"/>
      <protection locked="0"/>
    </xf>
    <xf numFmtId="0" fontId="3" fillId="3" borderId="20" xfId="0" applyFont="1" applyFill="1" applyBorder="1" applyAlignment="1" applyProtection="1">
      <alignment horizontal="center" vertical="top" wrapText="1"/>
      <protection locked="0"/>
    </xf>
    <xf numFmtId="0" fontId="3" fillId="3" borderId="21" xfId="0" applyFont="1" applyFill="1" applyBorder="1" applyAlignment="1" applyProtection="1">
      <alignment horizontal="center" vertical="top" wrapText="1"/>
      <protection locked="0"/>
    </xf>
    <xf numFmtId="0" fontId="3" fillId="3" borderId="22" xfId="0" applyFont="1" applyFill="1" applyBorder="1" applyAlignment="1" applyProtection="1">
      <alignment horizontal="center" vertical="top" wrapText="1"/>
      <protection locked="0"/>
    </xf>
    <xf numFmtId="0" fontId="3" fillId="3" borderId="23" xfId="0" applyFont="1" applyFill="1" applyBorder="1" applyAlignment="1" applyProtection="1">
      <alignment horizontal="center" vertical="top" wrapText="1"/>
      <protection locked="0"/>
    </xf>
    <xf numFmtId="0" fontId="3" fillId="3" borderId="24" xfId="0" applyFont="1" applyFill="1" applyBorder="1" applyAlignment="1" applyProtection="1">
      <alignment horizontal="center" vertical="top" wrapText="1"/>
      <protection locked="0"/>
    </xf>
    <xf numFmtId="0" fontId="3" fillId="3" borderId="25" xfId="0" applyFont="1" applyFill="1" applyBorder="1" applyAlignment="1" applyProtection="1">
      <alignment horizontal="center" vertical="top" wrapText="1"/>
      <protection locked="0"/>
    </xf>
    <xf numFmtId="0" fontId="3" fillId="3" borderId="26" xfId="0" applyFont="1" applyFill="1" applyBorder="1" applyAlignment="1" applyProtection="1">
      <alignment horizontal="center" vertical="top" wrapText="1"/>
      <protection locked="0"/>
    </xf>
    <xf numFmtId="0" fontId="4" fillId="3" borderId="14" xfId="0" applyFont="1" applyFill="1" applyBorder="1" applyAlignment="1" applyProtection="1">
      <alignment vertical="top"/>
      <protection locked="0"/>
    </xf>
    <xf numFmtId="0" fontId="4" fillId="3" borderId="7" xfId="0" applyFont="1" applyFill="1" applyBorder="1" applyAlignment="1" applyProtection="1">
      <alignment vertical="top"/>
      <protection locked="0"/>
    </xf>
    <xf numFmtId="0" fontId="4" fillId="5" borderId="14" xfId="0" applyFont="1" applyFill="1" applyBorder="1" applyAlignment="1" applyProtection="1">
      <alignment vertical="top" wrapText="1"/>
      <protection locked="0"/>
    </xf>
    <xf numFmtId="0" fontId="4" fillId="5" borderId="7" xfId="0" applyFont="1" applyFill="1" applyBorder="1" applyAlignment="1" applyProtection="1">
      <alignment vertical="top" wrapText="1"/>
      <protection locked="0"/>
    </xf>
    <xf numFmtId="0" fontId="3" fillId="3" borderId="9" xfId="0" applyFont="1" applyFill="1" applyBorder="1" applyAlignment="1" applyProtection="1">
      <alignment horizontal="center" vertical="top" wrapText="1"/>
      <protection locked="0"/>
    </xf>
    <xf numFmtId="0" fontId="3" fillId="3" borderId="0" xfId="0" applyFont="1" applyFill="1" applyBorder="1" applyAlignment="1" applyProtection="1">
      <alignment horizontal="center" vertical="top" wrapText="1"/>
      <protection locked="0"/>
    </xf>
    <xf numFmtId="17" fontId="4" fillId="0" borderId="14" xfId="0" applyNumberFormat="1" applyFont="1" applyBorder="1" applyAlignment="1" applyProtection="1">
      <alignment vertical="top" wrapText="1"/>
    </xf>
    <xf numFmtId="17" fontId="4" fillId="0" borderId="15" xfId="0" applyNumberFormat="1" applyFont="1" applyBorder="1" applyAlignment="1" applyProtection="1">
      <alignment vertical="top" wrapText="1"/>
    </xf>
    <xf numFmtId="17" fontId="4" fillId="0" borderId="7" xfId="0" applyNumberFormat="1" applyFont="1" applyBorder="1" applyAlignment="1" applyProtection="1">
      <alignment vertical="top" wrapText="1"/>
    </xf>
    <xf numFmtId="0" fontId="3" fillId="0" borderId="14" xfId="0" applyFont="1" applyBorder="1" applyAlignment="1" applyProtection="1">
      <alignment vertical="top" wrapText="1"/>
    </xf>
    <xf numFmtId="0" fontId="3" fillId="0" borderId="7" xfId="0" applyFont="1" applyBorder="1" applyAlignment="1" applyProtection="1">
      <alignment vertical="top" wrapText="1"/>
    </xf>
    <xf numFmtId="0" fontId="4" fillId="0" borderId="1" xfId="0" applyFont="1" applyBorder="1" applyAlignment="1">
      <alignment vertical="top" wrapText="1"/>
    </xf>
    <xf numFmtId="0" fontId="4" fillId="0" borderId="5" xfId="0" applyFont="1" applyBorder="1" applyAlignment="1">
      <alignment vertical="top" wrapText="1"/>
    </xf>
    <xf numFmtId="0" fontId="4" fillId="0" borderId="13" xfId="0" applyFont="1" applyBorder="1" applyAlignment="1">
      <alignment vertical="top" wrapText="1"/>
    </xf>
    <xf numFmtId="0" fontId="12" fillId="0" borderId="14" xfId="0" applyFont="1" applyBorder="1" applyAlignment="1">
      <alignment vertical="top" wrapText="1"/>
    </xf>
    <xf numFmtId="0" fontId="12" fillId="0" borderId="15" xfId="0" applyFont="1" applyBorder="1" applyAlignment="1">
      <alignment vertical="top" wrapText="1"/>
    </xf>
    <xf numFmtId="0" fontId="12" fillId="0" borderId="7" xfId="0"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7" xfId="0" applyFont="1" applyBorder="1" applyAlignment="1">
      <alignment vertical="top" wrapText="1"/>
    </xf>
    <xf numFmtId="0" fontId="4" fillId="0" borderId="29" xfId="0" applyFont="1" applyBorder="1" applyAlignment="1">
      <alignment horizontal="left" vertical="top" wrapText="1"/>
    </xf>
    <xf numFmtId="0" fontId="4" fillId="0" borderId="5" xfId="0" applyFont="1" applyBorder="1" applyAlignment="1">
      <alignment horizontal="lef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3" fillId="0" borderId="9" xfId="0" applyFont="1" applyBorder="1" applyAlignment="1">
      <alignment vertical="top" wrapText="1"/>
    </xf>
    <xf numFmtId="0" fontId="3" fillId="0" borderId="0" xfId="0" applyFont="1" applyAlignment="1">
      <alignment vertical="top" wrapText="1"/>
    </xf>
    <xf numFmtId="0" fontId="3" fillId="0" borderId="6"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wrapText="1"/>
    </xf>
    <xf numFmtId="0" fontId="4" fillId="0" borderId="6"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8" xfId="0" applyFont="1" applyBorder="1" applyAlignment="1">
      <alignment vertical="top" wrapText="1"/>
    </xf>
    <xf numFmtId="0" fontId="4" fillId="3" borderId="1"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0" fontId="4" fillId="3" borderId="1"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14" fillId="0" borderId="25" xfId="0" applyFont="1" applyFill="1" applyBorder="1" applyAlignment="1" applyProtection="1">
      <alignment horizontal="left" vertical="top" wrapText="1"/>
      <protection locked="0"/>
    </xf>
    <xf numFmtId="0" fontId="14" fillId="3" borderId="25" xfId="0" applyFont="1" applyFill="1" applyBorder="1" applyAlignment="1" applyProtection="1">
      <alignment horizontal="center" vertical="top" wrapText="1"/>
      <protection locked="0"/>
    </xf>
    <xf numFmtId="0" fontId="4" fillId="0" borderId="4" xfId="0" applyFont="1" applyBorder="1" applyAlignment="1" applyProtection="1">
      <alignment horizontal="center" vertical="top" wrapText="1"/>
    </xf>
    <xf numFmtId="0" fontId="4" fillId="0" borderId="8" xfId="0" applyFont="1" applyBorder="1" applyAlignment="1" applyProtection="1">
      <alignment horizontal="center" vertical="top" wrapText="1"/>
    </xf>
    <xf numFmtId="0" fontId="4" fillId="0" borderId="1" xfId="0" applyFont="1" applyBorder="1" applyAlignment="1" applyProtection="1">
      <alignment horizontal="center" vertical="top"/>
    </xf>
    <xf numFmtId="0" fontId="4" fillId="0" borderId="13" xfId="0" applyFont="1" applyBorder="1" applyAlignment="1" applyProtection="1">
      <alignment horizontal="center" vertical="top"/>
    </xf>
    <xf numFmtId="0" fontId="4" fillId="0" borderId="1" xfId="0" applyFont="1" applyBorder="1" applyAlignment="1" applyProtection="1">
      <alignment horizontal="center" vertical="top" wrapText="1"/>
    </xf>
    <xf numFmtId="0" fontId="4" fillId="0" borderId="13" xfId="0" applyFont="1" applyBorder="1" applyAlignment="1" applyProtection="1">
      <alignment horizontal="center" vertical="top" wrapText="1"/>
    </xf>
    <xf numFmtId="0" fontId="4" fillId="0" borderId="29" xfId="0" applyFont="1" applyBorder="1" applyAlignment="1" applyProtection="1">
      <alignment horizontal="left" vertical="top" wrapText="1"/>
    </xf>
    <xf numFmtId="0" fontId="27" fillId="0" borderId="9" xfId="0" applyFont="1" applyBorder="1" applyAlignment="1" applyProtection="1">
      <alignment vertical="top" wrapText="1"/>
    </xf>
    <xf numFmtId="0" fontId="27" fillId="0" borderId="0" xfId="0" applyFont="1" applyAlignment="1" applyProtection="1">
      <alignment vertical="top" wrapText="1"/>
    </xf>
    <xf numFmtId="0" fontId="27" fillId="0" borderId="6" xfId="0" applyFont="1" applyBorder="1" applyAlignment="1" applyProtection="1">
      <alignment vertical="top" wrapText="1"/>
    </xf>
    <xf numFmtId="0" fontId="28" fillId="0" borderId="9" xfId="0" applyFont="1" applyBorder="1" applyAlignment="1" applyProtection="1">
      <alignment vertical="top" wrapText="1"/>
    </xf>
    <xf numFmtId="0" fontId="0" fillId="0" borderId="0" xfId="0" applyAlignment="1"/>
    <xf numFmtId="0" fontId="0" fillId="0" borderId="6" xfId="0" applyBorder="1" applyAlignment="1"/>
    <xf numFmtId="9" fontId="14" fillId="0" borderId="0" xfId="0" applyNumberFormat="1" applyFont="1" applyFill="1" applyBorder="1" applyAlignment="1" applyProtection="1">
      <alignment horizontal="left" vertical="top" wrapText="1"/>
      <protection locked="0"/>
    </xf>
    <xf numFmtId="0" fontId="8" fillId="0" borderId="1" xfId="0" applyFont="1" applyBorder="1" applyAlignment="1" applyProtection="1">
      <alignment horizontal="center" vertical="top" wrapText="1"/>
    </xf>
    <xf numFmtId="0" fontId="8" fillId="0" borderId="13" xfId="0" applyFont="1" applyBorder="1" applyAlignment="1" applyProtection="1">
      <alignment horizontal="center" vertical="top" wrapText="1"/>
    </xf>
    <xf numFmtId="0" fontId="4" fillId="0" borderId="9"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8" fillId="0" borderId="1" xfId="0" applyFont="1" applyBorder="1" applyAlignment="1" applyProtection="1">
      <alignment horizontal="center" vertical="top"/>
    </xf>
    <xf numFmtId="0" fontId="8" fillId="0" borderId="13" xfId="0" applyFont="1" applyBorder="1" applyAlignment="1" applyProtection="1">
      <alignment horizontal="center" vertical="top"/>
    </xf>
    <xf numFmtId="0" fontId="4" fillId="3" borderId="9" xfId="0" applyFont="1" applyFill="1" applyBorder="1" applyAlignment="1" applyProtection="1">
      <alignment horizontal="left" vertical="top" wrapText="1"/>
    </xf>
    <xf numFmtId="0" fontId="4" fillId="3" borderId="0" xfId="0" applyFont="1" applyFill="1" applyBorder="1" applyAlignment="1" applyProtection="1">
      <alignment horizontal="left" vertical="top" wrapText="1"/>
    </xf>
    <xf numFmtId="0" fontId="4" fillId="3" borderId="9"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protection locked="0"/>
    </xf>
    <xf numFmtId="0" fontId="4" fillId="0" borderId="29" xfId="0" applyFont="1" applyBorder="1" applyAlignment="1" applyProtection="1">
      <alignment vertical="top" wrapText="1"/>
    </xf>
    <xf numFmtId="0" fontId="8" fillId="0" borderId="16" xfId="0" applyFont="1" applyBorder="1" applyAlignment="1">
      <alignment horizontal="center"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8" xfId="0" applyFont="1" applyBorder="1" applyAlignment="1">
      <alignment vertical="top" wrapText="1"/>
    </xf>
    <xf numFmtId="0" fontId="4" fillId="0" borderId="29" xfId="0" applyFont="1" applyBorder="1" applyAlignment="1">
      <alignment horizontal="center" vertical="top" wrapText="1"/>
    </xf>
    <xf numFmtId="0" fontId="4" fillId="0" borderId="5" xfId="0" applyFont="1" applyBorder="1" applyAlignment="1">
      <alignment horizontal="center" vertical="top" wrapText="1"/>
    </xf>
    <xf numFmtId="0" fontId="8" fillId="0" borderId="1" xfId="0" applyFont="1" applyBorder="1" applyAlignment="1">
      <alignment vertical="top" wrapText="1"/>
    </xf>
    <xf numFmtId="0" fontId="8" fillId="0" borderId="13" xfId="0" applyFont="1" applyBorder="1" applyAlignment="1">
      <alignment vertical="top" wrapText="1"/>
    </xf>
    <xf numFmtId="0" fontId="3" fillId="3" borderId="21" xfId="0" applyFont="1" applyFill="1" applyBorder="1" applyAlignment="1">
      <alignment horizontal="left" vertical="top" wrapText="1"/>
    </xf>
    <xf numFmtId="0" fontId="3" fillId="3" borderId="22" xfId="0" applyFont="1" applyFill="1" applyBorder="1" applyAlignment="1">
      <alignment horizontal="left" vertical="top" wrapText="1"/>
    </xf>
    <xf numFmtId="0" fontId="3" fillId="3" borderId="23" xfId="0" applyFont="1" applyFill="1" applyBorder="1" applyAlignment="1">
      <alignment horizontal="left" vertical="top" wrapText="1"/>
    </xf>
    <xf numFmtId="0" fontId="3" fillId="3" borderId="27"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28" xfId="0" applyFont="1" applyFill="1" applyBorder="1" applyAlignment="1">
      <alignment horizontal="left" vertical="top" wrapText="1"/>
    </xf>
    <xf numFmtId="0" fontId="8" fillId="0" borderId="4" xfId="0" applyFont="1" applyBorder="1" applyAlignment="1">
      <alignment horizontal="center" vertical="top" wrapText="1"/>
    </xf>
    <xf numFmtId="0" fontId="8" fillId="0" borderId="8" xfId="0" applyFont="1" applyBorder="1" applyAlignment="1">
      <alignment horizontal="center" vertical="top"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3"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164" fontId="7" fillId="0" borderId="30" xfId="12" applyFont="1" applyBorder="1" applyAlignment="1">
      <alignment horizontal="center" vertical="center"/>
    </xf>
    <xf numFmtId="164" fontId="7" fillId="0" borderId="16" xfId="12" applyFont="1" applyBorder="1" applyAlignment="1">
      <alignment horizontal="center" vertical="center"/>
    </xf>
    <xf numFmtId="164" fontId="7" fillId="0" borderId="37" xfId="12" applyFont="1" applyBorder="1" applyAlignment="1">
      <alignment horizontal="center" vertical="center"/>
    </xf>
    <xf numFmtId="0" fontId="8" fillId="0" borderId="66"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86" xfId="0" applyFont="1" applyBorder="1" applyAlignment="1">
      <alignment horizontal="center" vertical="center" wrapText="1"/>
    </xf>
    <xf numFmtId="0" fontId="4" fillId="35" borderId="71" xfId="0" applyFont="1" applyFill="1" applyBorder="1" applyAlignment="1" applyProtection="1">
      <alignment horizontal="center" vertical="center" wrapText="1"/>
      <protection locked="0"/>
    </xf>
    <xf numFmtId="0" fontId="4" fillId="35" borderId="68" xfId="0" applyFont="1" applyFill="1" applyBorder="1" applyAlignment="1" applyProtection="1">
      <alignment horizontal="center" vertical="center" wrapText="1"/>
      <protection locked="0"/>
    </xf>
    <xf numFmtId="0" fontId="4" fillId="35" borderId="74" xfId="0" applyFont="1" applyFill="1" applyBorder="1" applyAlignment="1" applyProtection="1">
      <alignment horizontal="center" vertical="center" wrapText="1"/>
      <protection locked="0"/>
    </xf>
    <xf numFmtId="0" fontId="4" fillId="35" borderId="71" xfId="0" applyFont="1" applyFill="1" applyBorder="1" applyAlignment="1" applyProtection="1">
      <alignment horizontal="center" vertical="center"/>
      <protection locked="0"/>
    </xf>
    <xf numFmtId="0" fontId="4" fillId="35" borderId="68" xfId="0" applyFont="1" applyFill="1" applyBorder="1" applyAlignment="1" applyProtection="1">
      <alignment horizontal="center" vertical="center"/>
      <protection locked="0"/>
    </xf>
    <xf numFmtId="0" fontId="4" fillId="35" borderId="74" xfId="0" applyFont="1" applyFill="1" applyBorder="1" applyAlignment="1" applyProtection="1">
      <alignment horizontal="center" vertical="center"/>
      <protection locked="0"/>
    </xf>
    <xf numFmtId="164" fontId="7" fillId="0" borderId="32" xfId="12" applyFont="1" applyBorder="1" applyAlignment="1">
      <alignment horizontal="center" vertical="center"/>
    </xf>
    <xf numFmtId="164" fontId="7" fillId="0" borderId="36" xfId="12" applyFont="1" applyBorder="1" applyAlignment="1">
      <alignment horizontal="center" vertical="center"/>
    </xf>
    <xf numFmtId="0" fontId="8" fillId="0" borderId="33" xfId="0" applyFont="1" applyBorder="1" applyAlignment="1">
      <alignment horizontal="center" vertical="center" wrapText="1"/>
    </xf>
    <xf numFmtId="0" fontId="8" fillId="0" borderId="39" xfId="0" applyFont="1" applyBorder="1" applyAlignment="1">
      <alignment horizontal="center" vertical="center" wrapText="1"/>
    </xf>
    <xf numFmtId="0" fontId="4" fillId="33" borderId="68" xfId="0" applyFont="1" applyFill="1" applyBorder="1" applyAlignment="1" applyProtection="1">
      <alignment horizontal="center" vertical="center"/>
      <protection locked="0"/>
    </xf>
    <xf numFmtId="0" fontId="4" fillId="30" borderId="71" xfId="0" applyFont="1" applyFill="1" applyBorder="1" applyAlignment="1" applyProtection="1">
      <alignment horizontal="center" vertical="center"/>
      <protection locked="0"/>
    </xf>
    <xf numFmtId="0" fontId="4" fillId="30" borderId="68" xfId="0" applyFont="1" applyFill="1" applyBorder="1" applyAlignment="1" applyProtection="1">
      <alignment horizontal="center" vertical="center"/>
      <protection locked="0"/>
    </xf>
    <xf numFmtId="164" fontId="7" fillId="0" borderId="68" xfId="12" applyFont="1" applyBorder="1" applyAlignment="1">
      <alignment horizontal="center" vertical="center"/>
    </xf>
    <xf numFmtId="0" fontId="8" fillId="0" borderId="69" xfId="0" applyFont="1" applyBorder="1" applyAlignment="1">
      <alignment horizontal="center" vertical="center" wrapText="1"/>
    </xf>
    <xf numFmtId="0" fontId="4" fillId="36" borderId="71" xfId="0" applyFont="1" applyFill="1" applyBorder="1" applyAlignment="1" applyProtection="1">
      <alignment horizontal="center" vertical="center"/>
      <protection locked="0"/>
    </xf>
    <xf numFmtId="0" fontId="4" fillId="36" borderId="68" xfId="0" applyFont="1" applyFill="1" applyBorder="1" applyAlignment="1" applyProtection="1">
      <alignment horizontal="center" vertical="center"/>
      <protection locked="0"/>
    </xf>
    <xf numFmtId="0" fontId="4" fillId="36" borderId="74" xfId="0" applyFont="1" applyFill="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vertical="top"/>
    </xf>
    <xf numFmtId="0" fontId="4" fillId="0" borderId="15" xfId="0" applyFont="1" applyBorder="1" applyAlignment="1">
      <alignment horizontal="left" vertical="center"/>
    </xf>
    <xf numFmtId="0" fontId="4" fillId="0" borderId="7" xfId="0" applyFont="1" applyBorder="1" applyAlignment="1">
      <alignment horizontal="left" vertical="center"/>
    </xf>
    <xf numFmtId="0" fontId="4" fillId="0" borderId="14" xfId="0" applyFont="1" applyBorder="1" applyAlignment="1">
      <alignment horizontal="left" vertical="center"/>
    </xf>
    <xf numFmtId="0" fontId="4" fillId="0" borderId="17" xfId="0" applyFont="1" applyBorder="1" applyAlignment="1">
      <alignment vertical="top" wrapText="1"/>
    </xf>
    <xf numFmtId="0" fontId="4" fillId="0" borderId="15" xfId="0" applyFont="1" applyBorder="1" applyAlignment="1">
      <alignment vertical="top"/>
    </xf>
    <xf numFmtId="0" fontId="4" fillId="0" borderId="7" xfId="0" applyFont="1" applyBorder="1" applyAlignment="1">
      <alignment vertical="top"/>
    </xf>
    <xf numFmtId="0" fontId="8" fillId="0" borderId="5" xfId="0" applyFont="1" applyBorder="1" applyAlignment="1">
      <alignment vertical="top" wrapText="1"/>
    </xf>
    <xf numFmtId="0" fontId="4" fillId="0" borderId="15" xfId="0" applyFont="1" applyBorder="1" applyAlignment="1">
      <alignment horizontal="left" vertical="center" wrapText="1"/>
    </xf>
    <xf numFmtId="0" fontId="4" fillId="0" borderId="3"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4" fillId="3" borderId="9" xfId="0" applyFont="1" applyFill="1" applyBorder="1" applyAlignment="1">
      <alignment horizontal="left" vertical="top" wrapText="1"/>
    </xf>
    <xf numFmtId="0" fontId="4" fillId="3" borderId="0" xfId="0" applyFont="1" applyFill="1" applyBorder="1" applyAlignment="1">
      <alignment horizontal="left" vertical="top" wrapText="1"/>
    </xf>
    <xf numFmtId="0" fontId="3" fillId="3" borderId="9" xfId="0" applyFont="1" applyFill="1" applyBorder="1" applyAlignment="1" applyProtection="1">
      <alignment horizontal="left" vertical="top" wrapText="1"/>
      <protection locked="0"/>
    </xf>
    <xf numFmtId="0" fontId="3" fillId="3" borderId="0" xfId="0" applyFont="1" applyFill="1" applyBorder="1" applyAlignment="1" applyProtection="1">
      <alignment horizontal="left" vertical="top" wrapText="1"/>
      <protection locked="0"/>
    </xf>
    <xf numFmtId="0" fontId="4" fillId="0" borderId="4" xfId="0" applyFont="1" applyBorder="1" applyAlignment="1">
      <alignment horizontal="center" vertical="top" wrapText="1"/>
    </xf>
    <xf numFmtId="0" fontId="4" fillId="0" borderId="8" xfId="0" applyFont="1" applyBorder="1" applyAlignment="1">
      <alignment horizontal="center" vertical="top" wrapText="1"/>
    </xf>
    <xf numFmtId="0" fontId="59" fillId="3" borderId="37" xfId="0" applyFont="1" applyFill="1" applyBorder="1" applyAlignment="1" applyProtection="1">
      <alignment horizontal="justify" vertical="top" wrapText="1"/>
      <protection locked="0"/>
    </xf>
    <xf numFmtId="0" fontId="27" fillId="3" borderId="68" xfId="0" applyFont="1" applyFill="1" applyBorder="1" applyAlignment="1" applyProtection="1">
      <alignment horizontal="justify" vertical="top" wrapText="1"/>
      <protection locked="0"/>
    </xf>
    <xf numFmtId="0" fontId="27" fillId="3" borderId="30" xfId="0" applyFont="1" applyFill="1" applyBorder="1" applyAlignment="1" applyProtection="1">
      <alignment horizontal="justify" vertical="top" wrapText="1"/>
      <protection locked="0"/>
    </xf>
    <xf numFmtId="3" fontId="4" fillId="3" borderId="21" xfId="0" applyNumberFormat="1" applyFont="1" applyFill="1" applyBorder="1" applyAlignment="1" applyProtection="1">
      <alignment horizontal="center" vertical="center" wrapText="1"/>
      <protection locked="0"/>
    </xf>
    <xf numFmtId="3" fontId="4" fillId="3" borderId="27" xfId="0" applyNumberFormat="1" applyFont="1" applyFill="1" applyBorder="1" applyAlignment="1" applyProtection="1">
      <alignment horizontal="center" vertical="center" wrapText="1"/>
      <protection locked="0"/>
    </xf>
    <xf numFmtId="3" fontId="4" fillId="3" borderId="24" xfId="0" applyNumberFormat="1" applyFont="1" applyFill="1" applyBorder="1" applyAlignment="1" applyProtection="1">
      <alignment horizontal="center" vertical="center" wrapText="1"/>
      <protection locked="0"/>
    </xf>
    <xf numFmtId="3" fontId="4" fillId="3" borderId="37" xfId="0" applyNumberFormat="1" applyFont="1" applyFill="1" applyBorder="1" applyAlignment="1" applyProtection="1">
      <alignment horizontal="center" vertical="center" wrapText="1"/>
      <protection locked="0"/>
    </xf>
    <xf numFmtId="3" fontId="4" fillId="3" borderId="68" xfId="0" applyNumberFormat="1" applyFont="1" applyFill="1" applyBorder="1" applyAlignment="1" applyProtection="1">
      <alignment horizontal="center" vertical="center" wrapText="1"/>
      <protection locked="0"/>
    </xf>
    <xf numFmtId="3" fontId="4" fillId="3" borderId="30" xfId="0" applyNumberFormat="1" applyFont="1" applyFill="1" applyBorder="1" applyAlignment="1" applyProtection="1">
      <alignment horizontal="center" vertical="center" wrapText="1"/>
      <protection locked="0"/>
    </xf>
    <xf numFmtId="3" fontId="4" fillId="21" borderId="16" xfId="0" applyNumberFormat="1" applyFont="1" applyFill="1" applyBorder="1" applyAlignment="1" applyProtection="1">
      <alignment horizontal="center" vertical="center" wrapText="1"/>
      <protection locked="0"/>
    </xf>
    <xf numFmtId="164" fontId="3" fillId="21" borderId="16" xfId="12" applyFont="1" applyFill="1" applyBorder="1" applyAlignment="1">
      <alignment horizontal="center" vertical="center" wrapText="1"/>
    </xf>
    <xf numFmtId="0" fontId="4" fillId="21" borderId="1" xfId="0" applyFont="1" applyFill="1" applyBorder="1" applyAlignment="1" applyProtection="1">
      <alignment horizontal="center" vertical="center" wrapText="1"/>
      <protection locked="0"/>
    </xf>
    <xf numFmtId="0" fontId="4" fillId="21" borderId="5" xfId="0" applyFont="1" applyFill="1" applyBorder="1" applyAlignment="1" applyProtection="1">
      <alignment horizontal="center" vertical="center" wrapText="1"/>
      <protection locked="0"/>
    </xf>
    <xf numFmtId="0" fontId="4" fillId="21" borderId="2" xfId="0" applyFont="1" applyFill="1" applyBorder="1" applyAlignment="1" applyProtection="1">
      <alignment horizontal="center" vertical="center" wrapText="1"/>
      <protection locked="0"/>
    </xf>
    <xf numFmtId="0" fontId="4" fillId="21" borderId="9" xfId="0" applyFont="1" applyFill="1" applyBorder="1" applyAlignment="1" applyProtection="1">
      <alignment horizontal="center" vertical="center" wrapText="1"/>
      <protection locked="0"/>
    </xf>
    <xf numFmtId="0" fontId="14" fillId="0" borderId="14" xfId="0" applyFont="1" applyFill="1" applyBorder="1" applyAlignment="1" applyProtection="1">
      <alignment horizontal="left" vertical="top" wrapText="1"/>
      <protection locked="0"/>
    </xf>
    <xf numFmtId="0" fontId="14" fillId="0" borderId="15" xfId="0" applyFont="1" applyFill="1" applyBorder="1" applyAlignment="1" applyProtection="1">
      <alignment horizontal="left" vertical="top" wrapText="1"/>
      <protection locked="0"/>
    </xf>
    <xf numFmtId="0" fontId="14" fillId="0" borderId="7" xfId="0" applyFont="1" applyFill="1" applyBorder="1" applyAlignment="1" applyProtection="1">
      <alignment horizontal="left" vertical="top" wrapText="1"/>
      <protection locked="0"/>
    </xf>
    <xf numFmtId="0" fontId="4" fillId="3" borderId="21" xfId="0" applyFont="1" applyFill="1" applyBorder="1" applyAlignment="1" applyProtection="1">
      <alignment horizontal="left" vertical="top" wrapText="1"/>
      <protection locked="0"/>
    </xf>
    <xf numFmtId="0" fontId="4" fillId="3" borderId="22" xfId="0" applyFont="1" applyFill="1" applyBorder="1" applyAlignment="1" applyProtection="1">
      <alignment horizontal="left" vertical="top" wrapText="1"/>
      <protection locked="0"/>
    </xf>
    <xf numFmtId="0" fontId="4" fillId="3" borderId="23" xfId="0" applyFont="1" applyFill="1" applyBorder="1" applyAlignment="1" applyProtection="1">
      <alignment horizontal="left" vertical="top" wrapText="1"/>
      <protection locked="0"/>
    </xf>
    <xf numFmtId="0" fontId="4" fillId="3" borderId="24" xfId="0" applyFont="1" applyFill="1" applyBorder="1" applyAlignment="1" applyProtection="1">
      <alignment horizontal="left" vertical="top" wrapText="1"/>
      <protection locked="0"/>
    </xf>
    <xf numFmtId="0" fontId="4" fillId="3" borderId="25" xfId="0" applyFont="1" applyFill="1" applyBorder="1" applyAlignment="1" applyProtection="1">
      <alignment horizontal="left" vertical="top" wrapText="1"/>
      <protection locked="0"/>
    </xf>
    <xf numFmtId="0" fontId="4" fillId="3" borderId="26" xfId="0" applyFont="1" applyFill="1" applyBorder="1" applyAlignment="1" applyProtection="1">
      <alignment horizontal="left" vertical="top" wrapText="1"/>
      <protection locked="0"/>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3" fillId="3" borderId="2" xfId="0" applyFont="1" applyFill="1" applyBorder="1" applyAlignment="1" applyProtection="1">
      <alignment horizontal="center" vertical="top" wrapText="1"/>
      <protection locked="0"/>
    </xf>
    <xf numFmtId="0" fontId="3" fillId="3" borderId="3" xfId="0" applyFont="1" applyFill="1" applyBorder="1" applyAlignment="1" applyProtection="1">
      <alignment horizontal="center" vertical="top" wrapText="1"/>
      <protection locked="0"/>
    </xf>
    <xf numFmtId="0" fontId="3" fillId="3" borderId="4" xfId="0" applyFont="1" applyFill="1" applyBorder="1" applyAlignment="1" applyProtection="1">
      <alignment horizontal="center" vertical="top" wrapText="1"/>
      <protection locked="0"/>
    </xf>
    <xf numFmtId="0" fontId="3" fillId="3" borderId="10" xfId="0" applyFont="1" applyFill="1" applyBorder="1" applyAlignment="1" applyProtection="1">
      <alignment horizontal="center" vertical="top" wrapText="1"/>
      <protection locked="0"/>
    </xf>
    <xf numFmtId="0" fontId="3" fillId="3" borderId="11" xfId="0" applyFont="1" applyFill="1" applyBorder="1" applyAlignment="1" applyProtection="1">
      <alignment horizontal="center" vertical="top" wrapText="1"/>
      <protection locked="0"/>
    </xf>
    <xf numFmtId="0" fontId="3" fillId="3" borderId="8" xfId="0" applyFont="1" applyFill="1" applyBorder="1" applyAlignment="1" applyProtection="1">
      <alignment horizontal="center" vertical="top" wrapText="1"/>
      <protection locked="0"/>
    </xf>
    <xf numFmtId="0" fontId="12" fillId="0" borderId="9" xfId="0" applyFont="1" applyBorder="1" applyAlignment="1">
      <alignment vertical="top" wrapText="1"/>
    </xf>
    <xf numFmtId="0" fontId="12" fillId="0" borderId="0" xfId="0" applyFont="1" applyAlignment="1">
      <alignment vertical="top" wrapText="1"/>
    </xf>
    <xf numFmtId="0" fontId="12" fillId="0" borderId="6" xfId="0" applyFont="1" applyBorder="1" applyAlignment="1">
      <alignment vertical="top" wrapText="1"/>
    </xf>
    <xf numFmtId="0" fontId="19" fillId="3" borderId="1" xfId="0" applyFont="1" applyFill="1" applyBorder="1" applyAlignment="1" applyProtection="1">
      <alignment horizontal="justify" vertical="top" wrapText="1"/>
      <protection locked="0"/>
    </xf>
    <xf numFmtId="0" fontId="19" fillId="3" borderId="5" xfId="0" applyFont="1" applyFill="1" applyBorder="1" applyAlignment="1" applyProtection="1">
      <alignment horizontal="justify" vertical="top" wrapText="1"/>
      <protection locked="0"/>
    </xf>
    <xf numFmtId="0" fontId="19" fillId="3" borderId="13" xfId="0" applyFont="1" applyFill="1" applyBorder="1" applyAlignment="1" applyProtection="1">
      <alignment horizontal="justify" vertical="top" wrapText="1"/>
      <protection locked="0"/>
    </xf>
    <xf numFmtId="0" fontId="3" fillId="0" borderId="1" xfId="0" applyFont="1" applyBorder="1" applyAlignment="1">
      <alignment vertical="top"/>
    </xf>
    <xf numFmtId="0" fontId="3" fillId="0" borderId="5" xfId="0" applyFont="1" applyBorder="1" applyAlignment="1">
      <alignment vertical="top"/>
    </xf>
    <xf numFmtId="0" fontId="3" fillId="0" borderId="13" xfId="0" applyFont="1" applyBorder="1" applyAlignment="1">
      <alignment vertical="top"/>
    </xf>
    <xf numFmtId="0" fontId="3" fillId="0" borderId="14" xfId="0" applyFont="1" applyBorder="1" applyAlignment="1">
      <alignment vertical="top"/>
    </xf>
    <xf numFmtId="0" fontId="3" fillId="0" borderId="7" xfId="0" applyFont="1" applyBorder="1" applyAlignment="1">
      <alignment vertical="top"/>
    </xf>
    <xf numFmtId="0" fontId="3" fillId="3" borderId="21" xfId="0" applyFont="1" applyFill="1" applyBorder="1" applyAlignment="1">
      <alignment horizontal="center" vertical="top" wrapText="1"/>
    </xf>
    <xf numFmtId="0" fontId="3" fillId="3" borderId="22" xfId="0" applyFont="1" applyFill="1" applyBorder="1" applyAlignment="1">
      <alignment horizontal="center" vertical="top" wrapText="1"/>
    </xf>
    <xf numFmtId="0" fontId="3" fillId="3" borderId="23" xfId="0" applyFont="1" applyFill="1" applyBorder="1" applyAlignment="1">
      <alignment horizontal="center" vertical="top" wrapText="1"/>
    </xf>
    <xf numFmtId="0" fontId="3" fillId="3" borderId="24" xfId="0" applyFont="1" applyFill="1" applyBorder="1" applyAlignment="1">
      <alignment horizontal="center" vertical="top" wrapText="1"/>
    </xf>
    <xf numFmtId="0" fontId="3" fillId="3" borderId="25" xfId="0" applyFont="1" applyFill="1" applyBorder="1" applyAlignment="1">
      <alignment horizontal="center" vertical="top" wrapText="1"/>
    </xf>
    <xf numFmtId="0" fontId="3" fillId="3" borderId="26" xfId="0" applyFont="1" applyFill="1" applyBorder="1" applyAlignment="1">
      <alignment horizontal="center" vertical="top" wrapText="1"/>
    </xf>
    <xf numFmtId="0" fontId="12" fillId="0" borderId="10" xfId="0" applyFont="1" applyBorder="1" applyAlignment="1">
      <alignment vertical="top" wrapText="1"/>
    </xf>
    <xf numFmtId="0" fontId="12" fillId="0" borderId="11" xfId="0" applyFont="1" applyBorder="1" applyAlignment="1">
      <alignment vertical="top" wrapText="1"/>
    </xf>
    <xf numFmtId="0" fontId="12" fillId="0" borderId="8" xfId="0" applyFont="1" applyBorder="1" applyAlignment="1">
      <alignment vertical="top" wrapText="1"/>
    </xf>
    <xf numFmtId="0" fontId="8" fillId="0" borderId="14" xfId="0" applyFont="1" applyBorder="1" applyAlignment="1">
      <alignment vertical="top" wrapText="1"/>
    </xf>
    <xf numFmtId="0" fontId="8" fillId="0" borderId="15" xfId="0" applyFont="1" applyBorder="1" applyAlignment="1">
      <alignment vertical="top" wrapText="1"/>
    </xf>
    <xf numFmtId="0" fontId="8" fillId="0" borderId="7" xfId="0" applyFont="1" applyBorder="1" applyAlignment="1">
      <alignment vertical="top" wrapText="1"/>
    </xf>
    <xf numFmtId="0" fontId="3" fillId="0" borderId="4" xfId="0" applyFont="1" applyBorder="1" applyAlignment="1">
      <alignmen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8" xfId="0" applyFont="1" applyFill="1" applyBorder="1" applyAlignment="1">
      <alignment horizontal="left" vertical="top" wrapText="1"/>
    </xf>
    <xf numFmtId="0" fontId="4" fillId="0" borderId="14" xfId="0" applyFont="1" applyBorder="1" applyAlignment="1">
      <alignment horizontal="center" vertical="top" wrapText="1"/>
    </xf>
    <xf numFmtId="0" fontId="4" fillId="0" borderId="15" xfId="0" applyFont="1" applyBorder="1" applyAlignment="1">
      <alignment horizontal="center" vertical="top" wrapText="1"/>
    </xf>
    <xf numFmtId="0" fontId="4" fillId="0" borderId="7" xfId="0" applyFont="1" applyBorder="1" applyAlignment="1">
      <alignment horizontal="center" vertical="top" wrapText="1"/>
    </xf>
    <xf numFmtId="0" fontId="12"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3" borderId="2"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3" fillId="3" borderId="10" xfId="0" applyFont="1" applyFill="1" applyBorder="1" applyAlignment="1" applyProtection="1">
      <alignment horizontal="left" vertical="top" wrapText="1"/>
      <protection locked="0"/>
    </xf>
    <xf numFmtId="0" fontId="3" fillId="3" borderId="11" xfId="0" applyFont="1" applyFill="1" applyBorder="1" applyAlignment="1" applyProtection="1">
      <alignment horizontal="left" vertical="top" wrapText="1"/>
      <protection locked="0"/>
    </xf>
    <xf numFmtId="0" fontId="3" fillId="3" borderId="8" xfId="0" applyFont="1" applyFill="1" applyBorder="1" applyAlignment="1" applyProtection="1">
      <alignment horizontal="left" vertical="top" wrapText="1"/>
      <protection locked="0"/>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0" fontId="3" fillId="0" borderId="8" xfId="0" applyFont="1" applyBorder="1" applyAlignment="1">
      <alignment horizontal="center" vertical="top" wrapText="1"/>
    </xf>
    <xf numFmtId="0" fontId="3" fillId="0" borderId="1" xfId="0" applyFont="1" applyBorder="1" applyAlignment="1">
      <alignment vertical="top" wrapText="1"/>
    </xf>
    <xf numFmtId="0" fontId="3" fillId="0" borderId="5" xfId="0" applyFont="1" applyBorder="1" applyAlignment="1">
      <alignment vertical="top" wrapText="1"/>
    </xf>
    <xf numFmtId="0" fontId="3" fillId="0" borderId="13" xfId="0" applyFont="1" applyBorder="1" applyAlignment="1">
      <alignment vertical="top" wrapText="1"/>
    </xf>
    <xf numFmtId="0" fontId="3" fillId="3" borderId="14" xfId="0" applyFont="1" applyFill="1" applyBorder="1" applyAlignment="1" applyProtection="1">
      <alignment horizontal="left" vertical="top" wrapText="1"/>
      <protection locked="0"/>
    </xf>
    <xf numFmtId="0" fontId="3" fillId="3" borderId="15" xfId="0" applyFont="1" applyFill="1" applyBorder="1" applyAlignment="1" applyProtection="1">
      <alignment horizontal="left" vertical="top"/>
      <protection locked="0"/>
    </xf>
    <xf numFmtId="0" fontId="3" fillId="3" borderId="7" xfId="0" applyFont="1" applyFill="1" applyBorder="1" applyAlignment="1" applyProtection="1">
      <alignment horizontal="left" vertical="top"/>
      <protection locked="0"/>
    </xf>
    <xf numFmtId="0" fontId="12" fillId="0" borderId="9" xfId="0" applyFont="1" applyBorder="1" applyAlignment="1" applyProtection="1">
      <alignment vertical="top" wrapText="1"/>
    </xf>
    <xf numFmtId="0" fontId="12" fillId="0" borderId="0" xfId="0" applyFont="1" applyAlignment="1" applyProtection="1">
      <alignment vertical="top" wrapText="1"/>
    </xf>
    <xf numFmtId="0" fontId="12" fillId="0" borderId="6" xfId="0" applyFont="1" applyBorder="1" applyAlignment="1" applyProtection="1">
      <alignment vertical="top" wrapText="1"/>
    </xf>
    <xf numFmtId="0" fontId="3" fillId="3" borderId="21" xfId="0" applyFont="1" applyFill="1" applyBorder="1" applyAlignment="1" applyProtection="1">
      <alignment horizontal="left" vertical="top" wrapText="1"/>
      <protection locked="0"/>
    </xf>
    <xf numFmtId="0" fontId="3" fillId="3" borderId="22" xfId="0" applyFont="1" applyFill="1" applyBorder="1" applyAlignment="1" applyProtection="1">
      <alignment horizontal="left" vertical="top" wrapText="1"/>
      <protection locked="0"/>
    </xf>
    <xf numFmtId="0" fontId="3" fillId="3" borderId="23" xfId="0" applyFont="1" applyFill="1" applyBorder="1" applyAlignment="1" applyProtection="1">
      <alignment horizontal="left" vertical="top" wrapText="1"/>
      <protection locked="0"/>
    </xf>
    <xf numFmtId="0" fontId="3" fillId="3" borderId="24" xfId="0" applyFont="1" applyFill="1" applyBorder="1" applyAlignment="1" applyProtection="1">
      <alignment horizontal="left" vertical="top" wrapText="1"/>
      <protection locked="0"/>
    </xf>
    <xf numFmtId="0" fontId="3" fillId="3" borderId="25" xfId="0" applyFont="1" applyFill="1" applyBorder="1" applyAlignment="1" applyProtection="1">
      <alignment horizontal="left" vertical="top" wrapText="1"/>
      <protection locked="0"/>
    </xf>
    <xf numFmtId="0" fontId="3" fillId="3" borderId="26" xfId="0" applyFont="1" applyFill="1" applyBorder="1" applyAlignment="1" applyProtection="1">
      <alignment horizontal="left" vertical="top" wrapText="1"/>
      <protection locked="0"/>
    </xf>
    <xf numFmtId="0" fontId="4" fillId="0" borderId="0" xfId="0" applyFont="1" applyBorder="1" applyAlignment="1">
      <alignment vertical="top" wrapText="1"/>
    </xf>
    <xf numFmtId="0" fontId="12" fillId="0" borderId="0" xfId="0" applyFont="1" applyAlignment="1">
      <alignment horizontal="left" vertical="center" wrapText="1"/>
    </xf>
    <xf numFmtId="0" fontId="4" fillId="0" borderId="11" xfId="0" applyFont="1" applyBorder="1" applyAlignment="1">
      <alignment horizontal="left" vertical="center" wrapText="1"/>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0" borderId="4" xfId="0" applyFont="1" applyBorder="1" applyAlignment="1">
      <alignment vertical="top"/>
    </xf>
    <xf numFmtId="0" fontId="4" fillId="0" borderId="17" xfId="0" applyFont="1" applyBorder="1" applyAlignment="1">
      <alignment vertical="top"/>
    </xf>
    <xf numFmtId="0" fontId="3" fillId="0" borderId="2" xfId="0" applyFont="1" applyBorder="1" applyAlignment="1">
      <alignment vertical="top" wrapText="1"/>
    </xf>
    <xf numFmtId="0" fontId="3" fillId="0" borderId="3" xfId="0" applyFont="1" applyBorder="1" applyAlignment="1">
      <alignment vertical="top" wrapText="1"/>
    </xf>
    <xf numFmtId="0" fontId="4" fillId="0" borderId="1"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14" xfId="0" applyFont="1" applyBorder="1" applyAlignment="1" applyProtection="1">
      <alignment vertical="top"/>
    </xf>
    <xf numFmtId="0" fontId="4" fillId="0" borderId="7" xfId="0" applyFont="1" applyBorder="1" applyAlignment="1" applyProtection="1">
      <alignment vertical="top"/>
    </xf>
    <xf numFmtId="0" fontId="4" fillId="0" borderId="14" xfId="0" applyFont="1" applyBorder="1" applyAlignment="1" applyProtection="1">
      <alignment vertical="top" wrapText="1"/>
      <protection locked="0"/>
    </xf>
    <xf numFmtId="0" fontId="4" fillId="0" borderId="15"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12" fillId="0" borderId="14" xfId="0" applyFont="1" applyBorder="1" applyAlignment="1" applyProtection="1">
      <alignment vertical="top" wrapText="1"/>
      <protection locked="0"/>
    </xf>
    <xf numFmtId="0" fontId="12" fillId="0" borderId="15" xfId="0" applyFont="1" applyBorder="1" applyAlignment="1" applyProtection="1">
      <alignment vertical="top" wrapText="1"/>
      <protection locked="0"/>
    </xf>
    <xf numFmtId="0" fontId="12" fillId="0" borderId="7" xfId="0" applyFont="1" applyBorder="1" applyAlignment="1" applyProtection="1">
      <alignment vertical="top" wrapText="1"/>
      <protection locked="0"/>
    </xf>
    <xf numFmtId="0" fontId="4" fillId="0" borderId="6" xfId="0" applyFont="1" applyBorder="1" applyAlignment="1" applyProtection="1">
      <alignment horizontal="center" vertical="top" wrapText="1"/>
    </xf>
    <xf numFmtId="0" fontId="4" fillId="0" borderId="1"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13" xfId="0" applyFont="1" applyBorder="1" applyAlignment="1" applyProtection="1">
      <alignment horizontal="center" vertical="center"/>
    </xf>
    <xf numFmtId="9" fontId="37" fillId="29" borderId="46" xfId="3" applyFont="1" applyFill="1" applyBorder="1" applyAlignment="1">
      <alignment horizontal="center" vertical="center" wrapText="1"/>
    </xf>
  </cellXfs>
  <cellStyles count="13">
    <cellStyle name="Bueno" xfId="1" builtinId="26"/>
    <cellStyle name="Hipervínculo" xfId="2" builtinId="8"/>
    <cellStyle name="Millares" xfId="4" builtinId="3"/>
    <cellStyle name="Millares [0]" xfId="11" builtinId="6"/>
    <cellStyle name="Millares [0] 2" xfId="6" xr:uid="{00000000-0005-0000-0000-000004000000}"/>
    <cellStyle name="Millares [0] 2 2" xfId="9" xr:uid="{00000000-0005-0000-0000-000005000000}"/>
    <cellStyle name="Millares 2" xfId="7" xr:uid="{00000000-0005-0000-0000-000006000000}"/>
    <cellStyle name="Millares 2 2" xfId="10" xr:uid="{00000000-0005-0000-0000-000007000000}"/>
    <cellStyle name="Millares 3" xfId="8" xr:uid="{00000000-0005-0000-0000-000008000000}"/>
    <cellStyle name="Moneda [0]" xfId="12" builtinId="7"/>
    <cellStyle name="Normal" xfId="0" builtinId="0"/>
    <cellStyle name="Normal 2" xfId="5" xr:uid="{00000000-0005-0000-0000-00000A000000}"/>
    <cellStyle name="Porcentaje" xfId="3" builtinId="5"/>
  </cellStyles>
  <dxfs count="13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s>
  <tableStyles count="0" defaultTableStyle="TableStyleMedium2" defaultPivotStyle="PivotStyleLight16"/>
  <colors>
    <mruColors>
      <color rgb="FFFFFF99"/>
      <color rgb="FFE0EB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CD48D7A-4B03-4423-8CB5-5C5D79405805}" type="doc">
      <dgm:prSet loTypeId="urn:microsoft.com/office/officeart/2005/8/layout/list1" loCatId="list" qsTypeId="urn:microsoft.com/office/officeart/2005/8/quickstyle/simple1" qsCatId="simple" csTypeId="urn:microsoft.com/office/officeart/2005/8/colors/colorful5" csCatId="colorful" phldr="1"/>
      <dgm:spPr/>
      <dgm:t>
        <a:bodyPr/>
        <a:lstStyle/>
        <a:p>
          <a:endParaRPr lang="es-CO"/>
        </a:p>
      </dgm:t>
    </dgm:pt>
    <dgm:pt modelId="{2CB7F8B1-2637-4408-9185-3A95A2E4D4D4}">
      <dgm:prSet phldrT="[Texto]" custT="1"/>
      <dgm:spPr/>
      <dgm:t>
        <a:bodyPr/>
        <a:lstStyle/>
        <a:p>
          <a:r>
            <a:rPr lang="es-CO" sz="900" b="1"/>
            <a:t>1. FASE DE PREPARACION</a:t>
          </a:r>
        </a:p>
      </dgm:t>
    </dgm:pt>
    <dgm:pt modelId="{64144A9E-10F1-4862-BFC7-09D5896ACB2E}" type="parTrans" cxnId="{DF270C1B-8DAC-4DC2-9C2B-404524166343}">
      <dgm:prSet/>
      <dgm:spPr/>
      <dgm:t>
        <a:bodyPr/>
        <a:lstStyle/>
        <a:p>
          <a:endParaRPr lang="es-CO" sz="2000"/>
        </a:p>
      </dgm:t>
    </dgm:pt>
    <dgm:pt modelId="{1E2C00AA-92AD-4DFD-ADBE-9EE00E1BF72B}" type="sibTrans" cxnId="{DF270C1B-8DAC-4DC2-9C2B-404524166343}">
      <dgm:prSet/>
      <dgm:spPr/>
      <dgm:t>
        <a:bodyPr/>
        <a:lstStyle/>
        <a:p>
          <a:endParaRPr lang="es-CO" sz="2000"/>
        </a:p>
      </dgm:t>
    </dgm:pt>
    <dgm:pt modelId="{8069E184-766F-4E8B-A1E8-51EDBCF8B787}">
      <dgm:prSet phldrT="[Texto]" custT="1"/>
      <dgm:spPr/>
      <dgm:t>
        <a:bodyPr/>
        <a:lstStyle/>
        <a:p>
          <a:r>
            <a:rPr lang="es-CO" sz="900" b="1"/>
            <a:t>2. FASE DE APRESTAMIENTO</a:t>
          </a:r>
        </a:p>
      </dgm:t>
    </dgm:pt>
    <dgm:pt modelId="{F64789F9-D1CE-4AFA-889E-41DC5016CFAB}" type="parTrans" cxnId="{A2827875-87B0-4C3D-9E40-622962BC691D}">
      <dgm:prSet/>
      <dgm:spPr/>
      <dgm:t>
        <a:bodyPr/>
        <a:lstStyle/>
        <a:p>
          <a:endParaRPr lang="es-CO" sz="2000"/>
        </a:p>
      </dgm:t>
    </dgm:pt>
    <dgm:pt modelId="{93F1D987-E557-4E03-8C29-D08B5E8AAD1B}" type="sibTrans" cxnId="{A2827875-87B0-4C3D-9E40-622962BC691D}">
      <dgm:prSet/>
      <dgm:spPr/>
      <dgm:t>
        <a:bodyPr/>
        <a:lstStyle/>
        <a:p>
          <a:endParaRPr lang="es-CO" sz="2000"/>
        </a:p>
      </dgm:t>
    </dgm:pt>
    <dgm:pt modelId="{717ECC8B-6813-4A27-9DC1-A0349E570257}">
      <dgm:prSet phldrT="[Texto]" custT="1"/>
      <dgm:spPr/>
      <dgm:t>
        <a:bodyPr/>
        <a:lstStyle/>
        <a:p>
          <a:r>
            <a:rPr lang="es-CO" sz="900" b="1"/>
            <a:t>3. FASE  LOGISTICA Y OPERATIVA</a:t>
          </a:r>
        </a:p>
      </dgm:t>
    </dgm:pt>
    <dgm:pt modelId="{D945DCAA-29DE-415E-9EC0-2EA9CDBA637F}" type="parTrans" cxnId="{48FD79B7-0A80-4168-B74D-E45585C648D8}">
      <dgm:prSet/>
      <dgm:spPr/>
      <dgm:t>
        <a:bodyPr/>
        <a:lstStyle/>
        <a:p>
          <a:endParaRPr lang="es-CO" sz="2000"/>
        </a:p>
      </dgm:t>
    </dgm:pt>
    <dgm:pt modelId="{60E19195-CF68-47DE-9785-66C048977208}" type="sibTrans" cxnId="{48FD79B7-0A80-4168-B74D-E45585C648D8}">
      <dgm:prSet/>
      <dgm:spPr/>
      <dgm:t>
        <a:bodyPr/>
        <a:lstStyle/>
        <a:p>
          <a:endParaRPr lang="es-CO" sz="2000"/>
        </a:p>
      </dgm:t>
    </dgm:pt>
    <dgm:pt modelId="{D49A736D-D090-4C3F-B7C8-90E12189F4E6}">
      <dgm:prSet custT="1"/>
      <dgm:spPr/>
      <dgm:t>
        <a:bodyPr/>
        <a:lstStyle/>
        <a:p>
          <a:r>
            <a:rPr lang="es-CO" sz="900"/>
            <a:t>Definición de la unidad objeto de ordenación forestal</a:t>
          </a:r>
        </a:p>
      </dgm:t>
    </dgm:pt>
    <dgm:pt modelId="{6CB8211D-3027-42B8-8E1D-7F7CC0C2C2AF}" type="parTrans" cxnId="{6E1DD283-6A02-4C7B-967E-43E4F2241590}">
      <dgm:prSet/>
      <dgm:spPr/>
      <dgm:t>
        <a:bodyPr/>
        <a:lstStyle/>
        <a:p>
          <a:endParaRPr lang="es-CO" sz="2000"/>
        </a:p>
      </dgm:t>
    </dgm:pt>
    <dgm:pt modelId="{085597EB-8A00-4F32-B9FE-6AE8F6AD66DB}" type="sibTrans" cxnId="{6E1DD283-6A02-4C7B-967E-43E4F2241590}">
      <dgm:prSet/>
      <dgm:spPr/>
      <dgm:t>
        <a:bodyPr/>
        <a:lstStyle/>
        <a:p>
          <a:endParaRPr lang="es-CO" sz="2000"/>
        </a:p>
      </dgm:t>
    </dgm:pt>
    <dgm:pt modelId="{789B5BC8-288B-4DDA-AB25-039F66BEA3B1}">
      <dgm:prSet custT="1"/>
      <dgm:spPr/>
      <dgm:t>
        <a:bodyPr/>
        <a:lstStyle/>
        <a:p>
          <a:r>
            <a:rPr lang="es-CO" sz="900"/>
            <a:t>Asignación de recursos</a:t>
          </a:r>
        </a:p>
      </dgm:t>
    </dgm:pt>
    <dgm:pt modelId="{20DF2F84-B159-462C-A073-B863B19CCFA9}" type="parTrans" cxnId="{A8694B9B-DC05-4BB0-A409-CBB61FB7F639}">
      <dgm:prSet/>
      <dgm:spPr/>
      <dgm:t>
        <a:bodyPr/>
        <a:lstStyle/>
        <a:p>
          <a:endParaRPr lang="es-CO" sz="2000"/>
        </a:p>
      </dgm:t>
    </dgm:pt>
    <dgm:pt modelId="{F75FF99A-F150-48D0-B60B-5CB30D5A0E5A}" type="sibTrans" cxnId="{A8694B9B-DC05-4BB0-A409-CBB61FB7F639}">
      <dgm:prSet/>
      <dgm:spPr/>
      <dgm:t>
        <a:bodyPr/>
        <a:lstStyle/>
        <a:p>
          <a:endParaRPr lang="es-CO" sz="2000"/>
        </a:p>
      </dgm:t>
    </dgm:pt>
    <dgm:pt modelId="{98B28FD7-1DA8-4B1D-A743-BD64C0AAE85A}">
      <dgm:prSet custT="1"/>
      <dgm:spPr/>
      <dgm:t>
        <a:bodyPr/>
        <a:lstStyle/>
        <a:p>
          <a:r>
            <a:rPr lang="es-CO" sz="900"/>
            <a:t>Inicio del proceso pre y contractual</a:t>
          </a:r>
        </a:p>
      </dgm:t>
    </dgm:pt>
    <dgm:pt modelId="{6A5ADD14-5B36-4C8F-9B65-6460DDCE482E}" type="parTrans" cxnId="{C57E6554-2260-4CA8-9E7D-8591D135E53F}">
      <dgm:prSet/>
      <dgm:spPr/>
      <dgm:t>
        <a:bodyPr/>
        <a:lstStyle/>
        <a:p>
          <a:endParaRPr lang="es-CO" sz="2000"/>
        </a:p>
      </dgm:t>
    </dgm:pt>
    <dgm:pt modelId="{55643889-0069-4635-8EFF-361433B6492D}" type="sibTrans" cxnId="{C57E6554-2260-4CA8-9E7D-8591D135E53F}">
      <dgm:prSet/>
      <dgm:spPr/>
      <dgm:t>
        <a:bodyPr/>
        <a:lstStyle/>
        <a:p>
          <a:endParaRPr lang="es-CO" sz="2000"/>
        </a:p>
      </dgm:t>
    </dgm:pt>
    <dgm:pt modelId="{4E33CAE3-BFA7-460A-ADA1-9740AF500CD1}">
      <dgm:prSet custT="1"/>
      <dgm:spPr/>
      <dgm:t>
        <a:bodyPr/>
        <a:lstStyle/>
        <a:p>
          <a:r>
            <a:rPr lang="es-CO" sz="900"/>
            <a:t>Consulta, validación y digitalización de información secundaria</a:t>
          </a:r>
        </a:p>
      </dgm:t>
    </dgm:pt>
    <dgm:pt modelId="{9DB4B8DC-C792-4F88-B9F0-3F8C466B68ED}" type="parTrans" cxnId="{3BF7423E-3DB0-4A87-A18C-2FC41867B2B4}">
      <dgm:prSet/>
      <dgm:spPr/>
      <dgm:t>
        <a:bodyPr/>
        <a:lstStyle/>
        <a:p>
          <a:endParaRPr lang="es-CO" sz="2000"/>
        </a:p>
      </dgm:t>
    </dgm:pt>
    <dgm:pt modelId="{4C4701A6-649F-4B75-8728-83D55A5A5663}" type="sibTrans" cxnId="{3BF7423E-3DB0-4A87-A18C-2FC41867B2B4}">
      <dgm:prSet/>
      <dgm:spPr/>
      <dgm:t>
        <a:bodyPr/>
        <a:lstStyle/>
        <a:p>
          <a:endParaRPr lang="es-CO" sz="2000"/>
        </a:p>
      </dgm:t>
    </dgm:pt>
    <dgm:pt modelId="{08ED7DEB-8B98-40A9-9699-ACCFB829DBE2}">
      <dgm:prSet custT="1"/>
      <dgm:spPr/>
      <dgm:t>
        <a:bodyPr/>
        <a:lstStyle/>
        <a:p>
          <a:r>
            <a:rPr lang="es-CO" sz="900"/>
            <a:t>Procesamiento e interpretación de imágenes satelitales</a:t>
          </a:r>
        </a:p>
      </dgm:t>
    </dgm:pt>
    <dgm:pt modelId="{C96799B1-BF4C-4F01-9A1B-8BF2A3D32A1B}" type="parTrans" cxnId="{9A2394D6-DEA8-457C-A7F6-0CA60D78D7EA}">
      <dgm:prSet/>
      <dgm:spPr/>
      <dgm:t>
        <a:bodyPr/>
        <a:lstStyle/>
        <a:p>
          <a:endParaRPr lang="es-CO" sz="2000"/>
        </a:p>
      </dgm:t>
    </dgm:pt>
    <dgm:pt modelId="{BC1C2EC9-649F-493C-B095-2F14FEE273F0}" type="sibTrans" cxnId="{9A2394D6-DEA8-457C-A7F6-0CA60D78D7EA}">
      <dgm:prSet/>
      <dgm:spPr/>
      <dgm:t>
        <a:bodyPr/>
        <a:lstStyle/>
        <a:p>
          <a:endParaRPr lang="es-CO" sz="2000"/>
        </a:p>
      </dgm:t>
    </dgm:pt>
    <dgm:pt modelId="{C8F6D009-A118-4555-A677-CBA61BF6F0D5}">
      <dgm:prSet custT="1"/>
      <dgm:spPr/>
      <dgm:t>
        <a:bodyPr/>
        <a:lstStyle/>
        <a:p>
          <a:r>
            <a:rPr lang="es-CO" sz="900"/>
            <a:t>Generación de información cartográfica preliminar</a:t>
          </a:r>
        </a:p>
      </dgm:t>
    </dgm:pt>
    <dgm:pt modelId="{C71E5930-069B-45A4-B7EB-02FF81630C0E}" type="parTrans" cxnId="{47FA276C-8AB9-4C50-93CB-3C240B93E4C4}">
      <dgm:prSet/>
      <dgm:spPr/>
      <dgm:t>
        <a:bodyPr/>
        <a:lstStyle/>
        <a:p>
          <a:endParaRPr lang="es-CO" sz="2000"/>
        </a:p>
      </dgm:t>
    </dgm:pt>
    <dgm:pt modelId="{EC10895F-10B2-42FD-BCC8-4993E1130164}" type="sibTrans" cxnId="{47FA276C-8AB9-4C50-93CB-3C240B93E4C4}">
      <dgm:prSet/>
      <dgm:spPr/>
      <dgm:t>
        <a:bodyPr/>
        <a:lstStyle/>
        <a:p>
          <a:endParaRPr lang="es-CO" sz="2000"/>
        </a:p>
      </dgm:t>
    </dgm:pt>
    <dgm:pt modelId="{FFA71FF0-2ACD-4163-B043-1EB367B6C2B1}">
      <dgm:prSet custT="1"/>
      <dgm:spPr/>
      <dgm:t>
        <a:bodyPr/>
        <a:lstStyle/>
        <a:p>
          <a:r>
            <a:rPr lang="es-CO" sz="900"/>
            <a:t>Definición de metodología para levantamiento de información primaria</a:t>
          </a:r>
        </a:p>
      </dgm:t>
    </dgm:pt>
    <dgm:pt modelId="{201802FC-6167-42F1-933E-394845600453}" type="parTrans" cxnId="{478F5893-B289-4B36-A04A-A02DEA40ACC3}">
      <dgm:prSet/>
      <dgm:spPr/>
      <dgm:t>
        <a:bodyPr/>
        <a:lstStyle/>
        <a:p>
          <a:endParaRPr lang="es-CO" sz="2000"/>
        </a:p>
      </dgm:t>
    </dgm:pt>
    <dgm:pt modelId="{B39A6FB6-B160-47AD-A274-EF0DD243C32D}" type="sibTrans" cxnId="{478F5893-B289-4B36-A04A-A02DEA40ACC3}">
      <dgm:prSet/>
      <dgm:spPr/>
      <dgm:t>
        <a:bodyPr/>
        <a:lstStyle/>
        <a:p>
          <a:endParaRPr lang="es-CO" sz="2000"/>
        </a:p>
      </dgm:t>
    </dgm:pt>
    <dgm:pt modelId="{90932CD4-98AF-4D20-B3A5-3F4217DAB33C}">
      <dgm:prSet custT="1"/>
      <dgm:spPr/>
      <dgm:t>
        <a:bodyPr/>
        <a:lstStyle/>
        <a:p>
          <a:r>
            <a:rPr lang="es-CO" sz="900"/>
            <a:t>Socialización y acuerdos con actores regionales y locales</a:t>
          </a:r>
        </a:p>
      </dgm:t>
    </dgm:pt>
    <dgm:pt modelId="{D4A14047-4231-4EAE-82B4-884A078437F6}" type="parTrans" cxnId="{86FF9304-A88E-4E74-AECB-FD793CD64EBE}">
      <dgm:prSet/>
      <dgm:spPr/>
      <dgm:t>
        <a:bodyPr/>
        <a:lstStyle/>
        <a:p>
          <a:endParaRPr lang="es-CO" sz="2000"/>
        </a:p>
      </dgm:t>
    </dgm:pt>
    <dgm:pt modelId="{678DBBEA-15F8-4CEC-BE62-3B0B23BED2F8}" type="sibTrans" cxnId="{86FF9304-A88E-4E74-AECB-FD793CD64EBE}">
      <dgm:prSet/>
      <dgm:spPr/>
      <dgm:t>
        <a:bodyPr/>
        <a:lstStyle/>
        <a:p>
          <a:endParaRPr lang="es-CO" sz="2000"/>
        </a:p>
      </dgm:t>
    </dgm:pt>
    <dgm:pt modelId="{D67F9A5A-5E88-44A1-939C-135CE3AF4041}">
      <dgm:prSet phldrT="[Texto]" custT="1"/>
      <dgm:spPr/>
      <dgm:t>
        <a:bodyPr/>
        <a:lstStyle/>
        <a:p>
          <a:r>
            <a:rPr lang="es-CO" sz="900" b="1"/>
            <a:t>4. FASE DE OFICINA</a:t>
          </a:r>
        </a:p>
      </dgm:t>
    </dgm:pt>
    <dgm:pt modelId="{147BBB2B-EBFD-43A6-B289-2DA32B306280}" type="parTrans" cxnId="{E56EA914-32FC-4F01-AE21-F02AF3BAD451}">
      <dgm:prSet/>
      <dgm:spPr/>
      <dgm:t>
        <a:bodyPr/>
        <a:lstStyle/>
        <a:p>
          <a:endParaRPr lang="es-CO" sz="2000"/>
        </a:p>
      </dgm:t>
    </dgm:pt>
    <dgm:pt modelId="{5865B6AA-9A9D-46ED-B85D-61C566F91B2B}" type="sibTrans" cxnId="{E56EA914-32FC-4F01-AE21-F02AF3BAD451}">
      <dgm:prSet/>
      <dgm:spPr/>
      <dgm:t>
        <a:bodyPr/>
        <a:lstStyle/>
        <a:p>
          <a:endParaRPr lang="es-CO" sz="2000"/>
        </a:p>
      </dgm:t>
    </dgm:pt>
    <dgm:pt modelId="{CF379588-8D99-446E-9DA3-7D31B1AC5467}">
      <dgm:prSet custT="1"/>
      <dgm:spPr/>
      <dgm:t>
        <a:bodyPr/>
        <a:lstStyle/>
        <a:p>
          <a:r>
            <a:rPr lang="es-CO" sz="900"/>
            <a:t>Procesamiento y análisis de información primaria</a:t>
          </a:r>
        </a:p>
      </dgm:t>
    </dgm:pt>
    <dgm:pt modelId="{C53496FF-16AA-4B86-9A97-C210D3425615}" type="parTrans" cxnId="{64B9461D-EAC6-4AD6-8946-7E802054283C}">
      <dgm:prSet/>
      <dgm:spPr/>
      <dgm:t>
        <a:bodyPr/>
        <a:lstStyle/>
        <a:p>
          <a:endParaRPr lang="es-CO" sz="2000"/>
        </a:p>
      </dgm:t>
    </dgm:pt>
    <dgm:pt modelId="{FA04A515-77A5-47E1-9A21-427002F75BBD}" type="sibTrans" cxnId="{64B9461D-EAC6-4AD6-8946-7E802054283C}">
      <dgm:prSet/>
      <dgm:spPr/>
      <dgm:t>
        <a:bodyPr/>
        <a:lstStyle/>
        <a:p>
          <a:endParaRPr lang="es-CO" sz="2000"/>
        </a:p>
      </dgm:t>
    </dgm:pt>
    <dgm:pt modelId="{F2356AF9-BEEF-4B44-8D11-6960D17AF916}">
      <dgm:prSet custT="1"/>
      <dgm:spPr/>
      <dgm:t>
        <a:bodyPr/>
        <a:lstStyle/>
        <a:p>
          <a:r>
            <a:rPr lang="es-CO" sz="900"/>
            <a:t>Propuesta zonificación inicial de la UOF</a:t>
          </a:r>
        </a:p>
      </dgm:t>
    </dgm:pt>
    <dgm:pt modelId="{30965C44-C041-42DC-BEED-B4376C8E6B72}" type="parTrans" cxnId="{952D29FA-01DB-4FF4-B950-87A63CC80292}">
      <dgm:prSet/>
      <dgm:spPr/>
      <dgm:t>
        <a:bodyPr/>
        <a:lstStyle/>
        <a:p>
          <a:endParaRPr lang="es-CO" sz="2000"/>
        </a:p>
      </dgm:t>
    </dgm:pt>
    <dgm:pt modelId="{B601354C-9FC2-4283-877B-28B5BED5CBBC}" type="sibTrans" cxnId="{952D29FA-01DB-4FF4-B950-87A63CC80292}">
      <dgm:prSet/>
      <dgm:spPr/>
      <dgm:t>
        <a:bodyPr/>
        <a:lstStyle/>
        <a:p>
          <a:endParaRPr lang="es-CO" sz="2000"/>
        </a:p>
      </dgm:t>
    </dgm:pt>
    <dgm:pt modelId="{51776FAA-A67F-43C9-93A9-09460B1195D0}">
      <dgm:prSet custT="1"/>
      <dgm:spPr/>
      <dgm:t>
        <a:bodyPr/>
        <a:lstStyle/>
        <a:p>
          <a:r>
            <a:rPr lang="es-CO" sz="900"/>
            <a:t>Propuesta de zonificación de las áreas forestales que componen la UOF</a:t>
          </a:r>
        </a:p>
      </dgm:t>
    </dgm:pt>
    <dgm:pt modelId="{F49DC0A9-8665-4ADA-A379-AC107454A3ED}" type="parTrans" cxnId="{72240C85-9D5C-458C-B319-EA4B04B6FA8A}">
      <dgm:prSet/>
      <dgm:spPr/>
      <dgm:t>
        <a:bodyPr/>
        <a:lstStyle/>
        <a:p>
          <a:endParaRPr lang="es-CO" sz="2000"/>
        </a:p>
      </dgm:t>
    </dgm:pt>
    <dgm:pt modelId="{C8B4DFF5-5087-4292-AE4B-32507D166EBF}" type="sibTrans" cxnId="{72240C85-9D5C-458C-B319-EA4B04B6FA8A}">
      <dgm:prSet/>
      <dgm:spPr/>
      <dgm:t>
        <a:bodyPr/>
        <a:lstStyle/>
        <a:p>
          <a:endParaRPr lang="es-CO" sz="2000"/>
        </a:p>
      </dgm:t>
    </dgm:pt>
    <dgm:pt modelId="{CF4F553E-C1BC-4366-8D1F-2538C739F34D}">
      <dgm:prSet phldrT="[Texto]" custT="1"/>
      <dgm:spPr/>
      <dgm:t>
        <a:bodyPr/>
        <a:lstStyle/>
        <a:p>
          <a:r>
            <a:rPr lang="es-CO" sz="900" b="1"/>
            <a:t>5. FASE DE FORMULACION</a:t>
          </a:r>
        </a:p>
      </dgm:t>
    </dgm:pt>
    <dgm:pt modelId="{87729DE7-2820-4664-B237-4A95FE1E2F12}" type="parTrans" cxnId="{E88658A0-3BDE-454E-A794-8505E55DC105}">
      <dgm:prSet/>
      <dgm:spPr/>
      <dgm:t>
        <a:bodyPr/>
        <a:lstStyle/>
        <a:p>
          <a:endParaRPr lang="es-CO" sz="2000"/>
        </a:p>
      </dgm:t>
    </dgm:pt>
    <dgm:pt modelId="{94558B0E-E006-4B59-8C83-CEE5060F8235}" type="sibTrans" cxnId="{E88658A0-3BDE-454E-A794-8505E55DC105}">
      <dgm:prSet/>
      <dgm:spPr/>
      <dgm:t>
        <a:bodyPr/>
        <a:lstStyle/>
        <a:p>
          <a:endParaRPr lang="es-CO" sz="2000"/>
        </a:p>
      </dgm:t>
    </dgm:pt>
    <dgm:pt modelId="{C14DAE80-C9AD-4DF2-AB00-76A03871C660}">
      <dgm:prSet custT="1"/>
      <dgm:spPr/>
      <dgm:t>
        <a:bodyPr/>
        <a:lstStyle/>
        <a:p>
          <a:r>
            <a:rPr lang="es-CO" sz="900"/>
            <a:t>Socialización versión premiminar de los POF</a:t>
          </a:r>
        </a:p>
      </dgm:t>
    </dgm:pt>
    <dgm:pt modelId="{1B35EC25-3A5D-44C3-8EC6-1F67B5E94F65}" type="parTrans" cxnId="{FAE50C2E-D4BD-46F3-ACBD-9DE02637A7D6}">
      <dgm:prSet/>
      <dgm:spPr/>
      <dgm:t>
        <a:bodyPr/>
        <a:lstStyle/>
        <a:p>
          <a:endParaRPr lang="es-CO" sz="2000"/>
        </a:p>
      </dgm:t>
    </dgm:pt>
    <dgm:pt modelId="{EB3C29DE-5BFD-45F2-B15E-ED5B03F68740}" type="sibTrans" cxnId="{FAE50C2E-D4BD-46F3-ACBD-9DE02637A7D6}">
      <dgm:prSet/>
      <dgm:spPr/>
      <dgm:t>
        <a:bodyPr/>
        <a:lstStyle/>
        <a:p>
          <a:endParaRPr lang="es-CO" sz="2000"/>
        </a:p>
      </dgm:t>
    </dgm:pt>
    <dgm:pt modelId="{0E652C00-4F5E-4225-B0DE-1E16E467F052}">
      <dgm:prSet phldrT="[Texto]" custT="1"/>
      <dgm:spPr/>
      <dgm:t>
        <a:bodyPr/>
        <a:lstStyle/>
        <a:p>
          <a:r>
            <a:rPr lang="es-CO" sz="900" b="1"/>
            <a:t>6. FASE DE IMPLEMENTACION</a:t>
          </a:r>
        </a:p>
      </dgm:t>
    </dgm:pt>
    <dgm:pt modelId="{6B4BA892-C7B2-40DA-97EE-3611027033ED}" type="parTrans" cxnId="{ABA36423-4ADF-4BC2-B9D4-4551354C1F10}">
      <dgm:prSet/>
      <dgm:spPr/>
      <dgm:t>
        <a:bodyPr/>
        <a:lstStyle/>
        <a:p>
          <a:endParaRPr lang="es-CO" sz="2000"/>
        </a:p>
      </dgm:t>
    </dgm:pt>
    <dgm:pt modelId="{49049186-C28C-4B3F-A75E-A3310F719D8A}" type="sibTrans" cxnId="{ABA36423-4ADF-4BC2-B9D4-4551354C1F10}">
      <dgm:prSet/>
      <dgm:spPr/>
      <dgm:t>
        <a:bodyPr/>
        <a:lstStyle/>
        <a:p>
          <a:endParaRPr lang="es-CO" sz="2000"/>
        </a:p>
      </dgm:t>
    </dgm:pt>
    <dgm:pt modelId="{FDC96EDD-2D2E-424F-9793-6C67FBB810DD}">
      <dgm:prSet custT="1"/>
      <dgm:spPr/>
      <dgm:t>
        <a:bodyPr/>
        <a:lstStyle/>
        <a:p>
          <a:r>
            <a:rPr lang="es-CO" sz="900"/>
            <a:t>Aprobación de los POF por Consejo Directivo de la autoridad ambiental competente</a:t>
          </a:r>
        </a:p>
      </dgm:t>
    </dgm:pt>
    <dgm:pt modelId="{C0F088F2-D816-422B-A598-8465D4C16265}" type="parTrans" cxnId="{A43DF155-EDED-4348-8849-3FB54F8752F4}">
      <dgm:prSet/>
      <dgm:spPr/>
      <dgm:t>
        <a:bodyPr/>
        <a:lstStyle/>
        <a:p>
          <a:endParaRPr lang="es-CO" sz="2000"/>
        </a:p>
      </dgm:t>
    </dgm:pt>
    <dgm:pt modelId="{D85BC74A-2C14-4596-B306-9B50E9FDF986}" type="sibTrans" cxnId="{A43DF155-EDED-4348-8849-3FB54F8752F4}">
      <dgm:prSet/>
      <dgm:spPr/>
      <dgm:t>
        <a:bodyPr/>
        <a:lstStyle/>
        <a:p>
          <a:endParaRPr lang="es-CO" sz="2000"/>
        </a:p>
      </dgm:t>
    </dgm:pt>
    <dgm:pt modelId="{6632AE42-4A3F-47A4-991F-05B67D9E15A4}">
      <dgm:prSet custT="1"/>
      <dgm:spPr/>
      <dgm:t>
        <a:bodyPr/>
        <a:lstStyle/>
        <a:p>
          <a:r>
            <a:rPr lang="es-CO" sz="900"/>
            <a:t>Incorporación de los POF en el POA de la autoridad ambiental competente</a:t>
          </a:r>
        </a:p>
      </dgm:t>
    </dgm:pt>
    <dgm:pt modelId="{EA24CD28-DA30-489E-812A-8D006AD804E2}" type="parTrans" cxnId="{66F80349-2184-4386-B9D3-B0DFF876CB84}">
      <dgm:prSet/>
      <dgm:spPr/>
      <dgm:t>
        <a:bodyPr/>
        <a:lstStyle/>
        <a:p>
          <a:endParaRPr lang="es-CO" sz="2000"/>
        </a:p>
      </dgm:t>
    </dgm:pt>
    <dgm:pt modelId="{413A0DEC-0431-4D0A-9CF6-9F28DD448962}" type="sibTrans" cxnId="{66F80349-2184-4386-B9D3-B0DFF876CB84}">
      <dgm:prSet/>
      <dgm:spPr/>
      <dgm:t>
        <a:bodyPr/>
        <a:lstStyle/>
        <a:p>
          <a:endParaRPr lang="es-CO" sz="2000"/>
        </a:p>
      </dgm:t>
    </dgm:pt>
    <dgm:pt modelId="{E9D3C62B-362B-44C9-A42A-154B9DBAE91C}">
      <dgm:prSet custT="1"/>
      <dgm:spPr/>
      <dgm:t>
        <a:bodyPr/>
        <a:lstStyle/>
        <a:p>
          <a:r>
            <a:rPr lang="es-CO" sz="900"/>
            <a:t>Desarrollo de planes, programas y proyectos de cada POF </a:t>
          </a:r>
        </a:p>
      </dgm:t>
    </dgm:pt>
    <dgm:pt modelId="{C9AEF7BE-B561-478B-BAC4-CA5215113050}" type="parTrans" cxnId="{62C6A6A5-51AF-43F3-B103-5345821FAFEE}">
      <dgm:prSet/>
      <dgm:spPr/>
      <dgm:t>
        <a:bodyPr/>
        <a:lstStyle/>
        <a:p>
          <a:endParaRPr lang="es-CO" sz="2000"/>
        </a:p>
      </dgm:t>
    </dgm:pt>
    <dgm:pt modelId="{FFF495EB-AA84-4FB0-A607-B67EEC28EFF6}" type="sibTrans" cxnId="{62C6A6A5-51AF-43F3-B103-5345821FAFEE}">
      <dgm:prSet/>
      <dgm:spPr/>
      <dgm:t>
        <a:bodyPr/>
        <a:lstStyle/>
        <a:p>
          <a:endParaRPr lang="es-CO" sz="2000"/>
        </a:p>
      </dgm:t>
    </dgm:pt>
    <dgm:pt modelId="{38D6ECF3-9DC0-4FA5-AA85-AE678086D86F}">
      <dgm:prSet phldrT="[Texto]" custT="1"/>
      <dgm:spPr/>
      <dgm:t>
        <a:bodyPr/>
        <a:lstStyle/>
        <a:p>
          <a:r>
            <a:rPr lang="es-CO" sz="900" b="1"/>
            <a:t>7. FASE DE SEGUIMIENTO Y ACTUALIZACION</a:t>
          </a:r>
        </a:p>
      </dgm:t>
    </dgm:pt>
    <dgm:pt modelId="{CA07B11D-A281-4474-956D-CE017D55096D}" type="parTrans" cxnId="{228A001C-DFEF-4BA8-8945-6B052FD3DB06}">
      <dgm:prSet/>
      <dgm:spPr/>
      <dgm:t>
        <a:bodyPr/>
        <a:lstStyle/>
        <a:p>
          <a:endParaRPr lang="es-CO" sz="2000"/>
        </a:p>
      </dgm:t>
    </dgm:pt>
    <dgm:pt modelId="{23F1DCF5-3AF5-46F5-8EBA-1B227FFDA68A}" type="sibTrans" cxnId="{228A001C-DFEF-4BA8-8945-6B052FD3DB06}">
      <dgm:prSet/>
      <dgm:spPr/>
      <dgm:t>
        <a:bodyPr/>
        <a:lstStyle/>
        <a:p>
          <a:endParaRPr lang="es-CO" sz="2000"/>
        </a:p>
      </dgm:t>
    </dgm:pt>
    <dgm:pt modelId="{7AD3D970-693A-46CB-93F2-8719BB4A2138}">
      <dgm:prSet custT="1"/>
      <dgm:spPr/>
      <dgm:t>
        <a:bodyPr/>
        <a:lstStyle/>
        <a:p>
          <a:r>
            <a:rPr lang="es-CO" sz="900"/>
            <a:t>Seguimiento a los POF</a:t>
          </a:r>
        </a:p>
      </dgm:t>
    </dgm:pt>
    <dgm:pt modelId="{76659B4B-2119-4F3E-A632-F083A9E2AF61}" type="parTrans" cxnId="{84B27017-A550-4955-B34A-A6F39E2DEC14}">
      <dgm:prSet/>
      <dgm:spPr/>
      <dgm:t>
        <a:bodyPr/>
        <a:lstStyle/>
        <a:p>
          <a:endParaRPr lang="es-CO" sz="2000"/>
        </a:p>
      </dgm:t>
    </dgm:pt>
    <dgm:pt modelId="{004D6EF7-97F6-4EB3-9B3E-229E15C08DFD}" type="sibTrans" cxnId="{84B27017-A550-4955-B34A-A6F39E2DEC14}">
      <dgm:prSet/>
      <dgm:spPr/>
      <dgm:t>
        <a:bodyPr/>
        <a:lstStyle/>
        <a:p>
          <a:endParaRPr lang="es-CO" sz="2000"/>
        </a:p>
      </dgm:t>
    </dgm:pt>
    <dgm:pt modelId="{92E8A65F-F99F-488E-AF0A-565C72278797}">
      <dgm:prSet custT="1"/>
      <dgm:spPr/>
      <dgm:t>
        <a:bodyPr/>
        <a:lstStyle/>
        <a:p>
          <a:r>
            <a:rPr lang="es-CO" sz="900"/>
            <a:t>Revisión y evaluación de los POF</a:t>
          </a:r>
        </a:p>
      </dgm:t>
    </dgm:pt>
    <dgm:pt modelId="{66E38FC8-C18A-470F-A205-AE2365A9DE78}" type="parTrans" cxnId="{3F409E34-BFAE-45FE-A027-0ABAC99B8A84}">
      <dgm:prSet/>
      <dgm:spPr/>
      <dgm:t>
        <a:bodyPr/>
        <a:lstStyle/>
        <a:p>
          <a:endParaRPr lang="es-CO" sz="2000"/>
        </a:p>
      </dgm:t>
    </dgm:pt>
    <dgm:pt modelId="{B79C7341-D380-4E6F-A6A3-3F12A56CC081}" type="sibTrans" cxnId="{3F409E34-BFAE-45FE-A027-0ABAC99B8A84}">
      <dgm:prSet/>
      <dgm:spPr/>
      <dgm:t>
        <a:bodyPr/>
        <a:lstStyle/>
        <a:p>
          <a:endParaRPr lang="es-CO" sz="2000"/>
        </a:p>
      </dgm:t>
    </dgm:pt>
    <dgm:pt modelId="{260FD557-A6C6-4FE3-8993-4A56E5810063}">
      <dgm:prSet custT="1"/>
      <dgm:spPr/>
      <dgm:t>
        <a:bodyPr/>
        <a:lstStyle/>
        <a:p>
          <a:r>
            <a:rPr lang="es-CO" sz="900"/>
            <a:t>Conformación del equipo de trabajo  </a:t>
          </a:r>
        </a:p>
      </dgm:t>
    </dgm:pt>
    <dgm:pt modelId="{99DC8CBA-2F58-4241-815F-B0348FB0A095}" type="parTrans" cxnId="{AE5988E1-7C16-4B0A-ABF6-7C82ABA26687}">
      <dgm:prSet/>
      <dgm:spPr/>
      <dgm:t>
        <a:bodyPr/>
        <a:lstStyle/>
        <a:p>
          <a:endParaRPr lang="es-CO"/>
        </a:p>
      </dgm:t>
    </dgm:pt>
    <dgm:pt modelId="{F96C925A-00E1-4DCD-9FAA-8558FB848EF6}" type="sibTrans" cxnId="{AE5988E1-7C16-4B0A-ABF6-7C82ABA26687}">
      <dgm:prSet/>
      <dgm:spPr/>
      <dgm:t>
        <a:bodyPr/>
        <a:lstStyle/>
        <a:p>
          <a:endParaRPr lang="es-CO"/>
        </a:p>
      </dgm:t>
    </dgm:pt>
    <dgm:pt modelId="{4A7800C9-7D3D-4FD3-A0C8-055EA574631C}">
      <dgm:prSet custT="1"/>
      <dgm:spPr/>
      <dgm:t>
        <a:bodyPr/>
        <a:lstStyle/>
        <a:p>
          <a:r>
            <a:rPr lang="es-CO" sz="900"/>
            <a:t>Chequeo cartografía en campo</a:t>
          </a:r>
        </a:p>
      </dgm:t>
    </dgm:pt>
    <dgm:pt modelId="{E88C88D6-C647-44AC-8F34-1CDDF9D56EAE}" type="parTrans" cxnId="{AF2C1DF1-0917-4A12-AD82-87034F4AA6BD}">
      <dgm:prSet/>
      <dgm:spPr/>
      <dgm:t>
        <a:bodyPr/>
        <a:lstStyle/>
        <a:p>
          <a:endParaRPr lang="es-CO"/>
        </a:p>
      </dgm:t>
    </dgm:pt>
    <dgm:pt modelId="{011E79F5-D3D2-430D-AB83-E364AA563D3C}" type="sibTrans" cxnId="{AF2C1DF1-0917-4A12-AD82-87034F4AA6BD}">
      <dgm:prSet/>
      <dgm:spPr/>
      <dgm:t>
        <a:bodyPr/>
        <a:lstStyle/>
        <a:p>
          <a:endParaRPr lang="es-CO"/>
        </a:p>
      </dgm:t>
    </dgm:pt>
    <dgm:pt modelId="{320F87EC-CED1-4210-8A86-B8F3B4014BD7}">
      <dgm:prSet custT="1"/>
      <dgm:spPr/>
      <dgm:t>
        <a:bodyPr/>
        <a:lstStyle/>
        <a:p>
          <a:r>
            <a:rPr lang="es-CO" sz="900"/>
            <a:t>Desarrollo del premuestreo, ajuste y realización del inventario forestal</a:t>
          </a:r>
        </a:p>
      </dgm:t>
    </dgm:pt>
    <dgm:pt modelId="{3E66B59C-1F4A-4068-B805-1D0FD9DF5EB9}" type="parTrans" cxnId="{B2CEC7D1-0EF3-43E8-A8C4-CA91F9F8B2C6}">
      <dgm:prSet/>
      <dgm:spPr/>
      <dgm:t>
        <a:bodyPr/>
        <a:lstStyle/>
        <a:p>
          <a:endParaRPr lang="es-CO"/>
        </a:p>
      </dgm:t>
    </dgm:pt>
    <dgm:pt modelId="{9C227A2C-DB8C-4F82-9033-31A1665D63A3}" type="sibTrans" cxnId="{B2CEC7D1-0EF3-43E8-A8C4-CA91F9F8B2C6}">
      <dgm:prSet/>
      <dgm:spPr/>
      <dgm:t>
        <a:bodyPr/>
        <a:lstStyle/>
        <a:p>
          <a:endParaRPr lang="es-CO"/>
        </a:p>
      </dgm:t>
    </dgm:pt>
    <dgm:pt modelId="{34106E7C-5D09-4727-92DE-E55E74AC51EE}">
      <dgm:prSet custT="1"/>
      <dgm:spPr/>
      <dgm:t>
        <a:bodyPr/>
        <a:lstStyle/>
        <a:p>
          <a:r>
            <a:rPr lang="es-CO" sz="900"/>
            <a:t>Desarrollo del componente socieconomico</a:t>
          </a:r>
        </a:p>
      </dgm:t>
    </dgm:pt>
    <dgm:pt modelId="{9975E2E8-9436-4F43-A130-25EADB8F15E6}" type="parTrans" cxnId="{6C6EB5FC-FF88-485A-AB17-1DEBD14B1B4D}">
      <dgm:prSet/>
      <dgm:spPr/>
      <dgm:t>
        <a:bodyPr/>
        <a:lstStyle/>
        <a:p>
          <a:endParaRPr lang="es-CO"/>
        </a:p>
      </dgm:t>
    </dgm:pt>
    <dgm:pt modelId="{55FD3231-A594-44A3-9758-E80BFF642EBF}" type="sibTrans" cxnId="{6C6EB5FC-FF88-485A-AB17-1DEBD14B1B4D}">
      <dgm:prSet/>
      <dgm:spPr/>
      <dgm:t>
        <a:bodyPr/>
        <a:lstStyle/>
        <a:p>
          <a:endParaRPr lang="es-CO"/>
        </a:p>
      </dgm:t>
    </dgm:pt>
    <dgm:pt modelId="{275C1FC4-3E17-4EB7-B629-3B18A2C22A68}">
      <dgm:prSet custT="1"/>
      <dgm:spPr/>
      <dgm:t>
        <a:bodyPr/>
        <a:lstStyle/>
        <a:p>
          <a:r>
            <a:rPr lang="es-CO" sz="900"/>
            <a:t>Desarrollo del componente suelos</a:t>
          </a:r>
        </a:p>
      </dgm:t>
    </dgm:pt>
    <dgm:pt modelId="{47FF5181-689E-402C-BA5E-A7F036D82964}" type="parTrans" cxnId="{387F9B62-BA72-46DA-93B7-D805807BFC03}">
      <dgm:prSet/>
      <dgm:spPr/>
      <dgm:t>
        <a:bodyPr/>
        <a:lstStyle/>
        <a:p>
          <a:endParaRPr lang="es-CO"/>
        </a:p>
      </dgm:t>
    </dgm:pt>
    <dgm:pt modelId="{BD9B50B6-A249-4B4C-A504-6B8A26A3E4B7}" type="sibTrans" cxnId="{387F9B62-BA72-46DA-93B7-D805807BFC03}">
      <dgm:prSet/>
      <dgm:spPr/>
      <dgm:t>
        <a:bodyPr/>
        <a:lstStyle/>
        <a:p>
          <a:endParaRPr lang="es-CO"/>
        </a:p>
      </dgm:t>
    </dgm:pt>
    <dgm:pt modelId="{0C7E1392-1B2E-4473-98A3-7DB95B0F3E41}">
      <dgm:prSet custT="1"/>
      <dgm:spPr/>
      <dgm:t>
        <a:bodyPr/>
        <a:lstStyle/>
        <a:p>
          <a:r>
            <a:rPr lang="es-CO" sz="900"/>
            <a:t>Desarrollo del componente fauna</a:t>
          </a:r>
        </a:p>
      </dgm:t>
    </dgm:pt>
    <dgm:pt modelId="{1BB85BBF-AE3C-4053-94E1-A07AA9D27118}" type="parTrans" cxnId="{21FF54B0-7061-409D-AA77-9C011DC7E50B}">
      <dgm:prSet/>
      <dgm:spPr/>
      <dgm:t>
        <a:bodyPr/>
        <a:lstStyle/>
        <a:p>
          <a:endParaRPr lang="es-CO"/>
        </a:p>
      </dgm:t>
    </dgm:pt>
    <dgm:pt modelId="{170804D9-020B-4492-BDDC-2864E2B9B088}" type="sibTrans" cxnId="{21FF54B0-7061-409D-AA77-9C011DC7E50B}">
      <dgm:prSet/>
      <dgm:spPr/>
      <dgm:t>
        <a:bodyPr/>
        <a:lstStyle/>
        <a:p>
          <a:endParaRPr lang="es-CO"/>
        </a:p>
      </dgm:t>
    </dgm:pt>
    <dgm:pt modelId="{FB36F50F-332B-41E1-B818-61C37228C5CE}">
      <dgm:prSet custT="1"/>
      <dgm:spPr/>
      <dgm:t>
        <a:bodyPr/>
        <a:lstStyle/>
        <a:p>
          <a:r>
            <a:rPr lang="es-CO" sz="900"/>
            <a:t>Armonización de los POF con actores locales y regionales</a:t>
          </a:r>
        </a:p>
      </dgm:t>
    </dgm:pt>
    <dgm:pt modelId="{1B402964-486C-4D88-B25B-BFBD3B7CB725}" type="parTrans" cxnId="{44A4FD8C-B715-4763-9E06-4EBC7F129D51}">
      <dgm:prSet/>
      <dgm:spPr/>
      <dgm:t>
        <a:bodyPr/>
        <a:lstStyle/>
        <a:p>
          <a:endParaRPr lang="es-CO"/>
        </a:p>
      </dgm:t>
    </dgm:pt>
    <dgm:pt modelId="{2F60FF59-EE81-4035-BCD0-A1A526D6233D}" type="sibTrans" cxnId="{44A4FD8C-B715-4763-9E06-4EBC7F129D51}">
      <dgm:prSet/>
      <dgm:spPr/>
      <dgm:t>
        <a:bodyPr/>
        <a:lstStyle/>
        <a:p>
          <a:endParaRPr lang="es-CO"/>
        </a:p>
      </dgm:t>
    </dgm:pt>
    <dgm:pt modelId="{2DDC3C6B-EB89-41BC-9626-2C8602AFD180}">
      <dgm:prSet custT="1"/>
      <dgm:spPr/>
      <dgm:t>
        <a:bodyPr/>
        <a:lstStyle/>
        <a:p>
          <a:r>
            <a:rPr lang="es-CO" sz="900"/>
            <a:t>Edición y ajustes de los POF</a:t>
          </a:r>
        </a:p>
      </dgm:t>
    </dgm:pt>
    <dgm:pt modelId="{8CA01F60-749A-4F13-A5F9-52959A1E5ACD}" type="parTrans" cxnId="{CBF95272-9C66-408A-9CF3-C7F12DD60BBE}">
      <dgm:prSet/>
      <dgm:spPr/>
      <dgm:t>
        <a:bodyPr/>
        <a:lstStyle/>
        <a:p>
          <a:endParaRPr lang="es-CO"/>
        </a:p>
      </dgm:t>
    </dgm:pt>
    <dgm:pt modelId="{4EF9A5D6-D9ED-4637-A11E-A0AF0603FCE7}" type="sibTrans" cxnId="{CBF95272-9C66-408A-9CF3-C7F12DD60BBE}">
      <dgm:prSet/>
      <dgm:spPr/>
      <dgm:t>
        <a:bodyPr/>
        <a:lstStyle/>
        <a:p>
          <a:endParaRPr lang="es-CO"/>
        </a:p>
      </dgm:t>
    </dgm:pt>
    <dgm:pt modelId="{29647C36-AD56-480A-B274-AFD85B8257AC}">
      <dgm:prSet custT="1"/>
      <dgm:spPr/>
      <dgm:t>
        <a:bodyPr/>
        <a:lstStyle/>
        <a:p>
          <a:r>
            <a:rPr lang="es-CO" sz="900"/>
            <a:t>Actualización de los POF  </a:t>
          </a:r>
        </a:p>
      </dgm:t>
    </dgm:pt>
    <dgm:pt modelId="{8B89DDF0-7CED-46E8-8F61-0B17466698FF}" type="sibTrans" cxnId="{F617155A-07A4-40C6-B9E5-6E820D5C2875}">
      <dgm:prSet/>
      <dgm:spPr/>
      <dgm:t>
        <a:bodyPr/>
        <a:lstStyle/>
        <a:p>
          <a:endParaRPr lang="es-CO" sz="2000"/>
        </a:p>
      </dgm:t>
    </dgm:pt>
    <dgm:pt modelId="{4CAE2BE9-B466-4310-88AB-C78BF23B7371}" type="parTrans" cxnId="{F617155A-07A4-40C6-B9E5-6E820D5C2875}">
      <dgm:prSet/>
      <dgm:spPr/>
      <dgm:t>
        <a:bodyPr/>
        <a:lstStyle/>
        <a:p>
          <a:endParaRPr lang="es-CO" sz="2000"/>
        </a:p>
      </dgm:t>
    </dgm:pt>
    <dgm:pt modelId="{477C0414-2F64-47A3-9675-FE2E4F8C4A83}">
      <dgm:prSet custT="1"/>
      <dgm:spPr/>
      <dgm:t>
        <a:bodyPr/>
        <a:lstStyle/>
        <a:p>
          <a:r>
            <a:rPr lang="es-CO" sz="900"/>
            <a:t> Formulación del POF para cada área forestal de la UOF</a:t>
          </a:r>
        </a:p>
      </dgm:t>
    </dgm:pt>
    <dgm:pt modelId="{211F0972-F335-42CF-8898-D6AD2F24BDF4}" type="parTrans" cxnId="{3673614D-FB3D-4D84-B4D5-C1C1FEB93DC6}">
      <dgm:prSet/>
      <dgm:spPr/>
      <dgm:t>
        <a:bodyPr/>
        <a:lstStyle/>
        <a:p>
          <a:endParaRPr lang="es-CO"/>
        </a:p>
      </dgm:t>
    </dgm:pt>
    <dgm:pt modelId="{8249E61B-7B06-45EC-87B1-4624BFB202FC}" type="sibTrans" cxnId="{3673614D-FB3D-4D84-B4D5-C1C1FEB93DC6}">
      <dgm:prSet/>
      <dgm:spPr/>
      <dgm:t>
        <a:bodyPr/>
        <a:lstStyle/>
        <a:p>
          <a:endParaRPr lang="es-CO"/>
        </a:p>
      </dgm:t>
    </dgm:pt>
    <dgm:pt modelId="{1DEF4F99-0D10-4E54-A0BF-F9524F830250}" type="pres">
      <dgm:prSet presAssocID="{DCD48D7A-4B03-4423-8CB5-5C5D79405805}" presName="linear" presStyleCnt="0">
        <dgm:presLayoutVars>
          <dgm:dir/>
          <dgm:animLvl val="lvl"/>
          <dgm:resizeHandles val="exact"/>
        </dgm:presLayoutVars>
      </dgm:prSet>
      <dgm:spPr/>
    </dgm:pt>
    <dgm:pt modelId="{2FA5CF8F-DEE2-445C-8A9F-A5B19AA1EC66}" type="pres">
      <dgm:prSet presAssocID="{2CB7F8B1-2637-4408-9185-3A95A2E4D4D4}" presName="parentLin" presStyleCnt="0"/>
      <dgm:spPr/>
    </dgm:pt>
    <dgm:pt modelId="{545F5493-E5D3-45CD-9407-AD3146FF5B66}" type="pres">
      <dgm:prSet presAssocID="{2CB7F8B1-2637-4408-9185-3A95A2E4D4D4}" presName="parentLeftMargin" presStyleLbl="node1" presStyleIdx="0" presStyleCnt="7"/>
      <dgm:spPr/>
    </dgm:pt>
    <dgm:pt modelId="{E6E34545-7A70-45F5-AF30-5300FEAF0CB4}" type="pres">
      <dgm:prSet presAssocID="{2CB7F8B1-2637-4408-9185-3A95A2E4D4D4}" presName="parentText" presStyleLbl="node1" presStyleIdx="0" presStyleCnt="7">
        <dgm:presLayoutVars>
          <dgm:chMax val="0"/>
          <dgm:bulletEnabled val="1"/>
        </dgm:presLayoutVars>
      </dgm:prSet>
      <dgm:spPr/>
    </dgm:pt>
    <dgm:pt modelId="{EF9B6E2C-EF0B-4D48-9074-55D69A90DE21}" type="pres">
      <dgm:prSet presAssocID="{2CB7F8B1-2637-4408-9185-3A95A2E4D4D4}" presName="negativeSpace" presStyleCnt="0"/>
      <dgm:spPr/>
    </dgm:pt>
    <dgm:pt modelId="{35D5CD7D-3A20-4EB8-B442-65E54571D39E}" type="pres">
      <dgm:prSet presAssocID="{2CB7F8B1-2637-4408-9185-3A95A2E4D4D4}" presName="childText" presStyleLbl="conFgAcc1" presStyleIdx="0" presStyleCnt="7" custLinFactNeighborX="210" custLinFactNeighborY="66562">
        <dgm:presLayoutVars>
          <dgm:bulletEnabled val="1"/>
        </dgm:presLayoutVars>
      </dgm:prSet>
      <dgm:spPr/>
    </dgm:pt>
    <dgm:pt modelId="{AB83843B-19AA-4C45-ACB9-0772D543D28B}" type="pres">
      <dgm:prSet presAssocID="{1E2C00AA-92AD-4DFD-ADBE-9EE00E1BF72B}" presName="spaceBetweenRectangles" presStyleCnt="0"/>
      <dgm:spPr/>
    </dgm:pt>
    <dgm:pt modelId="{55019F05-739C-499C-85AD-7269005767A1}" type="pres">
      <dgm:prSet presAssocID="{8069E184-766F-4E8B-A1E8-51EDBCF8B787}" presName="parentLin" presStyleCnt="0"/>
      <dgm:spPr/>
    </dgm:pt>
    <dgm:pt modelId="{8FFBFEAB-4C29-43E1-9195-E019257224C0}" type="pres">
      <dgm:prSet presAssocID="{8069E184-766F-4E8B-A1E8-51EDBCF8B787}" presName="parentLeftMargin" presStyleLbl="node1" presStyleIdx="0" presStyleCnt="7"/>
      <dgm:spPr/>
    </dgm:pt>
    <dgm:pt modelId="{C4175353-957F-4B0A-882A-9D65932C4C45}" type="pres">
      <dgm:prSet presAssocID="{8069E184-766F-4E8B-A1E8-51EDBCF8B787}" presName="parentText" presStyleLbl="node1" presStyleIdx="1" presStyleCnt="7" custLinFactNeighborX="7859" custLinFactNeighborY="9302">
        <dgm:presLayoutVars>
          <dgm:chMax val="0"/>
          <dgm:bulletEnabled val="1"/>
        </dgm:presLayoutVars>
      </dgm:prSet>
      <dgm:spPr/>
    </dgm:pt>
    <dgm:pt modelId="{0862C50F-306A-4E6B-A23B-07B15ECDE9F7}" type="pres">
      <dgm:prSet presAssocID="{8069E184-766F-4E8B-A1E8-51EDBCF8B787}" presName="negativeSpace" presStyleCnt="0"/>
      <dgm:spPr/>
    </dgm:pt>
    <dgm:pt modelId="{BEC4ABD6-0E89-47BE-B95E-5D5D71B73DA1}" type="pres">
      <dgm:prSet presAssocID="{8069E184-766F-4E8B-A1E8-51EDBCF8B787}" presName="childText" presStyleLbl="conFgAcc1" presStyleIdx="1" presStyleCnt="7" custLinFactNeighborY="66562">
        <dgm:presLayoutVars>
          <dgm:bulletEnabled val="1"/>
        </dgm:presLayoutVars>
      </dgm:prSet>
      <dgm:spPr/>
    </dgm:pt>
    <dgm:pt modelId="{BEB87FCE-F499-4870-8AB0-98F9F509D50E}" type="pres">
      <dgm:prSet presAssocID="{93F1D987-E557-4E03-8C29-D08B5E8AAD1B}" presName="spaceBetweenRectangles" presStyleCnt="0"/>
      <dgm:spPr/>
    </dgm:pt>
    <dgm:pt modelId="{3AA816E6-3A8D-45C3-B0AF-DCE6C0F7D52F}" type="pres">
      <dgm:prSet presAssocID="{717ECC8B-6813-4A27-9DC1-A0349E570257}" presName="parentLin" presStyleCnt="0"/>
      <dgm:spPr/>
    </dgm:pt>
    <dgm:pt modelId="{9702987D-0E97-487C-8CCC-50D92DF3BD3E}" type="pres">
      <dgm:prSet presAssocID="{717ECC8B-6813-4A27-9DC1-A0349E570257}" presName="parentLeftMargin" presStyleLbl="node1" presStyleIdx="1" presStyleCnt="7"/>
      <dgm:spPr/>
    </dgm:pt>
    <dgm:pt modelId="{2F94551E-AD58-4389-A867-ACC7E854241D}" type="pres">
      <dgm:prSet presAssocID="{717ECC8B-6813-4A27-9DC1-A0349E570257}" presName="parentText" presStyleLbl="node1" presStyleIdx="2" presStyleCnt="7" custLinFactNeighborX="-3930" custLinFactNeighborY="9302">
        <dgm:presLayoutVars>
          <dgm:chMax val="0"/>
          <dgm:bulletEnabled val="1"/>
        </dgm:presLayoutVars>
      </dgm:prSet>
      <dgm:spPr/>
    </dgm:pt>
    <dgm:pt modelId="{0B0D6F0B-4DEB-4B88-B257-B59830E60C59}" type="pres">
      <dgm:prSet presAssocID="{717ECC8B-6813-4A27-9DC1-A0349E570257}" presName="negativeSpace" presStyleCnt="0"/>
      <dgm:spPr/>
    </dgm:pt>
    <dgm:pt modelId="{3BC1BA34-3099-48F7-ADCC-C59CA8F05523}" type="pres">
      <dgm:prSet presAssocID="{717ECC8B-6813-4A27-9DC1-A0349E570257}" presName="childText" presStyleLbl="conFgAcc1" presStyleIdx="2" presStyleCnt="7" custScaleY="93432" custLinFactNeighborY="66561">
        <dgm:presLayoutVars>
          <dgm:bulletEnabled val="1"/>
        </dgm:presLayoutVars>
      </dgm:prSet>
      <dgm:spPr/>
    </dgm:pt>
    <dgm:pt modelId="{ED98C6C5-10F9-43FD-B588-4DD8CA453F1D}" type="pres">
      <dgm:prSet presAssocID="{60E19195-CF68-47DE-9785-66C048977208}" presName="spaceBetweenRectangles" presStyleCnt="0"/>
      <dgm:spPr/>
    </dgm:pt>
    <dgm:pt modelId="{15A1C469-7C3A-4EBC-B23A-4CE4DD373580}" type="pres">
      <dgm:prSet presAssocID="{D67F9A5A-5E88-44A1-939C-135CE3AF4041}" presName="parentLin" presStyleCnt="0"/>
      <dgm:spPr/>
    </dgm:pt>
    <dgm:pt modelId="{3B8B29A2-8F27-4747-815F-4C192BC39EFB}" type="pres">
      <dgm:prSet presAssocID="{D67F9A5A-5E88-44A1-939C-135CE3AF4041}" presName="parentLeftMargin" presStyleLbl="node1" presStyleIdx="2" presStyleCnt="7"/>
      <dgm:spPr/>
    </dgm:pt>
    <dgm:pt modelId="{514BAA5A-25A1-407B-9E98-4F585743FC17}" type="pres">
      <dgm:prSet presAssocID="{D67F9A5A-5E88-44A1-939C-135CE3AF4041}" presName="parentText" presStyleLbl="node1" presStyleIdx="3" presStyleCnt="7" custLinFactNeighborY="9302">
        <dgm:presLayoutVars>
          <dgm:chMax val="0"/>
          <dgm:bulletEnabled val="1"/>
        </dgm:presLayoutVars>
      </dgm:prSet>
      <dgm:spPr/>
    </dgm:pt>
    <dgm:pt modelId="{584AD0D6-0EBE-40B3-A5EF-BEFBE1FDD233}" type="pres">
      <dgm:prSet presAssocID="{D67F9A5A-5E88-44A1-939C-135CE3AF4041}" presName="negativeSpace" presStyleCnt="0"/>
      <dgm:spPr/>
    </dgm:pt>
    <dgm:pt modelId="{06ACE6F8-0FA9-44AE-BA37-8718AB57D422}" type="pres">
      <dgm:prSet presAssocID="{D67F9A5A-5E88-44A1-939C-135CE3AF4041}" presName="childText" presStyleLbl="conFgAcc1" presStyleIdx="3" presStyleCnt="7" custLinFactY="571" custLinFactNeighborY="100000">
        <dgm:presLayoutVars>
          <dgm:bulletEnabled val="1"/>
        </dgm:presLayoutVars>
      </dgm:prSet>
      <dgm:spPr/>
    </dgm:pt>
    <dgm:pt modelId="{728F8364-6B69-4FB1-8CEE-FE0453B48F74}" type="pres">
      <dgm:prSet presAssocID="{5865B6AA-9A9D-46ED-B85D-61C566F91B2B}" presName="spaceBetweenRectangles" presStyleCnt="0"/>
      <dgm:spPr/>
    </dgm:pt>
    <dgm:pt modelId="{2FED5211-A15F-4937-8626-A219A5AF8F6A}" type="pres">
      <dgm:prSet presAssocID="{CF4F553E-C1BC-4366-8D1F-2538C739F34D}" presName="parentLin" presStyleCnt="0"/>
      <dgm:spPr/>
    </dgm:pt>
    <dgm:pt modelId="{96E24B0A-8F37-4257-B7B3-645FB1DA6A85}" type="pres">
      <dgm:prSet presAssocID="{CF4F553E-C1BC-4366-8D1F-2538C739F34D}" presName="parentLeftMargin" presStyleLbl="node1" presStyleIdx="3" presStyleCnt="7"/>
      <dgm:spPr/>
    </dgm:pt>
    <dgm:pt modelId="{72C2FA48-4513-4CD5-8267-CAFA222E040F}" type="pres">
      <dgm:prSet presAssocID="{CF4F553E-C1BC-4366-8D1F-2538C739F34D}" presName="parentText" presStyleLbl="node1" presStyleIdx="4" presStyleCnt="7" custLinFactNeighborX="-3930" custLinFactNeighborY="15503">
        <dgm:presLayoutVars>
          <dgm:chMax val="0"/>
          <dgm:bulletEnabled val="1"/>
        </dgm:presLayoutVars>
      </dgm:prSet>
      <dgm:spPr/>
    </dgm:pt>
    <dgm:pt modelId="{C5574D53-E5B2-4961-BC19-B9AEEE8D8A74}" type="pres">
      <dgm:prSet presAssocID="{CF4F553E-C1BC-4366-8D1F-2538C739F34D}" presName="negativeSpace" presStyleCnt="0"/>
      <dgm:spPr/>
    </dgm:pt>
    <dgm:pt modelId="{4EFCDA67-9C44-44DD-A910-D775D3C6B542}" type="pres">
      <dgm:prSet presAssocID="{CF4F553E-C1BC-4366-8D1F-2538C739F34D}" presName="childText" presStyleLbl="conFgAcc1" presStyleIdx="4" presStyleCnt="7" custScaleY="87228" custLinFactNeighborY="79873">
        <dgm:presLayoutVars>
          <dgm:bulletEnabled val="1"/>
        </dgm:presLayoutVars>
      </dgm:prSet>
      <dgm:spPr/>
    </dgm:pt>
    <dgm:pt modelId="{44903029-1598-44FF-927B-4388D5E8763C}" type="pres">
      <dgm:prSet presAssocID="{94558B0E-E006-4B59-8C83-CEE5060F8235}" presName="spaceBetweenRectangles" presStyleCnt="0"/>
      <dgm:spPr/>
    </dgm:pt>
    <dgm:pt modelId="{86EE8AB6-545B-4020-AEC6-19F34F74D919}" type="pres">
      <dgm:prSet presAssocID="{0E652C00-4F5E-4225-B0DE-1E16E467F052}" presName="parentLin" presStyleCnt="0"/>
      <dgm:spPr/>
    </dgm:pt>
    <dgm:pt modelId="{C7C02459-324F-4CBA-B9A7-D10266029FAC}" type="pres">
      <dgm:prSet presAssocID="{0E652C00-4F5E-4225-B0DE-1E16E467F052}" presName="parentLeftMargin" presStyleLbl="node1" presStyleIdx="4" presStyleCnt="7"/>
      <dgm:spPr/>
    </dgm:pt>
    <dgm:pt modelId="{4E9F94DE-8CF1-4FE7-9A6B-53CB416743FC}" type="pres">
      <dgm:prSet presAssocID="{0E652C00-4F5E-4225-B0DE-1E16E467F052}" presName="parentText" presStyleLbl="node1" presStyleIdx="5" presStyleCnt="7" custLinFactNeighborY="12402">
        <dgm:presLayoutVars>
          <dgm:chMax val="0"/>
          <dgm:bulletEnabled val="1"/>
        </dgm:presLayoutVars>
      </dgm:prSet>
      <dgm:spPr/>
    </dgm:pt>
    <dgm:pt modelId="{DD8C64AD-F0AB-4DAF-BD3D-6848B3517AE4}" type="pres">
      <dgm:prSet presAssocID="{0E652C00-4F5E-4225-B0DE-1E16E467F052}" presName="negativeSpace" presStyleCnt="0"/>
      <dgm:spPr/>
    </dgm:pt>
    <dgm:pt modelId="{FA8C06B1-BAA1-4827-A601-D14B18466DB6}" type="pres">
      <dgm:prSet presAssocID="{0E652C00-4F5E-4225-B0DE-1E16E467F052}" presName="childText" presStyleLbl="conFgAcc1" presStyleIdx="5" presStyleCnt="7" custLinFactNeighborY="66562">
        <dgm:presLayoutVars>
          <dgm:bulletEnabled val="1"/>
        </dgm:presLayoutVars>
      </dgm:prSet>
      <dgm:spPr/>
    </dgm:pt>
    <dgm:pt modelId="{D62CC520-BE4A-45F5-85CF-6F1FF6479E7B}" type="pres">
      <dgm:prSet presAssocID="{49049186-C28C-4B3F-A75E-A3310F719D8A}" presName="spaceBetweenRectangles" presStyleCnt="0"/>
      <dgm:spPr/>
    </dgm:pt>
    <dgm:pt modelId="{0ACFCED0-6DBF-47C9-BEFF-1C22DE7DB9F3}" type="pres">
      <dgm:prSet presAssocID="{38D6ECF3-9DC0-4FA5-AA85-AE678086D86F}" presName="parentLin" presStyleCnt="0"/>
      <dgm:spPr/>
    </dgm:pt>
    <dgm:pt modelId="{A03587EF-2C72-4284-B879-B71BE0640BA4}" type="pres">
      <dgm:prSet presAssocID="{38D6ECF3-9DC0-4FA5-AA85-AE678086D86F}" presName="parentLeftMargin" presStyleLbl="node1" presStyleIdx="5" presStyleCnt="7"/>
      <dgm:spPr/>
    </dgm:pt>
    <dgm:pt modelId="{0BB363C2-1000-4D63-89E1-75C121258685}" type="pres">
      <dgm:prSet presAssocID="{38D6ECF3-9DC0-4FA5-AA85-AE678086D86F}" presName="parentText" presStyleLbl="node1" presStyleIdx="6" presStyleCnt="7" custLinFactNeighborX="3930" custLinFactNeighborY="12402">
        <dgm:presLayoutVars>
          <dgm:chMax val="0"/>
          <dgm:bulletEnabled val="1"/>
        </dgm:presLayoutVars>
      </dgm:prSet>
      <dgm:spPr/>
    </dgm:pt>
    <dgm:pt modelId="{C9B2B30D-0668-43BB-8909-432202A9EDB4}" type="pres">
      <dgm:prSet presAssocID="{38D6ECF3-9DC0-4FA5-AA85-AE678086D86F}" presName="negativeSpace" presStyleCnt="0"/>
      <dgm:spPr/>
    </dgm:pt>
    <dgm:pt modelId="{77262FC2-D56C-47EC-A6D3-390D5DF0E708}" type="pres">
      <dgm:prSet presAssocID="{38D6ECF3-9DC0-4FA5-AA85-AE678086D86F}" presName="childText" presStyleLbl="conFgAcc1" presStyleIdx="6" presStyleCnt="7" custLinFactNeighborY="19481">
        <dgm:presLayoutVars>
          <dgm:bulletEnabled val="1"/>
        </dgm:presLayoutVars>
      </dgm:prSet>
      <dgm:spPr/>
    </dgm:pt>
  </dgm:ptLst>
  <dgm:cxnLst>
    <dgm:cxn modelId="{86BCD402-AC25-4EFC-9A1D-FA632AC7B6B7}" type="presOf" srcId="{D67F9A5A-5E88-44A1-939C-135CE3AF4041}" destId="{514BAA5A-25A1-407B-9E98-4F585743FC17}" srcOrd="1" destOrd="0" presId="urn:microsoft.com/office/officeart/2005/8/layout/list1"/>
    <dgm:cxn modelId="{86FF9304-A88E-4E74-AECB-FD793CD64EBE}" srcId="{717ECC8B-6813-4A27-9DC1-A0349E570257}" destId="{90932CD4-98AF-4D20-B3A5-3F4217DAB33C}" srcOrd="0" destOrd="0" parTransId="{D4A14047-4231-4EAE-82B4-884A078437F6}" sibTransId="{678DBBEA-15F8-4CEC-BE62-3B0B23BED2F8}"/>
    <dgm:cxn modelId="{1FF54305-BFB2-4855-ACDA-8F153FA4F52D}" type="presOf" srcId="{8069E184-766F-4E8B-A1E8-51EDBCF8B787}" destId="{8FFBFEAB-4C29-43E1-9195-E019257224C0}" srcOrd="0" destOrd="0" presId="urn:microsoft.com/office/officeart/2005/8/layout/list1"/>
    <dgm:cxn modelId="{39949B06-98CA-426A-A4A6-EA0210D2BAFD}" type="presOf" srcId="{DCD48D7A-4B03-4423-8CB5-5C5D79405805}" destId="{1DEF4F99-0D10-4E54-A0BF-F9524F830250}" srcOrd="0" destOrd="0" presId="urn:microsoft.com/office/officeart/2005/8/layout/list1"/>
    <dgm:cxn modelId="{09C94807-2443-4E06-A6A2-8ACA048AF36F}" type="presOf" srcId="{0E652C00-4F5E-4225-B0DE-1E16E467F052}" destId="{4E9F94DE-8CF1-4FE7-9A6B-53CB416743FC}" srcOrd="1" destOrd="0" presId="urn:microsoft.com/office/officeart/2005/8/layout/list1"/>
    <dgm:cxn modelId="{E56EA914-32FC-4F01-AE21-F02AF3BAD451}" srcId="{DCD48D7A-4B03-4423-8CB5-5C5D79405805}" destId="{D67F9A5A-5E88-44A1-939C-135CE3AF4041}" srcOrd="3" destOrd="0" parTransId="{147BBB2B-EBFD-43A6-B289-2DA32B306280}" sibTransId="{5865B6AA-9A9D-46ED-B85D-61C566F91B2B}"/>
    <dgm:cxn modelId="{84B27017-A550-4955-B34A-A6F39E2DEC14}" srcId="{38D6ECF3-9DC0-4FA5-AA85-AE678086D86F}" destId="{7AD3D970-693A-46CB-93F2-8719BB4A2138}" srcOrd="0" destOrd="0" parTransId="{76659B4B-2119-4F3E-A632-F083A9E2AF61}" sibTransId="{004D6EF7-97F6-4EB3-9B3E-229E15C08DFD}"/>
    <dgm:cxn modelId="{81798117-7F32-4512-A9BE-FB15A365DCF2}" type="presOf" srcId="{477C0414-2F64-47A3-9675-FE2E4F8C4A83}" destId="{06ACE6F8-0FA9-44AE-BA37-8718AB57D422}" srcOrd="0" destOrd="3" presId="urn:microsoft.com/office/officeart/2005/8/layout/list1"/>
    <dgm:cxn modelId="{DF270C1B-8DAC-4DC2-9C2B-404524166343}" srcId="{DCD48D7A-4B03-4423-8CB5-5C5D79405805}" destId="{2CB7F8B1-2637-4408-9185-3A95A2E4D4D4}" srcOrd="0" destOrd="0" parTransId="{64144A9E-10F1-4862-BFC7-09D5896ACB2E}" sibTransId="{1E2C00AA-92AD-4DFD-ADBE-9EE00E1BF72B}"/>
    <dgm:cxn modelId="{228A001C-DFEF-4BA8-8945-6B052FD3DB06}" srcId="{DCD48D7A-4B03-4423-8CB5-5C5D79405805}" destId="{38D6ECF3-9DC0-4FA5-AA85-AE678086D86F}" srcOrd="6" destOrd="0" parTransId="{CA07B11D-A281-4474-956D-CE017D55096D}" sibTransId="{23F1DCF5-3AF5-46F5-8EBA-1B227FFDA68A}"/>
    <dgm:cxn modelId="{64B9461D-EAC6-4AD6-8946-7E802054283C}" srcId="{D67F9A5A-5E88-44A1-939C-135CE3AF4041}" destId="{CF379588-8D99-446E-9DA3-7D31B1AC5467}" srcOrd="0" destOrd="0" parTransId="{C53496FF-16AA-4B86-9A97-C210D3425615}" sibTransId="{FA04A515-77A5-47E1-9A21-427002F75BBD}"/>
    <dgm:cxn modelId="{0F5FD01F-7C50-4552-ACA8-1BCD7B93BC0C}" type="presOf" srcId="{275C1FC4-3E17-4EB7-B629-3B18A2C22A68}" destId="{3BC1BA34-3099-48F7-ADCC-C59CA8F05523}" srcOrd="0" destOrd="5" presId="urn:microsoft.com/office/officeart/2005/8/layout/list1"/>
    <dgm:cxn modelId="{ABA36423-4ADF-4BC2-B9D4-4551354C1F10}" srcId="{DCD48D7A-4B03-4423-8CB5-5C5D79405805}" destId="{0E652C00-4F5E-4225-B0DE-1E16E467F052}" srcOrd="5" destOrd="0" parTransId="{6B4BA892-C7B2-40DA-97EE-3611027033ED}" sibTransId="{49049186-C28C-4B3F-A75E-A3310F719D8A}"/>
    <dgm:cxn modelId="{C7F3AF26-7028-4FBC-A3B8-442CFA4F4A7F}" type="presOf" srcId="{4A7800C9-7D3D-4FD3-A0C8-055EA574631C}" destId="{3BC1BA34-3099-48F7-ADCC-C59CA8F05523}" srcOrd="0" destOrd="1" presId="urn:microsoft.com/office/officeart/2005/8/layout/list1"/>
    <dgm:cxn modelId="{FAE50C2E-D4BD-46F3-ACBD-9DE02637A7D6}" srcId="{CF4F553E-C1BC-4366-8D1F-2538C739F34D}" destId="{C14DAE80-C9AD-4DF2-AB00-76A03871C660}" srcOrd="0" destOrd="0" parTransId="{1B35EC25-3A5D-44C3-8EC6-1F67B5E94F65}" sibTransId="{EB3C29DE-5BFD-45F2-B15E-ED5B03F68740}"/>
    <dgm:cxn modelId="{3F409E34-BFAE-45FE-A027-0ABAC99B8A84}" srcId="{38D6ECF3-9DC0-4FA5-AA85-AE678086D86F}" destId="{92E8A65F-F99F-488E-AF0A-565C72278797}" srcOrd="1" destOrd="0" parTransId="{66E38FC8-C18A-470F-A205-AE2365A9DE78}" sibTransId="{B79C7341-D380-4E6F-A6A3-3F12A56CC081}"/>
    <dgm:cxn modelId="{E923423D-189A-42D5-94FC-8E1EFC60C632}" type="presOf" srcId="{D49A736D-D090-4C3F-B7C8-90E12189F4E6}" destId="{35D5CD7D-3A20-4EB8-B442-65E54571D39E}" srcOrd="0" destOrd="0" presId="urn:microsoft.com/office/officeart/2005/8/layout/list1"/>
    <dgm:cxn modelId="{3BF7423E-3DB0-4A87-A18C-2FC41867B2B4}" srcId="{8069E184-766F-4E8B-A1E8-51EDBCF8B787}" destId="{4E33CAE3-BFA7-460A-ADA1-9740AF500CD1}" srcOrd="0" destOrd="0" parTransId="{9DB4B8DC-C792-4F88-B9F0-3F8C466B68ED}" sibTransId="{4C4701A6-649F-4B75-8728-83D55A5A5663}"/>
    <dgm:cxn modelId="{6E3F353F-69A6-470A-90DF-68C45401EC8C}" type="presOf" srcId="{CF4F553E-C1BC-4366-8D1F-2538C739F34D}" destId="{96E24B0A-8F37-4257-B7B3-645FB1DA6A85}" srcOrd="0" destOrd="0" presId="urn:microsoft.com/office/officeart/2005/8/layout/list1"/>
    <dgm:cxn modelId="{53E3005D-DDEB-4AC2-998E-187B375B14B2}" type="presOf" srcId="{4E33CAE3-BFA7-460A-ADA1-9740AF500CD1}" destId="{BEC4ABD6-0E89-47BE-B95E-5D5D71B73DA1}" srcOrd="0" destOrd="0" presId="urn:microsoft.com/office/officeart/2005/8/layout/list1"/>
    <dgm:cxn modelId="{387F9B62-BA72-46DA-93B7-D805807BFC03}" srcId="{717ECC8B-6813-4A27-9DC1-A0349E570257}" destId="{275C1FC4-3E17-4EB7-B629-3B18A2C22A68}" srcOrd="5" destOrd="0" parTransId="{47FF5181-689E-402C-BA5E-A7F036D82964}" sibTransId="{BD9B50B6-A249-4B4C-A504-6B8A26A3E4B7}"/>
    <dgm:cxn modelId="{66F80349-2184-4386-B9D3-B0DFF876CB84}" srcId="{0E652C00-4F5E-4225-B0DE-1E16E467F052}" destId="{6632AE42-4A3F-47A4-991F-05B67D9E15A4}" srcOrd="1" destOrd="0" parTransId="{EA24CD28-DA30-489E-812A-8D006AD804E2}" sibTransId="{413A0DEC-0431-4D0A-9CF6-9F28DD448962}"/>
    <dgm:cxn modelId="{91767749-E65F-449F-BD07-C9B78444673B}" type="presOf" srcId="{8069E184-766F-4E8B-A1E8-51EDBCF8B787}" destId="{C4175353-957F-4B0A-882A-9D65932C4C45}" srcOrd="1" destOrd="0" presId="urn:microsoft.com/office/officeart/2005/8/layout/list1"/>
    <dgm:cxn modelId="{14F3064A-33D5-4A50-A94F-22EB976BA100}" type="presOf" srcId="{789B5BC8-288B-4DDA-AB25-039F66BEA3B1}" destId="{35D5CD7D-3A20-4EB8-B442-65E54571D39E}" srcOrd="0" destOrd="1" presId="urn:microsoft.com/office/officeart/2005/8/layout/list1"/>
    <dgm:cxn modelId="{31AA144C-E5AF-41D8-8CB7-8A2D48F310D0}" type="presOf" srcId="{51776FAA-A67F-43C9-93A9-09460B1195D0}" destId="{06ACE6F8-0FA9-44AE-BA37-8718AB57D422}" srcOrd="0" destOrd="2" presId="urn:microsoft.com/office/officeart/2005/8/layout/list1"/>
    <dgm:cxn modelId="{47FA276C-8AB9-4C50-93CB-3C240B93E4C4}" srcId="{8069E184-766F-4E8B-A1E8-51EDBCF8B787}" destId="{C8F6D009-A118-4555-A677-CBA61BF6F0D5}" srcOrd="2" destOrd="0" parTransId="{C71E5930-069B-45A4-B7EB-02FF81630C0E}" sibTransId="{EC10895F-10B2-42FD-BCC8-4993E1130164}"/>
    <dgm:cxn modelId="{3673614D-FB3D-4D84-B4D5-C1C1FEB93DC6}" srcId="{D67F9A5A-5E88-44A1-939C-135CE3AF4041}" destId="{477C0414-2F64-47A3-9675-FE2E4F8C4A83}" srcOrd="3" destOrd="0" parTransId="{211F0972-F335-42CF-8898-D6AD2F24BDF4}" sibTransId="{8249E61B-7B06-45EC-87B1-4624BFB202FC}"/>
    <dgm:cxn modelId="{10D3294F-F4FE-4252-AA72-A2630A60CBB1}" type="presOf" srcId="{CF4F553E-C1BC-4366-8D1F-2538C739F34D}" destId="{72C2FA48-4513-4CD5-8267-CAFA222E040F}" srcOrd="1" destOrd="0" presId="urn:microsoft.com/office/officeart/2005/8/layout/list1"/>
    <dgm:cxn modelId="{CBF95272-9C66-408A-9CF3-C7F12DD60BBE}" srcId="{CF4F553E-C1BC-4366-8D1F-2538C739F34D}" destId="{2DDC3C6B-EB89-41BC-9626-2C8602AFD180}" srcOrd="2" destOrd="0" parTransId="{8CA01F60-749A-4F13-A5F9-52959A1E5ACD}" sibTransId="{4EF9A5D6-D9ED-4637-A11E-A0AF0603FCE7}"/>
    <dgm:cxn modelId="{5106C352-9084-428F-ABCE-4715AAA43E33}" type="presOf" srcId="{29647C36-AD56-480A-B274-AFD85B8257AC}" destId="{77262FC2-D56C-47EC-A6D3-390D5DF0E708}" srcOrd="0" destOrd="2" presId="urn:microsoft.com/office/officeart/2005/8/layout/list1"/>
    <dgm:cxn modelId="{4C31F452-932E-4B3C-A24D-BB317566F188}" type="presOf" srcId="{08ED7DEB-8B98-40A9-9699-ACCFB829DBE2}" destId="{BEC4ABD6-0E89-47BE-B95E-5D5D71B73DA1}" srcOrd="0" destOrd="1" presId="urn:microsoft.com/office/officeart/2005/8/layout/list1"/>
    <dgm:cxn modelId="{C57E6554-2260-4CA8-9E7D-8591D135E53F}" srcId="{2CB7F8B1-2637-4408-9185-3A95A2E4D4D4}" destId="{98B28FD7-1DA8-4B1D-A743-BD64C0AAE85A}" srcOrd="2" destOrd="0" parTransId="{6A5ADD14-5B36-4C8F-9B65-6460DDCE482E}" sibTransId="{55643889-0069-4635-8EFF-361433B6492D}"/>
    <dgm:cxn modelId="{56BF2655-C497-4B6B-B54F-A5D6AF560C8B}" type="presOf" srcId="{6632AE42-4A3F-47A4-991F-05B67D9E15A4}" destId="{FA8C06B1-BAA1-4827-A601-D14B18466DB6}" srcOrd="0" destOrd="1" presId="urn:microsoft.com/office/officeart/2005/8/layout/list1"/>
    <dgm:cxn modelId="{A2827875-87B0-4C3D-9E40-622962BC691D}" srcId="{DCD48D7A-4B03-4423-8CB5-5C5D79405805}" destId="{8069E184-766F-4E8B-A1E8-51EDBCF8B787}" srcOrd="1" destOrd="0" parTransId="{F64789F9-D1CE-4AFA-889E-41DC5016CFAB}" sibTransId="{93F1D987-E557-4E03-8C29-D08B5E8AAD1B}"/>
    <dgm:cxn modelId="{A43DF155-EDED-4348-8849-3FB54F8752F4}" srcId="{0E652C00-4F5E-4225-B0DE-1E16E467F052}" destId="{FDC96EDD-2D2E-424F-9793-6C67FBB810DD}" srcOrd="0" destOrd="0" parTransId="{C0F088F2-D816-422B-A598-8465D4C16265}" sibTransId="{D85BC74A-2C14-4596-B306-9B50E9FDF986}"/>
    <dgm:cxn modelId="{9515F576-512B-4C41-9F47-3A4D09823602}" type="presOf" srcId="{FDC96EDD-2D2E-424F-9793-6C67FBB810DD}" destId="{FA8C06B1-BAA1-4827-A601-D14B18466DB6}" srcOrd="0" destOrd="0" presId="urn:microsoft.com/office/officeart/2005/8/layout/list1"/>
    <dgm:cxn modelId="{F617155A-07A4-40C6-B9E5-6E820D5C2875}" srcId="{38D6ECF3-9DC0-4FA5-AA85-AE678086D86F}" destId="{29647C36-AD56-480A-B274-AFD85B8257AC}" srcOrd="2" destOrd="0" parTransId="{4CAE2BE9-B466-4310-88AB-C78BF23B7371}" sibTransId="{8B89DDF0-7CED-46E8-8F61-0B17466698FF}"/>
    <dgm:cxn modelId="{D226197F-CE6B-4E8C-8CDE-97726899C8AD}" type="presOf" srcId="{FB36F50F-332B-41E1-B818-61C37228C5CE}" destId="{4EFCDA67-9C44-44DD-A910-D775D3C6B542}" srcOrd="0" destOrd="1" presId="urn:microsoft.com/office/officeart/2005/8/layout/list1"/>
    <dgm:cxn modelId="{23E9C680-B431-4473-9AF5-E1D6CFC8BC2E}" type="presOf" srcId="{98B28FD7-1DA8-4B1D-A743-BD64C0AAE85A}" destId="{35D5CD7D-3A20-4EB8-B442-65E54571D39E}" srcOrd="0" destOrd="2" presId="urn:microsoft.com/office/officeart/2005/8/layout/list1"/>
    <dgm:cxn modelId="{6E1DD283-6A02-4C7B-967E-43E4F2241590}" srcId="{2CB7F8B1-2637-4408-9185-3A95A2E4D4D4}" destId="{D49A736D-D090-4C3F-B7C8-90E12189F4E6}" srcOrd="0" destOrd="0" parTransId="{6CB8211D-3027-42B8-8E1D-7F7CC0C2C2AF}" sibTransId="{085597EB-8A00-4F32-B9FE-6AE8F6AD66DB}"/>
    <dgm:cxn modelId="{49B31584-FEF4-4442-B336-882A9C197EAC}" type="presOf" srcId="{92E8A65F-F99F-488E-AF0A-565C72278797}" destId="{77262FC2-D56C-47EC-A6D3-390D5DF0E708}" srcOrd="0" destOrd="1" presId="urn:microsoft.com/office/officeart/2005/8/layout/list1"/>
    <dgm:cxn modelId="{72240C85-9D5C-458C-B319-EA4B04B6FA8A}" srcId="{D67F9A5A-5E88-44A1-939C-135CE3AF4041}" destId="{51776FAA-A67F-43C9-93A9-09460B1195D0}" srcOrd="2" destOrd="0" parTransId="{F49DC0A9-8665-4ADA-A379-AC107454A3ED}" sibTransId="{C8B4DFF5-5087-4292-AE4B-32507D166EBF}"/>
    <dgm:cxn modelId="{44A4FD8C-B715-4763-9E06-4EBC7F129D51}" srcId="{CF4F553E-C1BC-4366-8D1F-2538C739F34D}" destId="{FB36F50F-332B-41E1-B818-61C37228C5CE}" srcOrd="1" destOrd="0" parTransId="{1B402964-486C-4D88-B25B-BFBD3B7CB725}" sibTransId="{2F60FF59-EE81-4035-BCD0-A1A526D6233D}"/>
    <dgm:cxn modelId="{67B9198E-5C25-4F67-B9CB-41843459D987}" type="presOf" srcId="{C8F6D009-A118-4555-A677-CBA61BF6F0D5}" destId="{BEC4ABD6-0E89-47BE-B95E-5D5D71B73DA1}" srcOrd="0" destOrd="2" presId="urn:microsoft.com/office/officeart/2005/8/layout/list1"/>
    <dgm:cxn modelId="{E7A50992-9030-47C1-8E52-A2B896656A51}" type="presOf" srcId="{34106E7C-5D09-4727-92DE-E55E74AC51EE}" destId="{3BC1BA34-3099-48F7-ADCC-C59CA8F05523}" srcOrd="0" destOrd="4" presId="urn:microsoft.com/office/officeart/2005/8/layout/list1"/>
    <dgm:cxn modelId="{478F5893-B289-4B36-A04A-A02DEA40ACC3}" srcId="{8069E184-766F-4E8B-A1E8-51EDBCF8B787}" destId="{FFA71FF0-2ACD-4163-B043-1EB367B6C2B1}" srcOrd="3" destOrd="0" parTransId="{201802FC-6167-42F1-933E-394845600453}" sibTransId="{B39A6FB6-B160-47AD-A274-EF0DD243C32D}"/>
    <dgm:cxn modelId="{A8694B9B-DC05-4BB0-A409-CBB61FB7F639}" srcId="{2CB7F8B1-2637-4408-9185-3A95A2E4D4D4}" destId="{789B5BC8-288B-4DDA-AB25-039F66BEA3B1}" srcOrd="1" destOrd="0" parTransId="{20DF2F84-B159-462C-A073-B863B19CCFA9}" sibTransId="{F75FF99A-F150-48D0-B60B-5CB30D5A0E5A}"/>
    <dgm:cxn modelId="{B7FD2BA0-B80B-4666-86AB-099B7EA06341}" type="presOf" srcId="{E9D3C62B-362B-44C9-A42A-154B9DBAE91C}" destId="{FA8C06B1-BAA1-4827-A601-D14B18466DB6}" srcOrd="0" destOrd="2" presId="urn:microsoft.com/office/officeart/2005/8/layout/list1"/>
    <dgm:cxn modelId="{E88658A0-3BDE-454E-A794-8505E55DC105}" srcId="{DCD48D7A-4B03-4423-8CB5-5C5D79405805}" destId="{CF4F553E-C1BC-4366-8D1F-2538C739F34D}" srcOrd="4" destOrd="0" parTransId="{87729DE7-2820-4664-B237-4A95FE1E2F12}" sibTransId="{94558B0E-E006-4B59-8C83-CEE5060F8235}"/>
    <dgm:cxn modelId="{B6A3FAA2-72B7-4EDF-9F2B-07756CCFD145}" type="presOf" srcId="{0C7E1392-1B2E-4473-98A3-7DB95B0F3E41}" destId="{3BC1BA34-3099-48F7-ADCC-C59CA8F05523}" srcOrd="0" destOrd="3" presId="urn:microsoft.com/office/officeart/2005/8/layout/list1"/>
    <dgm:cxn modelId="{62C6A6A5-51AF-43F3-B103-5345821FAFEE}" srcId="{0E652C00-4F5E-4225-B0DE-1E16E467F052}" destId="{E9D3C62B-362B-44C9-A42A-154B9DBAE91C}" srcOrd="2" destOrd="0" parTransId="{C9AEF7BE-B561-478B-BAC4-CA5215113050}" sibTransId="{FFF495EB-AA84-4FB0-A607-B67EEC28EFF6}"/>
    <dgm:cxn modelId="{F5B463A9-1C63-49AF-836D-039CF3C3D222}" type="presOf" srcId="{CF379588-8D99-446E-9DA3-7D31B1AC5467}" destId="{06ACE6F8-0FA9-44AE-BA37-8718AB57D422}" srcOrd="0" destOrd="0" presId="urn:microsoft.com/office/officeart/2005/8/layout/list1"/>
    <dgm:cxn modelId="{C7759BAB-9FB4-42A6-99DA-5E5775983911}" type="presOf" srcId="{C14DAE80-C9AD-4DF2-AB00-76A03871C660}" destId="{4EFCDA67-9C44-44DD-A910-D775D3C6B542}" srcOrd="0" destOrd="0" presId="urn:microsoft.com/office/officeart/2005/8/layout/list1"/>
    <dgm:cxn modelId="{0CAB92AF-DA12-4A69-B592-C211B1603E46}" type="presOf" srcId="{F2356AF9-BEEF-4B44-8D11-6960D17AF916}" destId="{06ACE6F8-0FA9-44AE-BA37-8718AB57D422}" srcOrd="0" destOrd="1" presId="urn:microsoft.com/office/officeart/2005/8/layout/list1"/>
    <dgm:cxn modelId="{21FF54B0-7061-409D-AA77-9C011DC7E50B}" srcId="{717ECC8B-6813-4A27-9DC1-A0349E570257}" destId="{0C7E1392-1B2E-4473-98A3-7DB95B0F3E41}" srcOrd="3" destOrd="0" parTransId="{1BB85BBF-AE3C-4053-94E1-A07AA9D27118}" sibTransId="{170804D9-020B-4492-BDDC-2864E2B9B088}"/>
    <dgm:cxn modelId="{48FD79B7-0A80-4168-B74D-E45585C648D8}" srcId="{DCD48D7A-4B03-4423-8CB5-5C5D79405805}" destId="{717ECC8B-6813-4A27-9DC1-A0349E570257}" srcOrd="2" destOrd="0" parTransId="{D945DCAA-29DE-415E-9EC0-2EA9CDBA637F}" sibTransId="{60E19195-CF68-47DE-9785-66C048977208}"/>
    <dgm:cxn modelId="{794DEFC0-78A8-4CCF-9C86-48F2FE94417F}" type="presOf" srcId="{90932CD4-98AF-4D20-B3A5-3F4217DAB33C}" destId="{3BC1BA34-3099-48F7-ADCC-C59CA8F05523}" srcOrd="0" destOrd="0" presId="urn:microsoft.com/office/officeart/2005/8/layout/list1"/>
    <dgm:cxn modelId="{5B0414C2-1728-459D-B4A9-EB7A43C62996}" type="presOf" srcId="{717ECC8B-6813-4A27-9DC1-A0349E570257}" destId="{9702987D-0E97-487C-8CCC-50D92DF3BD3E}" srcOrd="0" destOrd="0" presId="urn:microsoft.com/office/officeart/2005/8/layout/list1"/>
    <dgm:cxn modelId="{5EFBE1C5-BAFA-4A4F-97DC-DCEC94D3930E}" type="presOf" srcId="{7AD3D970-693A-46CB-93F2-8719BB4A2138}" destId="{77262FC2-D56C-47EC-A6D3-390D5DF0E708}" srcOrd="0" destOrd="0" presId="urn:microsoft.com/office/officeart/2005/8/layout/list1"/>
    <dgm:cxn modelId="{B2CEC7D1-0EF3-43E8-A8C4-CA91F9F8B2C6}" srcId="{717ECC8B-6813-4A27-9DC1-A0349E570257}" destId="{320F87EC-CED1-4210-8A86-B8F3B4014BD7}" srcOrd="2" destOrd="0" parTransId="{3E66B59C-1F4A-4068-B805-1D0FD9DF5EB9}" sibTransId="{9C227A2C-DB8C-4F82-9033-31A1665D63A3}"/>
    <dgm:cxn modelId="{F0618CD4-2AC3-47D0-8F11-BACCD701AD92}" type="presOf" srcId="{717ECC8B-6813-4A27-9DC1-A0349E570257}" destId="{2F94551E-AD58-4389-A867-ACC7E854241D}" srcOrd="1" destOrd="0" presId="urn:microsoft.com/office/officeart/2005/8/layout/list1"/>
    <dgm:cxn modelId="{3C68E3D5-A553-46EE-8B80-FB51032E4800}" type="presOf" srcId="{2CB7F8B1-2637-4408-9185-3A95A2E4D4D4}" destId="{545F5493-E5D3-45CD-9407-AD3146FF5B66}" srcOrd="0" destOrd="0" presId="urn:microsoft.com/office/officeart/2005/8/layout/list1"/>
    <dgm:cxn modelId="{9A2394D6-DEA8-457C-A7F6-0CA60D78D7EA}" srcId="{8069E184-766F-4E8B-A1E8-51EDBCF8B787}" destId="{08ED7DEB-8B98-40A9-9699-ACCFB829DBE2}" srcOrd="1" destOrd="0" parTransId="{C96799B1-BF4C-4F01-9A1B-8BF2A3D32A1B}" sibTransId="{BC1C2EC9-649F-493C-B095-2F14FEE273F0}"/>
    <dgm:cxn modelId="{DB12D2DB-01C4-4C72-B613-D8E0FA85016F}" type="presOf" srcId="{D67F9A5A-5E88-44A1-939C-135CE3AF4041}" destId="{3B8B29A2-8F27-4747-815F-4C192BC39EFB}" srcOrd="0" destOrd="0" presId="urn:microsoft.com/office/officeart/2005/8/layout/list1"/>
    <dgm:cxn modelId="{AE5988E1-7C16-4B0A-ABF6-7C82ABA26687}" srcId="{2CB7F8B1-2637-4408-9185-3A95A2E4D4D4}" destId="{260FD557-A6C6-4FE3-8993-4A56E5810063}" srcOrd="3" destOrd="0" parTransId="{99DC8CBA-2F58-4241-815F-B0348FB0A095}" sibTransId="{F96C925A-00E1-4DCD-9FAA-8558FB848EF6}"/>
    <dgm:cxn modelId="{A78FA5E5-A2BA-4B5D-B58A-F79B8B58EBA0}" type="presOf" srcId="{2DDC3C6B-EB89-41BC-9626-2C8602AFD180}" destId="{4EFCDA67-9C44-44DD-A910-D775D3C6B542}" srcOrd="0" destOrd="2" presId="urn:microsoft.com/office/officeart/2005/8/layout/list1"/>
    <dgm:cxn modelId="{390B20E6-A9D0-40A0-91E1-C0FE58040D6E}" type="presOf" srcId="{260FD557-A6C6-4FE3-8993-4A56E5810063}" destId="{35D5CD7D-3A20-4EB8-B442-65E54571D39E}" srcOrd="0" destOrd="3" presId="urn:microsoft.com/office/officeart/2005/8/layout/list1"/>
    <dgm:cxn modelId="{6ECE81EC-BB4B-453C-92DD-2559DD914CE7}" type="presOf" srcId="{2CB7F8B1-2637-4408-9185-3A95A2E4D4D4}" destId="{E6E34545-7A70-45F5-AF30-5300FEAF0CB4}" srcOrd="1" destOrd="0" presId="urn:microsoft.com/office/officeart/2005/8/layout/list1"/>
    <dgm:cxn modelId="{C0D90BEF-14F4-437B-ACE6-480F7ECC25D2}" type="presOf" srcId="{38D6ECF3-9DC0-4FA5-AA85-AE678086D86F}" destId="{0BB363C2-1000-4D63-89E1-75C121258685}" srcOrd="1" destOrd="0" presId="urn:microsoft.com/office/officeart/2005/8/layout/list1"/>
    <dgm:cxn modelId="{AF2C1DF1-0917-4A12-AD82-87034F4AA6BD}" srcId="{717ECC8B-6813-4A27-9DC1-A0349E570257}" destId="{4A7800C9-7D3D-4FD3-A0C8-055EA574631C}" srcOrd="1" destOrd="0" parTransId="{E88C88D6-C647-44AC-8F34-1CDDF9D56EAE}" sibTransId="{011E79F5-D3D2-430D-AB83-E364AA563D3C}"/>
    <dgm:cxn modelId="{B83F70F1-0D48-4D91-8D66-89823BD64B2E}" type="presOf" srcId="{0E652C00-4F5E-4225-B0DE-1E16E467F052}" destId="{C7C02459-324F-4CBA-B9A7-D10266029FAC}" srcOrd="0" destOrd="0" presId="urn:microsoft.com/office/officeart/2005/8/layout/list1"/>
    <dgm:cxn modelId="{954406F2-1B59-4EB7-8571-C1BB56C70C82}" type="presOf" srcId="{320F87EC-CED1-4210-8A86-B8F3B4014BD7}" destId="{3BC1BA34-3099-48F7-ADCC-C59CA8F05523}" srcOrd="0" destOrd="2" presId="urn:microsoft.com/office/officeart/2005/8/layout/list1"/>
    <dgm:cxn modelId="{952D29FA-01DB-4FF4-B950-87A63CC80292}" srcId="{D67F9A5A-5E88-44A1-939C-135CE3AF4041}" destId="{F2356AF9-BEEF-4B44-8D11-6960D17AF916}" srcOrd="1" destOrd="0" parTransId="{30965C44-C041-42DC-BEED-B4376C8E6B72}" sibTransId="{B601354C-9FC2-4283-877B-28B5BED5CBBC}"/>
    <dgm:cxn modelId="{6C6EB5FC-FF88-485A-AB17-1DEBD14B1B4D}" srcId="{717ECC8B-6813-4A27-9DC1-A0349E570257}" destId="{34106E7C-5D09-4727-92DE-E55E74AC51EE}" srcOrd="4" destOrd="0" parTransId="{9975E2E8-9436-4F43-A130-25EADB8F15E6}" sibTransId="{55FD3231-A594-44A3-9758-E80BFF642EBF}"/>
    <dgm:cxn modelId="{01DF30FD-85F5-4932-8A85-620FE2B1C5CA}" type="presOf" srcId="{38D6ECF3-9DC0-4FA5-AA85-AE678086D86F}" destId="{A03587EF-2C72-4284-B879-B71BE0640BA4}" srcOrd="0" destOrd="0" presId="urn:microsoft.com/office/officeart/2005/8/layout/list1"/>
    <dgm:cxn modelId="{904368FD-DC32-48DB-BD7A-883A171FA293}" type="presOf" srcId="{FFA71FF0-2ACD-4163-B043-1EB367B6C2B1}" destId="{BEC4ABD6-0E89-47BE-B95E-5D5D71B73DA1}" srcOrd="0" destOrd="3" presId="urn:microsoft.com/office/officeart/2005/8/layout/list1"/>
    <dgm:cxn modelId="{B92E7B5B-5ADE-4591-92A7-719245B2AD0F}" type="presParOf" srcId="{1DEF4F99-0D10-4E54-A0BF-F9524F830250}" destId="{2FA5CF8F-DEE2-445C-8A9F-A5B19AA1EC66}" srcOrd="0" destOrd="0" presId="urn:microsoft.com/office/officeart/2005/8/layout/list1"/>
    <dgm:cxn modelId="{E8ACEB03-8C11-48E0-9F89-798762753AAF}" type="presParOf" srcId="{2FA5CF8F-DEE2-445C-8A9F-A5B19AA1EC66}" destId="{545F5493-E5D3-45CD-9407-AD3146FF5B66}" srcOrd="0" destOrd="0" presId="urn:microsoft.com/office/officeart/2005/8/layout/list1"/>
    <dgm:cxn modelId="{F7976DD7-6148-49DF-AE30-6575657687AC}" type="presParOf" srcId="{2FA5CF8F-DEE2-445C-8A9F-A5B19AA1EC66}" destId="{E6E34545-7A70-45F5-AF30-5300FEAF0CB4}" srcOrd="1" destOrd="0" presId="urn:microsoft.com/office/officeart/2005/8/layout/list1"/>
    <dgm:cxn modelId="{46349CF9-996B-4C69-8A51-D2A91B59E194}" type="presParOf" srcId="{1DEF4F99-0D10-4E54-A0BF-F9524F830250}" destId="{EF9B6E2C-EF0B-4D48-9074-55D69A90DE21}" srcOrd="1" destOrd="0" presId="urn:microsoft.com/office/officeart/2005/8/layout/list1"/>
    <dgm:cxn modelId="{17DBD6AA-7E6F-4A9B-B67D-F3A8A7577728}" type="presParOf" srcId="{1DEF4F99-0D10-4E54-A0BF-F9524F830250}" destId="{35D5CD7D-3A20-4EB8-B442-65E54571D39E}" srcOrd="2" destOrd="0" presId="urn:microsoft.com/office/officeart/2005/8/layout/list1"/>
    <dgm:cxn modelId="{1C37A869-82FE-4B80-BDF5-6ED5C6B5066A}" type="presParOf" srcId="{1DEF4F99-0D10-4E54-A0BF-F9524F830250}" destId="{AB83843B-19AA-4C45-ACB9-0772D543D28B}" srcOrd="3" destOrd="0" presId="urn:microsoft.com/office/officeart/2005/8/layout/list1"/>
    <dgm:cxn modelId="{01F7941A-C1DC-400C-A22E-08098C557A99}" type="presParOf" srcId="{1DEF4F99-0D10-4E54-A0BF-F9524F830250}" destId="{55019F05-739C-499C-85AD-7269005767A1}" srcOrd="4" destOrd="0" presId="urn:microsoft.com/office/officeart/2005/8/layout/list1"/>
    <dgm:cxn modelId="{2A2751FE-484A-4CCB-809E-3E2E4FA81898}" type="presParOf" srcId="{55019F05-739C-499C-85AD-7269005767A1}" destId="{8FFBFEAB-4C29-43E1-9195-E019257224C0}" srcOrd="0" destOrd="0" presId="urn:microsoft.com/office/officeart/2005/8/layout/list1"/>
    <dgm:cxn modelId="{2F3F4E5E-DAC1-49BB-AC8A-895AC27E1926}" type="presParOf" srcId="{55019F05-739C-499C-85AD-7269005767A1}" destId="{C4175353-957F-4B0A-882A-9D65932C4C45}" srcOrd="1" destOrd="0" presId="urn:microsoft.com/office/officeart/2005/8/layout/list1"/>
    <dgm:cxn modelId="{1B856F6E-8823-4D12-B9E4-88AFAFA9D6A0}" type="presParOf" srcId="{1DEF4F99-0D10-4E54-A0BF-F9524F830250}" destId="{0862C50F-306A-4E6B-A23B-07B15ECDE9F7}" srcOrd="5" destOrd="0" presId="urn:microsoft.com/office/officeart/2005/8/layout/list1"/>
    <dgm:cxn modelId="{F57112E8-3454-4083-BBBD-30CE65B2B5F0}" type="presParOf" srcId="{1DEF4F99-0D10-4E54-A0BF-F9524F830250}" destId="{BEC4ABD6-0E89-47BE-B95E-5D5D71B73DA1}" srcOrd="6" destOrd="0" presId="urn:microsoft.com/office/officeart/2005/8/layout/list1"/>
    <dgm:cxn modelId="{01416A79-E4D5-41EF-ACDC-5AC2D0AD3051}" type="presParOf" srcId="{1DEF4F99-0D10-4E54-A0BF-F9524F830250}" destId="{BEB87FCE-F499-4870-8AB0-98F9F509D50E}" srcOrd="7" destOrd="0" presId="urn:microsoft.com/office/officeart/2005/8/layout/list1"/>
    <dgm:cxn modelId="{01CEC07E-EA12-4AAE-A419-B39768B125E1}" type="presParOf" srcId="{1DEF4F99-0D10-4E54-A0BF-F9524F830250}" destId="{3AA816E6-3A8D-45C3-B0AF-DCE6C0F7D52F}" srcOrd="8" destOrd="0" presId="urn:microsoft.com/office/officeart/2005/8/layout/list1"/>
    <dgm:cxn modelId="{06E5AD61-B0EB-4D06-8DC0-4AA1274D8594}" type="presParOf" srcId="{3AA816E6-3A8D-45C3-B0AF-DCE6C0F7D52F}" destId="{9702987D-0E97-487C-8CCC-50D92DF3BD3E}" srcOrd="0" destOrd="0" presId="urn:microsoft.com/office/officeart/2005/8/layout/list1"/>
    <dgm:cxn modelId="{A0F5DAE7-CD07-4E4B-93D6-AE03007B0430}" type="presParOf" srcId="{3AA816E6-3A8D-45C3-B0AF-DCE6C0F7D52F}" destId="{2F94551E-AD58-4389-A867-ACC7E854241D}" srcOrd="1" destOrd="0" presId="urn:microsoft.com/office/officeart/2005/8/layout/list1"/>
    <dgm:cxn modelId="{EDE8B232-42AD-4977-9D1E-598A12AC400A}" type="presParOf" srcId="{1DEF4F99-0D10-4E54-A0BF-F9524F830250}" destId="{0B0D6F0B-4DEB-4B88-B257-B59830E60C59}" srcOrd="9" destOrd="0" presId="urn:microsoft.com/office/officeart/2005/8/layout/list1"/>
    <dgm:cxn modelId="{82CD3D1B-37A6-4680-8129-A69343179964}" type="presParOf" srcId="{1DEF4F99-0D10-4E54-A0BF-F9524F830250}" destId="{3BC1BA34-3099-48F7-ADCC-C59CA8F05523}" srcOrd="10" destOrd="0" presId="urn:microsoft.com/office/officeart/2005/8/layout/list1"/>
    <dgm:cxn modelId="{B43CF5A9-F8FF-4875-A8BC-B3DC3FB1FE9E}" type="presParOf" srcId="{1DEF4F99-0D10-4E54-A0BF-F9524F830250}" destId="{ED98C6C5-10F9-43FD-B588-4DD8CA453F1D}" srcOrd="11" destOrd="0" presId="urn:microsoft.com/office/officeart/2005/8/layout/list1"/>
    <dgm:cxn modelId="{C979183C-5784-4681-AAF3-723BC8467EF2}" type="presParOf" srcId="{1DEF4F99-0D10-4E54-A0BF-F9524F830250}" destId="{15A1C469-7C3A-4EBC-B23A-4CE4DD373580}" srcOrd="12" destOrd="0" presId="urn:microsoft.com/office/officeart/2005/8/layout/list1"/>
    <dgm:cxn modelId="{0231346E-9A4A-488D-89F0-4555CD99AB83}" type="presParOf" srcId="{15A1C469-7C3A-4EBC-B23A-4CE4DD373580}" destId="{3B8B29A2-8F27-4747-815F-4C192BC39EFB}" srcOrd="0" destOrd="0" presId="urn:microsoft.com/office/officeart/2005/8/layout/list1"/>
    <dgm:cxn modelId="{91953E05-6FDF-4877-AF56-909113686303}" type="presParOf" srcId="{15A1C469-7C3A-4EBC-B23A-4CE4DD373580}" destId="{514BAA5A-25A1-407B-9E98-4F585743FC17}" srcOrd="1" destOrd="0" presId="urn:microsoft.com/office/officeart/2005/8/layout/list1"/>
    <dgm:cxn modelId="{C8DCD7F2-9AF5-4F5A-818F-D4ADB4C36404}" type="presParOf" srcId="{1DEF4F99-0D10-4E54-A0BF-F9524F830250}" destId="{584AD0D6-0EBE-40B3-A5EF-BEFBE1FDD233}" srcOrd="13" destOrd="0" presId="urn:microsoft.com/office/officeart/2005/8/layout/list1"/>
    <dgm:cxn modelId="{7D69004A-BC61-402A-8697-6BD49A4D735A}" type="presParOf" srcId="{1DEF4F99-0D10-4E54-A0BF-F9524F830250}" destId="{06ACE6F8-0FA9-44AE-BA37-8718AB57D422}" srcOrd="14" destOrd="0" presId="urn:microsoft.com/office/officeart/2005/8/layout/list1"/>
    <dgm:cxn modelId="{344334B0-32A4-4349-9119-025C6A897213}" type="presParOf" srcId="{1DEF4F99-0D10-4E54-A0BF-F9524F830250}" destId="{728F8364-6B69-4FB1-8CEE-FE0453B48F74}" srcOrd="15" destOrd="0" presId="urn:microsoft.com/office/officeart/2005/8/layout/list1"/>
    <dgm:cxn modelId="{80FAF5EF-4AD2-4C11-AFAE-1819C2CDB93F}" type="presParOf" srcId="{1DEF4F99-0D10-4E54-A0BF-F9524F830250}" destId="{2FED5211-A15F-4937-8626-A219A5AF8F6A}" srcOrd="16" destOrd="0" presId="urn:microsoft.com/office/officeart/2005/8/layout/list1"/>
    <dgm:cxn modelId="{E671E8AC-AC5E-43D9-BED2-992CC14D383F}" type="presParOf" srcId="{2FED5211-A15F-4937-8626-A219A5AF8F6A}" destId="{96E24B0A-8F37-4257-B7B3-645FB1DA6A85}" srcOrd="0" destOrd="0" presId="urn:microsoft.com/office/officeart/2005/8/layout/list1"/>
    <dgm:cxn modelId="{5B7DC432-0D72-4887-B946-6736936DD655}" type="presParOf" srcId="{2FED5211-A15F-4937-8626-A219A5AF8F6A}" destId="{72C2FA48-4513-4CD5-8267-CAFA222E040F}" srcOrd="1" destOrd="0" presId="urn:microsoft.com/office/officeart/2005/8/layout/list1"/>
    <dgm:cxn modelId="{45EAE907-CAB6-4750-95C2-EF481439338A}" type="presParOf" srcId="{1DEF4F99-0D10-4E54-A0BF-F9524F830250}" destId="{C5574D53-E5B2-4961-BC19-B9AEEE8D8A74}" srcOrd="17" destOrd="0" presId="urn:microsoft.com/office/officeart/2005/8/layout/list1"/>
    <dgm:cxn modelId="{4B2A3E9B-B5B4-4EDB-82EA-341335609F09}" type="presParOf" srcId="{1DEF4F99-0D10-4E54-A0BF-F9524F830250}" destId="{4EFCDA67-9C44-44DD-A910-D775D3C6B542}" srcOrd="18" destOrd="0" presId="urn:microsoft.com/office/officeart/2005/8/layout/list1"/>
    <dgm:cxn modelId="{B816D2F2-A1B1-4E7F-9104-AB9EA0D45B23}" type="presParOf" srcId="{1DEF4F99-0D10-4E54-A0BF-F9524F830250}" destId="{44903029-1598-44FF-927B-4388D5E8763C}" srcOrd="19" destOrd="0" presId="urn:microsoft.com/office/officeart/2005/8/layout/list1"/>
    <dgm:cxn modelId="{A29166E1-DE26-44A4-8B03-06E6518791E9}" type="presParOf" srcId="{1DEF4F99-0D10-4E54-A0BF-F9524F830250}" destId="{86EE8AB6-545B-4020-AEC6-19F34F74D919}" srcOrd="20" destOrd="0" presId="urn:microsoft.com/office/officeart/2005/8/layout/list1"/>
    <dgm:cxn modelId="{EF2ED5C2-3848-4BB9-8CC4-6BCAC350D4EC}" type="presParOf" srcId="{86EE8AB6-545B-4020-AEC6-19F34F74D919}" destId="{C7C02459-324F-4CBA-B9A7-D10266029FAC}" srcOrd="0" destOrd="0" presId="urn:microsoft.com/office/officeart/2005/8/layout/list1"/>
    <dgm:cxn modelId="{3338D99A-2155-4494-8EBF-459ED548B678}" type="presParOf" srcId="{86EE8AB6-545B-4020-AEC6-19F34F74D919}" destId="{4E9F94DE-8CF1-4FE7-9A6B-53CB416743FC}" srcOrd="1" destOrd="0" presId="urn:microsoft.com/office/officeart/2005/8/layout/list1"/>
    <dgm:cxn modelId="{74414219-6157-408A-822A-EA07B7C194AB}" type="presParOf" srcId="{1DEF4F99-0D10-4E54-A0BF-F9524F830250}" destId="{DD8C64AD-F0AB-4DAF-BD3D-6848B3517AE4}" srcOrd="21" destOrd="0" presId="urn:microsoft.com/office/officeart/2005/8/layout/list1"/>
    <dgm:cxn modelId="{F5D3B5F4-CEBB-433C-B2AD-3803B8716A8B}" type="presParOf" srcId="{1DEF4F99-0D10-4E54-A0BF-F9524F830250}" destId="{FA8C06B1-BAA1-4827-A601-D14B18466DB6}" srcOrd="22" destOrd="0" presId="urn:microsoft.com/office/officeart/2005/8/layout/list1"/>
    <dgm:cxn modelId="{A803F878-728E-4CFA-B8B2-00668EE36383}" type="presParOf" srcId="{1DEF4F99-0D10-4E54-A0BF-F9524F830250}" destId="{D62CC520-BE4A-45F5-85CF-6F1FF6479E7B}" srcOrd="23" destOrd="0" presId="urn:microsoft.com/office/officeart/2005/8/layout/list1"/>
    <dgm:cxn modelId="{DCEE19FE-0ACA-4954-A721-ED112609D70A}" type="presParOf" srcId="{1DEF4F99-0D10-4E54-A0BF-F9524F830250}" destId="{0ACFCED0-6DBF-47C9-BEFF-1C22DE7DB9F3}" srcOrd="24" destOrd="0" presId="urn:microsoft.com/office/officeart/2005/8/layout/list1"/>
    <dgm:cxn modelId="{1C2278A3-6134-4178-B80E-247B003D802F}" type="presParOf" srcId="{0ACFCED0-6DBF-47C9-BEFF-1C22DE7DB9F3}" destId="{A03587EF-2C72-4284-B879-B71BE0640BA4}" srcOrd="0" destOrd="0" presId="urn:microsoft.com/office/officeart/2005/8/layout/list1"/>
    <dgm:cxn modelId="{DEB5A732-F0EC-470D-B8C4-2D7C207DFA1E}" type="presParOf" srcId="{0ACFCED0-6DBF-47C9-BEFF-1C22DE7DB9F3}" destId="{0BB363C2-1000-4D63-89E1-75C121258685}" srcOrd="1" destOrd="0" presId="urn:microsoft.com/office/officeart/2005/8/layout/list1"/>
    <dgm:cxn modelId="{6945B4C4-0BC5-42FB-BFA7-FABB3283E796}" type="presParOf" srcId="{1DEF4F99-0D10-4E54-A0BF-F9524F830250}" destId="{C9B2B30D-0668-43BB-8909-432202A9EDB4}" srcOrd="25" destOrd="0" presId="urn:microsoft.com/office/officeart/2005/8/layout/list1"/>
    <dgm:cxn modelId="{84F08611-1361-4090-B1A3-46606F5DDDE0}" type="presParOf" srcId="{1DEF4F99-0D10-4E54-A0BF-F9524F830250}" destId="{77262FC2-D56C-47EC-A6D3-390D5DF0E708}" srcOrd="26" destOrd="0" presId="urn:microsoft.com/office/officeart/2005/8/layout/list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5D5CD7D-3A20-4EB8-B442-65E54571D39E}">
      <dsp:nvSpPr>
        <dsp:cNvPr id="0" name=""/>
        <dsp:cNvSpPr/>
      </dsp:nvSpPr>
      <dsp:spPr>
        <a:xfrm>
          <a:off x="0" y="444861"/>
          <a:ext cx="3723005" cy="1020600"/>
        </a:xfrm>
        <a:prstGeom prst="rect">
          <a:avLst/>
        </a:prstGeom>
        <a:solidFill>
          <a:schemeClr val="lt1">
            <a:alpha val="90000"/>
            <a:hueOff val="0"/>
            <a:satOff val="0"/>
            <a:lumOff val="0"/>
            <a:alphaOff val="0"/>
          </a:schemeClr>
        </a:solidFill>
        <a:ln w="12700" cap="flat" cmpd="sng" algn="ctr">
          <a:solidFill>
            <a:schemeClr val="accent5">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270764"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Definición de la unidad objeto de ordenación forestal</a:t>
          </a:r>
        </a:p>
        <a:p>
          <a:pPr marL="57150" lvl="1" indent="-57150" algn="l" defTabSz="400050">
            <a:lnSpc>
              <a:spcPct val="90000"/>
            </a:lnSpc>
            <a:spcBef>
              <a:spcPct val="0"/>
            </a:spcBef>
            <a:spcAft>
              <a:spcPct val="15000"/>
            </a:spcAft>
            <a:buChar char="•"/>
          </a:pPr>
          <a:r>
            <a:rPr lang="es-CO" sz="900" kern="1200"/>
            <a:t>Asignación de recursos</a:t>
          </a:r>
        </a:p>
        <a:p>
          <a:pPr marL="57150" lvl="1" indent="-57150" algn="l" defTabSz="400050">
            <a:lnSpc>
              <a:spcPct val="90000"/>
            </a:lnSpc>
            <a:spcBef>
              <a:spcPct val="0"/>
            </a:spcBef>
            <a:spcAft>
              <a:spcPct val="15000"/>
            </a:spcAft>
            <a:buChar char="•"/>
          </a:pPr>
          <a:r>
            <a:rPr lang="es-CO" sz="900" kern="1200"/>
            <a:t>Inicio del proceso pre y contractual</a:t>
          </a:r>
        </a:p>
        <a:p>
          <a:pPr marL="57150" lvl="1" indent="-57150" algn="l" defTabSz="400050">
            <a:lnSpc>
              <a:spcPct val="90000"/>
            </a:lnSpc>
            <a:spcBef>
              <a:spcPct val="0"/>
            </a:spcBef>
            <a:spcAft>
              <a:spcPct val="15000"/>
            </a:spcAft>
            <a:buChar char="•"/>
          </a:pPr>
          <a:r>
            <a:rPr lang="es-CO" sz="900" kern="1200"/>
            <a:t>Conformación del equipo de trabajo  </a:t>
          </a:r>
        </a:p>
      </dsp:txBody>
      <dsp:txXfrm>
        <a:off x="0" y="444861"/>
        <a:ext cx="3723005" cy="1020600"/>
      </dsp:txXfrm>
    </dsp:sp>
    <dsp:sp modelId="{E6E34545-7A70-45F5-AF30-5300FEAF0CB4}">
      <dsp:nvSpPr>
        <dsp:cNvPr id="0" name=""/>
        <dsp:cNvSpPr/>
      </dsp:nvSpPr>
      <dsp:spPr>
        <a:xfrm>
          <a:off x="186150" y="114482"/>
          <a:ext cx="2606103" cy="531360"/>
        </a:xfrm>
        <a:prstGeom prst="roundRect">
          <a:avLst/>
        </a:prstGeom>
        <a:solidFill>
          <a:schemeClr val="accent5">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marL="0" lvl="0" indent="0" algn="l" defTabSz="400050">
            <a:lnSpc>
              <a:spcPct val="90000"/>
            </a:lnSpc>
            <a:spcBef>
              <a:spcPct val="0"/>
            </a:spcBef>
            <a:spcAft>
              <a:spcPct val="35000"/>
            </a:spcAft>
            <a:buNone/>
          </a:pPr>
          <a:r>
            <a:rPr lang="es-CO" sz="900" b="1" kern="1200"/>
            <a:t>1. FASE DE PREPARACION</a:t>
          </a:r>
        </a:p>
      </dsp:txBody>
      <dsp:txXfrm>
        <a:off x="212089" y="140421"/>
        <a:ext cx="2554225" cy="479482"/>
      </dsp:txXfrm>
    </dsp:sp>
    <dsp:sp modelId="{BEC4ABD6-0E89-47BE-B95E-5D5D71B73DA1}">
      <dsp:nvSpPr>
        <dsp:cNvPr id="0" name=""/>
        <dsp:cNvSpPr/>
      </dsp:nvSpPr>
      <dsp:spPr>
        <a:xfrm>
          <a:off x="0" y="1828341"/>
          <a:ext cx="3723005" cy="1134000"/>
        </a:xfrm>
        <a:prstGeom prst="rect">
          <a:avLst/>
        </a:prstGeom>
        <a:solidFill>
          <a:schemeClr val="lt1">
            <a:alpha val="90000"/>
            <a:hueOff val="0"/>
            <a:satOff val="0"/>
            <a:lumOff val="0"/>
            <a:alphaOff val="0"/>
          </a:schemeClr>
        </a:solidFill>
        <a:ln w="12700" cap="flat" cmpd="sng" algn="ctr">
          <a:solidFill>
            <a:schemeClr val="accent5">
              <a:hueOff val="-1225557"/>
              <a:satOff val="-1705"/>
              <a:lumOff val="-654"/>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270764"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Consulta, validación y digitalización de información secundaria</a:t>
          </a:r>
        </a:p>
        <a:p>
          <a:pPr marL="57150" lvl="1" indent="-57150" algn="l" defTabSz="400050">
            <a:lnSpc>
              <a:spcPct val="90000"/>
            </a:lnSpc>
            <a:spcBef>
              <a:spcPct val="0"/>
            </a:spcBef>
            <a:spcAft>
              <a:spcPct val="15000"/>
            </a:spcAft>
            <a:buChar char="•"/>
          </a:pPr>
          <a:r>
            <a:rPr lang="es-CO" sz="900" kern="1200"/>
            <a:t>Procesamiento e interpretación de imágenes satelitales</a:t>
          </a:r>
        </a:p>
        <a:p>
          <a:pPr marL="57150" lvl="1" indent="-57150" algn="l" defTabSz="400050">
            <a:lnSpc>
              <a:spcPct val="90000"/>
            </a:lnSpc>
            <a:spcBef>
              <a:spcPct val="0"/>
            </a:spcBef>
            <a:spcAft>
              <a:spcPct val="15000"/>
            </a:spcAft>
            <a:buChar char="•"/>
          </a:pPr>
          <a:r>
            <a:rPr lang="es-CO" sz="900" kern="1200"/>
            <a:t>Generación de información cartográfica preliminar</a:t>
          </a:r>
        </a:p>
        <a:p>
          <a:pPr marL="57150" lvl="1" indent="-57150" algn="l" defTabSz="400050">
            <a:lnSpc>
              <a:spcPct val="90000"/>
            </a:lnSpc>
            <a:spcBef>
              <a:spcPct val="0"/>
            </a:spcBef>
            <a:spcAft>
              <a:spcPct val="15000"/>
            </a:spcAft>
            <a:buChar char="•"/>
          </a:pPr>
          <a:r>
            <a:rPr lang="es-CO" sz="900" kern="1200"/>
            <a:t>Definición de metodología para levantamiento de información primaria</a:t>
          </a:r>
        </a:p>
      </dsp:txBody>
      <dsp:txXfrm>
        <a:off x="0" y="1828341"/>
        <a:ext cx="3723005" cy="1134000"/>
      </dsp:txXfrm>
    </dsp:sp>
    <dsp:sp modelId="{C4175353-957F-4B0A-882A-9D65932C4C45}">
      <dsp:nvSpPr>
        <dsp:cNvPr id="0" name=""/>
        <dsp:cNvSpPr/>
      </dsp:nvSpPr>
      <dsp:spPr>
        <a:xfrm>
          <a:off x="200779" y="1547389"/>
          <a:ext cx="2606103" cy="531360"/>
        </a:xfrm>
        <a:prstGeom prst="roundRect">
          <a:avLst/>
        </a:prstGeom>
        <a:solidFill>
          <a:schemeClr val="accent5">
            <a:hueOff val="-1225557"/>
            <a:satOff val="-1705"/>
            <a:lumOff val="-654"/>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marL="0" lvl="0" indent="0" algn="l" defTabSz="400050">
            <a:lnSpc>
              <a:spcPct val="90000"/>
            </a:lnSpc>
            <a:spcBef>
              <a:spcPct val="0"/>
            </a:spcBef>
            <a:spcAft>
              <a:spcPct val="35000"/>
            </a:spcAft>
            <a:buNone/>
          </a:pPr>
          <a:r>
            <a:rPr lang="es-CO" sz="900" b="1" kern="1200"/>
            <a:t>2. FASE DE APRESTAMIENTO</a:t>
          </a:r>
        </a:p>
      </dsp:txBody>
      <dsp:txXfrm>
        <a:off x="226718" y="1573328"/>
        <a:ext cx="2554225" cy="479482"/>
      </dsp:txXfrm>
    </dsp:sp>
    <dsp:sp modelId="{3BC1BA34-3099-48F7-ADCC-C59CA8F05523}">
      <dsp:nvSpPr>
        <dsp:cNvPr id="0" name=""/>
        <dsp:cNvSpPr/>
      </dsp:nvSpPr>
      <dsp:spPr>
        <a:xfrm>
          <a:off x="0" y="3325220"/>
          <a:ext cx="3723005" cy="1350886"/>
        </a:xfrm>
        <a:prstGeom prst="rect">
          <a:avLst/>
        </a:prstGeom>
        <a:solidFill>
          <a:schemeClr val="lt1">
            <a:alpha val="90000"/>
            <a:hueOff val="0"/>
            <a:satOff val="0"/>
            <a:lumOff val="0"/>
            <a:alphaOff val="0"/>
          </a:schemeClr>
        </a:solidFill>
        <a:ln w="12700" cap="flat" cmpd="sng" algn="ctr">
          <a:solidFill>
            <a:schemeClr val="accent5">
              <a:hueOff val="-2451115"/>
              <a:satOff val="-3409"/>
              <a:lumOff val="-1307"/>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270764"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Socialización y acuerdos con actores regionales y locales</a:t>
          </a:r>
        </a:p>
        <a:p>
          <a:pPr marL="57150" lvl="1" indent="-57150" algn="l" defTabSz="400050">
            <a:lnSpc>
              <a:spcPct val="90000"/>
            </a:lnSpc>
            <a:spcBef>
              <a:spcPct val="0"/>
            </a:spcBef>
            <a:spcAft>
              <a:spcPct val="15000"/>
            </a:spcAft>
            <a:buChar char="•"/>
          </a:pPr>
          <a:r>
            <a:rPr lang="es-CO" sz="900" kern="1200"/>
            <a:t>Chequeo cartografía en campo</a:t>
          </a:r>
        </a:p>
        <a:p>
          <a:pPr marL="57150" lvl="1" indent="-57150" algn="l" defTabSz="400050">
            <a:lnSpc>
              <a:spcPct val="90000"/>
            </a:lnSpc>
            <a:spcBef>
              <a:spcPct val="0"/>
            </a:spcBef>
            <a:spcAft>
              <a:spcPct val="15000"/>
            </a:spcAft>
            <a:buChar char="•"/>
          </a:pPr>
          <a:r>
            <a:rPr lang="es-CO" sz="900" kern="1200"/>
            <a:t>Desarrollo del premuestreo, ajuste y realización del inventario forestal</a:t>
          </a:r>
        </a:p>
        <a:p>
          <a:pPr marL="57150" lvl="1" indent="-57150" algn="l" defTabSz="400050">
            <a:lnSpc>
              <a:spcPct val="90000"/>
            </a:lnSpc>
            <a:spcBef>
              <a:spcPct val="0"/>
            </a:spcBef>
            <a:spcAft>
              <a:spcPct val="15000"/>
            </a:spcAft>
            <a:buChar char="•"/>
          </a:pPr>
          <a:r>
            <a:rPr lang="es-CO" sz="900" kern="1200"/>
            <a:t>Desarrollo del componente fauna</a:t>
          </a:r>
        </a:p>
        <a:p>
          <a:pPr marL="57150" lvl="1" indent="-57150" algn="l" defTabSz="400050">
            <a:lnSpc>
              <a:spcPct val="90000"/>
            </a:lnSpc>
            <a:spcBef>
              <a:spcPct val="0"/>
            </a:spcBef>
            <a:spcAft>
              <a:spcPct val="15000"/>
            </a:spcAft>
            <a:buChar char="•"/>
          </a:pPr>
          <a:r>
            <a:rPr lang="es-CO" sz="900" kern="1200"/>
            <a:t>Desarrollo del componente socieconomico</a:t>
          </a:r>
        </a:p>
        <a:p>
          <a:pPr marL="57150" lvl="1" indent="-57150" algn="l" defTabSz="400050">
            <a:lnSpc>
              <a:spcPct val="90000"/>
            </a:lnSpc>
            <a:spcBef>
              <a:spcPct val="0"/>
            </a:spcBef>
            <a:spcAft>
              <a:spcPct val="15000"/>
            </a:spcAft>
            <a:buChar char="•"/>
          </a:pPr>
          <a:r>
            <a:rPr lang="es-CO" sz="900" kern="1200"/>
            <a:t>Desarrollo del componente suelos</a:t>
          </a:r>
        </a:p>
      </dsp:txBody>
      <dsp:txXfrm>
        <a:off x="0" y="3325220"/>
        <a:ext cx="3723005" cy="1350886"/>
      </dsp:txXfrm>
    </dsp:sp>
    <dsp:sp modelId="{2F94551E-AD58-4389-A867-ACC7E854241D}">
      <dsp:nvSpPr>
        <dsp:cNvPr id="0" name=""/>
        <dsp:cNvSpPr/>
      </dsp:nvSpPr>
      <dsp:spPr>
        <a:xfrm>
          <a:off x="178834" y="3044269"/>
          <a:ext cx="2606103" cy="531360"/>
        </a:xfrm>
        <a:prstGeom prst="roundRect">
          <a:avLst/>
        </a:prstGeom>
        <a:solidFill>
          <a:schemeClr val="accent5">
            <a:hueOff val="-2451115"/>
            <a:satOff val="-3409"/>
            <a:lumOff val="-1307"/>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marL="0" lvl="0" indent="0" algn="l" defTabSz="400050">
            <a:lnSpc>
              <a:spcPct val="90000"/>
            </a:lnSpc>
            <a:spcBef>
              <a:spcPct val="0"/>
            </a:spcBef>
            <a:spcAft>
              <a:spcPct val="35000"/>
            </a:spcAft>
            <a:buNone/>
          </a:pPr>
          <a:r>
            <a:rPr lang="es-CO" sz="900" b="1" kern="1200"/>
            <a:t>3. FASE  LOGISTICA Y OPERATIVA</a:t>
          </a:r>
        </a:p>
      </dsp:txBody>
      <dsp:txXfrm>
        <a:off x="204773" y="3070208"/>
        <a:ext cx="2554225" cy="479482"/>
      </dsp:txXfrm>
    </dsp:sp>
    <dsp:sp modelId="{06ACE6F8-0FA9-44AE-BA37-8718AB57D422}">
      <dsp:nvSpPr>
        <dsp:cNvPr id="0" name=""/>
        <dsp:cNvSpPr/>
      </dsp:nvSpPr>
      <dsp:spPr>
        <a:xfrm>
          <a:off x="0" y="5077964"/>
          <a:ext cx="3723005" cy="1134000"/>
        </a:xfrm>
        <a:prstGeom prst="rect">
          <a:avLst/>
        </a:prstGeom>
        <a:solidFill>
          <a:schemeClr val="lt1">
            <a:alpha val="90000"/>
            <a:hueOff val="0"/>
            <a:satOff val="0"/>
            <a:lumOff val="0"/>
            <a:alphaOff val="0"/>
          </a:schemeClr>
        </a:solidFill>
        <a:ln w="12700" cap="flat" cmpd="sng" algn="ctr">
          <a:solidFill>
            <a:schemeClr val="accent5">
              <a:hueOff val="-3676672"/>
              <a:satOff val="-5114"/>
              <a:lumOff val="-1961"/>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270764"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Procesamiento y análisis de información primaria</a:t>
          </a:r>
        </a:p>
        <a:p>
          <a:pPr marL="57150" lvl="1" indent="-57150" algn="l" defTabSz="400050">
            <a:lnSpc>
              <a:spcPct val="90000"/>
            </a:lnSpc>
            <a:spcBef>
              <a:spcPct val="0"/>
            </a:spcBef>
            <a:spcAft>
              <a:spcPct val="15000"/>
            </a:spcAft>
            <a:buChar char="•"/>
          </a:pPr>
          <a:r>
            <a:rPr lang="es-CO" sz="900" kern="1200"/>
            <a:t>Propuesta zonificación inicial de la UOF</a:t>
          </a:r>
        </a:p>
        <a:p>
          <a:pPr marL="57150" lvl="1" indent="-57150" algn="l" defTabSz="400050">
            <a:lnSpc>
              <a:spcPct val="90000"/>
            </a:lnSpc>
            <a:spcBef>
              <a:spcPct val="0"/>
            </a:spcBef>
            <a:spcAft>
              <a:spcPct val="15000"/>
            </a:spcAft>
            <a:buChar char="•"/>
          </a:pPr>
          <a:r>
            <a:rPr lang="es-CO" sz="900" kern="1200"/>
            <a:t>Propuesta de zonificación de las áreas forestales que componen la UOF</a:t>
          </a:r>
        </a:p>
        <a:p>
          <a:pPr marL="57150" lvl="1" indent="-57150" algn="l" defTabSz="400050">
            <a:lnSpc>
              <a:spcPct val="90000"/>
            </a:lnSpc>
            <a:spcBef>
              <a:spcPct val="0"/>
            </a:spcBef>
            <a:spcAft>
              <a:spcPct val="15000"/>
            </a:spcAft>
            <a:buChar char="•"/>
          </a:pPr>
          <a:r>
            <a:rPr lang="es-CO" sz="900" kern="1200"/>
            <a:t> Formulación del POF para cada área forestal de la UOF</a:t>
          </a:r>
        </a:p>
      </dsp:txBody>
      <dsp:txXfrm>
        <a:off x="0" y="5077964"/>
        <a:ext cx="3723005" cy="1134000"/>
      </dsp:txXfrm>
    </dsp:sp>
    <dsp:sp modelId="{514BAA5A-25A1-407B-9E98-4F585743FC17}">
      <dsp:nvSpPr>
        <dsp:cNvPr id="0" name=""/>
        <dsp:cNvSpPr/>
      </dsp:nvSpPr>
      <dsp:spPr>
        <a:xfrm>
          <a:off x="186150" y="4758036"/>
          <a:ext cx="2606103" cy="531360"/>
        </a:xfrm>
        <a:prstGeom prst="roundRect">
          <a:avLst/>
        </a:prstGeom>
        <a:solidFill>
          <a:schemeClr val="accent5">
            <a:hueOff val="-3676672"/>
            <a:satOff val="-5114"/>
            <a:lumOff val="-1961"/>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marL="0" lvl="0" indent="0" algn="l" defTabSz="400050">
            <a:lnSpc>
              <a:spcPct val="90000"/>
            </a:lnSpc>
            <a:spcBef>
              <a:spcPct val="0"/>
            </a:spcBef>
            <a:spcAft>
              <a:spcPct val="35000"/>
            </a:spcAft>
            <a:buNone/>
          </a:pPr>
          <a:r>
            <a:rPr lang="es-CO" sz="900" b="1" kern="1200"/>
            <a:t>4. FASE DE OFICINA</a:t>
          </a:r>
        </a:p>
      </dsp:txBody>
      <dsp:txXfrm>
        <a:off x="212089" y="4783975"/>
        <a:ext cx="2554225" cy="479482"/>
      </dsp:txXfrm>
    </dsp:sp>
    <dsp:sp modelId="{4EFCDA67-9C44-44DD-A910-D775D3C6B542}">
      <dsp:nvSpPr>
        <dsp:cNvPr id="0" name=""/>
        <dsp:cNvSpPr/>
      </dsp:nvSpPr>
      <dsp:spPr>
        <a:xfrm>
          <a:off x="0" y="6548805"/>
          <a:ext cx="3723005" cy="754238"/>
        </a:xfrm>
        <a:prstGeom prst="rect">
          <a:avLst/>
        </a:prstGeom>
        <a:solidFill>
          <a:schemeClr val="lt1">
            <a:alpha val="90000"/>
            <a:hueOff val="0"/>
            <a:satOff val="0"/>
            <a:lumOff val="0"/>
            <a:alphaOff val="0"/>
          </a:schemeClr>
        </a:solidFill>
        <a:ln w="12700" cap="flat" cmpd="sng" algn="ctr">
          <a:solidFill>
            <a:schemeClr val="accent5">
              <a:hueOff val="-4902230"/>
              <a:satOff val="-6819"/>
              <a:lumOff val="-2615"/>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270764"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Socialización versión premiminar de los POF</a:t>
          </a:r>
        </a:p>
        <a:p>
          <a:pPr marL="57150" lvl="1" indent="-57150" algn="l" defTabSz="400050">
            <a:lnSpc>
              <a:spcPct val="90000"/>
            </a:lnSpc>
            <a:spcBef>
              <a:spcPct val="0"/>
            </a:spcBef>
            <a:spcAft>
              <a:spcPct val="15000"/>
            </a:spcAft>
            <a:buChar char="•"/>
          </a:pPr>
          <a:r>
            <a:rPr lang="es-CO" sz="900" kern="1200"/>
            <a:t>Armonización de los POF con actores locales y regionales</a:t>
          </a:r>
        </a:p>
        <a:p>
          <a:pPr marL="57150" lvl="1" indent="-57150" algn="l" defTabSz="400050">
            <a:lnSpc>
              <a:spcPct val="90000"/>
            </a:lnSpc>
            <a:spcBef>
              <a:spcPct val="0"/>
            </a:spcBef>
            <a:spcAft>
              <a:spcPct val="15000"/>
            </a:spcAft>
            <a:buChar char="•"/>
          </a:pPr>
          <a:r>
            <a:rPr lang="es-CO" sz="900" kern="1200"/>
            <a:t>Edición y ajustes de los POF</a:t>
          </a:r>
        </a:p>
      </dsp:txBody>
      <dsp:txXfrm>
        <a:off x="0" y="6548805"/>
        <a:ext cx="3723005" cy="754238"/>
      </dsp:txXfrm>
    </dsp:sp>
    <dsp:sp modelId="{72C2FA48-4513-4CD5-8267-CAFA222E040F}">
      <dsp:nvSpPr>
        <dsp:cNvPr id="0" name=""/>
        <dsp:cNvSpPr/>
      </dsp:nvSpPr>
      <dsp:spPr>
        <a:xfrm>
          <a:off x="178834" y="6287866"/>
          <a:ext cx="2606103" cy="531360"/>
        </a:xfrm>
        <a:prstGeom prst="roundRect">
          <a:avLst/>
        </a:prstGeom>
        <a:solidFill>
          <a:schemeClr val="accent5">
            <a:hueOff val="-4902230"/>
            <a:satOff val="-6819"/>
            <a:lumOff val="-2615"/>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marL="0" lvl="0" indent="0" algn="l" defTabSz="400050">
            <a:lnSpc>
              <a:spcPct val="90000"/>
            </a:lnSpc>
            <a:spcBef>
              <a:spcPct val="0"/>
            </a:spcBef>
            <a:spcAft>
              <a:spcPct val="35000"/>
            </a:spcAft>
            <a:buNone/>
          </a:pPr>
          <a:r>
            <a:rPr lang="es-CO" sz="900" b="1" kern="1200"/>
            <a:t>5. FASE DE FORMULACION</a:t>
          </a:r>
        </a:p>
      </dsp:txBody>
      <dsp:txXfrm>
        <a:off x="204773" y="6313805"/>
        <a:ext cx="2554225" cy="479482"/>
      </dsp:txXfrm>
    </dsp:sp>
    <dsp:sp modelId="{FA8C06B1-BAA1-4827-A601-D14B18466DB6}">
      <dsp:nvSpPr>
        <dsp:cNvPr id="0" name=""/>
        <dsp:cNvSpPr/>
      </dsp:nvSpPr>
      <dsp:spPr>
        <a:xfrm>
          <a:off x="0" y="7652986"/>
          <a:ext cx="3723005" cy="1134000"/>
        </a:xfrm>
        <a:prstGeom prst="rect">
          <a:avLst/>
        </a:prstGeom>
        <a:solidFill>
          <a:schemeClr val="lt1">
            <a:alpha val="90000"/>
            <a:hueOff val="0"/>
            <a:satOff val="0"/>
            <a:lumOff val="0"/>
            <a:alphaOff val="0"/>
          </a:schemeClr>
        </a:solidFill>
        <a:ln w="12700" cap="flat" cmpd="sng" algn="ctr">
          <a:solidFill>
            <a:schemeClr val="accent5">
              <a:hueOff val="-6127787"/>
              <a:satOff val="-8523"/>
              <a:lumOff val="-3268"/>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270764"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Aprobación de los POF por Consejo Directivo de la autoridad ambiental competente</a:t>
          </a:r>
        </a:p>
        <a:p>
          <a:pPr marL="57150" lvl="1" indent="-57150" algn="l" defTabSz="400050">
            <a:lnSpc>
              <a:spcPct val="90000"/>
            </a:lnSpc>
            <a:spcBef>
              <a:spcPct val="0"/>
            </a:spcBef>
            <a:spcAft>
              <a:spcPct val="15000"/>
            </a:spcAft>
            <a:buChar char="•"/>
          </a:pPr>
          <a:r>
            <a:rPr lang="es-CO" sz="900" kern="1200"/>
            <a:t>Incorporación de los POF en el POA de la autoridad ambiental competente</a:t>
          </a:r>
        </a:p>
        <a:p>
          <a:pPr marL="57150" lvl="1" indent="-57150" algn="l" defTabSz="400050">
            <a:lnSpc>
              <a:spcPct val="90000"/>
            </a:lnSpc>
            <a:spcBef>
              <a:spcPct val="0"/>
            </a:spcBef>
            <a:spcAft>
              <a:spcPct val="15000"/>
            </a:spcAft>
            <a:buChar char="•"/>
          </a:pPr>
          <a:r>
            <a:rPr lang="es-CO" sz="900" kern="1200"/>
            <a:t>Desarrollo de planes, programas y proyectos de cada POF </a:t>
          </a:r>
        </a:p>
      </dsp:txBody>
      <dsp:txXfrm>
        <a:off x="0" y="7652986"/>
        <a:ext cx="3723005" cy="1134000"/>
      </dsp:txXfrm>
    </dsp:sp>
    <dsp:sp modelId="{4E9F94DE-8CF1-4FE7-9A6B-53CB416743FC}">
      <dsp:nvSpPr>
        <dsp:cNvPr id="0" name=""/>
        <dsp:cNvSpPr/>
      </dsp:nvSpPr>
      <dsp:spPr>
        <a:xfrm>
          <a:off x="186150" y="7388507"/>
          <a:ext cx="2606103" cy="531360"/>
        </a:xfrm>
        <a:prstGeom prst="roundRect">
          <a:avLst/>
        </a:prstGeom>
        <a:solidFill>
          <a:schemeClr val="accent5">
            <a:hueOff val="-6127787"/>
            <a:satOff val="-8523"/>
            <a:lumOff val="-3268"/>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marL="0" lvl="0" indent="0" algn="l" defTabSz="400050">
            <a:lnSpc>
              <a:spcPct val="90000"/>
            </a:lnSpc>
            <a:spcBef>
              <a:spcPct val="0"/>
            </a:spcBef>
            <a:spcAft>
              <a:spcPct val="35000"/>
            </a:spcAft>
            <a:buNone/>
          </a:pPr>
          <a:r>
            <a:rPr lang="es-CO" sz="900" b="1" kern="1200"/>
            <a:t>6. FASE DE IMPLEMENTACION</a:t>
          </a:r>
        </a:p>
      </dsp:txBody>
      <dsp:txXfrm>
        <a:off x="212089" y="7414446"/>
        <a:ext cx="2554225" cy="479482"/>
      </dsp:txXfrm>
    </dsp:sp>
    <dsp:sp modelId="{77262FC2-D56C-47EC-A6D3-390D5DF0E708}">
      <dsp:nvSpPr>
        <dsp:cNvPr id="0" name=""/>
        <dsp:cNvSpPr/>
      </dsp:nvSpPr>
      <dsp:spPr>
        <a:xfrm>
          <a:off x="0" y="9136925"/>
          <a:ext cx="3723005" cy="864675"/>
        </a:xfrm>
        <a:prstGeom prst="rect">
          <a:avLst/>
        </a:prstGeom>
        <a:solidFill>
          <a:schemeClr val="lt1">
            <a:alpha val="90000"/>
            <a:hueOff val="0"/>
            <a:satOff val="0"/>
            <a:lumOff val="0"/>
            <a:alphaOff val="0"/>
          </a:schemeClr>
        </a:solidFill>
        <a:ln w="12700" cap="flat" cmpd="sng" algn="ctr">
          <a:solidFill>
            <a:schemeClr val="accent5">
              <a:hueOff val="-7353344"/>
              <a:satOff val="-10228"/>
              <a:lumOff val="-3922"/>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270764"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Seguimiento a los POF</a:t>
          </a:r>
        </a:p>
        <a:p>
          <a:pPr marL="57150" lvl="1" indent="-57150" algn="l" defTabSz="400050">
            <a:lnSpc>
              <a:spcPct val="90000"/>
            </a:lnSpc>
            <a:spcBef>
              <a:spcPct val="0"/>
            </a:spcBef>
            <a:spcAft>
              <a:spcPct val="15000"/>
            </a:spcAft>
            <a:buChar char="•"/>
          </a:pPr>
          <a:r>
            <a:rPr lang="es-CO" sz="900" kern="1200"/>
            <a:t>Revisión y evaluación de los POF</a:t>
          </a:r>
        </a:p>
        <a:p>
          <a:pPr marL="57150" lvl="1" indent="-57150" algn="l" defTabSz="400050">
            <a:lnSpc>
              <a:spcPct val="90000"/>
            </a:lnSpc>
            <a:spcBef>
              <a:spcPct val="0"/>
            </a:spcBef>
            <a:spcAft>
              <a:spcPct val="15000"/>
            </a:spcAft>
            <a:buChar char="•"/>
          </a:pPr>
          <a:r>
            <a:rPr lang="es-CO" sz="900" kern="1200"/>
            <a:t>Actualización de los POF  </a:t>
          </a:r>
        </a:p>
      </dsp:txBody>
      <dsp:txXfrm>
        <a:off x="0" y="9136925"/>
        <a:ext cx="3723005" cy="864675"/>
      </dsp:txXfrm>
    </dsp:sp>
    <dsp:sp modelId="{0BB363C2-1000-4D63-89E1-75C121258685}">
      <dsp:nvSpPr>
        <dsp:cNvPr id="0" name=""/>
        <dsp:cNvSpPr/>
      </dsp:nvSpPr>
      <dsp:spPr>
        <a:xfrm>
          <a:off x="193465" y="8885387"/>
          <a:ext cx="2606103" cy="531360"/>
        </a:xfrm>
        <a:prstGeom prst="roundRect">
          <a:avLst/>
        </a:prstGeom>
        <a:solidFill>
          <a:schemeClr val="accent5">
            <a:hueOff val="-7353344"/>
            <a:satOff val="-10228"/>
            <a:lumOff val="-3922"/>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marL="0" lvl="0" indent="0" algn="l" defTabSz="400050">
            <a:lnSpc>
              <a:spcPct val="90000"/>
            </a:lnSpc>
            <a:spcBef>
              <a:spcPct val="0"/>
            </a:spcBef>
            <a:spcAft>
              <a:spcPct val="35000"/>
            </a:spcAft>
            <a:buNone/>
          </a:pPr>
          <a:r>
            <a:rPr lang="es-CO" sz="900" b="1" kern="1200"/>
            <a:t>7. FASE DE SEGUIMIENTO Y ACTUALIZACION</a:t>
          </a:r>
        </a:p>
      </dsp:txBody>
      <dsp:txXfrm>
        <a:off x="219404" y="8911326"/>
        <a:ext cx="2554225" cy="479482"/>
      </dsp:txXfrm>
    </dsp:sp>
  </dsp:spTree>
</dsp:drawing>
</file>

<file path=xl/diagrams/layout1.xml><?xml version="1.0" encoding="utf-8"?>
<dgm:layoutDef xmlns:dgm="http://schemas.openxmlformats.org/drawingml/2006/diagram" xmlns:a="http://schemas.openxmlformats.org/drawingml/2006/main" uniqueId="urn:microsoft.com/office/officeart/2005/8/layout/list1">
  <dgm:title val=""/>
  <dgm:desc val=""/>
  <dgm:catLst>
    <dgm:cat type="list" pri="4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t modelId="2"/>
      </dgm:ptLst>
      <dgm:cxnLst>
        <dgm:cxn modelId="4" srcId="0" destId="1" srcOrd="0" destOrd="0"/>
        <dgm:cxn modelId="5"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animLvl val="lvl"/>
      <dgm:resizeHandles val="exact"/>
    </dgm:varLst>
    <dgm:choose name="Name0">
      <dgm:if name="Name1" func="var" arg="dir" op="equ" val="norm">
        <dgm:alg type="lin">
          <dgm:param type="linDir" val="fromT"/>
          <dgm:param type="vertAlign" val="mid"/>
          <dgm:param type="horzAlign" val="l"/>
          <dgm:param type="nodeHorzAlign" val="l"/>
        </dgm:alg>
      </dgm:if>
      <dgm:else name="Name2">
        <dgm:alg type="lin">
          <dgm:param type="linDir" val="fromT"/>
          <dgm:param type="vertAlign" val="mid"/>
          <dgm:param type="horzAlign" val="r"/>
          <dgm:param type="nodeHorzAlign" val="r"/>
        </dgm:alg>
      </dgm:else>
    </dgm:choose>
    <dgm:shape xmlns:r="http://schemas.openxmlformats.org/officeDocument/2006/relationships" r:blip="">
      <dgm:adjLst/>
    </dgm:shape>
    <dgm:presOf/>
    <dgm:constrLst>
      <dgm:constr type="w" for="ch" forName="parentLin" refType="w"/>
      <dgm:constr type="h" for="ch" forName="parentLin" val="INF"/>
      <dgm:constr type="w" for="des" forName="parentLeftMargin" refType="w" fact="0.05"/>
      <dgm:constr type="w" for="des" forName="parentText" refType="w" fact="0.7"/>
      <dgm:constr type="h" for="des" forName="parentText" refType="primFontSz" refFor="des" refForName="parentText" fact="0.82"/>
      <dgm:constr type="h" for="ch" forName="negativeSpace" refType="primFontSz" refFor="des" refForName="parentText" fact="-0.41"/>
      <dgm:constr type="h" for="ch" forName="negativeSpace" refType="h" refFor="des" refForName="parentText" op="lte" fact="-0.82"/>
      <dgm:constr type="h" for="ch" forName="negativeSpace" refType="h" refFor="des" refForName="parentText" op="gte" fact="-0.82"/>
      <dgm:constr type="w" for="ch" forName="childText" refType="w"/>
      <dgm:constr type="h" for="ch" forName="childText" refType="primFontSz" refFor="des" refForName="parentText" fact="0.7"/>
      <dgm:constr type="primFontSz" for="des" forName="parentText" val="65"/>
      <dgm:constr type="primFontSz" for="ch" forName="childText" refType="primFontSz" refFor="des" refForName="parentText"/>
      <dgm:constr type="tMarg" for="ch" forName="childText" refType="primFontSz" refFor="des" refForName="parentText" fact="1.64"/>
      <dgm:constr type="tMarg" for="ch" forName="childText" refType="h" refFor="des" refForName="parentText" op="lte" fact="3.28"/>
      <dgm:constr type="tMarg" for="ch" forName="childText" refType="h" refFor="des" refForName="parentText" op="gte" fact="3.28"/>
      <dgm:constr type="lMarg" for="ch" forName="childText" refType="w" fact="0.22"/>
      <dgm:constr type="rMarg" for="ch" forName="childText" refType="lMarg" refFor="ch" refForName="childText"/>
      <dgm:constr type="lMarg" for="des" forName="parentText" refType="w" fact="0.075"/>
      <dgm:constr type="rMarg" for="des" forName="parentText" refType="lMarg" refFor="des" refForName="parentText"/>
      <dgm:constr type="h" for="ch" forName="spaceBetweenRectangles" refType="primFontSz" refFor="des" refForName="parentText" fact="0.15"/>
    </dgm:constrLst>
    <dgm:ruleLst>
      <dgm:rule type="primFontSz" for="des" forName="parentText" val="5" fact="NaN" max="NaN"/>
    </dgm:ruleLst>
    <dgm:forEach name="Name3" axis="ch" ptType="node">
      <dgm:layoutNode name="parentLin">
        <dgm:choose name="Name4">
          <dgm:if name="Name5" func="var" arg="dir" op="equ" val="norm">
            <dgm:alg type="lin">
              <dgm:param type="linDir" val="fromL"/>
              <dgm:param type="horzAlign" val="l"/>
              <dgm:param type="nodeHorzAlign" val="l"/>
            </dgm:alg>
          </dgm:if>
          <dgm:else name="Name6">
            <dgm:alg type="lin">
              <dgm:param type="linDir" val="fromR"/>
              <dgm:param type="horzAlign" val="r"/>
              <dgm:param type="nodeHorzAlign" val="r"/>
            </dgm:alg>
          </dgm:else>
        </dgm:choose>
        <dgm:shape xmlns:r="http://schemas.openxmlformats.org/officeDocument/2006/relationships" r:blip="">
          <dgm:adjLst/>
        </dgm:shape>
        <dgm:presOf/>
        <dgm:constrLst/>
        <dgm:ruleLst/>
        <dgm:layoutNode name="parentLeftMargin">
          <dgm:alg type="sp"/>
          <dgm:shape xmlns:r="http://schemas.openxmlformats.org/officeDocument/2006/relationships" type="rect" r:blip="" hideGeom="1">
            <dgm:adjLst/>
          </dgm:shape>
          <dgm:presOf axis="self"/>
          <dgm:constrLst>
            <dgm:constr type="h"/>
          </dgm:constrLst>
          <dgm:ruleLst/>
        </dgm:layoutNode>
        <dgm:layoutNode name="parentText" styleLbl="node1">
          <dgm:varLst>
            <dgm:chMax val="0"/>
            <dgm:bulletEnabled val="1"/>
          </dgm:varLst>
          <dgm:choose name="Name7">
            <dgm:if name="Name8" func="var" arg="dir" op="equ" val="norm">
              <dgm:alg type="tx">
                <dgm:param type="parTxLTRAlign" val="l"/>
                <dgm:param type="parTxRTLAlign" val="l"/>
              </dgm:alg>
            </dgm:if>
            <dgm:else name="Name9">
              <dgm:alg type="tx">
                <dgm:param type="parTxLTRAlign" val="r"/>
                <dgm:param type="parTxRTLAlign" val="r"/>
              </dgm:alg>
            </dgm:else>
          </dgm:choose>
          <dgm:shape xmlns:r="http://schemas.openxmlformats.org/officeDocument/2006/relationships" type="roundRect" r:blip="">
            <dgm:adjLst/>
          </dgm:shape>
          <dgm:presOf axis="self" ptType="node"/>
          <dgm:constrLst>
            <dgm:constr type="tMarg"/>
            <dgm:constr type="bMarg"/>
          </dgm:constrLst>
          <dgm:ruleLst/>
        </dgm:layoutNode>
      </dgm:layoutNode>
      <dgm:layoutNode name="negativeSpace">
        <dgm:alg type="sp"/>
        <dgm:shape xmlns:r="http://schemas.openxmlformats.org/officeDocument/2006/relationships" r:blip="">
          <dgm:adjLst/>
        </dgm:shape>
        <dgm:presOf/>
        <dgm:constrLst/>
        <dgm:ruleLst/>
      </dgm:layoutNode>
      <dgm:layoutNode name="childText" styleLbl="conFgAcc1">
        <dgm:varLst>
          <dgm:bulletEnabled val="1"/>
        </dgm:varLst>
        <dgm:alg type="tx">
          <dgm:param type="stBulletLvl" val="1"/>
        </dgm:alg>
        <dgm:shape xmlns:r="http://schemas.openxmlformats.org/officeDocument/2006/relationships" type="rect" r:blip="" zOrderOff="-2">
          <dgm:adjLst/>
        </dgm:shape>
        <dgm:presOf axis="des" ptType="node"/>
        <dgm:constrLst>
          <dgm:constr type="secFontSz" refType="primFontSz"/>
        </dgm:constrLst>
        <dgm:ruleLst>
          <dgm:rule type="h" val="INF" fact="NaN" max="NaN"/>
        </dgm:ruleLst>
      </dgm:layoutNode>
      <dgm:forEach name="Name10" axis="followSib" ptType="sibTrans" cnt="1">
        <dgm:layoutNode name="spaceBetweenRectangles">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png"/><Relationship Id="rId5" Type="http://schemas.openxmlformats.org/officeDocument/2006/relationships/image" Target="../media/image15.png"/><Relationship Id="rId4"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6.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8.png"/><Relationship Id="rId1" Type="http://schemas.openxmlformats.org/officeDocument/2006/relationships/image" Target="../media/image17.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0.png"/></Relationships>
</file>

<file path=xl/drawings/_rels/drawing19.xml.rels><?xml version="1.0" encoding="UTF-8" standalone="yes"?>
<Relationships xmlns="http://schemas.openxmlformats.org/package/2006/relationships"><Relationship Id="rId3" Type="http://schemas.openxmlformats.org/officeDocument/2006/relationships/diagramLayout" Target="../diagrams/layout1.xml"/><Relationship Id="rId7" Type="http://schemas.openxmlformats.org/officeDocument/2006/relationships/image" Target="../media/image1.png"/><Relationship Id="rId2" Type="http://schemas.openxmlformats.org/officeDocument/2006/relationships/diagramData" Target="../diagrams/data1.xml"/><Relationship Id="rId1" Type="http://schemas.openxmlformats.org/officeDocument/2006/relationships/image" Target="../media/image21.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3.png"/><Relationship Id="rId1" Type="http://schemas.openxmlformats.org/officeDocument/2006/relationships/image" Target="../media/image22.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5.png"/><Relationship Id="rId1" Type="http://schemas.openxmlformats.org/officeDocument/2006/relationships/image" Target="../media/image24.png"/></Relationships>
</file>

<file path=xl/drawings/_rels/drawing2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7.png"/><Relationship Id="rId1" Type="http://schemas.openxmlformats.org/officeDocument/2006/relationships/image" Target="../media/image26.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9.png"/><Relationship Id="rId1" Type="http://schemas.openxmlformats.org/officeDocument/2006/relationships/image" Target="../media/image28.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0.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1.png"/></Relationships>
</file>

<file path=xl/drawings/_rels/drawing2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3.png"/><Relationship Id="rId1" Type="http://schemas.openxmlformats.org/officeDocument/2006/relationships/image" Target="../media/image32.png"/></Relationships>
</file>

<file path=xl/drawings/_rels/drawing2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5.png"/><Relationship Id="rId1" Type="http://schemas.openxmlformats.org/officeDocument/2006/relationships/image" Target="../media/image34.png"/></Relationships>
</file>

<file path=xl/drawings/_rels/drawing2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7.png"/><Relationship Id="rId1" Type="http://schemas.openxmlformats.org/officeDocument/2006/relationships/image" Target="../media/image36.png"/></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8.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0.png"/><Relationship Id="rId1" Type="http://schemas.openxmlformats.org/officeDocument/2006/relationships/image" Target="../media/image39.png"/></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1.png"/></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2.png"/></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3.png"/></Relationships>
</file>

<file path=xl/drawings/_rels/drawing34.xml.rels><?xml version="1.0" encoding="UTF-8" standalone="yes"?>
<Relationships xmlns="http://schemas.openxmlformats.org/package/2006/relationships"><Relationship Id="rId3" Type="http://schemas.openxmlformats.org/officeDocument/2006/relationships/image" Target="../media/image46.png"/><Relationship Id="rId2" Type="http://schemas.openxmlformats.org/officeDocument/2006/relationships/image" Target="../media/image45.png"/><Relationship Id="rId1" Type="http://schemas.openxmlformats.org/officeDocument/2006/relationships/image" Target="../media/image44.png"/><Relationship Id="rId4" Type="http://schemas.openxmlformats.org/officeDocument/2006/relationships/image" Target="../media/image1.png"/></Relationships>
</file>

<file path=xl/drawings/_rels/drawing3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8.png"/><Relationship Id="rId1" Type="http://schemas.openxmlformats.org/officeDocument/2006/relationships/image" Target="../media/image47.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xdr:colOff>
      <xdr:row>0</xdr:row>
      <xdr:rowOff>0</xdr:rowOff>
    </xdr:from>
    <xdr:to>
      <xdr:col>6</xdr:col>
      <xdr:colOff>0</xdr:colOff>
      <xdr:row>1</xdr:row>
      <xdr:rowOff>0</xdr:rowOff>
    </xdr:to>
    <xdr:grpSp>
      <xdr:nvGrpSpPr>
        <xdr:cNvPr id="10" name="1 Grupo">
          <a:extLst>
            <a:ext uri="{FF2B5EF4-FFF2-40B4-BE49-F238E27FC236}">
              <a16:creationId xmlns:a16="http://schemas.microsoft.com/office/drawing/2014/main" id="{00000000-0008-0000-0000-00000A000000}"/>
            </a:ext>
          </a:extLst>
        </xdr:cNvPr>
        <xdr:cNvGrpSpPr>
          <a:grpSpLocks/>
        </xdr:cNvGrpSpPr>
      </xdr:nvGrpSpPr>
      <xdr:grpSpPr bwMode="auto">
        <a:xfrm>
          <a:off x="2" y="0"/>
          <a:ext cx="10201273" cy="1657350"/>
          <a:chOff x="57151" y="47625"/>
          <a:chExt cx="6181724" cy="1581150"/>
        </a:xfrm>
      </xdr:grpSpPr>
      <xdr:pic>
        <xdr:nvPicPr>
          <xdr:cNvPr id="11" name="1 Imagen" descr="ESCUDO-transp-lema-blanco.png">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57151" y="47625"/>
            <a:ext cx="850209" cy="1581150"/>
          </a:xfrm>
          <a:prstGeom prst="rect">
            <a:avLst/>
          </a:prstGeom>
          <a:noFill/>
          <a:ln w="9525">
            <a:noFill/>
            <a:miter lim="800000"/>
            <a:headEnd/>
            <a:tailEnd/>
          </a:ln>
        </xdr:spPr>
      </xdr:pic>
      <xdr:sp macro="" textlink="">
        <xdr:nvSpPr>
          <xdr:cNvPr id="12" name="3 CuadroTexto">
            <a:extLst>
              <a:ext uri="{FF2B5EF4-FFF2-40B4-BE49-F238E27FC236}">
                <a16:creationId xmlns:a16="http://schemas.microsoft.com/office/drawing/2014/main" id="{00000000-0008-0000-0000-00000C000000}"/>
              </a:ext>
            </a:extLst>
          </xdr:cNvPr>
          <xdr:cNvSpPr txBox="1"/>
        </xdr:nvSpPr>
        <xdr:spPr>
          <a:xfrm>
            <a:off x="1426640" y="49530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601981</xdr:colOff>
      <xdr:row>69</xdr:row>
      <xdr:rowOff>0</xdr:rowOff>
    </xdr:from>
    <xdr:to>
      <xdr:col>3</xdr:col>
      <xdr:colOff>2065148</xdr:colOff>
      <xdr:row>70</xdr:row>
      <xdr:rowOff>83843</xdr:rowOff>
    </xdr:to>
    <xdr:pic>
      <xdr:nvPicPr>
        <xdr:cNvPr id="2" name="Imagen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89761" y="16245840"/>
          <a:ext cx="1463167"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0A00-000003000000}"/>
            </a:ext>
          </a:extLst>
        </xdr:cNvPr>
        <xdr:cNvGrpSpPr>
          <a:grpSpLocks/>
        </xdr:cNvGrpSpPr>
      </xdr:nvGrpSpPr>
      <xdr:grpSpPr bwMode="auto">
        <a:xfrm>
          <a:off x="0" y="0"/>
          <a:ext cx="5394266" cy="1277615"/>
          <a:chOff x="57150" y="47625"/>
          <a:chExt cx="6316603" cy="1200288"/>
        </a:xfrm>
      </xdr:grpSpPr>
      <xdr:pic>
        <xdr:nvPicPr>
          <xdr:cNvPr id="4" name="1 Imagen" descr="ESCUDO-transp-lema-blanco.pn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0A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186612</xdr:colOff>
      <xdr:row>61</xdr:row>
      <xdr:rowOff>124408</xdr:rowOff>
    </xdr:from>
    <xdr:to>
      <xdr:col>2</xdr:col>
      <xdr:colOff>1772319</xdr:colOff>
      <xdr:row>63</xdr:row>
      <xdr:rowOff>23241</xdr:rowOff>
    </xdr:to>
    <xdr:pic>
      <xdr:nvPicPr>
        <xdr:cNvPr id="2" name="Imagen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99592" y="19244388"/>
          <a:ext cx="1585707" cy="272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0B00-000003000000}"/>
            </a:ext>
          </a:extLst>
        </xdr:cNvPr>
        <xdr:cNvGrpSpPr>
          <a:grpSpLocks/>
        </xdr:cNvGrpSpPr>
      </xdr:nvGrpSpPr>
      <xdr:grpSpPr bwMode="auto">
        <a:xfrm>
          <a:off x="0" y="0"/>
          <a:ext cx="5319669" cy="1278344"/>
          <a:chOff x="57150" y="47625"/>
          <a:chExt cx="6316603" cy="1200288"/>
        </a:xfrm>
      </xdr:grpSpPr>
      <xdr:pic>
        <xdr:nvPicPr>
          <xdr:cNvPr id="4" name="1 Imagen" descr="ESCUDO-transp-lema-blanco.pn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0B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548640</xdr:colOff>
      <xdr:row>62</xdr:row>
      <xdr:rowOff>160020</xdr:rowOff>
    </xdr:from>
    <xdr:to>
      <xdr:col>2</xdr:col>
      <xdr:colOff>1714601</xdr:colOff>
      <xdr:row>64</xdr:row>
      <xdr:rowOff>60983</xdr:rowOff>
    </xdr:to>
    <xdr:pic>
      <xdr:nvPicPr>
        <xdr:cNvPr id="2" name="Imagen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0" y="20193000"/>
          <a:ext cx="1165961"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0C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0C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381000</xdr:colOff>
      <xdr:row>66</xdr:row>
      <xdr:rowOff>160020</xdr:rowOff>
    </xdr:from>
    <xdr:to>
      <xdr:col>2</xdr:col>
      <xdr:colOff>2065166</xdr:colOff>
      <xdr:row>68</xdr:row>
      <xdr:rowOff>60983</xdr:rowOff>
    </xdr:to>
    <xdr:pic>
      <xdr:nvPicPr>
        <xdr:cNvPr id="2" name="Imagen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92580" y="21983700"/>
          <a:ext cx="1684166"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0D00-000003000000}"/>
            </a:ext>
          </a:extLst>
        </xdr:cNvPr>
        <xdr:cNvGrpSpPr>
          <a:grpSpLocks/>
        </xdr:cNvGrpSpPr>
      </xdr:nvGrpSpPr>
      <xdr:grpSpPr bwMode="auto">
        <a:xfrm>
          <a:off x="0" y="0"/>
          <a:ext cx="5319669" cy="1278344"/>
          <a:chOff x="57150" y="47625"/>
          <a:chExt cx="6316603" cy="1200288"/>
        </a:xfrm>
      </xdr:grpSpPr>
      <xdr:pic>
        <xdr:nvPicPr>
          <xdr:cNvPr id="4" name="1 Imagen" descr="ESCUDO-transp-lema-blanco.png">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0D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30481</xdr:colOff>
      <xdr:row>88</xdr:row>
      <xdr:rowOff>144780</xdr:rowOff>
    </xdr:from>
    <xdr:to>
      <xdr:col>2</xdr:col>
      <xdr:colOff>2372310</xdr:colOff>
      <xdr:row>88</xdr:row>
      <xdr:rowOff>240800</xdr:rowOff>
    </xdr:to>
    <xdr:pic>
      <xdr:nvPicPr>
        <xdr:cNvPr id="2" name="Imagen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2061" y="21252180"/>
          <a:ext cx="2341829"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411481</xdr:colOff>
      <xdr:row>99</xdr:row>
      <xdr:rowOff>0</xdr:rowOff>
    </xdr:from>
    <xdr:to>
      <xdr:col>2</xdr:col>
      <xdr:colOff>1718424</xdr:colOff>
      <xdr:row>100</xdr:row>
      <xdr:rowOff>3826</xdr:rowOff>
    </xdr:to>
    <xdr:pic>
      <xdr:nvPicPr>
        <xdr:cNvPr id="3" name="Imagen 2">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3061" y="25534620"/>
          <a:ext cx="1306943"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624841</xdr:colOff>
      <xdr:row>105</xdr:row>
      <xdr:rowOff>15240</xdr:rowOff>
    </xdr:from>
    <xdr:to>
      <xdr:col>2</xdr:col>
      <xdr:colOff>1654392</xdr:colOff>
      <xdr:row>106</xdr:row>
      <xdr:rowOff>19066</xdr:rowOff>
    </xdr:to>
    <xdr:pic>
      <xdr:nvPicPr>
        <xdr:cNvPr id="4" name="Imagen 3">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36421" y="27104340"/>
          <a:ext cx="1029551"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594360</xdr:colOff>
      <xdr:row>111</xdr:row>
      <xdr:rowOff>144780</xdr:rowOff>
    </xdr:from>
    <xdr:to>
      <xdr:col>2</xdr:col>
      <xdr:colOff>1655918</xdr:colOff>
      <xdr:row>112</xdr:row>
      <xdr:rowOff>148606</xdr:rowOff>
    </xdr:to>
    <xdr:pic>
      <xdr:nvPicPr>
        <xdr:cNvPr id="5" name="Imagen 4">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5940" y="28635960"/>
          <a:ext cx="1061558"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365760</xdr:colOff>
      <xdr:row>118</xdr:row>
      <xdr:rowOff>53341</xdr:rowOff>
    </xdr:from>
    <xdr:to>
      <xdr:col>2</xdr:col>
      <xdr:colOff>2206150</xdr:colOff>
      <xdr:row>119</xdr:row>
      <xdr:rowOff>41164</xdr:rowOff>
    </xdr:to>
    <xdr:pic>
      <xdr:nvPicPr>
        <xdr:cNvPr id="6" name="Imagen 5">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77340" y="30556201"/>
          <a:ext cx="1840390" cy="170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7" name="1 Grupo">
          <a:extLst>
            <a:ext uri="{FF2B5EF4-FFF2-40B4-BE49-F238E27FC236}">
              <a16:creationId xmlns:a16="http://schemas.microsoft.com/office/drawing/2014/main" id="{00000000-0008-0000-0E00-000007000000}"/>
            </a:ext>
          </a:extLst>
        </xdr:cNvPr>
        <xdr:cNvGrpSpPr>
          <a:grpSpLocks/>
        </xdr:cNvGrpSpPr>
      </xdr:nvGrpSpPr>
      <xdr:grpSpPr bwMode="auto">
        <a:xfrm>
          <a:off x="0" y="0"/>
          <a:ext cx="5799888" cy="1274375"/>
          <a:chOff x="57150" y="47625"/>
          <a:chExt cx="6316603" cy="1200288"/>
        </a:xfrm>
      </xdr:grpSpPr>
      <xdr:pic>
        <xdr:nvPicPr>
          <xdr:cNvPr id="8" name="1 Imagen" descr="ESCUDO-transp-lema-blanco.png">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6"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a:extLst>
              <a:ext uri="{FF2B5EF4-FFF2-40B4-BE49-F238E27FC236}">
                <a16:creationId xmlns:a16="http://schemas.microsoft.com/office/drawing/2014/main" id="{00000000-0008-0000-0E00-000009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518160</xdr:colOff>
      <xdr:row>91</xdr:row>
      <xdr:rowOff>0</xdr:rowOff>
    </xdr:from>
    <xdr:to>
      <xdr:col>2</xdr:col>
      <xdr:colOff>1920362</xdr:colOff>
      <xdr:row>92</xdr:row>
      <xdr:rowOff>83843</xdr:rowOff>
    </xdr:to>
    <xdr:pic>
      <xdr:nvPicPr>
        <xdr:cNvPr id="2" name="Imagen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28696920"/>
          <a:ext cx="1402202"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0F00-000003000000}"/>
            </a:ext>
          </a:extLst>
        </xdr:cNvPr>
        <xdr:cNvGrpSpPr>
          <a:grpSpLocks/>
        </xdr:cNvGrpSpPr>
      </xdr:nvGrpSpPr>
      <xdr:grpSpPr bwMode="auto">
        <a:xfrm>
          <a:off x="0" y="0"/>
          <a:ext cx="5903076" cy="1278344"/>
          <a:chOff x="57150" y="47625"/>
          <a:chExt cx="6316603" cy="1200288"/>
        </a:xfrm>
      </xdr:grpSpPr>
      <xdr:pic>
        <xdr:nvPicPr>
          <xdr:cNvPr id="4" name="1 Imagen" descr="ESCUDO-transp-lema-blanco.png">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0F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640080</xdr:colOff>
      <xdr:row>82</xdr:row>
      <xdr:rowOff>38100</xdr:rowOff>
    </xdr:from>
    <xdr:to>
      <xdr:col>2</xdr:col>
      <xdr:colOff>1680300</xdr:colOff>
      <xdr:row>83</xdr:row>
      <xdr:rowOff>68598</xdr:rowOff>
    </xdr:to>
    <xdr:pic>
      <xdr:nvPicPr>
        <xdr:cNvPr id="2" name="Imagen 1">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1660" y="29131260"/>
          <a:ext cx="1040220" cy="213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647700</xdr:colOff>
      <xdr:row>89</xdr:row>
      <xdr:rowOff>419100</xdr:rowOff>
    </xdr:from>
    <xdr:to>
      <xdr:col>2</xdr:col>
      <xdr:colOff>1752696</xdr:colOff>
      <xdr:row>91</xdr:row>
      <xdr:rowOff>152432</xdr:rowOff>
    </xdr:to>
    <xdr:pic>
      <xdr:nvPicPr>
        <xdr:cNvPr id="3" name="Imagen 2">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9280" y="32285940"/>
          <a:ext cx="1104996"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000-000004000000}"/>
            </a:ext>
          </a:extLst>
        </xdr:cNvPr>
        <xdr:cNvGrpSpPr>
          <a:grpSpLocks/>
        </xdr:cNvGrpSpPr>
      </xdr:nvGrpSpPr>
      <xdr:grpSpPr bwMode="auto">
        <a:xfrm>
          <a:off x="0" y="0"/>
          <a:ext cx="5403013" cy="1278344"/>
          <a:chOff x="57150" y="47625"/>
          <a:chExt cx="6316603" cy="1200288"/>
        </a:xfrm>
      </xdr:grpSpPr>
      <xdr:pic>
        <xdr:nvPicPr>
          <xdr:cNvPr id="5" name="1 Imagen" descr="ESCUDO-transp-lema-blanco.png">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0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548641</xdr:colOff>
      <xdr:row>145</xdr:row>
      <xdr:rowOff>15240</xdr:rowOff>
    </xdr:from>
    <xdr:to>
      <xdr:col>2</xdr:col>
      <xdr:colOff>2088014</xdr:colOff>
      <xdr:row>146</xdr:row>
      <xdr:rowOff>137186</xdr:rowOff>
    </xdr:to>
    <xdr:pic>
      <xdr:nvPicPr>
        <xdr:cNvPr id="2" name="Imagen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1" y="37421820"/>
          <a:ext cx="1539373"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1100-000003000000}"/>
            </a:ext>
          </a:extLst>
        </xdr:cNvPr>
        <xdr:cNvGrpSpPr>
          <a:grpSpLocks/>
        </xdr:cNvGrpSpPr>
      </xdr:nvGrpSpPr>
      <xdr:grpSpPr bwMode="auto">
        <a:xfrm>
          <a:off x="0" y="0"/>
          <a:ext cx="5341781" cy="1283446"/>
          <a:chOff x="57150" y="47625"/>
          <a:chExt cx="6316603" cy="1200288"/>
        </a:xfrm>
      </xdr:grpSpPr>
      <xdr:pic>
        <xdr:nvPicPr>
          <xdr:cNvPr id="4" name="1 Imagen" descr="ESCUDO-transp-lema-blanco.png">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11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556261</xdr:colOff>
      <xdr:row>79</xdr:row>
      <xdr:rowOff>30480</xdr:rowOff>
    </xdr:from>
    <xdr:to>
      <xdr:col>2</xdr:col>
      <xdr:colOff>2187082</xdr:colOff>
      <xdr:row>80</xdr:row>
      <xdr:rowOff>129564</xdr:rowOff>
    </xdr:to>
    <xdr:pic>
      <xdr:nvPicPr>
        <xdr:cNvPr id="2" name="Imagen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7841" y="20139660"/>
          <a:ext cx="1630821"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12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12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472440</xdr:colOff>
      <xdr:row>84</xdr:row>
      <xdr:rowOff>15240</xdr:rowOff>
    </xdr:from>
    <xdr:to>
      <xdr:col>2</xdr:col>
      <xdr:colOff>2110882</xdr:colOff>
      <xdr:row>85</xdr:row>
      <xdr:rowOff>137186</xdr:rowOff>
    </xdr:to>
    <xdr:pic>
      <xdr:nvPicPr>
        <xdr:cNvPr id="2" name="Imagen 1">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84020" y="23416260"/>
          <a:ext cx="1638442"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0</xdr:colOff>
      <xdr:row>18</xdr:row>
      <xdr:rowOff>0</xdr:rowOff>
    </xdr:from>
    <xdr:to>
      <xdr:col>21</xdr:col>
      <xdr:colOff>675005</xdr:colOff>
      <xdr:row>61</xdr:row>
      <xdr:rowOff>73660</xdr:rowOff>
    </xdr:to>
    <xdr:graphicFrame macro="">
      <xdr:nvGraphicFramePr>
        <xdr:cNvPr id="3" name="Diagrama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300-000004000000}"/>
            </a:ext>
          </a:extLst>
        </xdr:cNvPr>
        <xdr:cNvGrpSpPr>
          <a:grpSpLocks/>
        </xdr:cNvGrpSpPr>
      </xdr:nvGrpSpPr>
      <xdr:grpSpPr bwMode="auto">
        <a:xfrm>
          <a:off x="0" y="0"/>
          <a:ext cx="5344805" cy="1284958"/>
          <a:chOff x="57150" y="47625"/>
          <a:chExt cx="6316603" cy="1200288"/>
        </a:xfrm>
      </xdr:grpSpPr>
      <xdr:pic>
        <xdr:nvPicPr>
          <xdr:cNvPr id="5" name="1 Imagen" descr="ESCUDO-transp-lema-blanco.png">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7"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3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990600</xdr:colOff>
      <xdr:row>0</xdr:row>
      <xdr:rowOff>1581150</xdr:rowOff>
    </xdr:to>
    <xdr:grpSp>
      <xdr:nvGrpSpPr>
        <xdr:cNvPr id="2" name="1 Grupo">
          <a:extLst>
            <a:ext uri="{FF2B5EF4-FFF2-40B4-BE49-F238E27FC236}">
              <a16:creationId xmlns:a16="http://schemas.microsoft.com/office/drawing/2014/main" id="{00000000-0008-0000-0100-000002000000}"/>
            </a:ext>
          </a:extLst>
        </xdr:cNvPr>
        <xdr:cNvGrpSpPr>
          <a:grpSpLocks/>
        </xdr:cNvGrpSpPr>
      </xdr:nvGrpSpPr>
      <xdr:grpSpPr bwMode="auto">
        <a:xfrm>
          <a:off x="0" y="0"/>
          <a:ext cx="10384631" cy="1581150"/>
          <a:chOff x="57150" y="47625"/>
          <a:chExt cx="6181725" cy="1581150"/>
        </a:xfrm>
      </xdr:grpSpPr>
      <xdr:pic>
        <xdr:nvPicPr>
          <xdr:cNvPr id="3" name="1 Imagen" descr="ESCUDO-transp-lema-blanco.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57150" y="47625"/>
            <a:ext cx="1209675" cy="1581150"/>
          </a:xfrm>
          <a:prstGeom prst="rect">
            <a:avLst/>
          </a:prstGeom>
          <a:noFill/>
          <a:ln w="9525">
            <a:noFill/>
            <a:miter lim="800000"/>
            <a:headEnd/>
            <a:tailEnd/>
          </a:ln>
        </xdr:spPr>
      </xdr:pic>
      <xdr:sp macro="" textlink="">
        <xdr:nvSpPr>
          <xdr:cNvPr id="4" name="3 CuadroTexto">
            <a:extLst>
              <a:ext uri="{FF2B5EF4-FFF2-40B4-BE49-F238E27FC236}">
                <a16:creationId xmlns:a16="http://schemas.microsoft.com/office/drawing/2014/main" id="{00000000-0008-0000-0100-000004000000}"/>
              </a:ext>
            </a:extLst>
          </xdr:cNvPr>
          <xdr:cNvSpPr txBox="1"/>
        </xdr:nvSpPr>
        <xdr:spPr>
          <a:xfrm>
            <a:off x="1426640" y="49530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647701</xdr:colOff>
      <xdr:row>82</xdr:row>
      <xdr:rowOff>68580</xdr:rowOff>
    </xdr:from>
    <xdr:to>
      <xdr:col>2</xdr:col>
      <xdr:colOff>1905110</xdr:colOff>
      <xdr:row>84</xdr:row>
      <xdr:rowOff>26</xdr:rowOff>
    </xdr:to>
    <xdr:pic>
      <xdr:nvPicPr>
        <xdr:cNvPr id="2" name="Imagen 1">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9281" y="23789640"/>
          <a:ext cx="1257409"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723901</xdr:colOff>
      <xdr:row>89</xdr:row>
      <xdr:rowOff>53340</xdr:rowOff>
    </xdr:from>
    <xdr:to>
      <xdr:col>2</xdr:col>
      <xdr:colOff>1775552</xdr:colOff>
      <xdr:row>91</xdr:row>
      <xdr:rowOff>60992</xdr:rowOff>
    </xdr:to>
    <xdr:pic>
      <xdr:nvPicPr>
        <xdr:cNvPr id="3" name="Imagen 2">
          <a:extLst>
            <a:ext uri="{FF2B5EF4-FFF2-40B4-BE49-F238E27FC236}">
              <a16:creationId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35481" y="25786080"/>
          <a:ext cx="1051651"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400-000004000000}"/>
            </a:ext>
          </a:extLst>
        </xdr:cNvPr>
        <xdr:cNvGrpSpPr>
          <a:grpSpLocks/>
        </xdr:cNvGrpSpPr>
      </xdr:nvGrpSpPr>
      <xdr:grpSpPr bwMode="auto">
        <a:xfrm>
          <a:off x="0" y="0"/>
          <a:ext cx="5341781" cy="1283446"/>
          <a:chOff x="57150" y="47625"/>
          <a:chExt cx="6316603" cy="1200288"/>
        </a:xfrm>
      </xdr:grpSpPr>
      <xdr:pic>
        <xdr:nvPicPr>
          <xdr:cNvPr id="5" name="1 Imagen" descr="ESCUDO-transp-lema-blanco.png">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4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762000</xdr:colOff>
      <xdr:row>114</xdr:row>
      <xdr:rowOff>106680</xdr:rowOff>
    </xdr:from>
    <xdr:to>
      <xdr:col>2</xdr:col>
      <xdr:colOff>1981306</xdr:colOff>
      <xdr:row>115</xdr:row>
      <xdr:rowOff>160040</xdr:rowOff>
    </xdr:to>
    <xdr:pic>
      <xdr:nvPicPr>
        <xdr:cNvPr id="2" name="Imagen 1">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44040" y="26692860"/>
          <a:ext cx="1219306" cy="23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693421</xdr:colOff>
      <xdr:row>120</xdr:row>
      <xdr:rowOff>419100</xdr:rowOff>
    </xdr:from>
    <xdr:to>
      <xdr:col>2</xdr:col>
      <xdr:colOff>1790796</xdr:colOff>
      <xdr:row>122</xdr:row>
      <xdr:rowOff>152432</xdr:rowOff>
    </xdr:to>
    <xdr:pic>
      <xdr:nvPicPr>
        <xdr:cNvPr id="3" name="Imagen 2">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75461" y="29016960"/>
          <a:ext cx="1097375"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500-000004000000}"/>
            </a:ext>
          </a:extLst>
        </xdr:cNvPr>
        <xdr:cNvGrpSpPr>
          <a:grpSpLocks/>
        </xdr:cNvGrpSpPr>
      </xdr:nvGrpSpPr>
      <xdr:grpSpPr bwMode="auto">
        <a:xfrm>
          <a:off x="0" y="0"/>
          <a:ext cx="5196638" cy="1274375"/>
          <a:chOff x="57150" y="47625"/>
          <a:chExt cx="6316603" cy="1200288"/>
        </a:xfrm>
      </xdr:grpSpPr>
      <xdr:pic>
        <xdr:nvPicPr>
          <xdr:cNvPr id="5" name="1 Imagen" descr="ESCUDO-transp-lema-blanco.png">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5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670561</xdr:colOff>
      <xdr:row>82</xdr:row>
      <xdr:rowOff>76200</xdr:rowOff>
    </xdr:from>
    <xdr:to>
      <xdr:col>2</xdr:col>
      <xdr:colOff>1790798</xdr:colOff>
      <xdr:row>83</xdr:row>
      <xdr:rowOff>129560</xdr:rowOff>
    </xdr:to>
    <xdr:pic>
      <xdr:nvPicPr>
        <xdr:cNvPr id="2" name="Imagen 1">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82141" y="27165300"/>
          <a:ext cx="1120237" cy="23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685801</xdr:colOff>
      <xdr:row>90</xdr:row>
      <xdr:rowOff>0</xdr:rowOff>
    </xdr:from>
    <xdr:to>
      <xdr:col>2</xdr:col>
      <xdr:colOff>1684108</xdr:colOff>
      <xdr:row>92</xdr:row>
      <xdr:rowOff>7652</xdr:rowOff>
    </xdr:to>
    <xdr:pic>
      <xdr:nvPicPr>
        <xdr:cNvPr id="3" name="Imagen 2">
          <a:extLst>
            <a:ext uri="{FF2B5EF4-FFF2-40B4-BE49-F238E27FC236}">
              <a16:creationId xmlns:a16="http://schemas.microsoft.com/office/drawing/2014/main" id="{00000000-0008-0000-16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97381" y="30319980"/>
          <a:ext cx="998307"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600-000004000000}"/>
            </a:ext>
          </a:extLst>
        </xdr:cNvPr>
        <xdr:cNvGrpSpPr>
          <a:grpSpLocks/>
        </xdr:cNvGrpSpPr>
      </xdr:nvGrpSpPr>
      <xdr:grpSpPr bwMode="auto">
        <a:xfrm>
          <a:off x="0" y="0"/>
          <a:ext cx="5403013" cy="1274375"/>
          <a:chOff x="57150" y="47625"/>
          <a:chExt cx="6316603" cy="1200288"/>
        </a:xfrm>
      </xdr:grpSpPr>
      <xdr:pic>
        <xdr:nvPicPr>
          <xdr:cNvPr id="5" name="1 Imagen" descr="ESCUDO-transp-lema-blanco.png">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6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2</xdr:col>
      <xdr:colOff>426720</xdr:colOff>
      <xdr:row>79</xdr:row>
      <xdr:rowOff>53340</xdr:rowOff>
    </xdr:from>
    <xdr:to>
      <xdr:col>2</xdr:col>
      <xdr:colOff>2156610</xdr:colOff>
      <xdr:row>80</xdr:row>
      <xdr:rowOff>175286</xdr:rowOff>
    </xdr:to>
    <xdr:pic>
      <xdr:nvPicPr>
        <xdr:cNvPr id="2" name="Imagen 1">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38300" y="24704040"/>
          <a:ext cx="1729890"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716281</xdr:colOff>
      <xdr:row>88</xdr:row>
      <xdr:rowOff>0</xdr:rowOff>
    </xdr:from>
    <xdr:to>
      <xdr:col>2</xdr:col>
      <xdr:colOff>1813656</xdr:colOff>
      <xdr:row>90</xdr:row>
      <xdr:rowOff>7652</xdr:rowOff>
    </xdr:to>
    <xdr:pic>
      <xdr:nvPicPr>
        <xdr:cNvPr id="3" name="Imagen 2">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27861" y="28064460"/>
          <a:ext cx="1097375"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700-000004000000}"/>
            </a:ext>
          </a:extLst>
        </xdr:cNvPr>
        <xdr:cNvGrpSpPr>
          <a:grpSpLocks/>
        </xdr:cNvGrpSpPr>
      </xdr:nvGrpSpPr>
      <xdr:grpSpPr bwMode="auto">
        <a:xfrm>
          <a:off x="0" y="0"/>
          <a:ext cx="5341781" cy="1283446"/>
          <a:chOff x="57150" y="47625"/>
          <a:chExt cx="6316603" cy="1200288"/>
        </a:xfrm>
      </xdr:grpSpPr>
      <xdr:pic>
        <xdr:nvPicPr>
          <xdr:cNvPr id="5" name="1 Imagen" descr="ESCUDO-transp-lema-blanco.png">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7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518161</xdr:colOff>
      <xdr:row>96</xdr:row>
      <xdr:rowOff>449580</xdr:rowOff>
    </xdr:from>
    <xdr:to>
      <xdr:col>2</xdr:col>
      <xdr:colOff>2377602</xdr:colOff>
      <xdr:row>99</xdr:row>
      <xdr:rowOff>32</xdr:rowOff>
    </xdr:to>
    <xdr:pic>
      <xdr:nvPicPr>
        <xdr:cNvPr id="2" name="Imagen 1">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1" y="28986480"/>
          <a:ext cx="1859441"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1800-000003000000}"/>
            </a:ext>
          </a:extLst>
        </xdr:cNvPr>
        <xdr:cNvGrpSpPr>
          <a:grpSpLocks/>
        </xdr:cNvGrpSpPr>
      </xdr:nvGrpSpPr>
      <xdr:grpSpPr bwMode="auto">
        <a:xfrm>
          <a:off x="0" y="0"/>
          <a:ext cx="5532281" cy="1283446"/>
          <a:chOff x="57150" y="47625"/>
          <a:chExt cx="6316603" cy="1200288"/>
        </a:xfrm>
      </xdr:grpSpPr>
      <xdr:pic>
        <xdr:nvPicPr>
          <xdr:cNvPr id="4" name="1 Imagen" descr="ESCUDO-transp-lema-blanco.png">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18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556261</xdr:colOff>
      <xdr:row>63</xdr:row>
      <xdr:rowOff>0</xdr:rowOff>
    </xdr:from>
    <xdr:to>
      <xdr:col>2</xdr:col>
      <xdr:colOff>2088014</xdr:colOff>
      <xdr:row>64</xdr:row>
      <xdr:rowOff>83843</xdr:rowOff>
    </xdr:to>
    <xdr:pic>
      <xdr:nvPicPr>
        <xdr:cNvPr id="2" name="Imagen 1">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7841" y="22913340"/>
          <a:ext cx="1531753"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19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a16="http://schemas.microsoft.com/office/drawing/2014/main" id="{00000000-0008-0000-19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19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868681</xdr:colOff>
      <xdr:row>112</xdr:row>
      <xdr:rowOff>15240</xdr:rowOff>
    </xdr:from>
    <xdr:to>
      <xdr:col>2</xdr:col>
      <xdr:colOff>1806022</xdr:colOff>
      <xdr:row>113</xdr:row>
      <xdr:rowOff>129566</xdr:rowOff>
    </xdr:to>
    <xdr:pic>
      <xdr:nvPicPr>
        <xdr:cNvPr id="2" name="Imagen 1">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80261" y="39319200"/>
          <a:ext cx="937341"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480060</xdr:colOff>
      <xdr:row>119</xdr:row>
      <xdr:rowOff>68580</xdr:rowOff>
    </xdr:from>
    <xdr:to>
      <xdr:col>3</xdr:col>
      <xdr:colOff>1021334</xdr:colOff>
      <xdr:row>121</xdr:row>
      <xdr:rowOff>26</xdr:rowOff>
    </xdr:to>
    <xdr:pic>
      <xdr:nvPicPr>
        <xdr:cNvPr id="3" name="Imagen 2">
          <a:extLst>
            <a:ext uri="{FF2B5EF4-FFF2-40B4-BE49-F238E27FC236}">
              <a16:creationId xmlns:a16="http://schemas.microsoft.com/office/drawing/2014/main" id="{00000000-0008-0000-1A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91640" y="41689020"/>
          <a:ext cx="2933954"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A00-000004000000}"/>
            </a:ext>
          </a:extLst>
        </xdr:cNvPr>
        <xdr:cNvGrpSpPr>
          <a:grpSpLocks/>
        </xdr:cNvGrpSpPr>
      </xdr:nvGrpSpPr>
      <xdr:grpSpPr bwMode="auto">
        <a:xfrm>
          <a:off x="0" y="0"/>
          <a:ext cx="7110709" cy="1283446"/>
          <a:chOff x="57150" y="47625"/>
          <a:chExt cx="6316603" cy="1200288"/>
        </a:xfrm>
      </xdr:grpSpPr>
      <xdr:pic>
        <xdr:nvPicPr>
          <xdr:cNvPr id="5" name="1 Imagen" descr="ESCUDO-transp-lema-blanco.png">
            <a:extLst>
              <a:ext uri="{FF2B5EF4-FFF2-40B4-BE49-F238E27FC236}">
                <a16:creationId xmlns:a16="http://schemas.microsoft.com/office/drawing/2014/main" id="{00000000-0008-0000-1A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A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182880</xdr:colOff>
      <xdr:row>142</xdr:row>
      <xdr:rowOff>144780</xdr:rowOff>
    </xdr:from>
    <xdr:to>
      <xdr:col>3</xdr:col>
      <xdr:colOff>1112808</xdr:colOff>
      <xdr:row>142</xdr:row>
      <xdr:rowOff>281952</xdr:rowOff>
    </xdr:to>
    <xdr:pic>
      <xdr:nvPicPr>
        <xdr:cNvPr id="2" name="Imagen 1">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94460" y="48943260"/>
          <a:ext cx="3322608"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754380</xdr:colOff>
      <xdr:row>155</xdr:row>
      <xdr:rowOff>7620</xdr:rowOff>
    </xdr:from>
    <xdr:to>
      <xdr:col>3</xdr:col>
      <xdr:colOff>1089896</xdr:colOff>
      <xdr:row>155</xdr:row>
      <xdr:rowOff>251481</xdr:rowOff>
    </xdr:to>
    <xdr:pic>
      <xdr:nvPicPr>
        <xdr:cNvPr id="3" name="Imagen 2">
          <a:extLst>
            <a:ext uri="{FF2B5EF4-FFF2-40B4-BE49-F238E27FC236}">
              <a16:creationId xmlns:a16="http://schemas.microsoft.com/office/drawing/2014/main" id="{00000000-0008-0000-1B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65960" y="53393340"/>
          <a:ext cx="2728196" cy="243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B00-000004000000}"/>
            </a:ext>
          </a:extLst>
        </xdr:cNvPr>
        <xdr:cNvGrpSpPr>
          <a:grpSpLocks/>
        </xdr:cNvGrpSpPr>
      </xdr:nvGrpSpPr>
      <xdr:grpSpPr bwMode="auto">
        <a:xfrm>
          <a:off x="0" y="0"/>
          <a:ext cx="6185424" cy="1283446"/>
          <a:chOff x="57150" y="47625"/>
          <a:chExt cx="6316603" cy="1200288"/>
        </a:xfrm>
      </xdr:grpSpPr>
      <xdr:pic>
        <xdr:nvPicPr>
          <xdr:cNvPr id="5" name="1 Imagen" descr="ESCUDO-transp-lema-blanco.png">
            <a:extLst>
              <a:ext uri="{FF2B5EF4-FFF2-40B4-BE49-F238E27FC236}">
                <a16:creationId xmlns:a16="http://schemas.microsoft.com/office/drawing/2014/main" id="{00000000-0008-0000-1B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B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182880</xdr:colOff>
      <xdr:row>110</xdr:row>
      <xdr:rowOff>91440</xdr:rowOff>
    </xdr:from>
    <xdr:to>
      <xdr:col>3</xdr:col>
      <xdr:colOff>998498</xdr:colOff>
      <xdr:row>110</xdr:row>
      <xdr:rowOff>228612</xdr:rowOff>
    </xdr:to>
    <xdr:pic>
      <xdr:nvPicPr>
        <xdr:cNvPr id="2" name="Imagen 1">
          <a:extLst>
            <a:ext uri="{FF2B5EF4-FFF2-40B4-BE49-F238E27FC236}">
              <a16:creationId xmlns:a16="http://schemas.microsoft.com/office/drawing/2014/main" id="{00000000-0008-0000-1C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2540" y="40934640"/>
          <a:ext cx="3208298"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464821</xdr:colOff>
      <xdr:row>123</xdr:row>
      <xdr:rowOff>0</xdr:rowOff>
    </xdr:from>
    <xdr:to>
      <xdr:col>3</xdr:col>
      <xdr:colOff>922268</xdr:colOff>
      <xdr:row>124</xdr:row>
      <xdr:rowOff>114326</xdr:rowOff>
    </xdr:to>
    <xdr:pic>
      <xdr:nvPicPr>
        <xdr:cNvPr id="3" name="Imagen 2">
          <a:extLst>
            <a:ext uri="{FF2B5EF4-FFF2-40B4-BE49-F238E27FC236}">
              <a16:creationId xmlns:a16="http://schemas.microsoft.com/office/drawing/2014/main" id="{00000000-0008-0000-1C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54481" y="45674280"/>
          <a:ext cx="2850127"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C00-000004000000}"/>
            </a:ext>
          </a:extLst>
        </xdr:cNvPr>
        <xdr:cNvGrpSpPr>
          <a:grpSpLocks/>
        </xdr:cNvGrpSpPr>
      </xdr:nvGrpSpPr>
      <xdr:grpSpPr bwMode="auto">
        <a:xfrm>
          <a:off x="0" y="0"/>
          <a:ext cx="6294281" cy="1283446"/>
          <a:chOff x="57150" y="47625"/>
          <a:chExt cx="6316603" cy="1200288"/>
        </a:xfrm>
      </xdr:grpSpPr>
      <xdr:pic>
        <xdr:nvPicPr>
          <xdr:cNvPr id="5" name="1 Imagen" descr="ESCUDO-transp-lema-blanco.png">
            <a:extLst>
              <a:ext uri="{FF2B5EF4-FFF2-40B4-BE49-F238E27FC236}">
                <a16:creationId xmlns:a16="http://schemas.microsoft.com/office/drawing/2014/main" id="{00000000-0008-0000-1C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C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2</xdr:col>
      <xdr:colOff>784860</xdr:colOff>
      <xdr:row>107</xdr:row>
      <xdr:rowOff>53340</xdr:rowOff>
    </xdr:from>
    <xdr:to>
      <xdr:col>2</xdr:col>
      <xdr:colOff>1402080</xdr:colOff>
      <xdr:row>108</xdr:row>
      <xdr:rowOff>144780</xdr:rowOff>
    </xdr:to>
    <xdr:pic>
      <xdr:nvPicPr>
        <xdr:cNvPr id="2" name="Imagen 1">
          <a:extLst>
            <a:ext uri="{FF2B5EF4-FFF2-40B4-BE49-F238E27FC236}">
              <a16:creationId xmlns:a16="http://schemas.microsoft.com/office/drawing/2014/main" id="{00000000-0008-0000-1D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96440" y="36568380"/>
          <a:ext cx="6172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1D00-000003000000}"/>
            </a:ext>
          </a:extLst>
        </xdr:cNvPr>
        <xdr:cNvGrpSpPr>
          <a:grpSpLocks/>
        </xdr:cNvGrpSpPr>
      </xdr:nvGrpSpPr>
      <xdr:grpSpPr bwMode="auto">
        <a:xfrm>
          <a:off x="0" y="0"/>
          <a:ext cx="5341781" cy="1283446"/>
          <a:chOff x="57150" y="47625"/>
          <a:chExt cx="6316603" cy="1200288"/>
        </a:xfrm>
      </xdr:grpSpPr>
      <xdr:pic>
        <xdr:nvPicPr>
          <xdr:cNvPr id="4" name="1 Imagen" descr="ESCUDO-transp-lema-blanco.png">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1D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1209675</xdr:colOff>
      <xdr:row>0</xdr:row>
      <xdr:rowOff>1581150</xdr:rowOff>
    </xdr:to>
    <xdr:pic>
      <xdr:nvPicPr>
        <xdr:cNvPr id="2" name="1 Imagen" descr="ESCUDO-transp-lema-blanc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209675" cy="1581150"/>
        </a:xfrm>
        <a:prstGeom prst="rect">
          <a:avLst/>
        </a:prstGeom>
        <a:noFill/>
        <a:ln w="9525">
          <a:noFill/>
          <a:miter lim="800000"/>
          <a:headEnd/>
          <a:tailEnd/>
        </a:ln>
      </xdr:spPr>
    </xdr:pic>
    <xdr:clientData/>
  </xdr:twoCellAnchor>
  <xdr:twoCellAnchor>
    <xdr:from>
      <xdr:col>0</xdr:col>
      <xdr:colOff>1266825</xdr:colOff>
      <xdr:row>0</xdr:row>
      <xdr:rowOff>428625</xdr:rowOff>
    </xdr:from>
    <xdr:to>
      <xdr:col>1</xdr:col>
      <xdr:colOff>2924175</xdr:colOff>
      <xdr:row>0</xdr:row>
      <xdr:rowOff>1200150</xdr:rowOff>
    </xdr:to>
    <xdr:sp macro="" textlink="">
      <xdr:nvSpPr>
        <xdr:cNvPr id="3" name="3 CuadroTexto">
          <a:extLst>
            <a:ext uri="{FF2B5EF4-FFF2-40B4-BE49-F238E27FC236}">
              <a16:creationId xmlns:a16="http://schemas.microsoft.com/office/drawing/2014/main" id="{00000000-0008-0000-0300-000003000000}"/>
            </a:ext>
          </a:extLst>
        </xdr:cNvPr>
        <xdr:cNvSpPr txBox="1"/>
      </xdr:nvSpPr>
      <xdr:spPr bwMode="auto">
        <a:xfrm>
          <a:off x="1266825" y="428625"/>
          <a:ext cx="4819650"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2</xdr:col>
      <xdr:colOff>548640</xdr:colOff>
      <xdr:row>162</xdr:row>
      <xdr:rowOff>15240</xdr:rowOff>
    </xdr:from>
    <xdr:to>
      <xdr:col>2</xdr:col>
      <xdr:colOff>2232806</xdr:colOff>
      <xdr:row>164</xdr:row>
      <xdr:rowOff>22892</xdr:rowOff>
    </xdr:to>
    <xdr:pic>
      <xdr:nvPicPr>
        <xdr:cNvPr id="2" name="Imagen 1">
          <a:extLst>
            <a:ext uri="{FF2B5EF4-FFF2-40B4-BE49-F238E27FC236}">
              <a16:creationId xmlns:a16="http://schemas.microsoft.com/office/drawing/2014/main" id="{00000000-0008-0000-1E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0" y="45026580"/>
          <a:ext cx="1684166"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723900</xdr:colOff>
      <xdr:row>169</xdr:row>
      <xdr:rowOff>53340</xdr:rowOff>
    </xdr:from>
    <xdr:to>
      <xdr:col>2</xdr:col>
      <xdr:colOff>2087998</xdr:colOff>
      <xdr:row>170</xdr:row>
      <xdr:rowOff>160045</xdr:rowOff>
    </xdr:to>
    <xdr:pic>
      <xdr:nvPicPr>
        <xdr:cNvPr id="3" name="Imagen 2">
          <a:extLst>
            <a:ext uri="{FF2B5EF4-FFF2-40B4-BE49-F238E27FC236}">
              <a16:creationId xmlns:a16="http://schemas.microsoft.com/office/drawing/2014/main" id="{00000000-0008-0000-1E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35480" y="48112680"/>
          <a:ext cx="1364098" cy="2895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1E00-000004000000}"/>
            </a:ext>
          </a:extLst>
        </xdr:cNvPr>
        <xdr:cNvGrpSpPr>
          <a:grpSpLocks/>
        </xdr:cNvGrpSpPr>
      </xdr:nvGrpSpPr>
      <xdr:grpSpPr bwMode="auto">
        <a:xfrm>
          <a:off x="0" y="0"/>
          <a:ext cx="5319669" cy="1278344"/>
          <a:chOff x="57150" y="47625"/>
          <a:chExt cx="6316603" cy="1200288"/>
        </a:xfrm>
      </xdr:grpSpPr>
      <xdr:pic>
        <xdr:nvPicPr>
          <xdr:cNvPr id="5" name="1 Imagen" descr="ESCUDO-transp-lema-blanco.png">
            <a:extLst>
              <a:ext uri="{FF2B5EF4-FFF2-40B4-BE49-F238E27FC236}">
                <a16:creationId xmlns:a16="http://schemas.microsoft.com/office/drawing/2014/main" id="{00000000-0008-0000-1E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1E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2</xdr:col>
      <xdr:colOff>533401</xdr:colOff>
      <xdr:row>60</xdr:row>
      <xdr:rowOff>106680</xdr:rowOff>
    </xdr:from>
    <xdr:to>
      <xdr:col>2</xdr:col>
      <xdr:colOff>2019430</xdr:colOff>
      <xdr:row>62</xdr:row>
      <xdr:rowOff>22884</xdr:rowOff>
    </xdr:to>
    <xdr:pic>
      <xdr:nvPicPr>
        <xdr:cNvPr id="2" name="Imagen 1">
          <a:extLst>
            <a:ext uri="{FF2B5EF4-FFF2-40B4-BE49-F238E27FC236}">
              <a16:creationId xmlns:a16="http://schemas.microsoft.com/office/drawing/2014/main" id="{00000000-0008-0000-1F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44981" y="22181820"/>
          <a:ext cx="1486029"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1F00-000003000000}"/>
            </a:ext>
          </a:extLst>
        </xdr:cNvPr>
        <xdr:cNvGrpSpPr>
          <a:grpSpLocks/>
        </xdr:cNvGrpSpPr>
      </xdr:nvGrpSpPr>
      <xdr:grpSpPr bwMode="auto">
        <a:xfrm>
          <a:off x="0" y="0"/>
          <a:ext cx="5326813" cy="1280725"/>
          <a:chOff x="57150" y="47625"/>
          <a:chExt cx="6316603" cy="1200288"/>
        </a:xfrm>
      </xdr:grpSpPr>
      <xdr:pic>
        <xdr:nvPicPr>
          <xdr:cNvPr id="4" name="1 Imagen" descr="ESCUDO-transp-lema-blanco.png">
            <a:extLst>
              <a:ext uri="{FF2B5EF4-FFF2-40B4-BE49-F238E27FC236}">
                <a16:creationId xmlns:a16="http://schemas.microsoft.com/office/drawing/2014/main" id="{00000000-0008-0000-1F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1F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2</xdr:col>
      <xdr:colOff>609600</xdr:colOff>
      <xdr:row>80</xdr:row>
      <xdr:rowOff>91440</xdr:rowOff>
    </xdr:from>
    <xdr:to>
      <xdr:col>2</xdr:col>
      <xdr:colOff>2088008</xdr:colOff>
      <xdr:row>81</xdr:row>
      <xdr:rowOff>175283</xdr:rowOff>
    </xdr:to>
    <xdr:pic>
      <xdr:nvPicPr>
        <xdr:cNvPr id="2" name="Imagen 1">
          <a:extLst>
            <a:ext uri="{FF2B5EF4-FFF2-40B4-BE49-F238E27FC236}">
              <a16:creationId xmlns:a16="http://schemas.microsoft.com/office/drawing/2014/main" id="{00000000-0008-0000-20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21180" y="43990260"/>
          <a:ext cx="1478408"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2000-000003000000}"/>
            </a:ext>
          </a:extLst>
        </xdr:cNvPr>
        <xdr:cNvGrpSpPr>
          <a:grpSpLocks/>
        </xdr:cNvGrpSpPr>
      </xdr:nvGrpSpPr>
      <xdr:grpSpPr bwMode="auto">
        <a:xfrm>
          <a:off x="0" y="0"/>
          <a:ext cx="5341781" cy="1283446"/>
          <a:chOff x="57150" y="47625"/>
          <a:chExt cx="6316603" cy="1200288"/>
        </a:xfrm>
      </xdr:grpSpPr>
      <xdr:pic>
        <xdr:nvPicPr>
          <xdr:cNvPr id="4" name="1 Imagen" descr="ESCUDO-transp-lema-blanco.png">
            <a:extLst>
              <a:ext uri="{FF2B5EF4-FFF2-40B4-BE49-F238E27FC236}">
                <a16:creationId xmlns:a16="http://schemas.microsoft.com/office/drawing/2014/main" id="{00000000-0008-0000-20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20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2</xdr:col>
      <xdr:colOff>137161</xdr:colOff>
      <xdr:row>121</xdr:row>
      <xdr:rowOff>7620</xdr:rowOff>
    </xdr:from>
    <xdr:to>
      <xdr:col>2</xdr:col>
      <xdr:colOff>2222936</xdr:colOff>
      <xdr:row>121</xdr:row>
      <xdr:rowOff>103640</xdr:rowOff>
    </xdr:to>
    <xdr:pic>
      <xdr:nvPicPr>
        <xdr:cNvPr id="2" name="Imagen 1">
          <a:extLst>
            <a:ext uri="{FF2B5EF4-FFF2-40B4-BE49-F238E27FC236}">
              <a16:creationId xmlns:a16="http://schemas.microsoft.com/office/drawing/2014/main" id="{00000000-0008-0000-21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3961" y="34838640"/>
          <a:ext cx="2085775"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0000000-0008-0000-2100-000003000000}"/>
            </a:ext>
          </a:extLst>
        </xdr:cNvPr>
        <xdr:cNvGrpSpPr>
          <a:grpSpLocks/>
        </xdr:cNvGrpSpPr>
      </xdr:nvGrpSpPr>
      <xdr:grpSpPr bwMode="auto">
        <a:xfrm>
          <a:off x="0" y="0"/>
          <a:ext cx="5307763" cy="1280725"/>
          <a:chOff x="57150" y="47625"/>
          <a:chExt cx="6316603" cy="1200288"/>
        </a:xfrm>
      </xdr:grpSpPr>
      <xdr:pic>
        <xdr:nvPicPr>
          <xdr:cNvPr id="4" name="1 Imagen" descr="ESCUDO-transp-lema-blanco.png">
            <a:extLst>
              <a:ext uri="{FF2B5EF4-FFF2-40B4-BE49-F238E27FC236}">
                <a16:creationId xmlns:a16="http://schemas.microsoft.com/office/drawing/2014/main" id="{00000000-0008-0000-21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00000000-0008-0000-21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2</xdr:col>
      <xdr:colOff>0</xdr:colOff>
      <xdr:row>80</xdr:row>
      <xdr:rowOff>0</xdr:rowOff>
    </xdr:from>
    <xdr:to>
      <xdr:col>4</xdr:col>
      <xdr:colOff>83820</xdr:colOff>
      <xdr:row>82</xdr:row>
      <xdr:rowOff>7620</xdr:rowOff>
    </xdr:to>
    <xdr:pic>
      <xdr:nvPicPr>
        <xdr:cNvPr id="2" name="Imagen 1">
          <a:extLst>
            <a:ext uri="{FF2B5EF4-FFF2-40B4-BE49-F238E27FC236}">
              <a16:creationId xmlns:a16="http://schemas.microsoft.com/office/drawing/2014/main" id="{00000000-0008-0000-22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2480" y="47343060"/>
          <a:ext cx="1668780" cy="373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89</xdr:row>
      <xdr:rowOff>0</xdr:rowOff>
    </xdr:from>
    <xdr:to>
      <xdr:col>3</xdr:col>
      <xdr:colOff>434340</xdr:colOff>
      <xdr:row>90</xdr:row>
      <xdr:rowOff>106680</xdr:rowOff>
    </xdr:to>
    <xdr:pic>
      <xdr:nvPicPr>
        <xdr:cNvPr id="3" name="Imagen 2">
          <a:extLst>
            <a:ext uri="{FF2B5EF4-FFF2-40B4-BE49-F238E27FC236}">
              <a16:creationId xmlns:a16="http://schemas.microsoft.com/office/drawing/2014/main" id="{00000000-0008-0000-22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2480" y="56639460"/>
          <a:ext cx="1226820" cy="289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418683</xdr:colOff>
      <xdr:row>97</xdr:row>
      <xdr:rowOff>0</xdr:rowOff>
    </xdr:from>
    <xdr:to>
      <xdr:col>2</xdr:col>
      <xdr:colOff>1958056</xdr:colOff>
      <xdr:row>98</xdr:row>
      <xdr:rowOff>97745</xdr:rowOff>
    </xdr:to>
    <xdr:pic>
      <xdr:nvPicPr>
        <xdr:cNvPr id="4" name="Imagen 3">
          <a:extLst>
            <a:ext uri="{FF2B5EF4-FFF2-40B4-BE49-F238E27FC236}">
              <a16:creationId xmlns:a16="http://schemas.microsoft.com/office/drawing/2014/main" id="{00000000-0008-0000-22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41232" y="37480352"/>
          <a:ext cx="1539373"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5" name="1 Grupo">
          <a:extLst>
            <a:ext uri="{FF2B5EF4-FFF2-40B4-BE49-F238E27FC236}">
              <a16:creationId xmlns:a16="http://schemas.microsoft.com/office/drawing/2014/main" id="{00000000-0008-0000-2200-000005000000}"/>
            </a:ext>
          </a:extLst>
        </xdr:cNvPr>
        <xdr:cNvGrpSpPr>
          <a:grpSpLocks/>
        </xdr:cNvGrpSpPr>
      </xdr:nvGrpSpPr>
      <xdr:grpSpPr bwMode="auto">
        <a:xfrm>
          <a:off x="0" y="0"/>
          <a:ext cx="5331576" cy="1278344"/>
          <a:chOff x="57150" y="47625"/>
          <a:chExt cx="6316603" cy="1200288"/>
        </a:xfrm>
      </xdr:grpSpPr>
      <xdr:pic>
        <xdr:nvPicPr>
          <xdr:cNvPr id="6" name="1 Imagen" descr="ESCUDO-transp-lema-blanco.png">
            <a:extLst>
              <a:ext uri="{FF2B5EF4-FFF2-40B4-BE49-F238E27FC236}">
                <a16:creationId xmlns:a16="http://schemas.microsoft.com/office/drawing/2014/main" id="{00000000-0008-0000-2200-000006000000}"/>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7" name="3 CuadroTexto">
            <a:extLst>
              <a:ext uri="{FF2B5EF4-FFF2-40B4-BE49-F238E27FC236}">
                <a16:creationId xmlns:a16="http://schemas.microsoft.com/office/drawing/2014/main" id="{00000000-0008-0000-2200-000007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2</xdr:col>
      <xdr:colOff>160021</xdr:colOff>
      <xdr:row>91</xdr:row>
      <xdr:rowOff>45720</xdr:rowOff>
    </xdr:from>
    <xdr:to>
      <xdr:col>2</xdr:col>
      <xdr:colOff>2021748</xdr:colOff>
      <xdr:row>91</xdr:row>
      <xdr:rowOff>141740</xdr:rowOff>
    </xdr:to>
    <xdr:pic>
      <xdr:nvPicPr>
        <xdr:cNvPr id="2" name="Imagen 1">
          <a:extLst>
            <a:ext uri="{FF2B5EF4-FFF2-40B4-BE49-F238E27FC236}">
              <a16:creationId xmlns:a16="http://schemas.microsoft.com/office/drawing/2014/main" id="{00000000-0008-0000-23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6821" y="28735020"/>
          <a:ext cx="1861727"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563880</xdr:colOff>
      <xdr:row>104</xdr:row>
      <xdr:rowOff>60960</xdr:rowOff>
    </xdr:from>
    <xdr:to>
      <xdr:col>3</xdr:col>
      <xdr:colOff>777466</xdr:colOff>
      <xdr:row>105</xdr:row>
      <xdr:rowOff>175286</xdr:rowOff>
    </xdr:to>
    <xdr:pic>
      <xdr:nvPicPr>
        <xdr:cNvPr id="3" name="Imagen 2">
          <a:extLst>
            <a:ext uri="{FF2B5EF4-FFF2-40B4-BE49-F238E27FC236}">
              <a16:creationId xmlns:a16="http://schemas.microsoft.com/office/drawing/2014/main" id="{00000000-0008-0000-23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30680" y="32590740"/>
          <a:ext cx="2606266"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0000000-0008-0000-2300-000004000000}"/>
            </a:ext>
          </a:extLst>
        </xdr:cNvPr>
        <xdr:cNvGrpSpPr>
          <a:grpSpLocks/>
        </xdr:cNvGrpSpPr>
      </xdr:nvGrpSpPr>
      <xdr:grpSpPr bwMode="auto">
        <a:xfrm>
          <a:off x="0" y="0"/>
          <a:ext cx="6307888" cy="1283446"/>
          <a:chOff x="57150" y="47625"/>
          <a:chExt cx="6316603" cy="1200288"/>
        </a:xfrm>
      </xdr:grpSpPr>
      <xdr:pic>
        <xdr:nvPicPr>
          <xdr:cNvPr id="5" name="1 Imagen" descr="ESCUDO-transp-lema-blanco.png">
            <a:extLst>
              <a:ext uri="{FF2B5EF4-FFF2-40B4-BE49-F238E27FC236}">
                <a16:creationId xmlns:a16="http://schemas.microsoft.com/office/drawing/2014/main" id="{00000000-0008-0000-23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00000000-0008-0000-23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119063</xdr:colOff>
      <xdr:row>0</xdr:row>
      <xdr:rowOff>107157</xdr:rowOff>
    </xdr:from>
    <xdr:to>
      <xdr:col>1</xdr:col>
      <xdr:colOff>571501</xdr:colOff>
      <xdr:row>0</xdr:row>
      <xdr:rowOff>1750220</xdr:rowOff>
    </xdr:to>
    <xdr:pic>
      <xdr:nvPicPr>
        <xdr:cNvPr id="4" name="1 Imagen" descr="ESCUDO-transp-lema-blanco.png">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119063" y="107157"/>
          <a:ext cx="1109663" cy="1643063"/>
        </a:xfrm>
        <a:prstGeom prst="rect">
          <a:avLst/>
        </a:prstGeom>
        <a:noFill/>
        <a:ln w="9525">
          <a:noFill/>
          <a:miter lim="800000"/>
          <a:headEnd/>
          <a:tailEnd/>
        </a:ln>
      </xdr:spPr>
    </xdr:pic>
    <xdr:clientData/>
  </xdr:twoCellAnchor>
  <xdr:twoCellAnchor>
    <xdr:from>
      <xdr:col>1</xdr:col>
      <xdr:colOff>647700</xdr:colOff>
      <xdr:row>0</xdr:row>
      <xdr:rowOff>381000</xdr:rowOff>
    </xdr:from>
    <xdr:to>
      <xdr:col>4</xdr:col>
      <xdr:colOff>59531</xdr:colOff>
      <xdr:row>0</xdr:row>
      <xdr:rowOff>1440656</xdr:rowOff>
    </xdr:to>
    <xdr:sp macro="" textlink="">
      <xdr:nvSpPr>
        <xdr:cNvPr id="5" name="5 CuadroTexto">
          <a:extLst>
            <a:ext uri="{FF2B5EF4-FFF2-40B4-BE49-F238E27FC236}">
              <a16:creationId xmlns:a16="http://schemas.microsoft.com/office/drawing/2014/main" id="{00000000-0008-0000-0400-000005000000}"/>
            </a:ext>
          </a:extLst>
        </xdr:cNvPr>
        <xdr:cNvSpPr txBox="1"/>
      </xdr:nvSpPr>
      <xdr:spPr bwMode="auto">
        <a:xfrm>
          <a:off x="1304925" y="381000"/>
          <a:ext cx="2412206" cy="10596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1209675</xdr:colOff>
      <xdr:row>0</xdr:row>
      <xdr:rowOff>1581150</xdr:rowOff>
    </xdr:to>
    <xdr:pic>
      <xdr:nvPicPr>
        <xdr:cNvPr id="2" name="1 Imagen" descr="ESCUDO-transp-lema-blanco.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096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1266825</xdr:colOff>
      <xdr:row>0</xdr:row>
      <xdr:rowOff>428625</xdr:rowOff>
    </xdr:from>
    <xdr:to>
      <xdr:col>1</xdr:col>
      <xdr:colOff>3609975</xdr:colOff>
      <xdr:row>1</xdr:row>
      <xdr:rowOff>0</xdr:rowOff>
    </xdr:to>
    <xdr:sp macro="" textlink="">
      <xdr:nvSpPr>
        <xdr:cNvPr id="3" name="3 CuadroTexto">
          <a:extLst>
            <a:ext uri="{FF2B5EF4-FFF2-40B4-BE49-F238E27FC236}">
              <a16:creationId xmlns:a16="http://schemas.microsoft.com/office/drawing/2014/main" id="{00000000-0008-0000-0500-000003000000}"/>
            </a:ext>
          </a:extLst>
        </xdr:cNvPr>
        <xdr:cNvSpPr txBox="1"/>
      </xdr:nvSpPr>
      <xdr:spPr bwMode="auto">
        <a:xfrm>
          <a:off x="1266825" y="428625"/>
          <a:ext cx="4619625" cy="733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119063</xdr:colOff>
      <xdr:row>0</xdr:row>
      <xdr:rowOff>107157</xdr:rowOff>
    </xdr:from>
    <xdr:to>
      <xdr:col>1</xdr:col>
      <xdr:colOff>571501</xdr:colOff>
      <xdr:row>0</xdr:row>
      <xdr:rowOff>1750220</xdr:rowOff>
    </xdr:to>
    <xdr:pic>
      <xdr:nvPicPr>
        <xdr:cNvPr id="2" name="1 Imagen" descr="ESCUDO-transp-lema-blanco.png">
          <a:extLst>
            <a:ext uri="{FF2B5EF4-FFF2-40B4-BE49-F238E27FC236}">
              <a16:creationId xmlns:a16="http://schemas.microsoft.com/office/drawing/2014/main" id="{46E1B2AB-4202-4954-A99F-A11F70A21214}"/>
            </a:ext>
          </a:extLst>
        </xdr:cNvPr>
        <xdr:cNvPicPr>
          <a:picLocks noChangeAspect="1"/>
        </xdr:cNvPicPr>
      </xdr:nvPicPr>
      <xdr:blipFill>
        <a:blip xmlns:r="http://schemas.openxmlformats.org/officeDocument/2006/relationships" r:embed="rId1" cstate="print"/>
        <a:srcRect/>
        <a:stretch>
          <a:fillRect/>
        </a:stretch>
      </xdr:blipFill>
      <xdr:spPr bwMode="auto">
        <a:xfrm>
          <a:off x="119063" y="107157"/>
          <a:ext cx="1119188" cy="1281113"/>
        </a:xfrm>
        <a:prstGeom prst="rect">
          <a:avLst/>
        </a:prstGeom>
        <a:noFill/>
        <a:ln w="9525">
          <a:noFill/>
          <a:miter lim="800000"/>
          <a:headEnd/>
          <a:tailEnd/>
        </a:ln>
      </xdr:spPr>
    </xdr:pic>
    <xdr:clientData/>
  </xdr:twoCellAnchor>
  <xdr:twoCellAnchor>
    <xdr:from>
      <xdr:col>1</xdr:col>
      <xdr:colOff>647700</xdr:colOff>
      <xdr:row>0</xdr:row>
      <xdr:rowOff>381000</xdr:rowOff>
    </xdr:from>
    <xdr:to>
      <xdr:col>4</xdr:col>
      <xdr:colOff>59531</xdr:colOff>
      <xdr:row>0</xdr:row>
      <xdr:rowOff>1440656</xdr:rowOff>
    </xdr:to>
    <xdr:sp macro="" textlink="">
      <xdr:nvSpPr>
        <xdr:cNvPr id="3" name="5 CuadroTexto">
          <a:extLst>
            <a:ext uri="{FF2B5EF4-FFF2-40B4-BE49-F238E27FC236}">
              <a16:creationId xmlns:a16="http://schemas.microsoft.com/office/drawing/2014/main" id="{B3C09ECB-2DDC-49BC-AAF5-243CF18A64EA}"/>
            </a:ext>
          </a:extLst>
        </xdr:cNvPr>
        <xdr:cNvSpPr txBox="1"/>
      </xdr:nvSpPr>
      <xdr:spPr bwMode="auto">
        <a:xfrm>
          <a:off x="1314450" y="381000"/>
          <a:ext cx="2412206" cy="10120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1209675</xdr:colOff>
      <xdr:row>0</xdr:row>
      <xdr:rowOff>1581150</xdr:rowOff>
    </xdr:to>
    <xdr:pic>
      <xdr:nvPicPr>
        <xdr:cNvPr id="2" name="1 Imagen" descr="ESCUDO-transp-lema-blanco.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09675"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1266825</xdr:colOff>
      <xdr:row>0</xdr:row>
      <xdr:rowOff>428625</xdr:rowOff>
    </xdr:from>
    <xdr:to>
      <xdr:col>1</xdr:col>
      <xdr:colOff>3609975</xdr:colOff>
      <xdr:row>1</xdr:row>
      <xdr:rowOff>0</xdr:rowOff>
    </xdr:to>
    <xdr:sp macro="" textlink="">
      <xdr:nvSpPr>
        <xdr:cNvPr id="3" name="3 CuadroTexto">
          <a:extLst>
            <a:ext uri="{FF2B5EF4-FFF2-40B4-BE49-F238E27FC236}">
              <a16:creationId xmlns:a16="http://schemas.microsoft.com/office/drawing/2014/main" id="{00000000-0008-0000-0700-000003000000}"/>
            </a:ext>
          </a:extLst>
        </xdr:cNvPr>
        <xdr:cNvSpPr txBox="1"/>
      </xdr:nvSpPr>
      <xdr:spPr bwMode="auto">
        <a:xfrm>
          <a:off x="1266825" y="428625"/>
          <a:ext cx="5695950" cy="962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1</xdr:row>
      <xdr:rowOff>0</xdr:rowOff>
    </xdr:to>
    <xdr:grpSp>
      <xdr:nvGrpSpPr>
        <xdr:cNvPr id="2" name="1 Grupo">
          <a:extLst>
            <a:ext uri="{FF2B5EF4-FFF2-40B4-BE49-F238E27FC236}">
              <a16:creationId xmlns:a16="http://schemas.microsoft.com/office/drawing/2014/main" id="{00000000-0008-0000-0800-000002000000}"/>
            </a:ext>
          </a:extLst>
        </xdr:cNvPr>
        <xdr:cNvGrpSpPr>
          <a:grpSpLocks/>
        </xdr:cNvGrpSpPr>
      </xdr:nvGrpSpPr>
      <xdr:grpSpPr bwMode="auto">
        <a:xfrm>
          <a:off x="0" y="0"/>
          <a:ext cx="6687344" cy="1656953"/>
          <a:chOff x="57150" y="47625"/>
          <a:chExt cx="6181725" cy="1581150"/>
        </a:xfrm>
      </xdr:grpSpPr>
      <xdr:pic>
        <xdr:nvPicPr>
          <xdr:cNvPr id="3" name="1 Imagen" descr="ESCUDO-transp-lema-blanco.png">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57150" y="47625"/>
            <a:ext cx="1209675" cy="1581150"/>
          </a:xfrm>
          <a:prstGeom prst="rect">
            <a:avLst/>
          </a:prstGeom>
          <a:noFill/>
          <a:ln w="9525">
            <a:noFill/>
            <a:miter lim="800000"/>
            <a:headEnd/>
            <a:tailEnd/>
          </a:ln>
        </xdr:spPr>
      </xdr:pic>
      <xdr:sp macro="" textlink="">
        <xdr:nvSpPr>
          <xdr:cNvPr id="4" name="3 CuadroTexto">
            <a:extLst>
              <a:ext uri="{FF2B5EF4-FFF2-40B4-BE49-F238E27FC236}">
                <a16:creationId xmlns:a16="http://schemas.microsoft.com/office/drawing/2014/main" id="{00000000-0008-0000-0800-000004000000}"/>
              </a:ext>
            </a:extLst>
          </xdr:cNvPr>
          <xdr:cNvSpPr txBox="1"/>
        </xdr:nvSpPr>
        <xdr:spPr>
          <a:xfrm>
            <a:off x="1426640" y="49530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0</xdr:colOff>
      <xdr:row>167</xdr:row>
      <xdr:rowOff>167640</xdr:rowOff>
    </xdr:from>
    <xdr:to>
      <xdr:col>5</xdr:col>
      <xdr:colOff>84107</xdr:colOff>
      <xdr:row>168</xdr:row>
      <xdr:rowOff>121932</xdr:rowOff>
    </xdr:to>
    <xdr:pic>
      <xdr:nvPicPr>
        <xdr:cNvPr id="2" name="Imagen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1580" y="27637740"/>
          <a:ext cx="3314987"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373381</xdr:colOff>
      <xdr:row>202</xdr:row>
      <xdr:rowOff>38100</xdr:rowOff>
    </xdr:from>
    <xdr:to>
      <xdr:col>3</xdr:col>
      <xdr:colOff>1257378</xdr:colOff>
      <xdr:row>203</xdr:row>
      <xdr:rowOff>68598</xdr:rowOff>
    </xdr:to>
    <xdr:pic>
      <xdr:nvPicPr>
        <xdr:cNvPr id="3" name="Imagen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84961" y="34404300"/>
          <a:ext cx="883997" cy="213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137161</xdr:colOff>
      <xdr:row>210</xdr:row>
      <xdr:rowOff>38100</xdr:rowOff>
    </xdr:from>
    <xdr:to>
      <xdr:col>3</xdr:col>
      <xdr:colOff>1691776</xdr:colOff>
      <xdr:row>210</xdr:row>
      <xdr:rowOff>335306</xdr:rowOff>
    </xdr:to>
    <xdr:pic>
      <xdr:nvPicPr>
        <xdr:cNvPr id="4" name="Imagen 3">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48741" y="35684460"/>
          <a:ext cx="1554615"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228601</xdr:colOff>
      <xdr:row>102</xdr:row>
      <xdr:rowOff>53340</xdr:rowOff>
    </xdr:from>
    <xdr:to>
      <xdr:col>5</xdr:col>
      <xdr:colOff>312708</xdr:colOff>
      <xdr:row>102</xdr:row>
      <xdr:rowOff>190512</xdr:rowOff>
    </xdr:to>
    <xdr:pic>
      <xdr:nvPicPr>
        <xdr:cNvPr id="5" name="Imagen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40181" y="13586460"/>
          <a:ext cx="3314987"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0</xdr:row>
      <xdr:rowOff>1261675</xdr:rowOff>
    </xdr:to>
    <xdr:grpSp>
      <xdr:nvGrpSpPr>
        <xdr:cNvPr id="6" name="1 Grupo">
          <a:extLst>
            <a:ext uri="{FF2B5EF4-FFF2-40B4-BE49-F238E27FC236}">
              <a16:creationId xmlns:a16="http://schemas.microsoft.com/office/drawing/2014/main" id="{00000000-0008-0000-0900-000006000000}"/>
            </a:ext>
          </a:extLst>
        </xdr:cNvPr>
        <xdr:cNvGrpSpPr>
          <a:grpSpLocks/>
        </xdr:cNvGrpSpPr>
      </xdr:nvGrpSpPr>
      <xdr:grpSpPr bwMode="auto">
        <a:xfrm>
          <a:off x="0" y="0"/>
          <a:ext cx="5522076" cy="1261675"/>
          <a:chOff x="57150" y="47625"/>
          <a:chExt cx="6316603" cy="1200288"/>
        </a:xfrm>
      </xdr:grpSpPr>
      <xdr:pic>
        <xdr:nvPicPr>
          <xdr:cNvPr id="7" name="1 Imagen" descr="ESCUDO-transp-lema-blanco.png">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id="{00000000-0008-0000-0900-000008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Downloads/Formatos%20SINA%20-%20PAI%202021%20(1)%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aola%20corpoguajira/PLAN%20DE%20ACCI&#211;N/INFORME%20DE%20GESTI&#211;N%202020/INFORME%2031%20DIC%202020/Formatos-SINA-PAI-2020-2023%2031%20DI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aola%20corpoguajira/PLAN%20DE%20ACCI&#211;N/INFORME%20DE%20GESTI&#211;N%202021/INFORME%2031%20MARZO/Formatos-SINA-PAI-2020-2023%2031%20marzo%20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Downloads/Formatos%20SINA%20-%20PAI%20202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sheetName val="Hoja1"/>
      <sheetName val="Anexo 2 Protocolo Inf Gestión"/>
      <sheetName val="Informe Ingresos"/>
      <sheetName val="PROTOCOLO INGRESOS"/>
      <sheetName val="INGRESOS"/>
      <sheetName val="Hoja3"/>
      <sheetName val="informe Gastos"/>
      <sheetName val="Hoja2"/>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row r="5">
          <cell r="H5" t="str">
            <v>Corporación Autónoma Regional del Alto Magdalena - CAM</v>
          </cell>
        </row>
        <row r="6">
          <cell r="H6" t="str">
            <v>Corporación Autónoma Regional de Cundinamarca – CAR</v>
          </cell>
        </row>
        <row r="7">
          <cell r="H7" t="str">
            <v>Corporación Autónoma Regional del Canal del Dique – CARDIQUE</v>
          </cell>
        </row>
        <row r="8">
          <cell r="H8" t="str">
            <v>Corporación Autónoma Regional de Sucre – CARSUCRE</v>
          </cell>
        </row>
        <row r="9">
          <cell r="H9" t="str">
            <v>Corporación Autónoma Regional de Santander – CAS</v>
          </cell>
        </row>
        <row r="10">
          <cell r="H10" t="str">
            <v>Corporación para el Desarrollo Sostenible del Norte y el Oriente Amazónico – CDA</v>
          </cell>
        </row>
        <row r="11">
          <cell r="H11" t="str">
            <v>Corporación Autónoma Regional para la Defensa de la Meseta de Bucaramanga – CDMB</v>
          </cell>
        </row>
        <row r="12">
          <cell r="H12" t="str">
            <v>Corporación Autónoma Regional para el Desarrollo Sostenible del Chocó – CODECHOCÓ</v>
          </cell>
        </row>
        <row r="13">
          <cell r="H13" t="str">
            <v>Corporación para el Desarrollo Sostenible del Archipiélago de San Andrés, Providencia y Santa Catalina – CORALINA</v>
          </cell>
        </row>
        <row r="14">
          <cell r="H14" t="str">
            <v>Corporación Autónoma Regional del Centro de Antioquia – CORANTIOQUIA</v>
          </cell>
        </row>
        <row r="15">
          <cell r="H15" t="str">
            <v>Corporación para el Desarrollo Sostenible del Área de Manejo Especial de La Macarena – CORMACARENA</v>
          </cell>
        </row>
        <row r="16">
          <cell r="H16" t="str">
            <v>Corporación Autónoma Regional de las Cuencas de los Ríos Negro y Nare – CORNARE</v>
          </cell>
        </row>
        <row r="17">
          <cell r="H17" t="str">
            <v>Corporación Autónoma Regional del Magdalena – CORPAMAG</v>
          </cell>
        </row>
        <row r="18">
          <cell r="H18" t="str">
            <v>Corporación para el Desarrollo Sostenible del Sur de la Amazonia – CORPOAMAZONIA</v>
          </cell>
        </row>
        <row r="19">
          <cell r="H19" t="str">
            <v>Corporación Autónoma Regional de Boyacá – CORPOBOYACÁ</v>
          </cell>
        </row>
        <row r="20">
          <cell r="H20" t="str">
            <v>Corporación Autónoma Regional de Caldas – CORPOCALDAS</v>
          </cell>
        </row>
        <row r="21">
          <cell r="H21" t="str">
            <v>Corporación Autónoma Regional del Cesar – CORPOCESAR</v>
          </cell>
        </row>
        <row r="22">
          <cell r="H22" t="str">
            <v>Corporación Autónoma Regional de Chivor – CORPOCHIVOR</v>
          </cell>
        </row>
        <row r="23">
          <cell r="H23" t="str">
            <v>Corporación Autónoma Regional de La Guajira – CORPOGUAJIRA</v>
          </cell>
        </row>
        <row r="24">
          <cell r="H24" t="str">
            <v>Corporación Autónoma Regional del Guavio – CORPOGUAVIO</v>
          </cell>
        </row>
        <row r="25">
          <cell r="H25" t="str">
            <v>Corporación para el Desarrollo Sostenible de La Mojana y El San Jorge – CORPOMOJANA</v>
          </cell>
        </row>
        <row r="26">
          <cell r="H26" t="str">
            <v>Corporación Autónoma Regional de Nariño – CORPONARIÑO</v>
          </cell>
        </row>
        <row r="27">
          <cell r="H27" t="str">
            <v>Corporación Autónoma Regional de la Frontera Nororiental – CORPONOR</v>
          </cell>
        </row>
        <row r="28">
          <cell r="H28" t="str">
            <v>Corporación Autónoma Regional de Risaralda – CARDER</v>
          </cell>
        </row>
        <row r="29">
          <cell r="H29" t="str">
            <v>Corporación Autónoma Regional de la Orinoquia – CORPORINOQUIA</v>
          </cell>
        </row>
        <row r="30">
          <cell r="H30" t="str">
            <v>Corporación para el Desarrollo Sostenible del Urabá – CORPOURABA</v>
          </cell>
        </row>
        <row r="31">
          <cell r="H31" t="str">
            <v>Corporación Autónoma Regional del Tolima – CORTOLIMA</v>
          </cell>
        </row>
        <row r="32">
          <cell r="H32" t="str">
            <v>Corporación Autónoma Regional del Atlántico – CRA</v>
          </cell>
        </row>
        <row r="33">
          <cell r="H33" t="str">
            <v>Corporación Autónoma Regional del Cauca – CRC</v>
          </cell>
        </row>
        <row r="34">
          <cell r="H34" t="str">
            <v>Corporación Autónoma Regional del Quindío – CRQ</v>
          </cell>
        </row>
        <row r="35">
          <cell r="H35" t="str">
            <v>Corporación Autónoma Regional del Sur de Bolívar – CSB</v>
          </cell>
        </row>
        <row r="36">
          <cell r="H36" t="str">
            <v>Corporación Autónoma Regional del Valle del Cauca – CVC</v>
          </cell>
        </row>
        <row r="37">
          <cell r="H37" t="str">
            <v>Corporación Autónoma Regional de los Valles del Sinú y del San Jorge – CVS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33">
          <cell r="D33" t="str">
            <v>SI APLICA</v>
          </cell>
          <cell r="F33" t="str">
            <v>SI SE REPORTA</v>
          </cell>
        </row>
        <row r="34">
          <cell r="D34" t="str">
            <v>NO APLICA</v>
          </cell>
          <cell r="F34" t="str">
            <v>NO SE REPORTA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sheetName val="Hoja1"/>
      <sheetName val="Anexo 2 Protocolo Inf Gestión"/>
      <sheetName val="Informe Ingresos"/>
      <sheetName val="PROTOCOLO INGRESOS"/>
      <sheetName val="informe Gastos"/>
      <sheetName val="Hoja2"/>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sheetData sheetId="1"/>
      <sheetData sheetId="2"/>
      <sheetData sheetId="3"/>
      <sheetData sheetId="4"/>
      <sheetData sheetId="5"/>
      <sheetData sheetId="6"/>
      <sheetData sheetId="7"/>
      <sheetData sheetId="8"/>
      <sheetData sheetId="9"/>
      <sheetData sheetId="10">
        <row r="9">
          <cell r="E9"/>
        </row>
      </sheetData>
      <sheetData sheetId="11"/>
      <sheetData sheetId="12">
        <row r="9">
          <cell r="E9"/>
        </row>
      </sheetData>
      <sheetData sheetId="13"/>
      <sheetData sheetId="14"/>
      <sheetData sheetId="15"/>
      <sheetData sheetId="16"/>
      <sheetData sheetId="17"/>
      <sheetData sheetId="18"/>
      <sheetData sheetId="19">
        <row r="9">
          <cell r="E9"/>
        </row>
      </sheetData>
      <sheetData sheetId="20"/>
      <sheetData sheetId="21">
        <row r="9">
          <cell r="E9"/>
        </row>
      </sheetData>
      <sheetData sheetId="22">
        <row r="9">
          <cell r="E9"/>
        </row>
      </sheetData>
      <sheetData sheetId="23"/>
      <sheetData sheetId="24"/>
      <sheetData sheetId="25"/>
      <sheetData sheetId="26"/>
      <sheetData sheetId="27">
        <row r="9">
          <cell r="E9"/>
        </row>
      </sheetData>
      <sheetData sheetId="28"/>
      <sheetData sheetId="29"/>
      <sheetData sheetId="30"/>
      <sheetData sheetId="31">
        <row r="9">
          <cell r="E9"/>
        </row>
      </sheetData>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sheetName val="Hoja1"/>
      <sheetName val="Anexo 2 Protocolo Inf Gestión"/>
      <sheetName val="Informe Ingresos"/>
      <sheetName val="PROTOCOLO INGRESOS"/>
      <sheetName val="informe Gastos"/>
      <sheetName val="Hoja2"/>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sheetName val="Hoja1"/>
      <sheetName val="Anexo 2 Protocolo Inf Gestión"/>
      <sheetName val="Informe Ingresos"/>
      <sheetName val="PROTOCOLO INGRESOS"/>
      <sheetName val="INGRESOS"/>
      <sheetName val="Hoja3"/>
      <sheetName val="informe Gastos"/>
      <sheetName val="Hoja2"/>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sanguino@corpoguajira.gov.co"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mailto:g.fonseca@corpoguajira.gov.co;"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mailto:y.delgado@car.corpoguajira.gov.co" TargetMode="External"/><Relationship Id="rId1" Type="http://schemas.openxmlformats.org/officeDocument/2006/relationships/hyperlink" Target="http://cambioclimatico.minambiente.gov.co/" TargetMode="External"/><Relationship Id="rId4"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5.bin"/><Relationship Id="rId1" Type="http://schemas.openxmlformats.org/officeDocument/2006/relationships/hyperlink" Target="mailto:g.fonseca@corpoguajira.gov.c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mailto:mariaguzman@corpoguajira.gov.co"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8.bin"/><Relationship Id="rId1" Type="http://schemas.openxmlformats.org/officeDocument/2006/relationships/hyperlink" Target="mailto:g.fonseca@corpoguajira.gov.co"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9.bin"/><Relationship Id="rId1" Type="http://schemas.openxmlformats.org/officeDocument/2006/relationships/hyperlink" Target="mailto:g.fonseca@corpoguajira.gov.co" TargetMode="Externa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1.bin"/><Relationship Id="rId1" Type="http://schemas.openxmlformats.org/officeDocument/2006/relationships/hyperlink" Target="mailto:g.fonseca@corpoguajira.gov.cov.co"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2.bin"/><Relationship Id="rId1" Type="http://schemas.openxmlformats.org/officeDocument/2006/relationships/hyperlink" Target="mailto:g.fonseca@corpoguajira.gov.co"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3.bin"/><Relationship Id="rId1" Type="http://schemas.openxmlformats.org/officeDocument/2006/relationships/hyperlink" Target="mailto:j.vega@corpoguajira.gov.co" TargetMode="Externa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5.bin"/><Relationship Id="rId1" Type="http://schemas.openxmlformats.org/officeDocument/2006/relationships/hyperlink" Target="mailto:e.maza@corpoguajira.gov.co"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6.bin"/><Relationship Id="rId1" Type="http://schemas.openxmlformats.org/officeDocument/2006/relationships/hyperlink" Target="mailto:e.maza@corpoguajira.gov.co"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mailto:g.fonseca@corpoguajira.gov.co" TargetMode="External"/><Relationship Id="rId1" Type="http://schemas.openxmlformats.org/officeDocument/2006/relationships/hyperlink" Target="https://www.minambiente.gov.co/index.php/ambientes-y-desarrollos-sostenibles/negocios-verdes-y-sostenibles" TargetMode="External"/><Relationship Id="rId4" Type="http://schemas.openxmlformats.org/officeDocument/2006/relationships/drawing" Target="../drawings/drawing28.xm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28.bin"/><Relationship Id="rId1" Type="http://schemas.openxmlformats.org/officeDocument/2006/relationships/hyperlink" Target="mailto:j.barros@corpoguajira.gov.co"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29.bin"/><Relationship Id="rId1" Type="http://schemas.openxmlformats.org/officeDocument/2006/relationships/hyperlink" Target="mailto:c.Lopez@corpoguajira.gov.co;" TargetMode="Externa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1.bin"/><Relationship Id="rId1" Type="http://schemas.openxmlformats.org/officeDocument/2006/relationships/hyperlink" Target="mailto:y.delgado@corpoguajira.gov.co" TargetMode="External"/></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www.sirh.ideam.gov.co/" TargetMode="External"/><Relationship Id="rId1" Type="http://schemas.openxmlformats.org/officeDocument/2006/relationships/hyperlink" Target="http://www.sisaire.gov.co/"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3.xm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http://www.sirh.ideam.gov.co/" TargetMode="External"/><Relationship Id="rId1" Type="http://schemas.openxmlformats.org/officeDocument/2006/relationships/hyperlink" Target="http://www.sisaire.gov.co/" TargetMode="External"/><Relationship Id="rId4" Type="http://schemas.openxmlformats.org/officeDocument/2006/relationships/drawing" Target="../drawings/drawing34.xml"/></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4.bin"/><Relationship Id="rId1" Type="http://schemas.openxmlformats.org/officeDocument/2006/relationships/hyperlink" Target="mailto:e.maza@corpoguajira.gov.co" TargetMode="Externa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R58"/>
  <sheetViews>
    <sheetView topLeftCell="A4" workbookViewId="0">
      <selection activeCell="C14" sqref="C14"/>
    </sheetView>
  </sheetViews>
  <sheetFormatPr baseColWidth="10" defaultRowHeight="15" x14ac:dyDescent="0.25"/>
  <cols>
    <col min="1" max="1" width="5.85546875" customWidth="1"/>
    <col min="2" max="2" width="44.28515625" customWidth="1"/>
    <col min="3" max="3" width="68.5703125" customWidth="1"/>
    <col min="7" max="7" width="0" hidden="1" customWidth="1"/>
    <col min="8" max="8" width="15.5703125" hidden="1" customWidth="1"/>
    <col min="9" max="9" width="11.42578125" hidden="1" customWidth="1"/>
  </cols>
  <sheetData>
    <row r="1" spans="1:18" s="538" customFormat="1" ht="130.5" customHeight="1" thickBot="1" x14ac:dyDescent="0.3">
      <c r="A1" s="583"/>
      <c r="B1" s="584"/>
      <c r="C1" s="585"/>
      <c r="D1"/>
      <c r="E1"/>
      <c r="F1"/>
      <c r="G1"/>
      <c r="H1"/>
      <c r="I1"/>
      <c r="J1"/>
      <c r="K1"/>
      <c r="L1"/>
      <c r="M1"/>
      <c r="N1"/>
      <c r="O1"/>
      <c r="P1"/>
      <c r="Q1"/>
      <c r="R1"/>
    </row>
    <row r="2" spans="1:18" s="539" customFormat="1" ht="39.75" customHeight="1" thickBot="1" x14ac:dyDescent="0.3">
      <c r="A2" s="1535" t="s">
        <v>1782</v>
      </c>
      <c r="B2" s="1536"/>
      <c r="C2" s="1537"/>
      <c r="D2"/>
      <c r="E2"/>
      <c r="F2"/>
      <c r="G2"/>
      <c r="H2"/>
      <c r="I2"/>
      <c r="J2"/>
      <c r="K2"/>
      <c r="L2"/>
      <c r="M2"/>
      <c r="N2"/>
      <c r="O2"/>
      <c r="P2"/>
      <c r="Q2"/>
      <c r="R2"/>
    </row>
    <row r="4" spans="1:18" ht="15.75" thickBot="1" x14ac:dyDescent="0.3"/>
    <row r="5" spans="1:18" s="571" customFormat="1" ht="23.25" customHeight="1" x14ac:dyDescent="0.25">
      <c r="B5" s="572" t="s">
        <v>1302</v>
      </c>
      <c r="C5" s="573" t="s">
        <v>1321</v>
      </c>
      <c r="H5" s="571" t="s">
        <v>1303</v>
      </c>
    </row>
    <row r="6" spans="1:18" s="571" customFormat="1" ht="23.25" customHeight="1" x14ac:dyDescent="0.25">
      <c r="B6" s="574" t="s">
        <v>1343</v>
      </c>
      <c r="C6" s="575" t="s">
        <v>1847</v>
      </c>
      <c r="H6" s="571" t="s">
        <v>1304</v>
      </c>
    </row>
    <row r="7" spans="1:18" s="571" customFormat="1" ht="23.25" customHeight="1" x14ac:dyDescent="0.25">
      <c r="B7" s="574" t="s">
        <v>1344</v>
      </c>
      <c r="C7" s="575" t="s">
        <v>2829</v>
      </c>
      <c r="H7" s="571" t="s">
        <v>1305</v>
      </c>
    </row>
    <row r="8" spans="1:18" s="571" customFormat="1" ht="23.25" customHeight="1" x14ac:dyDescent="0.25">
      <c r="B8" s="574" t="s">
        <v>40</v>
      </c>
      <c r="C8" s="575" t="s">
        <v>2826</v>
      </c>
      <c r="H8" s="571" t="s">
        <v>1306</v>
      </c>
    </row>
    <row r="9" spans="1:18" s="571" customFormat="1" ht="23.25" customHeight="1" x14ac:dyDescent="0.25">
      <c r="B9" s="574" t="s">
        <v>42</v>
      </c>
      <c r="C9" s="575" t="s">
        <v>2827</v>
      </c>
      <c r="H9" s="571" t="s">
        <v>1307</v>
      </c>
    </row>
    <row r="10" spans="1:18" s="571" customFormat="1" ht="23.25" customHeight="1" x14ac:dyDescent="0.25">
      <c r="B10" s="574" t="s">
        <v>43</v>
      </c>
      <c r="C10" s="975" t="s">
        <v>2828</v>
      </c>
      <c r="H10" s="571" t="s">
        <v>1308</v>
      </c>
    </row>
    <row r="11" spans="1:18" s="571" customFormat="1" ht="23.25" customHeight="1" thickBot="1" x14ac:dyDescent="0.3">
      <c r="B11" s="576" t="s">
        <v>44</v>
      </c>
      <c r="C11" s="577"/>
      <c r="H11" s="571" t="s">
        <v>1309</v>
      </c>
    </row>
    <row r="12" spans="1:18" x14ac:dyDescent="0.25">
      <c r="H12" t="s">
        <v>1310</v>
      </c>
    </row>
    <row r="13" spans="1:18" x14ac:dyDescent="0.25">
      <c r="H13" t="s">
        <v>1311</v>
      </c>
    </row>
    <row r="14" spans="1:18" x14ac:dyDescent="0.25">
      <c r="H14" t="s">
        <v>1312</v>
      </c>
    </row>
    <row r="15" spans="1:18" x14ac:dyDescent="0.25">
      <c r="H15" t="s">
        <v>1313</v>
      </c>
    </row>
    <row r="16" spans="1:18" x14ac:dyDescent="0.25">
      <c r="H16" t="s">
        <v>1314</v>
      </c>
    </row>
    <row r="17" spans="8:8" x14ac:dyDescent="0.25">
      <c r="H17" t="s">
        <v>1315</v>
      </c>
    </row>
    <row r="18" spans="8:8" x14ac:dyDescent="0.25">
      <c r="H18" t="s">
        <v>1316</v>
      </c>
    </row>
    <row r="19" spans="8:8" x14ac:dyDescent="0.25">
      <c r="H19" t="s">
        <v>1317</v>
      </c>
    </row>
    <row r="20" spans="8:8" x14ac:dyDescent="0.25">
      <c r="H20" t="s">
        <v>1318</v>
      </c>
    </row>
    <row r="21" spans="8:8" x14ac:dyDescent="0.25">
      <c r="H21" t="s">
        <v>1319</v>
      </c>
    </row>
    <row r="22" spans="8:8" x14ac:dyDescent="0.25">
      <c r="H22" t="s">
        <v>1320</v>
      </c>
    </row>
    <row r="23" spans="8:8" x14ac:dyDescent="0.25">
      <c r="H23" t="s">
        <v>1321</v>
      </c>
    </row>
    <row r="24" spans="8:8" x14ac:dyDescent="0.25">
      <c r="H24" t="s">
        <v>1322</v>
      </c>
    </row>
    <row r="25" spans="8:8" x14ac:dyDescent="0.25">
      <c r="H25" t="s">
        <v>1323</v>
      </c>
    </row>
    <row r="26" spans="8:8" x14ac:dyDescent="0.25">
      <c r="H26" t="s">
        <v>1324</v>
      </c>
    </row>
    <row r="27" spans="8:8" x14ac:dyDescent="0.25">
      <c r="H27" t="s">
        <v>1325</v>
      </c>
    </row>
    <row r="28" spans="8:8" x14ac:dyDescent="0.25">
      <c r="H28" t="s">
        <v>1858</v>
      </c>
    </row>
    <row r="29" spans="8:8" s="412" customFormat="1" x14ac:dyDescent="0.25">
      <c r="H29" s="412" t="s">
        <v>1326</v>
      </c>
    </row>
    <row r="30" spans="8:8" x14ac:dyDescent="0.25">
      <c r="H30" t="s">
        <v>1327</v>
      </c>
    </row>
    <row r="31" spans="8:8" x14ac:dyDescent="0.25">
      <c r="H31" t="s">
        <v>1328</v>
      </c>
    </row>
    <row r="32" spans="8:8" x14ac:dyDescent="0.25">
      <c r="H32" t="s">
        <v>1329</v>
      </c>
    </row>
    <row r="33" spans="8:8" x14ac:dyDescent="0.25">
      <c r="H33" t="s">
        <v>1330</v>
      </c>
    </row>
    <row r="34" spans="8:8" x14ac:dyDescent="0.25">
      <c r="H34" t="s">
        <v>1331</v>
      </c>
    </row>
    <row r="35" spans="8:8" x14ac:dyDescent="0.25">
      <c r="H35" t="s">
        <v>1332</v>
      </c>
    </row>
    <row r="36" spans="8:8" x14ac:dyDescent="0.25">
      <c r="H36" t="s">
        <v>1333</v>
      </c>
    </row>
    <row r="37" spans="8:8" x14ac:dyDescent="0.25">
      <c r="H37" t="s">
        <v>1334</v>
      </c>
    </row>
    <row r="39" spans="8:8" x14ac:dyDescent="0.25">
      <c r="H39" t="s">
        <v>1335</v>
      </c>
    </row>
    <row r="40" spans="8:8" x14ac:dyDescent="0.25">
      <c r="H40" t="s">
        <v>1336</v>
      </c>
    </row>
    <row r="41" spans="8:8" x14ac:dyDescent="0.25">
      <c r="H41" t="s">
        <v>1337</v>
      </c>
    </row>
    <row r="42" spans="8:8" x14ac:dyDescent="0.25">
      <c r="H42" t="s">
        <v>1338</v>
      </c>
    </row>
    <row r="43" spans="8:8" x14ac:dyDescent="0.25">
      <c r="H43" t="s">
        <v>1339</v>
      </c>
    </row>
    <row r="44" spans="8:8" x14ac:dyDescent="0.25">
      <c r="H44" t="s">
        <v>1340</v>
      </c>
    </row>
    <row r="45" spans="8:8" x14ac:dyDescent="0.25">
      <c r="H45" t="s">
        <v>1341</v>
      </c>
    </row>
    <row r="46" spans="8:8" x14ac:dyDescent="0.25">
      <c r="H46" t="s">
        <v>1342</v>
      </c>
    </row>
    <row r="47" spans="8:8" x14ac:dyDescent="0.25">
      <c r="H47" s="412" t="s">
        <v>1845</v>
      </c>
    </row>
    <row r="48" spans="8:8" x14ac:dyDescent="0.25">
      <c r="H48" s="412" t="s">
        <v>1846</v>
      </c>
    </row>
    <row r="49" spans="8:8" x14ac:dyDescent="0.25">
      <c r="H49" s="412" t="s">
        <v>1847</v>
      </c>
    </row>
    <row r="50" spans="8:8" x14ac:dyDescent="0.25">
      <c r="H50" s="412" t="s">
        <v>1848</v>
      </c>
    </row>
    <row r="51" spans="8:8" x14ac:dyDescent="0.25">
      <c r="H51" s="412" t="s">
        <v>1849</v>
      </c>
    </row>
    <row r="52" spans="8:8" x14ac:dyDescent="0.25">
      <c r="H52" s="412" t="s">
        <v>1850</v>
      </c>
    </row>
    <row r="53" spans="8:8" x14ac:dyDescent="0.25">
      <c r="H53" s="412" t="s">
        <v>1851</v>
      </c>
    </row>
    <row r="54" spans="8:8" x14ac:dyDescent="0.25">
      <c r="H54" s="412" t="s">
        <v>1852</v>
      </c>
    </row>
    <row r="55" spans="8:8" x14ac:dyDescent="0.25">
      <c r="H55" s="412" t="s">
        <v>1853</v>
      </c>
    </row>
    <row r="56" spans="8:8" x14ac:dyDescent="0.25">
      <c r="H56" s="412" t="s">
        <v>1854</v>
      </c>
    </row>
    <row r="57" spans="8:8" x14ac:dyDescent="0.25">
      <c r="H57" s="412" t="s">
        <v>1855</v>
      </c>
    </row>
    <row r="58" spans="8:8" x14ac:dyDescent="0.25">
      <c r="H58" s="412" t="s">
        <v>1856</v>
      </c>
    </row>
  </sheetData>
  <mergeCells count="1">
    <mergeCell ref="A2:C2"/>
  </mergeCells>
  <dataValidations count="2">
    <dataValidation type="list" allowBlank="1" showInputMessage="1" showErrorMessage="1" prompt="Seleccione la CAR de la cual incorporara la información" sqref="C5" xr:uid="{00000000-0002-0000-0000-000000000000}">
      <formula1>Lista_CAR</formula1>
    </dataValidation>
    <dataValidation type="list" allowBlank="1" showInputMessage="1" showErrorMessage="1" prompt="Seleccione el perido a reportar" sqref="C6" xr:uid="{00000000-0002-0000-0000-000001000000}">
      <formula1>$H$39:$H$58</formula1>
    </dataValidation>
  </dataValidations>
  <hyperlinks>
    <hyperlink ref="C10" r:id="rId1" xr:uid="{00000000-0004-0000-0000-000000000000}"/>
  </hyperlinks>
  <pageMargins left="0.7" right="0.7" top="0.75" bottom="0.75" header="0.3" footer="0.3"/>
  <pageSetup paperSize="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B13"/>
  <sheetViews>
    <sheetView workbookViewId="0">
      <selection activeCell="B8" sqref="B8"/>
    </sheetView>
  </sheetViews>
  <sheetFormatPr baseColWidth="10" defaultRowHeight="15" x14ac:dyDescent="0.25"/>
  <cols>
    <col min="1" max="1" width="50.28515625" style="668" customWidth="1"/>
    <col min="2" max="2" width="68.42578125" style="668" customWidth="1"/>
    <col min="3" max="16384" width="11.42578125" style="668"/>
  </cols>
  <sheetData>
    <row r="1" spans="1:2" ht="15.75" thickBot="1" x14ac:dyDescent="0.3">
      <c r="A1" s="1711"/>
      <c r="B1" s="1711"/>
    </row>
    <row r="2" spans="1:2" ht="15.75" thickBot="1" x14ac:dyDescent="0.3">
      <c r="A2" s="1732" t="s">
        <v>1819</v>
      </c>
      <c r="B2" s="1713"/>
    </row>
    <row r="3" spans="1:2" ht="15.75" thickBot="1" x14ac:dyDescent="0.3">
      <c r="A3" s="1714" t="s">
        <v>1265</v>
      </c>
      <c r="B3" s="1715"/>
    </row>
    <row r="4" spans="1:2" ht="15.75" thickBot="1" x14ac:dyDescent="0.3">
      <c r="A4" s="694" t="s">
        <v>1790</v>
      </c>
      <c r="B4" s="694" t="s">
        <v>1267</v>
      </c>
    </row>
    <row r="5" spans="1:2" ht="26.25" thickBot="1" x14ac:dyDescent="0.3">
      <c r="A5" s="695" t="s">
        <v>1791</v>
      </c>
      <c r="B5" s="696" t="s">
        <v>1792</v>
      </c>
    </row>
    <row r="6" spans="1:2" ht="16.5" thickTop="1" thickBot="1" x14ac:dyDescent="0.3">
      <c r="A6" s="697" t="s">
        <v>1793</v>
      </c>
      <c r="B6" s="696" t="s">
        <v>1820</v>
      </c>
    </row>
    <row r="7" spans="1:2" ht="78" thickTop="1" thickBot="1" x14ac:dyDescent="0.3">
      <c r="A7" s="704" t="s">
        <v>1821</v>
      </c>
      <c r="B7" s="696" t="s">
        <v>1822</v>
      </c>
    </row>
    <row r="8" spans="1:2" ht="90.75" thickTop="1" thickBot="1" x14ac:dyDescent="0.3">
      <c r="A8" s="704" t="s">
        <v>1823</v>
      </c>
      <c r="B8" s="696" t="s">
        <v>1824</v>
      </c>
    </row>
    <row r="9" spans="1:2" ht="90.75" thickTop="1" thickBot="1" x14ac:dyDescent="0.3">
      <c r="A9" s="704" t="s">
        <v>1825</v>
      </c>
      <c r="B9" s="696" t="s">
        <v>1826</v>
      </c>
    </row>
    <row r="10" spans="1:2" ht="90.75" thickTop="1" thickBot="1" x14ac:dyDescent="0.3">
      <c r="A10" s="704" t="s">
        <v>1827</v>
      </c>
      <c r="B10" s="696" t="s">
        <v>1828</v>
      </c>
    </row>
    <row r="11" spans="1:2" ht="27" thickTop="1" thickBot="1" x14ac:dyDescent="0.3">
      <c r="A11" s="704" t="s">
        <v>1829</v>
      </c>
      <c r="B11" s="696" t="s">
        <v>1830</v>
      </c>
    </row>
    <row r="12" spans="1:2" ht="27" thickTop="1" thickBot="1" x14ac:dyDescent="0.3">
      <c r="A12" s="704" t="s">
        <v>1831</v>
      </c>
      <c r="B12" s="696" t="s">
        <v>1818</v>
      </c>
    </row>
    <row r="13" spans="1:2" ht="15.75" thickTop="1" x14ac:dyDescent="0.25"/>
  </sheetData>
  <mergeCells count="3">
    <mergeCell ref="A1:B1"/>
    <mergeCell ref="A2:B2"/>
    <mergeCell ref="A3:B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R32"/>
  <sheetViews>
    <sheetView showGridLines="0" zoomScale="96" zoomScaleNormal="96" workbookViewId="0">
      <pane ySplit="5" topLeftCell="A12" activePane="bottomLeft" state="frozen"/>
      <selection activeCell="D4" sqref="D4"/>
      <selection pane="bottomLeft" activeCell="C6" sqref="C6"/>
    </sheetView>
  </sheetViews>
  <sheetFormatPr baseColWidth="10" defaultRowHeight="15" x14ac:dyDescent="0.25"/>
  <cols>
    <col min="1" max="1" width="3.5703125" bestFit="1" customWidth="1"/>
    <col min="2" max="2" width="62.42578125" customWidth="1"/>
    <col min="3" max="3" width="16.140625" customWidth="1"/>
    <col min="4" max="5" width="6.140625" customWidth="1"/>
    <col min="6" max="6" width="6" customWidth="1"/>
    <col min="7" max="7" width="0.42578125" hidden="1" customWidth="1"/>
    <col min="8" max="8" width="6.140625" style="412" hidden="1" customWidth="1"/>
    <col min="9" max="9" width="0.42578125" style="412" hidden="1" customWidth="1"/>
    <col min="10" max="10" width="8.42578125" style="412" hidden="1" customWidth="1"/>
    <col min="11" max="11" width="0.140625" customWidth="1"/>
    <col min="12" max="12" width="15" style="412" customWidth="1"/>
    <col min="13" max="14" width="22.42578125" style="412" customWidth="1"/>
    <col min="15" max="15" width="1.85546875" style="412" customWidth="1"/>
  </cols>
  <sheetData>
    <row r="1" spans="1:18" s="538" customFormat="1" ht="130.5" customHeight="1" thickBot="1" x14ac:dyDescent="0.3">
      <c r="A1" s="1733"/>
      <c r="B1" s="1734"/>
      <c r="C1" s="1734"/>
      <c r="D1" s="1734"/>
      <c r="E1" s="1734"/>
      <c r="F1" s="1734"/>
      <c r="G1" s="1734"/>
      <c r="H1" s="1734"/>
      <c r="I1" s="1734"/>
      <c r="J1" s="1734"/>
      <c r="K1" s="1734"/>
      <c r="L1" s="1734"/>
      <c r="M1" s="1734"/>
      <c r="N1" s="1734"/>
      <c r="O1" s="1734"/>
      <c r="P1" s="1735"/>
      <c r="Q1"/>
      <c r="R1"/>
    </row>
    <row r="2" spans="1:18" s="539" customFormat="1" ht="16.5" thickBot="1" x14ac:dyDescent="0.3">
      <c r="A2" s="1741" t="str">
        <f>'Datos Generales'!C5</f>
        <v>Corporación Autónoma Regional de La Guajira – CORPOGUAJIRA</v>
      </c>
      <c r="B2" s="1742"/>
      <c r="C2" s="1742"/>
      <c r="D2" s="1742"/>
      <c r="E2" s="1742"/>
      <c r="F2" s="1742"/>
      <c r="G2" s="1742"/>
      <c r="H2" s="1742"/>
      <c r="I2" s="1742"/>
      <c r="J2" s="1742"/>
      <c r="K2" s="1742"/>
      <c r="L2" s="1742"/>
      <c r="M2" s="1742"/>
      <c r="N2" s="1742"/>
      <c r="O2" s="1742"/>
      <c r="P2" s="1743"/>
      <c r="Q2"/>
      <c r="R2"/>
    </row>
    <row r="3" spans="1:18" s="539" customFormat="1" ht="16.5" thickBot="1" x14ac:dyDescent="0.3">
      <c r="A3" s="1736" t="s">
        <v>1347</v>
      </c>
      <c r="B3" s="1737"/>
      <c r="C3" s="1737"/>
      <c r="D3" s="1737"/>
      <c r="E3" s="1737"/>
      <c r="F3" s="1737"/>
      <c r="G3" s="1737"/>
      <c r="H3" s="1737"/>
      <c r="I3" s="1737"/>
      <c r="J3" s="1737"/>
      <c r="K3" s="1737"/>
      <c r="L3" s="1737"/>
      <c r="M3" s="1737"/>
      <c r="N3" s="1737"/>
      <c r="O3" s="1737"/>
      <c r="P3" s="1738"/>
      <c r="Q3"/>
      <c r="R3"/>
    </row>
    <row r="4" spans="1:18" s="539" customFormat="1" ht="30.75" customHeight="1" thickBot="1" x14ac:dyDescent="0.3">
      <c r="A4" s="1739" t="s">
        <v>1346</v>
      </c>
      <c r="B4" s="1740"/>
      <c r="C4" s="579" t="str">
        <f>'Datos Generales'!C6</f>
        <v>2021-I</v>
      </c>
      <c r="D4" s="579"/>
      <c r="E4" s="579"/>
      <c r="F4" s="579"/>
      <c r="G4" s="579"/>
      <c r="H4" s="579"/>
      <c r="I4" s="579"/>
      <c r="J4" s="579"/>
      <c r="K4" s="579"/>
      <c r="L4" s="581"/>
      <c r="M4" s="581"/>
      <c r="N4" s="581"/>
      <c r="O4" s="581"/>
      <c r="P4" s="582"/>
      <c r="Q4"/>
      <c r="R4"/>
    </row>
    <row r="5" spans="1:18" ht="30" customHeight="1" x14ac:dyDescent="0.25">
      <c r="A5" s="503" t="s">
        <v>19</v>
      </c>
      <c r="B5" s="503" t="s">
        <v>1183</v>
      </c>
      <c r="C5" s="504">
        <v>2020</v>
      </c>
      <c r="D5" s="510">
        <v>2021</v>
      </c>
      <c r="E5" s="510">
        <v>2022</v>
      </c>
      <c r="F5" s="510">
        <v>2023</v>
      </c>
      <c r="H5" s="501" t="s">
        <v>1244</v>
      </c>
      <c r="I5" s="501" t="s">
        <v>1245</v>
      </c>
      <c r="J5" s="501" t="s">
        <v>55</v>
      </c>
      <c r="L5" s="502" t="s">
        <v>1242</v>
      </c>
      <c r="M5" s="502" t="s">
        <v>1246</v>
      </c>
      <c r="N5" s="513" t="s">
        <v>55</v>
      </c>
      <c r="O5" s="516" t="s">
        <v>881</v>
      </c>
      <c r="P5" s="514"/>
    </row>
    <row r="6" spans="1:18" ht="45" customHeight="1" x14ac:dyDescent="0.25">
      <c r="A6" s="357" t="s">
        <v>1148</v>
      </c>
      <c r="B6" s="358" t="s">
        <v>1149</v>
      </c>
      <c r="C6" s="531" t="str">
        <f ca="1">+'1POMCAS'!D8</f>
        <v>N.A.</v>
      </c>
      <c r="D6" s="511"/>
      <c r="E6" s="512"/>
      <c r="F6" s="512"/>
      <c r="H6" s="509">
        <f>'1POMCAS'!F11</f>
        <v>0</v>
      </c>
      <c r="I6" s="509" t="str">
        <f>+'1POMCAS'!E12</f>
        <v>Proyecto No 1.1.Planificación, Ordenamiento e Información Ambiental Territorial (1)</v>
      </c>
      <c r="J6" s="509" t="str">
        <f>+'1POMCAS'!E13</f>
        <v xml:space="preserve">Acuerdo # 003 del 20 de Mayo de 2020. </v>
      </c>
      <c r="L6" s="533">
        <f t="shared" ref="L6:L32" ca="1" si="0">IF(ISNUMBER(C6),"",H6)</f>
        <v>0</v>
      </c>
      <c r="M6" s="533" t="str">
        <f t="shared" ref="M6:M32" si="1">IF(ISNUMBER(I6),"",I6)</f>
        <v>Proyecto No 1.1.Planificación, Ordenamiento e Información Ambiental Territorial (1)</v>
      </c>
      <c r="N6" s="534" t="str">
        <f t="shared" ref="N6:N32" si="2">IF(ISNUMBER(J6),"",J6)</f>
        <v xml:space="preserve">Acuerdo # 003 del 20 de Mayo de 2020. </v>
      </c>
      <c r="O6" s="517" t="s">
        <v>881</v>
      </c>
      <c r="P6" s="515"/>
    </row>
    <row r="7" spans="1:18" ht="72" x14ac:dyDescent="0.25">
      <c r="A7" s="357" t="s">
        <v>1150</v>
      </c>
      <c r="B7" s="358" t="s">
        <v>131</v>
      </c>
      <c r="C7" s="532" t="str">
        <f>+'2PORH'!D8</f>
        <v>N.A.</v>
      </c>
      <c r="D7" s="512"/>
      <c r="E7" s="512"/>
      <c r="F7" s="512"/>
      <c r="H7" s="509">
        <f>+'2PORH'!F11</f>
        <v>0</v>
      </c>
      <c r="I7" s="509" t="str">
        <f>+'2PORH'!E12</f>
        <v>Proyecto No 2.1. Administración de la Oferta y Demanda del Recurso Hídrico (superficiales y subterráneas)</v>
      </c>
      <c r="J7" s="509" t="str">
        <f>+'2PORH'!E13</f>
        <v xml:space="preserve">Acuerdo # 003 del 20 de Mayo de 2020. </v>
      </c>
      <c r="L7" s="533">
        <f t="shared" si="0"/>
        <v>0</v>
      </c>
      <c r="M7" s="533" t="str">
        <f t="shared" si="1"/>
        <v>Proyecto No 2.1. Administración de la Oferta y Demanda del Recurso Hídrico (superficiales y subterráneas)</v>
      </c>
      <c r="N7" s="534" t="str">
        <f t="shared" si="2"/>
        <v xml:space="preserve">Acuerdo # 003 del 20 de Mayo de 2020. </v>
      </c>
      <c r="O7" s="517" t="s">
        <v>881</v>
      </c>
      <c r="P7" s="515"/>
    </row>
    <row r="8" spans="1:18" ht="60" x14ac:dyDescent="0.25">
      <c r="A8" s="357" t="s">
        <v>1151</v>
      </c>
      <c r="B8" s="358" t="s">
        <v>162</v>
      </c>
      <c r="C8" s="532">
        <f>+'3PSMV'!D8</f>
        <v>1</v>
      </c>
      <c r="D8" s="512"/>
      <c r="E8" s="512"/>
      <c r="F8" s="512"/>
      <c r="H8" s="509">
        <f>+'3PSMV'!F11</f>
        <v>0</v>
      </c>
      <c r="I8" s="509" t="str">
        <f>+'3PSMV'!E12</f>
        <v>Proyecto 6.1. Evaluación, Seguimiento, Monitoreo y Control de la calidad de los recursos naturales y la biodiversidad.</v>
      </c>
      <c r="J8" s="509" t="str">
        <f>+'3PSMV'!E13</f>
        <v xml:space="preserve">Acuerdo # 003 del 20 de Mayo de 2020. </v>
      </c>
      <c r="L8" s="533" t="str">
        <f t="shared" si="0"/>
        <v/>
      </c>
      <c r="M8" s="533" t="str">
        <f t="shared" si="1"/>
        <v>Proyecto 6.1. Evaluación, Seguimiento, Monitoreo y Control de la calidad de los recursos naturales y la biodiversidad.</v>
      </c>
      <c r="N8" s="534" t="str">
        <f t="shared" si="2"/>
        <v xml:space="preserve">Acuerdo # 003 del 20 de Mayo de 2020. </v>
      </c>
      <c r="O8" s="517" t="s">
        <v>881</v>
      </c>
      <c r="P8" s="515"/>
    </row>
    <row r="9" spans="1:18" ht="24" x14ac:dyDescent="0.25">
      <c r="A9" s="357" t="s">
        <v>1152</v>
      </c>
      <c r="B9" s="358" t="s">
        <v>183</v>
      </c>
      <c r="C9" s="532" t="str">
        <f>+'4UsoAguas'!D8</f>
        <v>N.A.</v>
      </c>
      <c r="D9" s="512"/>
      <c r="E9" s="512"/>
      <c r="F9" s="512"/>
      <c r="H9" s="509">
        <f>+'4UsoAguas'!F11</f>
        <v>0</v>
      </c>
      <c r="I9" s="509">
        <f>+'4UsoAguas'!E12</f>
        <v>0</v>
      </c>
      <c r="J9" s="509" t="str">
        <f>+'4UsoAguas'!E13</f>
        <v xml:space="preserve">Acuerdo # 003 del 20 de Mayo de 2020. </v>
      </c>
      <c r="L9" s="533">
        <f t="shared" si="0"/>
        <v>0</v>
      </c>
      <c r="M9" s="533" t="str">
        <f t="shared" si="1"/>
        <v/>
      </c>
      <c r="N9" s="534" t="str">
        <f t="shared" si="2"/>
        <v xml:space="preserve">Acuerdo # 003 del 20 de Mayo de 2020. </v>
      </c>
      <c r="O9" s="517" t="s">
        <v>881</v>
      </c>
      <c r="P9" s="515"/>
    </row>
    <row r="10" spans="1:18" ht="60" x14ac:dyDescent="0.25">
      <c r="A10" s="357" t="s">
        <v>1153</v>
      </c>
      <c r="B10" s="358" t="s">
        <v>200</v>
      </c>
      <c r="C10" s="532">
        <f>+'5PUEAA'!D8</f>
        <v>1</v>
      </c>
      <c r="D10" s="512"/>
      <c r="E10" s="512"/>
      <c r="F10" s="512"/>
      <c r="H10" s="509">
        <f>+'5PUEAA'!F11</f>
        <v>0</v>
      </c>
      <c r="I10" s="509" t="str">
        <f>+'5PUEAA'!E12</f>
        <v>Proyecto 6.1. Evaluación, Seguimiento, Monitoreo y Control de la calidad de los recursos naturales y la biodiversidad.</v>
      </c>
      <c r="J10" s="509" t="str">
        <f>+'5PUEAA'!E13</f>
        <v xml:space="preserve">Acuerdo # 003 del 20 de Mayo de 2020. </v>
      </c>
      <c r="L10" s="533" t="str">
        <f t="shared" si="0"/>
        <v/>
      </c>
      <c r="M10" s="533" t="str">
        <f t="shared" si="1"/>
        <v>Proyecto 6.1. Evaluación, Seguimiento, Monitoreo y Control de la calidad de los recursos naturales y la biodiversidad.</v>
      </c>
      <c r="N10" s="534" t="str">
        <f t="shared" si="2"/>
        <v xml:space="preserve">Acuerdo # 003 del 20 de Mayo de 2020. </v>
      </c>
      <c r="O10" s="517" t="s">
        <v>881</v>
      </c>
      <c r="P10" s="515"/>
    </row>
    <row r="11" spans="1:18" ht="72" x14ac:dyDescent="0.25">
      <c r="A11" s="357" t="s">
        <v>1154</v>
      </c>
      <c r="B11" s="358" t="s">
        <v>220</v>
      </c>
      <c r="C11" s="532">
        <f>+'6POMCASejec'!D8</f>
        <v>0.5</v>
      </c>
      <c r="D11" s="512"/>
      <c r="E11" s="512"/>
      <c r="F11" s="512"/>
      <c r="H11" s="509">
        <f>+'6POMCASejec'!F11</f>
        <v>0</v>
      </c>
      <c r="I11" s="509" t="str">
        <f>+'6POMCASejec'!E12</f>
        <v>Proyecto No 2.1. Administración de la Oferta y Demanda del Recurso Hídrico (superficiales y subterráneas)</v>
      </c>
      <c r="J11" s="509" t="str">
        <f>+'6POMCASejec'!E13</f>
        <v xml:space="preserve">Acuerdo # 003 del 20 de Mayo de 2020. </v>
      </c>
      <c r="L11" s="533" t="str">
        <f t="shared" si="0"/>
        <v/>
      </c>
      <c r="M11" s="533" t="str">
        <f t="shared" si="1"/>
        <v>Proyecto No 2.1. Administración de la Oferta y Demanda del Recurso Hídrico (superficiales y subterráneas)</v>
      </c>
      <c r="N11" s="534" t="str">
        <f t="shared" si="2"/>
        <v xml:space="preserve">Acuerdo # 003 del 20 de Mayo de 2020. </v>
      </c>
      <c r="O11" s="517" t="s">
        <v>881</v>
      </c>
      <c r="P11" s="515"/>
    </row>
    <row r="12" spans="1:18" ht="38.25" x14ac:dyDescent="0.25">
      <c r="A12" s="357" t="s">
        <v>1155</v>
      </c>
      <c r="B12" s="358" t="s">
        <v>280</v>
      </c>
      <c r="C12" s="532">
        <f>+'7Clima'!D8</f>
        <v>1</v>
      </c>
      <c r="D12" s="512"/>
      <c r="E12" s="512"/>
      <c r="F12" s="512"/>
      <c r="H12" s="509">
        <f>+'7Clima'!F11</f>
        <v>0</v>
      </c>
      <c r="I12" s="509" t="str">
        <f>+'7Clima'!E12</f>
        <v>Proyecto No 1.2. Gestión del Riesgo y adaptación al Cambio Climático (2)</v>
      </c>
      <c r="J12" s="509" t="str">
        <f>+'7Clima'!E13</f>
        <v>Acuerdo # 003 del 20 de Mayo de 2020</v>
      </c>
      <c r="L12" s="533" t="str">
        <f t="shared" si="0"/>
        <v/>
      </c>
      <c r="M12" s="533" t="str">
        <f t="shared" si="1"/>
        <v>Proyecto No 1.2. Gestión del Riesgo y adaptación al Cambio Climático (2)</v>
      </c>
      <c r="N12" s="534" t="str">
        <f t="shared" si="2"/>
        <v>Acuerdo # 003 del 20 de Mayo de 2020</v>
      </c>
      <c r="O12" s="517" t="s">
        <v>881</v>
      </c>
      <c r="P12" s="515"/>
    </row>
    <row r="13" spans="1:18" ht="24" x14ac:dyDescent="0.25">
      <c r="A13" s="357" t="s">
        <v>1156</v>
      </c>
      <c r="B13" s="358" t="s">
        <v>314</v>
      </c>
      <c r="C13" s="532">
        <f>+'8Suelo'!D8</f>
        <v>0</v>
      </c>
      <c r="D13" s="512"/>
      <c r="E13" s="512"/>
      <c r="F13" s="512"/>
      <c r="H13" s="509">
        <f>+'8Suelo'!F11</f>
        <v>0</v>
      </c>
      <c r="I13" s="509">
        <f>+'8Suelo'!E12</f>
        <v>0</v>
      </c>
      <c r="J13" s="509" t="str">
        <f>+'8Suelo'!E13</f>
        <v xml:space="preserve">Acuerdo # 003 del 20 de Mayo de 2020. </v>
      </c>
      <c r="L13" s="533" t="str">
        <f t="shared" si="0"/>
        <v/>
      </c>
      <c r="M13" s="533" t="str">
        <f t="shared" si="1"/>
        <v/>
      </c>
      <c r="N13" s="534" t="str">
        <f t="shared" si="2"/>
        <v xml:space="preserve">Acuerdo # 003 del 20 de Mayo de 2020. </v>
      </c>
      <c r="O13" s="517" t="s">
        <v>881</v>
      </c>
      <c r="P13" s="515"/>
    </row>
    <row r="14" spans="1:18" ht="36" x14ac:dyDescent="0.25">
      <c r="A14" s="357" t="s">
        <v>1157</v>
      </c>
      <c r="B14" s="358" t="s">
        <v>348</v>
      </c>
      <c r="C14" s="532">
        <f>+'9RUNAP'!D9</f>
        <v>0.49956081000878377</v>
      </c>
      <c r="D14" s="512"/>
      <c r="E14" s="512"/>
      <c r="F14" s="512"/>
      <c r="H14" s="509">
        <f>+'9RUNAP'!F12</f>
        <v>0</v>
      </c>
      <c r="I14" s="509" t="str">
        <f>+'9RUNAP'!E13</f>
        <v>Proyecto No 3.2. Ecosistemas marino costeros.</v>
      </c>
      <c r="J14" s="509" t="str">
        <f>+'9RUNAP'!E14</f>
        <v>Acuerdo # 003 del 20 de Mayo de 2020</v>
      </c>
      <c r="L14" s="533" t="str">
        <f t="shared" si="0"/>
        <v/>
      </c>
      <c r="M14" s="533" t="str">
        <f t="shared" si="1"/>
        <v>Proyecto No 3.2. Ecosistemas marino costeros.</v>
      </c>
      <c r="N14" s="534" t="str">
        <f t="shared" si="2"/>
        <v>Acuerdo # 003 del 20 de Mayo de 2020</v>
      </c>
      <c r="O14" s="517" t="s">
        <v>881</v>
      </c>
      <c r="P14" s="515"/>
    </row>
    <row r="15" spans="1:18" ht="25.5" x14ac:dyDescent="0.25">
      <c r="A15" s="357" t="s">
        <v>1158</v>
      </c>
      <c r="B15" s="358" t="s">
        <v>396</v>
      </c>
      <c r="C15" s="532" t="str">
        <f>'10Paramos'!D8</f>
        <v>NO APLICA</v>
      </c>
      <c r="D15" s="512"/>
      <c r="E15" s="512"/>
      <c r="F15" s="512"/>
      <c r="H15" s="509">
        <f>'10Paramos'!F11</f>
        <v>0</v>
      </c>
      <c r="I15" s="509">
        <f>'10Paramos'!E12</f>
        <v>0</v>
      </c>
      <c r="J15" s="509" t="str">
        <f>'10Paramos'!E13</f>
        <v xml:space="preserve">Acuerdo # 003 del 20 de Mayo de 2020. </v>
      </c>
      <c r="L15" s="533">
        <f t="shared" si="0"/>
        <v>0</v>
      </c>
      <c r="M15" s="533" t="str">
        <f t="shared" si="1"/>
        <v/>
      </c>
      <c r="N15" s="534" t="str">
        <f t="shared" si="2"/>
        <v xml:space="preserve">Acuerdo # 003 del 20 de Mayo de 2020. </v>
      </c>
      <c r="O15" s="517" t="s">
        <v>881</v>
      </c>
      <c r="P15" s="515"/>
    </row>
    <row r="16" spans="1:18" ht="24" x14ac:dyDescent="0.25">
      <c r="A16" s="357" t="s">
        <v>1159</v>
      </c>
      <c r="B16" s="358" t="s">
        <v>418</v>
      </c>
      <c r="C16" s="532" t="str">
        <f>+'11Forest'!D8</f>
        <v>NO APLICA</v>
      </c>
      <c r="D16" s="512"/>
      <c r="E16" s="512"/>
      <c r="F16" s="512"/>
      <c r="H16" s="509">
        <f>+'11Forest'!F11</f>
        <v>0</v>
      </c>
      <c r="I16" s="509">
        <f>+'11Forest'!E12</f>
        <v>0</v>
      </c>
      <c r="J16" s="509" t="str">
        <f>+'11Forest'!E13</f>
        <v>Acuerdo # 003 del 20 de Mayo de 2020</v>
      </c>
      <c r="L16" s="533">
        <f t="shared" si="0"/>
        <v>0</v>
      </c>
      <c r="M16" s="533" t="str">
        <f t="shared" si="1"/>
        <v/>
      </c>
      <c r="N16" s="534" t="str">
        <f t="shared" si="2"/>
        <v>Acuerdo # 003 del 20 de Mayo de 2020</v>
      </c>
      <c r="O16" s="517" t="s">
        <v>881</v>
      </c>
      <c r="P16" s="515"/>
    </row>
    <row r="17" spans="1:16" ht="36" x14ac:dyDescent="0.25">
      <c r="A17" s="357" t="s">
        <v>1160</v>
      </c>
      <c r="B17" s="358" t="s">
        <v>449</v>
      </c>
      <c r="C17" s="532">
        <f>+'12PlanesAP'!D8</f>
        <v>0.83333333333333337</v>
      </c>
      <c r="D17" s="512"/>
      <c r="E17" s="512"/>
      <c r="F17" s="512"/>
      <c r="H17" s="509">
        <f>+'12PlanesAP'!F11</f>
        <v>0</v>
      </c>
      <c r="I17" s="509" t="str">
        <f>+'12PlanesAP'!E12</f>
        <v>Proyecto No 3.1. Ecosistemas estratégicos continentales.</v>
      </c>
      <c r="J17" s="509" t="str">
        <f>+'12PlanesAP'!E13</f>
        <v xml:space="preserve">Acuerdo # 003 del 20 de Mayo de 2020. </v>
      </c>
      <c r="L17" s="533" t="str">
        <f t="shared" si="0"/>
        <v/>
      </c>
      <c r="M17" s="533" t="str">
        <f t="shared" si="1"/>
        <v>Proyecto No 3.1. Ecosistemas estratégicos continentales.</v>
      </c>
      <c r="N17" s="534" t="str">
        <f t="shared" si="2"/>
        <v xml:space="preserve">Acuerdo # 003 del 20 de Mayo de 2020. </v>
      </c>
      <c r="O17" s="517" t="s">
        <v>881</v>
      </c>
      <c r="P17" s="515"/>
    </row>
    <row r="18" spans="1:16" ht="36" x14ac:dyDescent="0.25">
      <c r="A18" s="357" t="s">
        <v>1161</v>
      </c>
      <c r="B18" s="358" t="s">
        <v>480</v>
      </c>
      <c r="C18" s="532">
        <f>+'13Amenaz'!D8</f>
        <v>0.60869565217391308</v>
      </c>
      <c r="D18" s="512"/>
      <c r="E18" s="512"/>
      <c r="F18" s="512"/>
      <c r="H18" s="509">
        <f>+'13Amenaz'!F11</f>
        <v>0</v>
      </c>
      <c r="I18" s="509" t="str">
        <f>+'13Amenaz'!E12</f>
        <v>Proyecto No 3.3. Protección y conservación de la biodiversidad</v>
      </c>
      <c r="J18" s="509" t="str">
        <f>+'13Amenaz'!E13</f>
        <v>Acuerdo # 003 del 20 de Mayo de 2020</v>
      </c>
      <c r="L18" s="533" t="str">
        <f t="shared" si="0"/>
        <v/>
      </c>
      <c r="M18" s="533" t="str">
        <f t="shared" si="1"/>
        <v>Proyecto No 3.3. Protección y conservación de la biodiversidad</v>
      </c>
      <c r="N18" s="534" t="str">
        <f t="shared" si="2"/>
        <v>Acuerdo # 003 del 20 de Mayo de 2020</v>
      </c>
      <c r="O18" s="517" t="s">
        <v>881</v>
      </c>
      <c r="P18" s="515"/>
    </row>
    <row r="19" spans="1:16" ht="36" x14ac:dyDescent="0.25">
      <c r="A19" s="357" t="s">
        <v>1162</v>
      </c>
      <c r="B19" s="358" t="s">
        <v>526</v>
      </c>
      <c r="C19" s="532">
        <f>+'14Invasor'!D8</f>
        <v>1</v>
      </c>
      <c r="D19" s="512"/>
      <c r="E19" s="512"/>
      <c r="F19" s="512"/>
      <c r="H19" s="509">
        <f>+'14Invasor'!F11</f>
        <v>0</v>
      </c>
      <c r="I19" s="509" t="str">
        <f>+'14Invasor'!E12</f>
        <v>Proyecto No 3.3. Protección y conservación de la biodiversidad</v>
      </c>
      <c r="J19" s="509" t="str">
        <f>+'14Invasor'!E13</f>
        <v>Acuerdo # 003 del 20 de Mayo de 2020</v>
      </c>
      <c r="L19" s="533" t="str">
        <f t="shared" si="0"/>
        <v/>
      </c>
      <c r="M19" s="533" t="str">
        <f t="shared" si="1"/>
        <v>Proyecto No 3.3. Protección y conservación de la biodiversidad</v>
      </c>
      <c r="N19" s="534" t="str">
        <f t="shared" si="2"/>
        <v>Acuerdo # 003 del 20 de Mayo de 2020</v>
      </c>
      <c r="O19" s="517" t="s">
        <v>881</v>
      </c>
      <c r="P19" s="515"/>
    </row>
    <row r="20" spans="1:16" ht="36" x14ac:dyDescent="0.25">
      <c r="A20" s="357" t="s">
        <v>1163</v>
      </c>
      <c r="B20" s="358" t="s">
        <v>557</v>
      </c>
      <c r="C20" s="532">
        <f>+'15Restaura'!D8</f>
        <v>1.0738396624472575</v>
      </c>
      <c r="D20" s="512"/>
      <c r="E20" s="512"/>
      <c r="F20" s="512"/>
      <c r="H20" s="509">
        <f>+'15Restaura'!F11</f>
        <v>0</v>
      </c>
      <c r="I20" s="509" t="str">
        <f>+'15Restaura'!E12</f>
        <v>Proyecto No 3.3. Protección y conservación de la biodiversidad</v>
      </c>
      <c r="J20" s="509" t="str">
        <f>+'15Restaura'!E13</f>
        <v>Acuerdo # 003 del 20 de Mayo de 2020</v>
      </c>
      <c r="L20" s="533" t="str">
        <f t="shared" si="0"/>
        <v/>
      </c>
      <c r="M20" s="533" t="str">
        <f t="shared" si="1"/>
        <v>Proyecto No 3.3. Protección y conservación de la biodiversidad</v>
      </c>
      <c r="N20" s="534" t="str">
        <f t="shared" si="2"/>
        <v>Acuerdo # 003 del 20 de Mayo de 2020</v>
      </c>
      <c r="O20" s="517" t="s">
        <v>881</v>
      </c>
      <c r="P20" s="515"/>
    </row>
    <row r="21" spans="1:16" ht="36" x14ac:dyDescent="0.25">
      <c r="A21" s="357" t="s">
        <v>1164</v>
      </c>
      <c r="B21" s="358" t="s">
        <v>585</v>
      </c>
      <c r="C21" s="532">
        <f>+'16MIZC'!D8</f>
        <v>0.36249999999999999</v>
      </c>
      <c r="D21" s="512"/>
      <c r="E21" s="512"/>
      <c r="F21" s="512"/>
      <c r="H21" s="509">
        <f>+'16MIZC'!F11</f>
        <v>0</v>
      </c>
      <c r="I21" s="509" t="str">
        <f>+'16MIZC'!E12</f>
        <v>Proyecto No 3.2. Ecosistemas marino costeros.</v>
      </c>
      <c r="J21" s="509" t="str">
        <f>+'16MIZC'!E13</f>
        <v xml:space="preserve">Acuerdo # 003 del 20 de Mayo de 2020. </v>
      </c>
      <c r="L21" s="533" t="str">
        <f t="shared" si="0"/>
        <v/>
      </c>
      <c r="M21" s="533" t="str">
        <f t="shared" si="1"/>
        <v>Proyecto No 3.2. Ecosistemas marino costeros.</v>
      </c>
      <c r="N21" s="534" t="str">
        <f t="shared" si="2"/>
        <v xml:space="preserve">Acuerdo # 003 del 20 de Mayo de 2020. </v>
      </c>
      <c r="O21" s="517" t="s">
        <v>881</v>
      </c>
      <c r="P21" s="515"/>
    </row>
    <row r="22" spans="1:16" ht="60" x14ac:dyDescent="0.25">
      <c r="A22" s="357" t="s">
        <v>1165</v>
      </c>
      <c r="B22" s="358" t="s">
        <v>631</v>
      </c>
      <c r="C22" s="532">
        <f>+'17PGIRS'!D8</f>
        <v>1</v>
      </c>
      <c r="D22" s="512"/>
      <c r="E22" s="512"/>
      <c r="F22" s="512"/>
      <c r="H22" s="509">
        <f>+'17PGIRS'!F11</f>
        <v>0</v>
      </c>
      <c r="I22" s="509" t="str">
        <f>+'17PGIRS'!E12</f>
        <v>Proyecto 6.1. Evaluación, Seguimiento, Monitoreo y Control de la calidad de los recursos naturales y la biodiversidad.</v>
      </c>
      <c r="J22" s="509" t="str">
        <f>+'17PGIRS'!E13</f>
        <v>Acuerdo # 003 del 20 de Mayo de 2020</v>
      </c>
      <c r="L22" s="533" t="str">
        <f t="shared" si="0"/>
        <v/>
      </c>
      <c r="M22" s="533" t="str">
        <f t="shared" si="1"/>
        <v>Proyecto 6.1. Evaluación, Seguimiento, Monitoreo y Control de la calidad de los recursos naturales y la biodiversidad.</v>
      </c>
      <c r="N22" s="534" t="str">
        <f t="shared" si="2"/>
        <v>Acuerdo # 003 del 20 de Mayo de 2020</v>
      </c>
      <c r="O22" s="517" t="s">
        <v>881</v>
      </c>
      <c r="P22" s="515"/>
    </row>
    <row r="23" spans="1:16" ht="25.5" x14ac:dyDescent="0.25">
      <c r="A23" s="357" t="s">
        <v>1166</v>
      </c>
      <c r="B23" s="358" t="s">
        <v>652</v>
      </c>
      <c r="C23" s="532">
        <f>+'18Sector'!D8</f>
        <v>1</v>
      </c>
      <c r="D23" s="512"/>
      <c r="E23" s="512"/>
      <c r="F23" s="512"/>
      <c r="H23" s="509">
        <f>+'18Sector'!F11</f>
        <v>0</v>
      </c>
      <c r="I23" s="509" t="str">
        <f>+'18Sector'!E12</f>
        <v>Proyecto No 4.2. Gestión Ambiental Sectorial</v>
      </c>
      <c r="J23" s="509" t="str">
        <f>+'18Sector'!E13</f>
        <v>Acuerdo # 003 del 20 de Mayo de 2020</v>
      </c>
      <c r="L23" s="533" t="str">
        <f t="shared" si="0"/>
        <v/>
      </c>
      <c r="M23" s="533" t="str">
        <f t="shared" si="1"/>
        <v>Proyecto No 4.2. Gestión Ambiental Sectorial</v>
      </c>
      <c r="N23" s="534" t="str">
        <f t="shared" si="2"/>
        <v>Acuerdo # 003 del 20 de Mayo de 2020</v>
      </c>
      <c r="O23" s="517" t="s">
        <v>881</v>
      </c>
      <c r="P23" s="515"/>
    </row>
    <row r="24" spans="1:16" ht="24" x14ac:dyDescent="0.25">
      <c r="A24" s="357" t="s">
        <v>1167</v>
      </c>
      <c r="B24" s="358" t="s">
        <v>700</v>
      </c>
      <c r="C24" s="532">
        <f>+'19GAU'!D8</f>
        <v>0.58350000000000002</v>
      </c>
      <c r="D24" s="512"/>
      <c r="E24" s="512"/>
      <c r="F24" s="512"/>
      <c r="H24" s="509">
        <f>+'19GAU'!F11</f>
        <v>0</v>
      </c>
      <c r="I24" s="509" t="str">
        <f>+'19GAU'!E12</f>
        <v>Proyecto No 4.1. Gestión Ambiental Urbana</v>
      </c>
      <c r="J24" s="509" t="str">
        <f>+'19GAU'!E13</f>
        <v xml:space="preserve">Acuerdo # 003 del 20 de Mayo de 2020. </v>
      </c>
      <c r="L24" s="533" t="str">
        <f t="shared" si="0"/>
        <v/>
      </c>
      <c r="M24" s="533" t="str">
        <f t="shared" si="1"/>
        <v>Proyecto No 4.1. Gestión Ambiental Urbana</v>
      </c>
      <c r="N24" s="534" t="str">
        <f t="shared" si="2"/>
        <v xml:space="preserve">Acuerdo # 003 del 20 de Mayo de 2020. </v>
      </c>
      <c r="O24" s="517" t="s">
        <v>881</v>
      </c>
      <c r="P24" s="515"/>
    </row>
    <row r="25" spans="1:16" ht="25.5" x14ac:dyDescent="0.25">
      <c r="A25" s="357" t="s">
        <v>1168</v>
      </c>
      <c r="B25" s="358" t="s">
        <v>770</v>
      </c>
      <c r="C25" s="532">
        <f>+'20Negoc'!D8</f>
        <v>0.99900000000000011</v>
      </c>
      <c r="D25" s="512"/>
      <c r="E25" s="512"/>
      <c r="F25" s="512"/>
      <c r="H25" s="509">
        <f>+'20Negoc'!F11</f>
        <v>0</v>
      </c>
      <c r="I25" s="509" t="str">
        <f>+'20Negoc'!E12</f>
        <v>Proyecto No 3.4. Negocios verdes y sostenibles.</v>
      </c>
      <c r="J25" s="509" t="str">
        <f>+'20Negoc'!E13</f>
        <v xml:space="preserve">Acuerdo # 003 del 20 de Mayo de 2020. </v>
      </c>
      <c r="L25" s="533" t="str">
        <f t="shared" si="0"/>
        <v/>
      </c>
      <c r="M25" s="533" t="str">
        <f t="shared" si="1"/>
        <v>Proyecto No 3.4. Negocios verdes y sostenibles.</v>
      </c>
      <c r="N25" s="534" t="str">
        <f t="shared" si="2"/>
        <v xml:space="preserve">Acuerdo # 003 del 20 de Mayo de 2020. </v>
      </c>
      <c r="O25" s="517" t="s">
        <v>881</v>
      </c>
      <c r="P25" s="515"/>
    </row>
    <row r="26" spans="1:16" ht="60" x14ac:dyDescent="0.25">
      <c r="A26" s="357" t="s">
        <v>1169</v>
      </c>
      <c r="B26" s="358" t="s">
        <v>832</v>
      </c>
      <c r="C26" s="532">
        <f>+'21TiempoT'!D8</f>
        <v>0.45977936729332308</v>
      </c>
      <c r="D26" s="512"/>
      <c r="E26" s="512"/>
      <c r="F26" s="512"/>
      <c r="H26" s="509">
        <f>+'21TiempoT'!F11</f>
        <v>0</v>
      </c>
      <c r="I26" s="509" t="str">
        <f>+'21TiempoT'!E12</f>
        <v>Proyecto 6.1. Evaluación, Seguimiento, Monitoreo y Control de la calidad de los recursos naturales y la biodiversidad.</v>
      </c>
      <c r="J26" s="509" t="str">
        <f>+'21TiempoT'!E13</f>
        <v xml:space="preserve">Acuerdo # 003 del 20 de Mayo de 2020. </v>
      </c>
      <c r="L26" s="533" t="str">
        <f t="shared" si="0"/>
        <v/>
      </c>
      <c r="M26" s="533" t="str">
        <f t="shared" si="1"/>
        <v>Proyecto 6.1. Evaluación, Seguimiento, Monitoreo y Control de la calidad de los recursos naturales y la biodiversidad.</v>
      </c>
      <c r="N26" s="534" t="str">
        <f t="shared" si="2"/>
        <v xml:space="preserve">Acuerdo # 003 del 20 de Mayo de 2020. </v>
      </c>
      <c r="O26" s="517" t="s">
        <v>881</v>
      </c>
      <c r="P26" s="515"/>
    </row>
    <row r="27" spans="1:16" ht="60" x14ac:dyDescent="0.25">
      <c r="A27" s="357" t="s">
        <v>1170</v>
      </c>
      <c r="B27" s="358" t="s">
        <v>880</v>
      </c>
      <c r="C27" s="532">
        <f>+'22Autor'!D8</f>
        <v>0.91259358288770076</v>
      </c>
      <c r="D27" s="512"/>
      <c r="E27" s="512"/>
      <c r="F27" s="512"/>
      <c r="H27" s="509">
        <f>+'22Autor'!F11</f>
        <v>0</v>
      </c>
      <c r="I27" s="509" t="str">
        <f>+'22Autor'!E12</f>
        <v>Proyecto 6.1. Evaluación, Seguimiento, Monitoreo y Control de la calidad de los recursos naturales y la biodiversidad.</v>
      </c>
      <c r="J27" s="509" t="str">
        <f>+'22Autor'!E13</f>
        <v xml:space="preserve">Acuerdo # 003 del 20 de Mayo de 2020. </v>
      </c>
      <c r="L27" s="533" t="str">
        <f t="shared" si="0"/>
        <v/>
      </c>
      <c r="M27" s="533" t="str">
        <f t="shared" si="1"/>
        <v>Proyecto 6.1. Evaluación, Seguimiento, Monitoreo y Control de la calidad de los recursos naturales y la biodiversidad.</v>
      </c>
      <c r="N27" s="534" t="str">
        <f t="shared" si="2"/>
        <v xml:space="preserve">Acuerdo # 003 del 20 de Mayo de 2020. </v>
      </c>
      <c r="O27" s="517" t="s">
        <v>881</v>
      </c>
      <c r="P27" s="515"/>
    </row>
    <row r="28" spans="1:16" ht="60" x14ac:dyDescent="0.25">
      <c r="A28" s="357" t="s">
        <v>1171</v>
      </c>
      <c r="B28" s="358" t="s">
        <v>944</v>
      </c>
      <c r="C28" s="532">
        <f>+'22Autor'!D8</f>
        <v>0.91259358288770076</v>
      </c>
      <c r="D28" s="512"/>
      <c r="E28" s="512"/>
      <c r="F28" s="512"/>
      <c r="H28" s="509">
        <f>+'22Autor'!F11</f>
        <v>0</v>
      </c>
      <c r="I28" s="509" t="str">
        <f>+'22Autor'!E12</f>
        <v>Proyecto 6.1. Evaluación, Seguimiento, Monitoreo y Control de la calidad de los recursos naturales y la biodiversidad.</v>
      </c>
      <c r="J28" s="509" t="str">
        <f>+'22Autor'!E13</f>
        <v xml:space="preserve">Acuerdo # 003 del 20 de Mayo de 2020. </v>
      </c>
      <c r="L28" s="533" t="str">
        <f t="shared" si="0"/>
        <v/>
      </c>
      <c r="M28" s="533" t="str">
        <f t="shared" si="1"/>
        <v>Proyecto 6.1. Evaluación, Seguimiento, Monitoreo y Control de la calidad de los recursos naturales y la biodiversidad.</v>
      </c>
      <c r="N28" s="534" t="str">
        <f t="shared" si="2"/>
        <v xml:space="preserve">Acuerdo # 003 del 20 de Mayo de 2020. </v>
      </c>
      <c r="O28" s="517" t="s">
        <v>881</v>
      </c>
      <c r="P28" s="515"/>
    </row>
    <row r="29" spans="1:16" ht="60" x14ac:dyDescent="0.25">
      <c r="A29" s="357" t="s">
        <v>1172</v>
      </c>
      <c r="B29" s="358" t="s">
        <v>965</v>
      </c>
      <c r="C29" s="532">
        <f>'24POT'!D7</f>
        <v>1</v>
      </c>
      <c r="D29" s="512"/>
      <c r="E29" s="512"/>
      <c r="F29" s="512"/>
      <c r="H29" s="509">
        <f>'24POT'!F10</f>
        <v>0</v>
      </c>
      <c r="I29" s="509" t="str">
        <f>'24POT'!E11</f>
        <v>Proyecto No 1.1.Planificación, Ordenamiento e Información Ambiental Territorial (1)</v>
      </c>
      <c r="J29" s="509" t="str">
        <f>'24POT'!E12</f>
        <v xml:space="preserve">Acuerdo # 003 del 20 de Mayo de 2020. </v>
      </c>
      <c r="L29" s="533" t="str">
        <f t="shared" si="0"/>
        <v/>
      </c>
      <c r="M29" s="533" t="str">
        <f t="shared" si="1"/>
        <v>Proyecto No 1.1.Planificación, Ordenamiento e Información Ambiental Territorial (1)</v>
      </c>
      <c r="N29" s="534" t="str">
        <f t="shared" si="2"/>
        <v xml:space="preserve">Acuerdo # 003 del 20 de Mayo de 2020. </v>
      </c>
      <c r="O29" s="517" t="s">
        <v>881</v>
      </c>
      <c r="P29" s="515"/>
    </row>
    <row r="30" spans="1:16" ht="36" x14ac:dyDescent="0.25">
      <c r="A30" s="357" t="s">
        <v>1173</v>
      </c>
      <c r="B30" s="358" t="s">
        <v>994</v>
      </c>
      <c r="C30" s="532">
        <f>+'25Redes'!D8</f>
        <v>0.14705882352941177</v>
      </c>
      <c r="D30" s="512"/>
      <c r="E30" s="512"/>
      <c r="F30" s="512"/>
      <c r="H30" s="509">
        <f>+'25Redes'!F11</f>
        <v>0</v>
      </c>
      <c r="I30" s="509" t="str">
        <f>+'25Redes'!E12</f>
        <v>Proyecto No 1.2. Gestión del Riesgo y adaptación al Cambio Climático (2)</v>
      </c>
      <c r="J30" s="509" t="str">
        <f>+'25Redes'!E13</f>
        <v xml:space="preserve">Acuerdo # 003 del 20 de Mayo de 2020. </v>
      </c>
      <c r="L30" s="533" t="str">
        <f t="shared" si="0"/>
        <v/>
      </c>
      <c r="M30" s="533" t="str">
        <f t="shared" si="1"/>
        <v>Proyecto No 1.2. Gestión del Riesgo y adaptación al Cambio Climático (2)</v>
      </c>
      <c r="N30" s="534" t="str">
        <f t="shared" si="2"/>
        <v xml:space="preserve">Acuerdo # 003 del 20 de Mayo de 2020. </v>
      </c>
      <c r="O30" s="517" t="s">
        <v>881</v>
      </c>
      <c r="P30" s="515"/>
    </row>
    <row r="31" spans="1:16" ht="60" x14ac:dyDescent="0.25">
      <c r="A31" s="357" t="s">
        <v>1174</v>
      </c>
      <c r="B31" s="358" t="s">
        <v>1067</v>
      </c>
      <c r="C31" s="532">
        <f>+'26SIAC'!D8</f>
        <v>0.96538461538461529</v>
      </c>
      <c r="D31" s="512"/>
      <c r="E31" s="512"/>
      <c r="F31" s="512"/>
      <c r="H31" s="509">
        <f>+'26SIAC'!F11</f>
        <v>0</v>
      </c>
      <c r="I31" s="509" t="str">
        <f>+'26SIAC'!E12</f>
        <v>Proyecto No 1.1.Planificación, Ordenamiento e Información Ambiental Territorial (1)</v>
      </c>
      <c r="J31" s="509" t="str">
        <f>+'26SIAC'!E13</f>
        <v xml:space="preserve">Acuerdo # 003 del 20 de Mayo de 2020. </v>
      </c>
      <c r="L31" s="533" t="str">
        <f t="shared" si="0"/>
        <v/>
      </c>
      <c r="M31" s="533" t="str">
        <f t="shared" si="1"/>
        <v>Proyecto No 1.1.Planificación, Ordenamiento e Información Ambiental Territorial (1)</v>
      </c>
      <c r="N31" s="534" t="str">
        <f t="shared" si="2"/>
        <v xml:space="preserve">Acuerdo # 003 del 20 de Mayo de 2020. </v>
      </c>
      <c r="O31" s="517" t="s">
        <v>881</v>
      </c>
      <c r="P31" s="515"/>
    </row>
    <row r="32" spans="1:16" ht="24" x14ac:dyDescent="0.25">
      <c r="A32" s="357" t="s">
        <v>1175</v>
      </c>
      <c r="B32" s="358" t="s">
        <v>1114</v>
      </c>
      <c r="C32" s="532">
        <f>+'27Educa'!D8</f>
        <v>0.24505076268974579</v>
      </c>
      <c r="D32" s="512"/>
      <c r="E32" s="512"/>
      <c r="F32" s="512"/>
      <c r="H32" s="509">
        <f>+'27Educa'!F11</f>
        <v>0</v>
      </c>
      <c r="I32" s="509" t="str">
        <f>+'27Educa'!E12</f>
        <v>Programa No 5. Educación Ambiental</v>
      </c>
      <c r="J32" s="509" t="str">
        <f>+'27Educa'!E13</f>
        <v xml:space="preserve">Acuerdo # 003 del 11 de Mayo de 2020. </v>
      </c>
      <c r="L32" s="533" t="str">
        <f t="shared" si="0"/>
        <v/>
      </c>
      <c r="M32" s="533" t="str">
        <f t="shared" si="1"/>
        <v>Programa No 5. Educación Ambiental</v>
      </c>
      <c r="N32" s="534" t="str">
        <f t="shared" si="2"/>
        <v xml:space="preserve">Acuerdo # 003 del 11 de Mayo de 2020. </v>
      </c>
      <c r="O32" s="517" t="s">
        <v>881</v>
      </c>
      <c r="P32" s="515"/>
    </row>
  </sheetData>
  <mergeCells count="4">
    <mergeCell ref="A1:P1"/>
    <mergeCell ref="A3:P3"/>
    <mergeCell ref="A4:B4"/>
    <mergeCell ref="A2:P2"/>
  </mergeCells>
  <conditionalFormatting sqref="C6:C32">
    <cfRule type="colorScale" priority="21">
      <colorScale>
        <cfvo type="min"/>
        <cfvo type="percentile" val="50"/>
        <cfvo type="max"/>
        <color rgb="FFF8696B"/>
        <color rgb="FFFFEB84"/>
        <color rgb="FF63BE7B"/>
      </colorScale>
    </cfRule>
  </conditionalFormatting>
  <conditionalFormatting sqref="H7:I32">
    <cfRule type="colorScale" priority="18">
      <colorScale>
        <cfvo type="min"/>
        <cfvo type="percentile" val="50"/>
        <cfvo type="max"/>
        <color rgb="FFF8696B"/>
        <color rgb="FFFFEB84"/>
        <color rgb="FF63BE7B"/>
      </colorScale>
    </cfRule>
  </conditionalFormatting>
  <conditionalFormatting sqref="L6:L7">
    <cfRule type="colorScale" priority="14">
      <colorScale>
        <cfvo type="min"/>
        <cfvo type="percentile" val="50"/>
        <cfvo type="max"/>
        <color rgb="FFF8696B"/>
        <color rgb="FFFFEB84"/>
        <color rgb="FF63BE7B"/>
      </colorScale>
    </cfRule>
  </conditionalFormatting>
  <conditionalFormatting sqref="L8:L32">
    <cfRule type="colorScale" priority="13">
      <colorScale>
        <cfvo type="min"/>
        <cfvo type="percentile" val="50"/>
        <cfvo type="max"/>
        <color rgb="FFF8696B"/>
        <color rgb="FFFFEB84"/>
        <color rgb="FF63BE7B"/>
      </colorScale>
    </cfRule>
  </conditionalFormatting>
  <conditionalFormatting sqref="M6:M32">
    <cfRule type="colorScale" priority="12">
      <colorScale>
        <cfvo type="min"/>
        <cfvo type="percentile" val="50"/>
        <cfvo type="max"/>
        <color rgb="FFF8696B"/>
        <color rgb="FFFFEB84"/>
        <color rgb="FF63BE7B"/>
      </colorScale>
    </cfRule>
  </conditionalFormatting>
  <conditionalFormatting sqref="N6">
    <cfRule type="colorScale" priority="10">
      <colorScale>
        <cfvo type="min"/>
        <cfvo type="percentile" val="50"/>
        <cfvo type="max"/>
        <color rgb="FFF8696B"/>
        <color rgb="FFFFEB84"/>
        <color rgb="FF63BE7B"/>
      </colorScale>
    </cfRule>
  </conditionalFormatting>
  <conditionalFormatting sqref="N7:N32">
    <cfRule type="colorScale" priority="8">
      <colorScale>
        <cfvo type="min"/>
        <cfvo type="percentile" val="50"/>
        <cfvo type="max"/>
        <color rgb="FFF8696B"/>
        <color rgb="FFFFEB84"/>
        <color rgb="FF63BE7B"/>
      </colorScale>
    </cfRule>
  </conditionalFormatting>
  <conditionalFormatting sqref="J7:J32">
    <cfRule type="colorScale" priority="7">
      <colorScale>
        <cfvo type="min"/>
        <cfvo type="percentile" val="50"/>
        <cfvo type="max"/>
        <color rgb="FFF8696B"/>
        <color rgb="FFFFEB84"/>
        <color rgb="FF63BE7B"/>
      </colorScale>
    </cfRule>
  </conditionalFormatting>
  <conditionalFormatting sqref="H6:I6">
    <cfRule type="colorScale" priority="6">
      <colorScale>
        <cfvo type="min"/>
        <cfvo type="percentile" val="50"/>
        <cfvo type="max"/>
        <color rgb="FFF8696B"/>
        <color rgb="FFFFEB84"/>
        <color rgb="FF63BE7B"/>
      </colorScale>
    </cfRule>
  </conditionalFormatting>
  <conditionalFormatting sqref="J6">
    <cfRule type="colorScale" priority="5">
      <colorScale>
        <cfvo type="min"/>
        <cfvo type="percentile" val="50"/>
        <cfvo type="max"/>
        <color rgb="FFF8696B"/>
        <color rgb="FFFFEB84"/>
        <color rgb="FF63BE7B"/>
      </colorScale>
    </cfRule>
  </conditionalFormatting>
  <conditionalFormatting sqref="O6">
    <cfRule type="colorScale" priority="2">
      <colorScale>
        <cfvo type="min"/>
        <cfvo type="percentile" val="50"/>
        <cfvo type="max"/>
        <color rgb="FFF8696B"/>
        <color rgb="FFFFEB84"/>
        <color rgb="FF63BE7B"/>
      </colorScale>
    </cfRule>
  </conditionalFormatting>
  <conditionalFormatting sqref="O7:O32">
    <cfRule type="colorScale" priority="1">
      <colorScale>
        <cfvo type="min"/>
        <cfvo type="percentile" val="50"/>
        <cfvo type="max"/>
        <color rgb="FFF8696B"/>
        <color rgb="FFFFEB84"/>
        <color rgb="FF63BE7B"/>
      </colorScale>
    </cfRule>
  </conditionalFormatting>
  <hyperlinks>
    <hyperlink ref="B6" location="'1POMCAS'!A1" display="Porcentaje de avance en la formulación y/o ajuste de los Planes de Ordenación y Manejo de Cuencas (POMCAS), Planes de Manejo de Acuíferos (PMA) y Planes de Manejo de Microcuencas (PMM)" xr:uid="{00000000-0004-0000-0A00-000000000000}"/>
    <hyperlink ref="B7" location="'2PORH'!A1" display="Porcentaje de cuerpos de agua con planes de ordenamiento del recurso hídrico (PORH) adoptados" xr:uid="{00000000-0004-0000-0A00-000001000000}"/>
    <hyperlink ref="B8" location="'3PSMV'!_Toc467769470" display="Porcentaje de Planes de Saneamiento y Manejo de Vertimientos (PSMV) con seguimiento" xr:uid="{00000000-0004-0000-0A00-000002000000}"/>
    <hyperlink ref="B9" location="'4UsoAguas'!_Toc467769471" display="Porcentaje de cuerpos de agua con reglamentación del uso de las aguas" xr:uid="{00000000-0004-0000-0A00-000003000000}"/>
    <hyperlink ref="B10" location="'5PUEAA'!_Toc467769472" display="Porcentaje de Programas de Uso Eficiente y Ahorro del Agua (PUEAA) con seguimiento" xr:uid="{00000000-0004-0000-0A00-000004000000}"/>
    <hyperlink ref="B11" location="'6POMCASejec'!_Toc467769473" display="Porcentaje de Planes de Ordenación y Manejo de Cuencas (POMCAS), Planes de Manejo de Acuíferos (PMA) y Planes de Manejo de Microcuencas (PMM) en ejecución" xr:uid="{00000000-0004-0000-0A00-000005000000}"/>
    <hyperlink ref="B12" location="'7Clima'!_Toc467769474" display="Porcentaje de entes territoriales asesorados en la incorporación, planificación y ejecución de acciones relacionadas con cambio climático en el marco de los instrumentos de planificación territorial" xr:uid="{00000000-0004-0000-0A00-000006000000}"/>
    <hyperlink ref="B13" location="'8Suelo'!_Toc467769475" display="Porcentaje de suelos degradados en recuperación o rehabilitación" xr:uid="{00000000-0004-0000-0A00-000007000000}"/>
    <hyperlink ref="B14" location="'9RUNAP'!_Toc467769476" display="Porcentaje de la superficie de áreas protegidas regionales declaradas, homologadas o recategorizadas, inscritas en el RUNAP" xr:uid="{00000000-0004-0000-0A00-000008000000}"/>
    <hyperlink ref="B15" location="'10Paramos'!_Toc467769477" display="Porcentaje de páramos delimitados por el MADS, con zonificación y régimen de usos adoptados por la CAR" xr:uid="{00000000-0004-0000-0A00-000009000000}"/>
    <hyperlink ref="B16" location="'11Forest'!_Toc467769478" display="Porcentaje de avance en la formulación del Plan de Ordenación Forestal" xr:uid="{00000000-0004-0000-0A00-00000A000000}"/>
    <hyperlink ref="B17" location="'12PlanesAP'!_Toc467769479" display="Porcentaje de áreas protegidas con planes de manejo en ejecución" xr:uid="{00000000-0004-0000-0A00-00000B000000}"/>
    <hyperlink ref="B18" location="'13Amenaz'!_Toc467769480" display="Porcentaje de especies amenazadas con medidas de conservación y manejo en ejecución" xr:uid="{00000000-0004-0000-0A00-00000C000000}"/>
    <hyperlink ref="B19" location="'14Invasor'!_Toc467769481" display="Porcentaje de especies invasoras con medidas de prevención, control y manejo en ejecución" xr:uid="{00000000-0004-0000-0A00-00000D000000}"/>
    <hyperlink ref="B20" location="'15Restaura'!_Toc467769482" display="Porcentaje de áreas de ecosistemas en restauración, rehabilitación y reforestación" xr:uid="{00000000-0004-0000-0A00-00000E000000}"/>
    <hyperlink ref="B21" location="'16MIZC'!_Toc467769483" display="Implementación de acciones en manejo integrado de zonas costeras" xr:uid="{00000000-0004-0000-0A00-00000F000000}"/>
    <hyperlink ref="B22" location="'17PGIRS'!_Toc467769484" display="Porcentaje de Planes de Gestión Integral de Residuos Sólidos (PGIRS) con seguimiento a metas de aprovechamiento" xr:uid="{00000000-0004-0000-0A00-000010000000}"/>
    <hyperlink ref="B23" location="'18Sector'!_Toc467769485" display="Porcentaje de sectores con acompañamiento para la reconversión hacia sistemas sostenibles de producción" xr:uid="{00000000-0004-0000-0A00-000011000000}"/>
    <hyperlink ref="B24" location="'19GAU'!_Toc467769486" display="Porcentaje de ejecución de acciones en Gestión Ambiental Urbana" xr:uid="{00000000-0004-0000-0A00-000012000000}"/>
    <hyperlink ref="B25" location="'20Negoc'!_Toc467769487" display="Implementación del Programa Regional de Negocios Verdes por la autoridad ambiental" xr:uid="{00000000-0004-0000-0A00-000013000000}"/>
    <hyperlink ref="B27" location="'22Autor'!_Toc467769489" display="Porcentaje de autorizaciones ambientales con seguimiento" xr:uid="{00000000-0004-0000-0A00-000014000000}"/>
    <hyperlink ref="B28" location="'23Sanc'!_Toc467769490" display="Porcentaje de Procesos Sancionatorios Resueltos" xr:uid="{00000000-0004-0000-0A00-000015000000}"/>
    <hyperlink ref="B29" location="'24POT'!_Toc467769491" display="Porcentaje de municipios asesorados o asistidos en la inclusión del componente ambiental en los procesos de planificación y ordenamiento territorial, con énfasis en la incorporación de las determinantes ambientales para la revisión y ajuste de los POT" xr:uid="{00000000-0004-0000-0A00-000016000000}"/>
    <hyperlink ref="B30" location="'25Redes'!_Toc467769492" display="Porcentaje de redes y estaciones de monitoreo en operación" xr:uid="{00000000-0004-0000-0A00-000017000000}"/>
    <hyperlink ref="B31" location="'26SIAC'!_Toc467769493" display="Porcentaje de actualización y reporte de la información en el SIAC" xr:uid="{00000000-0004-0000-0A00-000018000000}"/>
    <hyperlink ref="B32" location="'27Educa'!_Toc467769494" display="Ejecución de Acciones en Educación Ambiental" xr:uid="{00000000-0004-0000-0A00-000019000000}"/>
    <hyperlink ref="B26" location="'21TiempoT'!_Toc467769488" display="Tiempo promedio de trámite para la resolución de autorizaciones ambientales otorgadas por la corporación" xr:uid="{00000000-0004-0000-0A00-00001A000000}"/>
  </hyperlinks>
  <pageMargins left="0.7" right="0.7" top="0.75" bottom="0.75" header="0.3" footer="0.3"/>
  <pageSetup paperSize="178"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U215"/>
  <sheetViews>
    <sheetView showGridLines="0" topLeftCell="C44" zoomScale="80" zoomScaleNormal="80" workbookViewId="0">
      <selection activeCell="H100" sqref="H100"/>
    </sheetView>
  </sheetViews>
  <sheetFormatPr baseColWidth="10" defaultColWidth="11.5703125" defaultRowHeight="15" x14ac:dyDescent="0.25"/>
  <cols>
    <col min="1" max="1" width="1.85546875" style="1" customWidth="1"/>
    <col min="2" max="2" width="12.85546875" style="6" customWidth="1"/>
    <col min="3" max="3" width="5.85546875" style="87" customWidth="1"/>
    <col min="4" max="4" width="34.85546875" style="1" customWidth="1"/>
    <col min="5" max="5" width="12.140625" style="1" customWidth="1"/>
    <col min="6" max="6" width="13.5703125" style="1" customWidth="1"/>
    <col min="7" max="16384" width="11.5703125" style="1"/>
  </cols>
  <sheetData>
    <row r="1" spans="1:21" s="538" customFormat="1" ht="100.5" customHeight="1" thickBot="1" x14ac:dyDescent="0.3">
      <c r="A1" s="1733"/>
      <c r="B1" s="1734"/>
      <c r="C1" s="1734"/>
      <c r="D1" s="1734"/>
      <c r="E1" s="1734"/>
      <c r="F1" s="1734"/>
      <c r="G1" s="1734"/>
      <c r="H1" s="1734"/>
      <c r="I1" s="1734"/>
      <c r="J1" s="1734"/>
      <c r="K1" s="1734"/>
      <c r="L1" s="1734"/>
      <c r="M1" s="1734"/>
      <c r="N1" s="1734"/>
      <c r="O1" s="1734"/>
      <c r="P1" s="1735"/>
      <c r="Q1" s="412"/>
      <c r="R1" s="412"/>
    </row>
    <row r="2" spans="1:21" s="539" customFormat="1" ht="16.5" thickBot="1" x14ac:dyDescent="0.3">
      <c r="A2" s="1741" t="str">
        <f>'Datos Generales'!C5</f>
        <v>Corporación Autónoma Regional de La Guajira – CORPOGUAJIRA</v>
      </c>
      <c r="B2" s="1742"/>
      <c r="C2" s="1742"/>
      <c r="D2" s="1742"/>
      <c r="E2" s="1742"/>
      <c r="F2" s="1742"/>
      <c r="G2" s="1742"/>
      <c r="H2" s="1742"/>
      <c r="I2" s="1742"/>
      <c r="J2" s="1742"/>
      <c r="K2" s="1742"/>
      <c r="L2" s="1742"/>
      <c r="M2" s="1742"/>
      <c r="N2" s="1742"/>
      <c r="O2" s="1742"/>
      <c r="P2" s="1743"/>
      <c r="Q2" s="412"/>
      <c r="R2" s="412"/>
    </row>
    <row r="3" spans="1:21" s="539" customFormat="1" ht="16.5" thickBot="1" x14ac:dyDescent="0.3">
      <c r="A3" s="1736" t="s">
        <v>1347</v>
      </c>
      <c r="B3" s="1737"/>
      <c r="C3" s="1737"/>
      <c r="D3" s="1737"/>
      <c r="E3" s="1737"/>
      <c r="F3" s="1737"/>
      <c r="G3" s="1737"/>
      <c r="H3" s="1737"/>
      <c r="I3" s="1737"/>
      <c r="J3" s="1737"/>
      <c r="K3" s="1737"/>
      <c r="L3" s="1737"/>
      <c r="M3" s="1737"/>
      <c r="N3" s="1737"/>
      <c r="O3" s="1737"/>
      <c r="P3" s="1738"/>
      <c r="Q3" s="412"/>
      <c r="R3" s="412"/>
    </row>
    <row r="4" spans="1:21" s="539" customFormat="1" ht="16.5" thickBot="1" x14ac:dyDescent="0.3">
      <c r="A4" s="1739" t="s">
        <v>1346</v>
      </c>
      <c r="B4" s="1740"/>
      <c r="C4" s="1740"/>
      <c r="D4" s="1740"/>
      <c r="E4" s="579" t="str">
        <f>'Datos Generales'!C6</f>
        <v>2021-I</v>
      </c>
      <c r="F4" s="579"/>
      <c r="G4" s="579"/>
      <c r="H4" s="579"/>
      <c r="I4" s="579"/>
      <c r="J4" s="579"/>
      <c r="K4" s="579"/>
      <c r="L4" s="581"/>
      <c r="M4" s="581"/>
      <c r="N4" s="581"/>
      <c r="O4" s="581"/>
      <c r="P4" s="582"/>
      <c r="Q4" s="412"/>
      <c r="R4" s="412"/>
    </row>
    <row r="5" spans="1:21" s="245" customFormat="1" ht="16.5" customHeight="1" thickBot="1" x14ac:dyDescent="0.3">
      <c r="A5" s="1736" t="s">
        <v>0</v>
      </c>
      <c r="B5" s="1737"/>
      <c r="C5" s="1737"/>
      <c r="D5" s="1737"/>
      <c r="E5" s="1737"/>
      <c r="F5" s="1737"/>
      <c r="G5" s="1737"/>
      <c r="H5" s="1737"/>
      <c r="I5" s="1737"/>
      <c r="J5" s="1737"/>
      <c r="K5" s="1737"/>
      <c r="L5" s="1737"/>
      <c r="M5" s="1737"/>
      <c r="N5" s="1737"/>
      <c r="O5" s="1737"/>
      <c r="P5" s="1738"/>
    </row>
    <row r="6" spans="1:21" s="245" customFormat="1" x14ac:dyDescent="0.25">
      <c r="B6" s="249" t="s">
        <v>1</v>
      </c>
      <c r="C6" s="250"/>
      <c r="D6" s="248"/>
      <c r="E6" s="586"/>
      <c r="F6" s="248" t="s">
        <v>128</v>
      </c>
      <c r="G6" s="248"/>
      <c r="H6" s="248"/>
      <c r="I6" s="248"/>
      <c r="J6" s="248"/>
      <c r="K6" s="248"/>
      <c r="L6" s="248"/>
      <c r="P6" s="412"/>
    </row>
    <row r="7" spans="1:21" s="245" customFormat="1" ht="15.75" thickBot="1" x14ac:dyDescent="0.3">
      <c r="B7" s="251"/>
      <c r="C7" s="252"/>
      <c r="D7" s="248"/>
      <c r="E7" s="253"/>
      <c r="F7" s="254" t="s">
        <v>129</v>
      </c>
      <c r="G7" s="248"/>
      <c r="H7" s="248"/>
      <c r="I7" s="248"/>
      <c r="J7" s="248"/>
      <c r="K7" s="248"/>
      <c r="L7" s="248"/>
      <c r="P7" s="412"/>
    </row>
    <row r="8" spans="1:21" s="245" customFormat="1" ht="15.75" thickBot="1" x14ac:dyDescent="0.3">
      <c r="B8" s="255" t="s">
        <v>1185</v>
      </c>
      <c r="C8" s="256">
        <v>2021</v>
      </c>
      <c r="D8" s="257" t="str">
        <f ca="1">IF(E10="NO APLICA","NO APLICA",IF(E11="NO SE REPORTA","SIN INFORMACION",+H100))</f>
        <v>N.A.</v>
      </c>
      <c r="E8" s="258"/>
      <c r="F8" s="248" t="s">
        <v>130</v>
      </c>
      <c r="G8" s="248"/>
      <c r="H8" s="248"/>
      <c r="I8" s="248"/>
      <c r="J8" s="248"/>
      <c r="K8" s="248"/>
    </row>
    <row r="9" spans="1:21" customFormat="1" x14ac:dyDescent="0.25">
      <c r="A9" s="245"/>
      <c r="B9" s="493" t="s">
        <v>1186</v>
      </c>
      <c r="C9" s="304"/>
      <c r="D9" s="248"/>
      <c r="E9" s="248"/>
      <c r="F9" s="248"/>
      <c r="G9" s="248"/>
      <c r="H9" s="248"/>
      <c r="I9" s="248"/>
      <c r="J9" s="248"/>
      <c r="K9" s="248"/>
    </row>
    <row r="10" spans="1:21" s="412" customFormat="1" x14ac:dyDescent="0.25">
      <c r="A10" s="245"/>
      <c r="B10" s="1789" t="s">
        <v>1241</v>
      </c>
      <c r="C10" s="1789"/>
      <c r="D10" s="1789"/>
      <c r="E10" s="499" t="s">
        <v>1238</v>
      </c>
      <c r="F10" s="17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96"/>
      <c r="H10" s="1796"/>
      <c r="I10" s="1796"/>
      <c r="J10" s="1796"/>
      <c r="K10" s="1796"/>
      <c r="L10" s="1796"/>
      <c r="M10" s="1796"/>
      <c r="N10" s="1796"/>
      <c r="O10" s="1796"/>
      <c r="P10" s="1796"/>
      <c r="Q10" s="1796"/>
      <c r="R10" s="1796"/>
      <c r="S10" s="1796"/>
      <c r="T10" s="495"/>
      <c r="U10" s="495"/>
    </row>
    <row r="11" spans="1:21" s="412" customFormat="1" ht="14.45" customHeight="1" x14ac:dyDescent="0.25">
      <c r="A11" s="245"/>
      <c r="B11" s="496"/>
      <c r="C11" s="497"/>
      <c r="D11" s="498" t="str">
        <f>IF(E10="SI APLICA","¿El indicador no se reporta por limitaciones de información disponible? ","")</f>
        <v xml:space="preserve">¿El indicador no se reporta por limitaciones de información disponible? </v>
      </c>
      <c r="E11" s="500" t="s">
        <v>1240</v>
      </c>
      <c r="F11" s="1790"/>
      <c r="G11" s="1791"/>
      <c r="H11" s="1791"/>
      <c r="I11" s="1791"/>
      <c r="J11" s="1791"/>
      <c r="K11" s="1791"/>
      <c r="L11" s="1791"/>
      <c r="M11" s="1791"/>
      <c r="N11" s="1791"/>
      <c r="O11" s="1791"/>
      <c r="P11" s="1791"/>
      <c r="Q11" s="1791"/>
      <c r="R11" s="1791"/>
      <c r="S11" s="1791"/>
    </row>
    <row r="12" spans="1:21" s="412" customFormat="1" ht="23.45" customHeight="1" x14ac:dyDescent="0.25">
      <c r="A12" s="245"/>
      <c r="B12" s="493"/>
      <c r="C12" s="304"/>
      <c r="D12" s="537" t="str">
        <f>IF(E11="SI SE REPORTA","¿Qué programas o proyectos del Plan de Acción están asociados al indicador? ","")</f>
        <v xml:space="preserve">¿Qué programas o proyectos del Plan de Acción están asociados al indicador? </v>
      </c>
      <c r="E12" s="1797" t="str">
        <f>'Anexo 1 Matriz Inf Gestión'!A9</f>
        <v>Proyecto No 1.1.Planificación, Ordenamiento e Información Ambiental Territorial (1)</v>
      </c>
      <c r="F12" s="1797"/>
      <c r="G12" s="1797"/>
      <c r="H12" s="1797"/>
      <c r="I12" s="1797"/>
      <c r="J12" s="1797"/>
      <c r="K12" s="1798" t="str">
        <f>'Anexo 1 Matriz Inf Gestión'!A40</f>
        <v>Proyecto No 2.1. Administración de la Oferta y Demanda del Recurso Hídrico (superficiales y subterráneas)</v>
      </c>
      <c r="L12" s="1798"/>
      <c r="M12" s="1798"/>
      <c r="N12" s="1798"/>
      <c r="O12" s="1798"/>
      <c r="P12" s="1798"/>
      <c r="Q12" s="1798"/>
      <c r="R12" s="1798"/>
    </row>
    <row r="13" spans="1:21" s="412" customFormat="1" ht="21.95" customHeight="1" x14ac:dyDescent="0.25">
      <c r="A13" s="245"/>
      <c r="B13" s="493"/>
      <c r="C13" s="304"/>
      <c r="D13" s="498" t="s">
        <v>1243</v>
      </c>
      <c r="E13" s="1792" t="s">
        <v>3057</v>
      </c>
      <c r="F13" s="1793"/>
      <c r="G13" s="1793"/>
      <c r="H13" s="1793"/>
      <c r="I13" s="1793"/>
      <c r="J13" s="1793"/>
      <c r="K13" s="1793"/>
      <c r="L13" s="1793"/>
      <c r="M13" s="1793"/>
      <c r="N13" s="1793"/>
      <c r="O13" s="1793"/>
      <c r="P13" s="1793"/>
      <c r="Q13" s="1793"/>
      <c r="R13" s="1794"/>
    </row>
    <row r="14" spans="1:21" s="412" customFormat="1" ht="6.95" customHeight="1" thickBot="1" x14ac:dyDescent="0.3">
      <c r="A14" s="245"/>
      <c r="B14" s="493"/>
      <c r="C14" s="304"/>
      <c r="D14" s="248"/>
      <c r="E14" s="248"/>
      <c r="F14" s="248"/>
      <c r="G14" s="248"/>
      <c r="H14" s="248"/>
      <c r="I14" s="248"/>
      <c r="J14" s="248"/>
      <c r="K14" s="248"/>
    </row>
    <row r="15" spans="1:21" ht="15.6" customHeight="1" thickBot="1" x14ac:dyDescent="0.3">
      <c r="A15" s="359"/>
      <c r="B15" s="1744" t="s">
        <v>2</v>
      </c>
      <c r="C15" s="360"/>
      <c r="D15" s="1750" t="s">
        <v>3</v>
      </c>
      <c r="E15" s="1751"/>
      <c r="F15" s="1751"/>
      <c r="G15" s="1751"/>
      <c r="H15" s="1751"/>
      <c r="I15" s="1751"/>
      <c r="J15" s="1751"/>
      <c r="K15" s="1752"/>
    </row>
    <row r="16" spans="1:21" ht="36.75" thickBot="1" x14ac:dyDescent="0.3">
      <c r="A16" s="359"/>
      <c r="B16" s="1745"/>
      <c r="C16" s="361"/>
      <c r="D16" s="287" t="s">
        <v>4</v>
      </c>
      <c r="E16" s="976">
        <v>16</v>
      </c>
      <c r="F16" s="248"/>
      <c r="G16" s="248"/>
      <c r="H16" s="248"/>
      <c r="I16" s="248"/>
      <c r="J16" s="248"/>
      <c r="K16" s="274"/>
    </row>
    <row r="17" spans="1:11" ht="36.75" thickBot="1" x14ac:dyDescent="0.3">
      <c r="A17" s="359"/>
      <c r="B17" s="1745"/>
      <c r="C17" s="361"/>
      <c r="D17" s="278" t="s">
        <v>5</v>
      </c>
      <c r="E17" s="976">
        <v>5</v>
      </c>
      <c r="F17" s="248"/>
      <c r="G17" s="248"/>
      <c r="H17" s="248"/>
      <c r="I17" s="248"/>
      <c r="J17" s="248"/>
      <c r="K17" s="274"/>
    </row>
    <row r="18" spans="1:11" ht="48.75" thickBot="1" x14ac:dyDescent="0.3">
      <c r="A18" s="359"/>
      <c r="B18" s="1745"/>
      <c r="C18" s="361"/>
      <c r="D18" s="278" t="s">
        <v>1756</v>
      </c>
      <c r="E18" s="976">
        <v>0</v>
      </c>
      <c r="F18" s="248"/>
      <c r="G18" s="248"/>
      <c r="H18" s="248"/>
      <c r="I18" s="248"/>
      <c r="J18" s="248"/>
      <c r="K18" s="274"/>
    </row>
    <row r="19" spans="1:11" ht="24.75" thickBot="1" x14ac:dyDescent="0.3">
      <c r="A19" s="359"/>
      <c r="B19" s="1745"/>
      <c r="C19" s="361"/>
      <c r="D19" s="278" t="s">
        <v>1757</v>
      </c>
      <c r="E19" s="217">
        <v>5</v>
      </c>
      <c r="F19" s="248"/>
      <c r="G19" s="248"/>
      <c r="H19" s="248"/>
      <c r="I19" s="248"/>
      <c r="J19" s="248"/>
      <c r="K19" s="274"/>
    </row>
    <row r="20" spans="1:11" ht="24.75" thickBot="1" x14ac:dyDescent="0.3">
      <c r="A20" s="359"/>
      <c r="B20" s="1745"/>
      <c r="C20" s="361"/>
      <c r="D20" s="278" t="s">
        <v>1758</v>
      </c>
      <c r="E20" s="217">
        <v>2</v>
      </c>
      <c r="F20" s="248"/>
      <c r="G20" s="248"/>
      <c r="H20" s="248"/>
      <c r="I20" s="248"/>
      <c r="J20" s="248"/>
      <c r="K20" s="274"/>
    </row>
    <row r="21" spans="1:11" ht="24.75" thickBot="1" x14ac:dyDescent="0.3">
      <c r="A21" s="359"/>
      <c r="B21" s="1746"/>
      <c r="C21" s="361"/>
      <c r="D21" s="278" t="s">
        <v>1759</v>
      </c>
      <c r="E21" s="217">
        <v>0</v>
      </c>
      <c r="F21" s="248"/>
      <c r="G21" s="248"/>
      <c r="H21" s="248"/>
      <c r="I21" s="248"/>
      <c r="J21" s="248"/>
      <c r="K21" s="274"/>
    </row>
    <row r="22" spans="1:11" ht="14.1" customHeight="1" x14ac:dyDescent="0.25">
      <c r="A22" s="359"/>
      <c r="B22" s="378"/>
      <c r="C22" s="362"/>
      <c r="D22" s="1753" t="s">
        <v>6</v>
      </c>
      <c r="E22" s="1754"/>
      <c r="F22" s="1754"/>
      <c r="G22" s="1754"/>
      <c r="H22" s="1754"/>
      <c r="I22" s="1754"/>
      <c r="J22" s="1754"/>
      <c r="K22" s="1755"/>
    </row>
    <row r="23" spans="1:11" ht="14.1" customHeight="1" thickBot="1" x14ac:dyDescent="0.3">
      <c r="A23" s="359"/>
      <c r="B23" s="378"/>
      <c r="C23" s="362"/>
      <c r="D23" s="1753" t="s">
        <v>7</v>
      </c>
      <c r="E23" s="1754"/>
      <c r="F23" s="1754"/>
      <c r="G23" s="1754"/>
      <c r="H23" s="1754"/>
      <c r="I23" s="1754"/>
      <c r="J23" s="1754"/>
      <c r="K23" s="1755"/>
    </row>
    <row r="24" spans="1:11" ht="54" customHeight="1" thickBot="1" x14ac:dyDescent="0.3">
      <c r="A24" s="359"/>
      <c r="B24" s="378"/>
      <c r="C24" s="240"/>
      <c r="D24" s="279" t="s">
        <v>8</v>
      </c>
      <c r="E24" s="279" t="s">
        <v>9</v>
      </c>
      <c r="F24" s="279" t="s">
        <v>10</v>
      </c>
      <c r="G24" s="279" t="s">
        <v>1187</v>
      </c>
      <c r="H24" s="363" t="s">
        <v>1760</v>
      </c>
      <c r="I24" s="363" t="s">
        <v>1761</v>
      </c>
      <c r="J24" s="19"/>
      <c r="K24" s="20"/>
    </row>
    <row r="25" spans="1:11" s="243" customFormat="1" ht="14.1" customHeight="1" thickBot="1" x14ac:dyDescent="0.3">
      <c r="B25" s="235"/>
      <c r="C25" s="240">
        <v>1</v>
      </c>
      <c r="D25" s="167" t="s">
        <v>11</v>
      </c>
      <c r="E25" s="167">
        <v>1504</v>
      </c>
      <c r="F25" s="167" t="s">
        <v>3058</v>
      </c>
      <c r="G25" s="197">
        <v>107853</v>
      </c>
      <c r="H25" s="30" t="s">
        <v>3059</v>
      </c>
      <c r="I25" s="242">
        <v>0.95</v>
      </c>
      <c r="J25" s="19"/>
      <c r="K25" s="20"/>
    </row>
    <row r="26" spans="1:11" s="243" customFormat="1" ht="14.1" customHeight="1" thickBot="1" x14ac:dyDescent="0.3">
      <c r="B26" s="235"/>
      <c r="C26" s="240">
        <v>2</v>
      </c>
      <c r="D26" s="167" t="s">
        <v>11</v>
      </c>
      <c r="E26" s="167">
        <v>1505</v>
      </c>
      <c r="F26" s="167" t="s">
        <v>3060</v>
      </c>
      <c r="G26" s="197">
        <v>89477</v>
      </c>
      <c r="H26" s="30" t="s">
        <v>1207</v>
      </c>
      <c r="I26" s="242">
        <v>0.95</v>
      </c>
      <c r="J26" s="19"/>
      <c r="K26" s="20"/>
    </row>
    <row r="27" spans="1:11" s="243" customFormat="1" ht="14.1" customHeight="1" thickBot="1" x14ac:dyDescent="0.3">
      <c r="B27" s="235"/>
      <c r="C27" s="240">
        <v>3</v>
      </c>
      <c r="D27" s="167" t="s">
        <v>11</v>
      </c>
      <c r="E27" s="167" t="s">
        <v>3061</v>
      </c>
      <c r="F27" s="167" t="s">
        <v>3062</v>
      </c>
      <c r="G27" s="197">
        <v>117222</v>
      </c>
      <c r="H27" s="30" t="s">
        <v>1207</v>
      </c>
      <c r="I27" s="242">
        <v>0.95</v>
      </c>
      <c r="J27" s="19"/>
      <c r="K27" s="20"/>
    </row>
    <row r="28" spans="1:11" s="243" customFormat="1" ht="14.1" customHeight="1" thickBot="1" x14ac:dyDescent="0.3">
      <c r="B28" s="235"/>
      <c r="C28" s="240">
        <v>4</v>
      </c>
      <c r="D28" s="167" t="s">
        <v>11</v>
      </c>
      <c r="E28" s="167" t="s">
        <v>3063</v>
      </c>
      <c r="F28" s="167" t="s">
        <v>3064</v>
      </c>
      <c r="G28" s="197">
        <v>38837</v>
      </c>
      <c r="H28" s="30" t="s">
        <v>3065</v>
      </c>
      <c r="I28" s="242">
        <v>0</v>
      </c>
      <c r="J28" s="19"/>
      <c r="K28" s="20"/>
    </row>
    <row r="29" spans="1:11" s="243" customFormat="1" ht="14.1" customHeight="1" thickBot="1" x14ac:dyDescent="0.3">
      <c r="B29" s="235"/>
      <c r="C29" s="240">
        <v>5</v>
      </c>
      <c r="D29" s="167" t="s">
        <v>12</v>
      </c>
      <c r="E29" s="167" t="s">
        <v>3066</v>
      </c>
      <c r="F29" s="167" t="s">
        <v>3067</v>
      </c>
      <c r="G29" s="197">
        <v>65000</v>
      </c>
      <c r="H29" s="30" t="s">
        <v>3068</v>
      </c>
      <c r="I29" s="242"/>
      <c r="J29" s="19"/>
      <c r="K29" s="20"/>
    </row>
    <row r="30" spans="1:11" s="243" customFormat="1" ht="14.1" customHeight="1" thickBot="1" x14ac:dyDescent="0.3">
      <c r="B30" s="235"/>
      <c r="C30" s="240">
        <v>6</v>
      </c>
      <c r="D30" s="167" t="s">
        <v>11</v>
      </c>
      <c r="E30" s="167"/>
      <c r="F30" s="167" t="s">
        <v>3069</v>
      </c>
      <c r="G30" s="197"/>
      <c r="H30" s="30" t="s">
        <v>3065</v>
      </c>
      <c r="I30" s="242">
        <v>0</v>
      </c>
      <c r="J30" s="19"/>
      <c r="K30" s="20"/>
    </row>
    <row r="31" spans="1:11" s="243" customFormat="1" ht="14.1" customHeight="1" thickBot="1" x14ac:dyDescent="0.3">
      <c r="B31" s="235"/>
      <c r="C31" s="240">
        <v>7</v>
      </c>
      <c r="D31" s="167" t="s">
        <v>11</v>
      </c>
      <c r="E31" s="167"/>
      <c r="F31" s="167"/>
      <c r="G31" s="197"/>
      <c r="H31" s="30"/>
      <c r="I31" s="242"/>
      <c r="J31" s="19"/>
      <c r="K31" s="20"/>
    </row>
    <row r="32" spans="1:11" s="243" customFormat="1" ht="14.1" customHeight="1" thickBot="1" x14ac:dyDescent="0.3">
      <c r="B32" s="235"/>
      <c r="C32" s="240">
        <v>8</v>
      </c>
      <c r="D32" s="167" t="s">
        <v>12</v>
      </c>
      <c r="E32" s="167" t="s">
        <v>3070</v>
      </c>
      <c r="F32" s="167" t="s">
        <v>3071</v>
      </c>
      <c r="G32" s="197">
        <v>0</v>
      </c>
      <c r="H32" s="30" t="s">
        <v>1207</v>
      </c>
      <c r="I32" s="242">
        <v>0</v>
      </c>
      <c r="J32" s="19"/>
      <c r="K32" s="20"/>
    </row>
    <row r="33" spans="1:11" s="243" customFormat="1" ht="14.1" customHeight="1" thickBot="1" x14ac:dyDescent="0.3">
      <c r="B33" s="235"/>
      <c r="C33" s="240">
        <v>9</v>
      </c>
      <c r="D33" s="167" t="s">
        <v>11</v>
      </c>
      <c r="E33" s="167"/>
      <c r="F33" s="167"/>
      <c r="G33" s="197"/>
      <c r="H33" s="30"/>
      <c r="I33" s="242"/>
      <c r="J33" s="19"/>
      <c r="K33" s="20"/>
    </row>
    <row r="34" spans="1:11" s="243" customFormat="1" ht="14.1" customHeight="1" thickBot="1" x14ac:dyDescent="0.3">
      <c r="B34" s="235"/>
      <c r="C34" s="240">
        <v>10</v>
      </c>
      <c r="D34" s="167" t="s">
        <v>11</v>
      </c>
      <c r="E34" s="167"/>
      <c r="F34" s="167"/>
      <c r="G34" s="197"/>
      <c r="H34" s="30"/>
      <c r="I34" s="242"/>
      <c r="J34" s="19"/>
      <c r="K34" s="20"/>
    </row>
    <row r="35" spans="1:11" s="243" customFormat="1" ht="14.1" customHeight="1" thickBot="1" x14ac:dyDescent="0.3">
      <c r="B35" s="235"/>
      <c r="C35" s="240">
        <v>11</v>
      </c>
      <c r="D35" s="167" t="s">
        <v>12</v>
      </c>
      <c r="E35" s="167" t="s">
        <v>3072</v>
      </c>
      <c r="F35" s="167" t="s">
        <v>3073</v>
      </c>
      <c r="G35" s="197">
        <v>0</v>
      </c>
      <c r="H35" s="30" t="s">
        <v>3065</v>
      </c>
      <c r="I35" s="242">
        <v>0</v>
      </c>
      <c r="J35" s="19"/>
      <c r="K35" s="20"/>
    </row>
    <row r="36" spans="1:11" s="243" customFormat="1" ht="14.1" customHeight="1" thickBot="1" x14ac:dyDescent="0.3">
      <c r="B36" s="235"/>
      <c r="C36" s="240">
        <v>12</v>
      </c>
      <c r="D36" s="167" t="s">
        <v>12</v>
      </c>
      <c r="E36" s="167" t="s">
        <v>3074</v>
      </c>
      <c r="F36" s="167" t="s">
        <v>3075</v>
      </c>
      <c r="G36" s="197">
        <v>422300</v>
      </c>
      <c r="H36" s="30" t="s">
        <v>3065</v>
      </c>
      <c r="I36" s="242">
        <v>1</v>
      </c>
      <c r="J36" s="19"/>
      <c r="K36" s="20"/>
    </row>
    <row r="37" spans="1:11" s="243" customFormat="1" ht="14.1" customHeight="1" thickBot="1" x14ac:dyDescent="0.3">
      <c r="B37" s="235"/>
      <c r="C37" s="240">
        <v>13</v>
      </c>
      <c r="D37" s="167" t="s">
        <v>13</v>
      </c>
      <c r="E37" s="167"/>
      <c r="F37" s="167"/>
      <c r="G37" s="197"/>
      <c r="H37" s="30"/>
      <c r="I37" s="242"/>
      <c r="J37" s="19"/>
      <c r="K37" s="20"/>
    </row>
    <row r="38" spans="1:11" s="243" customFormat="1" ht="14.1" customHeight="1" thickBot="1" x14ac:dyDescent="0.3">
      <c r="B38" s="235"/>
      <c r="C38" s="240">
        <v>14</v>
      </c>
      <c r="D38" s="167" t="s">
        <v>13</v>
      </c>
      <c r="E38" s="167"/>
      <c r="F38" s="167"/>
      <c r="G38" s="197"/>
      <c r="H38" s="30"/>
      <c r="I38" s="242"/>
      <c r="J38" s="19"/>
      <c r="K38" s="20"/>
    </row>
    <row r="39" spans="1:11" ht="14.1" customHeight="1" x14ac:dyDescent="0.25">
      <c r="A39" s="359"/>
      <c r="B39" s="378"/>
      <c r="C39" s="362"/>
      <c r="D39" s="1756" t="s">
        <v>14</v>
      </c>
      <c r="E39" s="1757"/>
      <c r="F39" s="1757"/>
      <c r="G39" s="1757"/>
      <c r="H39" s="1757"/>
      <c r="I39" s="1757"/>
      <c r="J39" s="1757"/>
      <c r="K39" s="1758"/>
    </row>
    <row r="40" spans="1:11" ht="14.1" customHeight="1" x14ac:dyDescent="0.25">
      <c r="A40" s="359"/>
      <c r="B40" s="378"/>
      <c r="C40" s="362"/>
      <c r="D40" s="1759" t="s">
        <v>15</v>
      </c>
      <c r="E40" s="1760"/>
      <c r="F40" s="1760"/>
      <c r="G40" s="1760"/>
      <c r="H40" s="1760"/>
      <c r="I40" s="1760"/>
      <c r="J40" s="1760"/>
      <c r="K40" s="1761"/>
    </row>
    <row r="41" spans="1:11" ht="14.1" customHeight="1" x14ac:dyDescent="0.25">
      <c r="A41" s="359"/>
      <c r="B41" s="378"/>
      <c r="C41" s="362"/>
      <c r="D41" s="1759" t="s">
        <v>16</v>
      </c>
      <c r="E41" s="1760"/>
      <c r="F41" s="1760"/>
      <c r="G41" s="1760"/>
      <c r="H41" s="1760"/>
      <c r="I41" s="1760"/>
      <c r="J41" s="1760"/>
      <c r="K41" s="1761"/>
    </row>
    <row r="42" spans="1:11" ht="14.1" customHeight="1" x14ac:dyDescent="0.25">
      <c r="A42" s="359"/>
      <c r="B42" s="378"/>
      <c r="C42" s="362"/>
      <c r="D42" s="1759" t="s">
        <v>17</v>
      </c>
      <c r="E42" s="1760"/>
      <c r="F42" s="1760"/>
      <c r="G42" s="1760"/>
      <c r="H42" s="1760"/>
      <c r="I42" s="1760"/>
      <c r="J42" s="1760"/>
      <c r="K42" s="1761"/>
    </row>
    <row r="43" spans="1:11" ht="14.1" customHeight="1" thickBot="1" x14ac:dyDescent="0.3">
      <c r="A43" s="359"/>
      <c r="B43" s="378"/>
      <c r="C43" s="362"/>
      <c r="D43" s="1747" t="s">
        <v>18</v>
      </c>
      <c r="E43" s="1748"/>
      <c r="F43" s="1748"/>
      <c r="G43" s="1748"/>
      <c r="H43" s="1748"/>
      <c r="I43" s="1748"/>
      <c r="J43" s="1748"/>
      <c r="K43" s="1749"/>
    </row>
    <row r="44" spans="1:11" ht="14.1" customHeight="1" thickBot="1" x14ac:dyDescent="0.3">
      <c r="A44" s="359"/>
      <c r="B44" s="378"/>
      <c r="C44" s="279" t="s">
        <v>19</v>
      </c>
      <c r="D44" s="287" t="s">
        <v>8</v>
      </c>
      <c r="E44" s="287" t="s">
        <v>9</v>
      </c>
      <c r="F44" s="280" t="s">
        <v>10</v>
      </c>
      <c r="G44" s="317" t="s">
        <v>20</v>
      </c>
      <c r="H44" s="317" t="s">
        <v>21</v>
      </c>
      <c r="I44" s="317" t="s">
        <v>22</v>
      </c>
      <c r="J44" s="317" t="s">
        <v>23</v>
      </c>
      <c r="K44" s="281"/>
    </row>
    <row r="45" spans="1:11" s="243" customFormat="1" ht="14.1" customHeight="1" thickBot="1" x14ac:dyDescent="0.3">
      <c r="B45" s="235"/>
      <c r="C45" s="240">
        <v>1</v>
      </c>
      <c r="D45" s="167" t="s">
        <v>11</v>
      </c>
      <c r="E45" s="167">
        <v>1504</v>
      </c>
      <c r="F45" s="167" t="s">
        <v>3058</v>
      </c>
      <c r="G45" s="164">
        <v>0</v>
      </c>
      <c r="H45" s="164">
        <v>0.01</v>
      </c>
      <c r="I45" s="1122"/>
      <c r="J45" s="32"/>
      <c r="K45" s="114"/>
    </row>
    <row r="46" spans="1:11" s="243" customFormat="1" ht="14.1" customHeight="1" thickBot="1" x14ac:dyDescent="0.3">
      <c r="B46" s="235"/>
      <c r="C46" s="240">
        <v>2</v>
      </c>
      <c r="D46" s="167" t="s">
        <v>11</v>
      </c>
      <c r="E46" s="167">
        <v>1505</v>
      </c>
      <c r="F46" s="167" t="s">
        <v>3060</v>
      </c>
      <c r="G46" s="164">
        <v>0</v>
      </c>
      <c r="H46" s="164">
        <v>0.01</v>
      </c>
      <c r="I46" s="1122"/>
      <c r="J46" s="32"/>
      <c r="K46" s="114"/>
    </row>
    <row r="47" spans="1:11" s="243" customFormat="1" ht="14.1" customHeight="1" thickBot="1" x14ac:dyDescent="0.3">
      <c r="B47" s="235"/>
      <c r="C47" s="240">
        <v>3</v>
      </c>
      <c r="D47" s="167" t="s">
        <v>11</v>
      </c>
      <c r="E47" s="167" t="s">
        <v>3061</v>
      </c>
      <c r="F47" s="478" t="s">
        <v>3062</v>
      </c>
      <c r="G47" s="164">
        <v>0</v>
      </c>
      <c r="H47" s="164">
        <v>0.01</v>
      </c>
      <c r="I47" s="1122"/>
      <c r="J47" s="32"/>
      <c r="K47" s="114"/>
    </row>
    <row r="48" spans="1:11" s="243" customFormat="1" ht="14.1" customHeight="1" thickBot="1" x14ac:dyDescent="0.3">
      <c r="B48" s="235"/>
      <c r="C48" s="240">
        <v>4</v>
      </c>
      <c r="D48" s="167" t="s">
        <v>12</v>
      </c>
      <c r="E48" s="167" t="s">
        <v>3066</v>
      </c>
      <c r="F48" s="167" t="s">
        <v>3067</v>
      </c>
      <c r="G48" s="164">
        <v>0</v>
      </c>
      <c r="H48" s="164"/>
      <c r="I48" s="1122"/>
      <c r="J48" s="32"/>
      <c r="K48" s="114"/>
    </row>
    <row r="49" spans="1:11" s="243" customFormat="1" ht="14.1" customHeight="1" thickBot="1" x14ac:dyDescent="0.3">
      <c r="B49" s="235"/>
      <c r="C49" s="240">
        <v>5</v>
      </c>
      <c r="D49" s="167" t="s">
        <v>12</v>
      </c>
      <c r="E49" s="167"/>
      <c r="F49" s="167"/>
      <c r="G49" s="32"/>
      <c r="H49" s="164"/>
      <c r="I49" s="1122"/>
      <c r="J49" s="32"/>
      <c r="K49" s="114"/>
    </row>
    <row r="50" spans="1:11" s="243" customFormat="1" ht="14.1" customHeight="1" thickBot="1" x14ac:dyDescent="0.3">
      <c r="B50" s="235"/>
      <c r="C50" s="240">
        <v>6</v>
      </c>
      <c r="D50" s="167" t="s">
        <v>11</v>
      </c>
      <c r="E50" s="167" t="s">
        <v>3063</v>
      </c>
      <c r="F50" s="167" t="s">
        <v>3064</v>
      </c>
      <c r="G50" s="164">
        <v>0</v>
      </c>
      <c r="H50" s="164">
        <v>0.18</v>
      </c>
      <c r="I50" s="1122">
        <v>0.2</v>
      </c>
      <c r="J50" s="1122">
        <v>0.1</v>
      </c>
      <c r="K50" s="114"/>
    </row>
    <row r="51" spans="1:11" s="243" customFormat="1" ht="14.1" customHeight="1" thickBot="1" x14ac:dyDescent="0.3">
      <c r="B51" s="235"/>
      <c r="C51" s="240">
        <v>7</v>
      </c>
      <c r="D51" s="167" t="s">
        <v>11</v>
      </c>
      <c r="E51" s="167" t="s">
        <v>3076</v>
      </c>
      <c r="F51" s="167" t="s">
        <v>3069</v>
      </c>
      <c r="G51" s="32"/>
      <c r="H51" s="164">
        <v>0.19</v>
      </c>
      <c r="I51" s="1122">
        <v>0.2</v>
      </c>
      <c r="J51" s="1122">
        <v>0.1</v>
      </c>
      <c r="K51" s="114"/>
    </row>
    <row r="52" spans="1:11" s="243" customFormat="1" ht="14.1" customHeight="1" thickBot="1" x14ac:dyDescent="0.3">
      <c r="B52" s="235"/>
      <c r="C52" s="240">
        <v>8</v>
      </c>
      <c r="D52" s="167" t="s">
        <v>12</v>
      </c>
      <c r="E52" s="167" t="s">
        <v>3070</v>
      </c>
      <c r="F52" s="167" t="s">
        <v>3071</v>
      </c>
      <c r="G52" s="164">
        <v>0</v>
      </c>
      <c r="H52" s="164"/>
      <c r="I52" s="1122"/>
      <c r="J52" s="32"/>
      <c r="K52" s="114"/>
    </row>
    <row r="53" spans="1:11" s="243" customFormat="1" ht="14.1" customHeight="1" thickBot="1" x14ac:dyDescent="0.3">
      <c r="B53" s="235"/>
      <c r="C53" s="240">
        <v>9</v>
      </c>
      <c r="D53" s="167" t="s">
        <v>12</v>
      </c>
      <c r="E53" s="167"/>
      <c r="F53" s="167"/>
      <c r="G53" s="32"/>
      <c r="H53" s="164"/>
      <c r="I53" s="1122"/>
      <c r="J53" s="32"/>
      <c r="K53" s="114"/>
    </row>
    <row r="54" spans="1:11" s="243" customFormat="1" ht="14.1" customHeight="1" thickBot="1" x14ac:dyDescent="0.3">
      <c r="B54" s="235"/>
      <c r="C54" s="240">
        <v>10</v>
      </c>
      <c r="D54" s="167" t="s">
        <v>11</v>
      </c>
      <c r="E54" s="167"/>
      <c r="F54" s="167"/>
      <c r="G54" s="32"/>
      <c r="H54" s="164"/>
      <c r="I54" s="1122"/>
      <c r="J54" s="32"/>
      <c r="K54" s="114"/>
    </row>
    <row r="55" spans="1:11" s="243" customFormat="1" ht="14.1" customHeight="1" thickBot="1" x14ac:dyDescent="0.3">
      <c r="B55" s="235"/>
      <c r="C55" s="240">
        <v>11</v>
      </c>
      <c r="D55" s="167" t="s">
        <v>11</v>
      </c>
      <c r="E55" s="167"/>
      <c r="F55" s="167"/>
      <c r="G55" s="32"/>
      <c r="H55" s="164"/>
      <c r="I55" s="1122"/>
      <c r="J55" s="32"/>
      <c r="K55" s="114"/>
    </row>
    <row r="56" spans="1:11" s="243" customFormat="1" ht="14.1" customHeight="1" thickBot="1" x14ac:dyDescent="0.3">
      <c r="B56" s="235"/>
      <c r="C56" s="240">
        <v>12</v>
      </c>
      <c r="D56" s="167" t="s">
        <v>12</v>
      </c>
      <c r="E56" s="167" t="s">
        <v>3072</v>
      </c>
      <c r="F56" s="167" t="s">
        <v>3073</v>
      </c>
      <c r="G56" s="164">
        <v>0</v>
      </c>
      <c r="H56" s="164"/>
      <c r="I56" s="1122"/>
      <c r="J56" s="32"/>
      <c r="K56" s="114"/>
    </row>
    <row r="57" spans="1:11" s="243" customFormat="1" ht="14.1" customHeight="1" thickBot="1" x14ac:dyDescent="0.3">
      <c r="B57" s="235"/>
      <c r="C57" s="240">
        <v>13</v>
      </c>
      <c r="D57" s="167" t="s">
        <v>12</v>
      </c>
      <c r="E57" s="167" t="s">
        <v>3074</v>
      </c>
      <c r="F57" s="167" t="s">
        <v>3075</v>
      </c>
      <c r="G57" s="164">
        <v>0</v>
      </c>
      <c r="H57" s="164"/>
      <c r="I57" s="1122"/>
      <c r="J57" s="32"/>
      <c r="K57" s="114"/>
    </row>
    <row r="58" spans="1:11" s="243" customFormat="1" ht="14.1" customHeight="1" thickBot="1" x14ac:dyDescent="0.3">
      <c r="B58" s="235"/>
      <c r="C58" s="240">
        <v>14</v>
      </c>
      <c r="D58" s="167"/>
      <c r="E58" s="167"/>
      <c r="F58" s="167"/>
      <c r="G58" s="32"/>
      <c r="H58" s="164"/>
      <c r="I58" s="1122"/>
      <c r="J58" s="32"/>
      <c r="K58" s="115"/>
    </row>
    <row r="59" spans="1:11" ht="14.1" customHeight="1" x14ac:dyDescent="0.25">
      <c r="A59" s="359"/>
      <c r="B59" s="378"/>
      <c r="C59" s="362"/>
      <c r="D59" s="1750" t="s">
        <v>24</v>
      </c>
      <c r="E59" s="1751"/>
      <c r="F59" s="1751"/>
      <c r="G59" s="1751"/>
      <c r="H59" s="1751"/>
      <c r="I59" s="1751"/>
      <c r="J59" s="1751"/>
      <c r="K59" s="1752"/>
    </row>
    <row r="60" spans="1:11" ht="14.1" customHeight="1" thickBot="1" x14ac:dyDescent="0.3">
      <c r="A60" s="359"/>
      <c r="B60" s="378"/>
      <c r="C60" s="362"/>
      <c r="D60" s="1747" t="s">
        <v>25</v>
      </c>
      <c r="E60" s="1748"/>
      <c r="F60" s="1748"/>
      <c r="G60" s="1748"/>
      <c r="H60" s="1748"/>
      <c r="I60" s="1748"/>
      <c r="J60" s="1748"/>
      <c r="K60" s="1749"/>
    </row>
    <row r="61" spans="1:11" ht="14.1" customHeight="1" thickBot="1" x14ac:dyDescent="0.3">
      <c r="A61" s="359"/>
      <c r="B61" s="378"/>
      <c r="C61" s="279" t="s">
        <v>19</v>
      </c>
      <c r="D61" s="287" t="s">
        <v>8</v>
      </c>
      <c r="E61" s="287" t="s">
        <v>26</v>
      </c>
      <c r="F61" s="280" t="s">
        <v>10</v>
      </c>
      <c r="G61" s="317" t="s">
        <v>20</v>
      </c>
      <c r="H61" s="317" t="s">
        <v>21</v>
      </c>
      <c r="I61" s="317" t="s">
        <v>22</v>
      </c>
      <c r="J61" s="317" t="s">
        <v>23</v>
      </c>
      <c r="K61" s="281"/>
    </row>
    <row r="62" spans="1:11" s="243" customFormat="1" ht="14.1" customHeight="1" thickBot="1" x14ac:dyDescent="0.3">
      <c r="B62" s="235"/>
      <c r="C62" s="240">
        <v>1</v>
      </c>
      <c r="D62" s="244" t="str">
        <f>IF(ISBLANK(D45),"",D45)</f>
        <v>POMCA</v>
      </c>
      <c r="E62" s="244">
        <f t="shared" ref="E62:F75" si="0">IF(ISBLANK(E45),"",E45)</f>
        <v>1504</v>
      </c>
      <c r="F62" s="244" t="str">
        <f>IF(ISBLANK(F45),"",F45)</f>
        <v>TAPIAS</v>
      </c>
      <c r="G62" s="32"/>
      <c r="H62" s="32"/>
      <c r="I62" s="32"/>
      <c r="J62" s="32"/>
      <c r="K62" s="114"/>
    </row>
    <row r="63" spans="1:11" s="243" customFormat="1" ht="14.1" customHeight="1" thickBot="1" x14ac:dyDescent="0.3">
      <c r="B63" s="235"/>
      <c r="C63" s="240">
        <v>2</v>
      </c>
      <c r="D63" s="244" t="str">
        <f t="shared" ref="D63:D75" si="1">IF(ISBLANK(D46),"",D46)</f>
        <v>POMCA</v>
      </c>
      <c r="E63" s="244">
        <f t="shared" si="0"/>
        <v>1505</v>
      </c>
      <c r="F63" s="244" t="str">
        <f t="shared" si="0"/>
        <v>CAMARONES</v>
      </c>
      <c r="G63" s="32"/>
      <c r="H63" s="32"/>
      <c r="I63" s="32"/>
      <c r="J63" s="32"/>
      <c r="K63" s="114"/>
    </row>
    <row r="64" spans="1:11" s="243" customFormat="1" ht="14.1" customHeight="1" thickBot="1" x14ac:dyDescent="0.3">
      <c r="B64" s="235"/>
      <c r="C64" s="240">
        <v>3</v>
      </c>
      <c r="D64" s="244" t="str">
        <f t="shared" si="1"/>
        <v>POMCA</v>
      </c>
      <c r="E64" s="244" t="str">
        <f t="shared" si="0"/>
        <v>1503-02</v>
      </c>
      <c r="F64" s="244" t="str">
        <f t="shared" si="0"/>
        <v>ANCHO Y OTROS DIRECTOS AL CARIBE</v>
      </c>
      <c r="G64" s="32"/>
      <c r="H64" s="32"/>
      <c r="I64" s="32"/>
      <c r="J64" s="32">
        <v>0</v>
      </c>
      <c r="K64" s="114"/>
    </row>
    <row r="65" spans="1:11" s="243" customFormat="1" ht="14.1" customHeight="1" thickBot="1" x14ac:dyDescent="0.3">
      <c r="B65" s="235"/>
      <c r="C65" s="240">
        <v>4</v>
      </c>
      <c r="D65" s="244" t="str">
        <f t="shared" si="1"/>
        <v>PMA</v>
      </c>
      <c r="E65" s="244" t="str">
        <f t="shared" si="0"/>
        <v>SAC 3.1</v>
      </c>
      <c r="F65" s="244" t="str">
        <f t="shared" si="0"/>
        <v>Sistema Acuifero de Maicao</v>
      </c>
      <c r="G65" s="32"/>
      <c r="H65" s="32"/>
      <c r="I65" s="32"/>
      <c r="J65" s="32"/>
      <c r="K65" s="114"/>
    </row>
    <row r="66" spans="1:11" s="243" customFormat="1" ht="14.1" customHeight="1" thickBot="1" x14ac:dyDescent="0.3">
      <c r="B66" s="235"/>
      <c r="C66" s="240">
        <v>5</v>
      </c>
      <c r="D66" s="244" t="str">
        <f t="shared" si="1"/>
        <v>PMA</v>
      </c>
      <c r="E66" s="244" t="str">
        <f t="shared" si="0"/>
        <v/>
      </c>
      <c r="F66" s="244" t="str">
        <f t="shared" si="0"/>
        <v/>
      </c>
      <c r="G66" s="32"/>
      <c r="H66" s="32"/>
      <c r="I66" s="32"/>
      <c r="J66" s="32"/>
      <c r="K66" s="114"/>
    </row>
    <row r="67" spans="1:11" s="243" customFormat="1" ht="14.1" customHeight="1" thickBot="1" x14ac:dyDescent="0.3">
      <c r="B67" s="235"/>
      <c r="C67" s="240">
        <v>6</v>
      </c>
      <c r="D67" s="244" t="str">
        <f t="shared" si="1"/>
        <v>POMCA</v>
      </c>
      <c r="E67" s="244" t="str">
        <f t="shared" si="0"/>
        <v>1503-01</v>
      </c>
      <c r="F67" s="244" t="str">
        <f t="shared" si="0"/>
        <v>PALOMINO</v>
      </c>
      <c r="G67" s="32"/>
      <c r="H67" s="32"/>
      <c r="I67" s="32"/>
      <c r="J67" s="32"/>
      <c r="K67" s="114"/>
    </row>
    <row r="68" spans="1:11" s="243" customFormat="1" ht="14.1" customHeight="1" thickBot="1" x14ac:dyDescent="0.3">
      <c r="B68" s="235"/>
      <c r="C68" s="240">
        <v>7</v>
      </c>
      <c r="D68" s="244" t="str">
        <f t="shared" si="1"/>
        <v>POMCA</v>
      </c>
      <c r="E68" s="244" t="str">
        <f t="shared" si="0"/>
        <v>2801-03</v>
      </c>
      <c r="F68" s="244" t="str">
        <f t="shared" si="0"/>
        <v>Alto del Cesar</v>
      </c>
      <c r="G68" s="32"/>
      <c r="H68" s="32"/>
      <c r="I68" s="32"/>
      <c r="J68" s="32"/>
      <c r="K68" s="114"/>
    </row>
    <row r="69" spans="1:11" s="243" customFormat="1" ht="14.1" customHeight="1" thickBot="1" x14ac:dyDescent="0.3">
      <c r="B69" s="235"/>
      <c r="C69" s="240">
        <v>8</v>
      </c>
      <c r="D69" s="244" t="str">
        <f t="shared" si="1"/>
        <v>PMA</v>
      </c>
      <c r="E69" s="244" t="str">
        <f t="shared" si="0"/>
        <v>SAC 3.2</v>
      </c>
      <c r="F69" s="244" t="str">
        <f t="shared" si="0"/>
        <v>Sistema de Acuifero Riohacha - Manaure</v>
      </c>
      <c r="G69" s="32"/>
      <c r="H69" s="32"/>
      <c r="I69" s="32"/>
      <c r="J69" s="32"/>
      <c r="K69" s="114"/>
    </row>
    <row r="70" spans="1:11" s="243" customFormat="1" ht="14.1" customHeight="1" thickBot="1" x14ac:dyDescent="0.3">
      <c r="B70" s="235"/>
      <c r="C70" s="240">
        <v>9</v>
      </c>
      <c r="D70" s="244" t="str">
        <f t="shared" si="1"/>
        <v>PMA</v>
      </c>
      <c r="E70" s="244" t="str">
        <f t="shared" si="0"/>
        <v/>
      </c>
      <c r="F70" s="244" t="str">
        <f t="shared" si="0"/>
        <v/>
      </c>
      <c r="G70" s="32"/>
      <c r="H70" s="32"/>
      <c r="I70" s="32"/>
      <c r="J70" s="32"/>
      <c r="K70" s="114"/>
    </row>
    <row r="71" spans="1:11" s="243" customFormat="1" ht="14.1" customHeight="1" thickBot="1" x14ac:dyDescent="0.3">
      <c r="B71" s="235"/>
      <c r="C71" s="240">
        <v>10</v>
      </c>
      <c r="D71" s="244" t="str">
        <f t="shared" si="1"/>
        <v>POMCA</v>
      </c>
      <c r="E71" s="244" t="str">
        <f t="shared" si="0"/>
        <v/>
      </c>
      <c r="F71" s="244" t="str">
        <f t="shared" si="0"/>
        <v/>
      </c>
      <c r="G71" s="32"/>
      <c r="H71" s="32"/>
      <c r="I71" s="32"/>
      <c r="J71" s="32"/>
      <c r="K71" s="114"/>
    </row>
    <row r="72" spans="1:11" s="243" customFormat="1" ht="14.1" customHeight="1" thickBot="1" x14ac:dyDescent="0.3">
      <c r="B72" s="235"/>
      <c r="C72" s="240">
        <v>11</v>
      </c>
      <c r="D72" s="244" t="str">
        <f t="shared" si="1"/>
        <v>POMCA</v>
      </c>
      <c r="E72" s="244" t="str">
        <f t="shared" si="0"/>
        <v/>
      </c>
      <c r="F72" s="244" t="str">
        <f t="shared" si="0"/>
        <v/>
      </c>
      <c r="G72" s="32"/>
      <c r="H72" s="32"/>
      <c r="I72" s="32"/>
      <c r="J72" s="32"/>
      <c r="K72" s="114"/>
    </row>
    <row r="73" spans="1:11" s="243" customFormat="1" ht="14.1" customHeight="1" thickBot="1" x14ac:dyDescent="0.3">
      <c r="B73" s="235"/>
      <c r="C73" s="240">
        <v>12</v>
      </c>
      <c r="D73" s="244" t="str">
        <f t="shared" si="1"/>
        <v>PMA</v>
      </c>
      <c r="E73" s="244" t="str">
        <f t="shared" si="0"/>
        <v>SAC 3.3</v>
      </c>
      <c r="F73" s="244" t="str">
        <f t="shared" si="0"/>
        <v>Sistema de Acuifero Alta Guajira</v>
      </c>
      <c r="G73" s="32"/>
      <c r="H73" s="32"/>
      <c r="I73" s="32"/>
      <c r="J73" s="32"/>
      <c r="K73" s="114"/>
    </row>
    <row r="74" spans="1:11" s="243" customFormat="1" ht="14.1" customHeight="1" thickBot="1" x14ac:dyDescent="0.3">
      <c r="B74" s="235"/>
      <c r="C74" s="240">
        <v>13</v>
      </c>
      <c r="D74" s="244" t="str">
        <f t="shared" si="1"/>
        <v>PMA</v>
      </c>
      <c r="E74" s="244" t="str">
        <f t="shared" si="0"/>
        <v>SAC 4.2</v>
      </c>
      <c r="F74" s="244" t="str">
        <f t="shared" si="0"/>
        <v>Sistema de Acuifero Ranchería</v>
      </c>
      <c r="G74" s="32"/>
      <c r="H74" s="32"/>
      <c r="I74" s="32"/>
      <c r="J74" s="32"/>
      <c r="K74" s="114"/>
    </row>
    <row r="75" spans="1:11" s="243" customFormat="1" ht="14.1" customHeight="1" thickBot="1" x14ac:dyDescent="0.3">
      <c r="B75" s="235"/>
      <c r="C75" s="240">
        <v>14</v>
      </c>
      <c r="D75" s="244" t="str">
        <f t="shared" si="1"/>
        <v/>
      </c>
      <c r="E75" s="244" t="str">
        <f t="shared" si="0"/>
        <v/>
      </c>
      <c r="F75" s="244" t="str">
        <f t="shared" si="0"/>
        <v/>
      </c>
      <c r="G75" s="32"/>
      <c r="H75" s="32"/>
      <c r="I75" s="32"/>
      <c r="J75" s="32"/>
      <c r="K75" s="114"/>
    </row>
    <row r="76" spans="1:11" ht="14.1" customHeight="1" x14ac:dyDescent="0.25">
      <c r="A76" s="359"/>
      <c r="B76" s="378"/>
      <c r="C76" s="362"/>
      <c r="D76" s="1750" t="s">
        <v>14</v>
      </c>
      <c r="E76" s="1751"/>
      <c r="F76" s="1751"/>
      <c r="G76" s="1751"/>
      <c r="H76" s="1751"/>
      <c r="I76" s="1751"/>
      <c r="J76" s="1751"/>
      <c r="K76" s="1752"/>
    </row>
    <row r="77" spans="1:11" ht="14.1" customHeight="1" x14ac:dyDescent="0.25">
      <c r="A77" s="359"/>
      <c r="B77" s="378"/>
      <c r="C77" s="362"/>
      <c r="D77" s="1756" t="s">
        <v>27</v>
      </c>
      <c r="E77" s="1757"/>
      <c r="F77" s="1757"/>
      <c r="G77" s="1757"/>
      <c r="H77" s="1757"/>
      <c r="I77" s="1757"/>
      <c r="J77" s="1757"/>
      <c r="K77" s="1758"/>
    </row>
    <row r="78" spans="1:11" ht="14.1" customHeight="1" thickBot="1" x14ac:dyDescent="0.3">
      <c r="A78" s="359"/>
      <c r="B78" s="378"/>
      <c r="C78" s="362"/>
      <c r="D78" s="1747" t="s">
        <v>28</v>
      </c>
      <c r="E78" s="1748"/>
      <c r="F78" s="1748"/>
      <c r="G78" s="1748"/>
      <c r="H78" s="1748"/>
      <c r="I78" s="1748"/>
      <c r="J78" s="1748"/>
      <c r="K78" s="1749"/>
    </row>
    <row r="79" spans="1:11" ht="14.1" customHeight="1" thickBot="1" x14ac:dyDescent="0.3">
      <c r="A79" s="359"/>
      <c r="B79" s="378"/>
      <c r="C79" s="365" t="s">
        <v>19</v>
      </c>
      <c r="D79" s="332" t="s">
        <v>8</v>
      </c>
      <c r="E79" s="332" t="s">
        <v>26</v>
      </c>
      <c r="F79" s="366" t="s">
        <v>10</v>
      </c>
      <c r="G79" s="366" t="s">
        <v>20</v>
      </c>
      <c r="H79" s="366" t="s">
        <v>21</v>
      </c>
      <c r="I79" s="366" t="s">
        <v>22</v>
      </c>
      <c r="J79" s="366" t="s">
        <v>23</v>
      </c>
      <c r="K79" s="281"/>
    </row>
    <row r="80" spans="1:11" ht="14.1" customHeight="1" thickBot="1" x14ac:dyDescent="0.3">
      <c r="A80" s="359"/>
      <c r="B80" s="378"/>
      <c r="C80" s="345">
        <v>1</v>
      </c>
      <c r="D80" s="367" t="str">
        <f t="shared" ref="D80:F93" si="2">IF(ISBLANK(D62),"",D62)</f>
        <v>POMCA</v>
      </c>
      <c r="E80" s="1265">
        <f t="shared" si="2"/>
        <v>1504</v>
      </c>
      <c r="F80" s="367" t="str">
        <f t="shared" si="2"/>
        <v>TAPIAS</v>
      </c>
      <c r="G80" s="723" t="str">
        <f t="shared" ref="G80:J93" si="3">IFERROR(G62/G45,"N.A.")</f>
        <v>N.A.</v>
      </c>
      <c r="H80" s="368">
        <f t="shared" si="3"/>
        <v>0</v>
      </c>
      <c r="I80" s="368" t="str">
        <f t="shared" si="3"/>
        <v>N.A.</v>
      </c>
      <c r="J80" s="368" t="str">
        <f t="shared" si="3"/>
        <v>N.A.</v>
      </c>
      <c r="K80" s="364"/>
    </row>
    <row r="81" spans="1:11" ht="14.1" customHeight="1" thickBot="1" x14ac:dyDescent="0.3">
      <c r="A81" s="359"/>
      <c r="B81" s="378"/>
      <c r="C81" s="345">
        <v>2</v>
      </c>
      <c r="D81" s="367" t="str">
        <f t="shared" si="2"/>
        <v>POMCA</v>
      </c>
      <c r="E81" s="1265">
        <f t="shared" si="2"/>
        <v>1505</v>
      </c>
      <c r="F81" s="367" t="str">
        <f t="shared" si="2"/>
        <v>CAMARONES</v>
      </c>
      <c r="G81" s="723" t="str">
        <f t="shared" si="3"/>
        <v>N.A.</v>
      </c>
      <c r="H81" s="368">
        <f t="shared" si="3"/>
        <v>0</v>
      </c>
      <c r="I81" s="368" t="str">
        <f t="shared" si="3"/>
        <v>N.A.</v>
      </c>
      <c r="J81" s="368" t="str">
        <f t="shared" si="3"/>
        <v>N.A.</v>
      </c>
      <c r="K81" s="364"/>
    </row>
    <row r="82" spans="1:11" ht="14.1" customHeight="1" thickBot="1" x14ac:dyDescent="0.3">
      <c r="A82" s="359"/>
      <c r="B82" s="378"/>
      <c r="C82" s="345">
        <v>3</v>
      </c>
      <c r="D82" s="367" t="str">
        <f t="shared" si="2"/>
        <v>POMCA</v>
      </c>
      <c r="E82" s="1265" t="str">
        <f t="shared" si="2"/>
        <v>1503-02</v>
      </c>
      <c r="F82" s="367" t="str">
        <f t="shared" si="2"/>
        <v>ANCHO Y OTROS DIRECTOS AL CARIBE</v>
      </c>
      <c r="G82" s="368" t="str">
        <f t="shared" si="3"/>
        <v>N.A.</v>
      </c>
      <c r="H82" s="368">
        <f t="shared" si="3"/>
        <v>0</v>
      </c>
      <c r="I82" s="368" t="str">
        <f t="shared" si="3"/>
        <v>N.A.</v>
      </c>
      <c r="J82" s="368" t="str">
        <f t="shared" si="3"/>
        <v>N.A.</v>
      </c>
      <c r="K82" s="364"/>
    </row>
    <row r="83" spans="1:11" ht="14.1" customHeight="1" thickBot="1" x14ac:dyDescent="0.3">
      <c r="A83" s="359"/>
      <c r="B83" s="378"/>
      <c r="C83" s="345">
        <v>4</v>
      </c>
      <c r="D83" s="367" t="str">
        <f t="shared" si="2"/>
        <v>PMA</v>
      </c>
      <c r="E83" s="1265" t="str">
        <f t="shared" si="2"/>
        <v>SAC 3.1</v>
      </c>
      <c r="F83" s="367" t="str">
        <f t="shared" si="2"/>
        <v>Sistema Acuifero de Maicao</v>
      </c>
      <c r="G83" s="368" t="str">
        <f t="shared" si="3"/>
        <v>N.A.</v>
      </c>
      <c r="H83" s="368" t="str">
        <f t="shared" si="3"/>
        <v>N.A.</v>
      </c>
      <c r="I83" s="368" t="str">
        <f t="shared" si="3"/>
        <v>N.A.</v>
      </c>
      <c r="J83" s="368" t="str">
        <f t="shared" si="3"/>
        <v>N.A.</v>
      </c>
      <c r="K83" s="364"/>
    </row>
    <row r="84" spans="1:11" ht="14.1" customHeight="1" thickBot="1" x14ac:dyDescent="0.3">
      <c r="A84" s="359"/>
      <c r="B84" s="378"/>
      <c r="C84" s="345">
        <v>5</v>
      </c>
      <c r="D84" s="367" t="str">
        <f t="shared" si="2"/>
        <v>PMA</v>
      </c>
      <c r="E84" s="1265" t="str">
        <f t="shared" si="2"/>
        <v/>
      </c>
      <c r="F84" s="367" t="str">
        <f t="shared" si="2"/>
        <v/>
      </c>
      <c r="G84" s="368" t="str">
        <f t="shared" si="3"/>
        <v>N.A.</v>
      </c>
      <c r="H84" s="368" t="str">
        <f t="shared" si="3"/>
        <v>N.A.</v>
      </c>
      <c r="I84" s="368" t="str">
        <f t="shared" si="3"/>
        <v>N.A.</v>
      </c>
      <c r="J84" s="368" t="str">
        <f t="shared" si="3"/>
        <v>N.A.</v>
      </c>
      <c r="K84" s="364"/>
    </row>
    <row r="85" spans="1:11" ht="14.1" customHeight="1" thickBot="1" x14ac:dyDescent="0.3">
      <c r="A85" s="359"/>
      <c r="B85" s="378"/>
      <c r="C85" s="345">
        <v>6</v>
      </c>
      <c r="D85" s="367" t="str">
        <f t="shared" si="2"/>
        <v>POMCA</v>
      </c>
      <c r="E85" s="1265" t="str">
        <f t="shared" si="2"/>
        <v>1503-01</v>
      </c>
      <c r="F85" s="367" t="str">
        <f t="shared" si="2"/>
        <v>PALOMINO</v>
      </c>
      <c r="G85" s="368" t="str">
        <f t="shared" si="3"/>
        <v>N.A.</v>
      </c>
      <c r="H85" s="368">
        <f t="shared" si="3"/>
        <v>0</v>
      </c>
      <c r="I85" s="368">
        <f t="shared" si="3"/>
        <v>0</v>
      </c>
      <c r="J85" s="368">
        <f t="shared" si="3"/>
        <v>0</v>
      </c>
      <c r="K85" s="284"/>
    </row>
    <row r="86" spans="1:11" ht="14.1" customHeight="1" thickBot="1" x14ac:dyDescent="0.3">
      <c r="A86" s="359"/>
      <c r="B86" s="378"/>
      <c r="C86" s="345">
        <v>7</v>
      </c>
      <c r="D86" s="367" t="str">
        <f t="shared" si="2"/>
        <v>POMCA</v>
      </c>
      <c r="E86" s="367" t="str">
        <f t="shared" si="2"/>
        <v>2801-03</v>
      </c>
      <c r="F86" s="367" t="str">
        <f t="shared" si="2"/>
        <v>Alto del Cesar</v>
      </c>
      <c r="G86" s="368" t="str">
        <f t="shared" si="3"/>
        <v>N.A.</v>
      </c>
      <c r="H86" s="368">
        <f t="shared" si="3"/>
        <v>0</v>
      </c>
      <c r="I86" s="368">
        <f t="shared" si="3"/>
        <v>0</v>
      </c>
      <c r="J86" s="368">
        <f t="shared" si="3"/>
        <v>0</v>
      </c>
      <c r="K86" s="364"/>
    </row>
    <row r="87" spans="1:11" ht="14.1" customHeight="1" thickBot="1" x14ac:dyDescent="0.3">
      <c r="A87" s="359"/>
      <c r="B87" s="378"/>
      <c r="C87" s="345">
        <v>8</v>
      </c>
      <c r="D87" s="367" t="str">
        <f t="shared" si="2"/>
        <v>PMA</v>
      </c>
      <c r="E87" s="367" t="str">
        <f t="shared" si="2"/>
        <v>SAC 3.2</v>
      </c>
      <c r="F87" s="367" t="str">
        <f t="shared" si="2"/>
        <v>Sistema de Acuifero Riohacha - Manaure</v>
      </c>
      <c r="G87" s="368" t="str">
        <f t="shared" si="3"/>
        <v>N.A.</v>
      </c>
      <c r="H87" s="368" t="str">
        <f t="shared" si="3"/>
        <v>N.A.</v>
      </c>
      <c r="I87" s="368" t="str">
        <f t="shared" si="3"/>
        <v>N.A.</v>
      </c>
      <c r="J87" s="368" t="str">
        <f t="shared" si="3"/>
        <v>N.A.</v>
      </c>
      <c r="K87" s="364"/>
    </row>
    <row r="88" spans="1:11" ht="14.1" customHeight="1" thickBot="1" x14ac:dyDescent="0.3">
      <c r="A88" s="359"/>
      <c r="B88" s="378"/>
      <c r="C88" s="345">
        <v>9</v>
      </c>
      <c r="D88" s="367" t="str">
        <f t="shared" si="2"/>
        <v>PMA</v>
      </c>
      <c r="E88" s="367" t="str">
        <f t="shared" si="2"/>
        <v/>
      </c>
      <c r="F88" s="367" t="str">
        <f t="shared" si="2"/>
        <v/>
      </c>
      <c r="G88" s="368" t="str">
        <f t="shared" si="3"/>
        <v>N.A.</v>
      </c>
      <c r="H88" s="368" t="str">
        <f t="shared" si="3"/>
        <v>N.A.</v>
      </c>
      <c r="I88" s="368" t="str">
        <f t="shared" si="3"/>
        <v>N.A.</v>
      </c>
      <c r="J88" s="368" t="str">
        <f t="shared" si="3"/>
        <v>N.A.</v>
      </c>
      <c r="K88" s="364"/>
    </row>
    <row r="89" spans="1:11" ht="14.1" customHeight="1" thickBot="1" x14ac:dyDescent="0.3">
      <c r="A89" s="359"/>
      <c r="B89" s="378"/>
      <c r="C89" s="345">
        <v>10</v>
      </c>
      <c r="D89" s="367" t="str">
        <f t="shared" si="2"/>
        <v>POMCA</v>
      </c>
      <c r="E89" s="367" t="str">
        <f t="shared" si="2"/>
        <v/>
      </c>
      <c r="F89" s="367" t="str">
        <f t="shared" si="2"/>
        <v/>
      </c>
      <c r="G89" s="368" t="str">
        <f t="shared" si="3"/>
        <v>N.A.</v>
      </c>
      <c r="H89" s="368" t="str">
        <f t="shared" si="3"/>
        <v>N.A.</v>
      </c>
      <c r="I89" s="368" t="str">
        <f t="shared" si="3"/>
        <v>N.A.</v>
      </c>
      <c r="J89" s="368" t="str">
        <f t="shared" si="3"/>
        <v>N.A.</v>
      </c>
      <c r="K89" s="284"/>
    </row>
    <row r="90" spans="1:11" ht="14.1" customHeight="1" thickBot="1" x14ac:dyDescent="0.3">
      <c r="A90" s="359"/>
      <c r="B90" s="378"/>
      <c r="C90" s="345">
        <v>11</v>
      </c>
      <c r="D90" s="367" t="str">
        <f t="shared" si="2"/>
        <v>POMCA</v>
      </c>
      <c r="E90" s="367" t="str">
        <f t="shared" si="2"/>
        <v/>
      </c>
      <c r="F90" s="367" t="str">
        <f t="shared" si="2"/>
        <v/>
      </c>
      <c r="G90" s="368" t="str">
        <f t="shared" si="3"/>
        <v>N.A.</v>
      </c>
      <c r="H90" s="368" t="str">
        <f t="shared" si="3"/>
        <v>N.A.</v>
      </c>
      <c r="I90" s="368" t="str">
        <f t="shared" si="3"/>
        <v>N.A.</v>
      </c>
      <c r="J90" s="368" t="str">
        <f t="shared" si="3"/>
        <v>N.A.</v>
      </c>
      <c r="K90" s="364"/>
    </row>
    <row r="91" spans="1:11" ht="14.1" customHeight="1" thickBot="1" x14ac:dyDescent="0.3">
      <c r="A91" s="359"/>
      <c r="B91" s="378"/>
      <c r="C91" s="345">
        <v>12</v>
      </c>
      <c r="D91" s="367" t="str">
        <f t="shared" si="2"/>
        <v>PMA</v>
      </c>
      <c r="E91" s="367" t="str">
        <f t="shared" si="2"/>
        <v>SAC 3.3</v>
      </c>
      <c r="F91" s="367" t="str">
        <f t="shared" si="2"/>
        <v>Sistema de Acuifero Alta Guajira</v>
      </c>
      <c r="G91" s="368" t="str">
        <f t="shared" si="3"/>
        <v>N.A.</v>
      </c>
      <c r="H91" s="368" t="str">
        <f t="shared" si="3"/>
        <v>N.A.</v>
      </c>
      <c r="I91" s="368" t="str">
        <f t="shared" si="3"/>
        <v>N.A.</v>
      </c>
      <c r="J91" s="368" t="str">
        <f t="shared" si="3"/>
        <v>N.A.</v>
      </c>
      <c r="K91" s="364"/>
    </row>
    <row r="92" spans="1:11" ht="14.1" customHeight="1" thickBot="1" x14ac:dyDescent="0.3">
      <c r="A92" s="359"/>
      <c r="B92" s="378"/>
      <c r="C92" s="345">
        <v>13</v>
      </c>
      <c r="D92" s="367" t="str">
        <f t="shared" si="2"/>
        <v>PMA</v>
      </c>
      <c r="E92" s="367" t="str">
        <f t="shared" si="2"/>
        <v>SAC 4.2</v>
      </c>
      <c r="F92" s="367" t="str">
        <f t="shared" si="2"/>
        <v>Sistema de Acuifero Ranchería</v>
      </c>
      <c r="G92" s="368" t="str">
        <f t="shared" si="3"/>
        <v>N.A.</v>
      </c>
      <c r="H92" s="368" t="str">
        <f t="shared" si="3"/>
        <v>N.A.</v>
      </c>
      <c r="I92" s="368" t="str">
        <f t="shared" si="3"/>
        <v>N.A.</v>
      </c>
      <c r="J92" s="368" t="str">
        <f t="shared" si="3"/>
        <v>N.A.</v>
      </c>
      <c r="K92" s="364"/>
    </row>
    <row r="93" spans="1:11" ht="14.1" customHeight="1" thickBot="1" x14ac:dyDescent="0.3">
      <c r="A93" s="359"/>
      <c r="B93" s="378"/>
      <c r="C93" s="345">
        <v>14</v>
      </c>
      <c r="D93" s="367" t="str">
        <f t="shared" si="2"/>
        <v/>
      </c>
      <c r="E93" s="367" t="str">
        <f t="shared" si="2"/>
        <v/>
      </c>
      <c r="F93" s="367" t="str">
        <f t="shared" si="2"/>
        <v/>
      </c>
      <c r="G93" s="368" t="str">
        <f t="shared" si="3"/>
        <v>N.A.</v>
      </c>
      <c r="H93" s="368" t="str">
        <f t="shared" si="3"/>
        <v>N.A.</v>
      </c>
      <c r="I93" s="368" t="str">
        <f t="shared" si="3"/>
        <v>N.A.</v>
      </c>
      <c r="J93" s="368" t="str">
        <f t="shared" si="3"/>
        <v>N.A.</v>
      </c>
      <c r="K93" s="284"/>
    </row>
    <row r="94" spans="1:11" ht="14.1" customHeight="1" x14ac:dyDescent="0.25">
      <c r="A94" s="359"/>
      <c r="B94" s="378"/>
      <c r="C94" s="362"/>
      <c r="D94" s="1762"/>
      <c r="E94" s="1763"/>
      <c r="F94" s="1763"/>
      <c r="G94" s="1763"/>
      <c r="H94" s="1763"/>
      <c r="I94" s="1763"/>
      <c r="J94" s="1763"/>
      <c r="K94" s="1764"/>
    </row>
    <row r="95" spans="1:11" ht="14.1" customHeight="1" thickBot="1" x14ac:dyDescent="0.3">
      <c r="A95" s="359"/>
      <c r="B95" s="378"/>
      <c r="C95" s="362"/>
      <c r="D95" s="1747" t="s">
        <v>29</v>
      </c>
      <c r="E95" s="1748"/>
      <c r="F95" s="1748"/>
      <c r="G95" s="1748"/>
      <c r="H95" s="1748"/>
      <c r="I95" s="1748"/>
      <c r="J95" s="1748"/>
      <c r="K95" s="1749"/>
    </row>
    <row r="96" spans="1:11" ht="14.1" customHeight="1" thickBot="1" x14ac:dyDescent="0.3">
      <c r="A96" s="359"/>
      <c r="B96" s="378"/>
      <c r="C96" s="369" t="s">
        <v>19</v>
      </c>
      <c r="D96" s="366" t="s">
        <v>30</v>
      </c>
      <c r="E96" s="366" t="s">
        <v>31</v>
      </c>
      <c r="F96" s="370"/>
      <c r="G96" s="366" t="s">
        <v>20</v>
      </c>
      <c r="H96" s="366" t="s">
        <v>21</v>
      </c>
      <c r="I96" s="366" t="s">
        <v>22</v>
      </c>
      <c r="J96" s="366" t="s">
        <v>23</v>
      </c>
      <c r="K96" s="281"/>
    </row>
    <row r="97" spans="1:11" ht="14.1" customHeight="1" thickBot="1" x14ac:dyDescent="0.3">
      <c r="A97" s="359"/>
      <c r="B97" s="378"/>
      <c r="C97" s="355">
        <v>1</v>
      </c>
      <c r="D97" s="290" t="s">
        <v>32</v>
      </c>
      <c r="E97" s="164">
        <v>0.8</v>
      </c>
      <c r="F97" s="33"/>
      <c r="G97" s="724">
        <f ca="1">IFERROR(AVERAGEIF($D$80:$J$93,"POMCA",G$80:G$93),0)</f>
        <v>0</v>
      </c>
      <c r="H97" s="371">
        <f ca="1">IFERROR(AVERAGEIF($D$80:$J$93,"POMCA",H$80:H$93),0)</f>
        <v>0</v>
      </c>
      <c r="I97" s="371">
        <f ca="1">IFERROR(AVERAGEIF($D$80:$J$93,"POMCA",I$80:I$93),0)</f>
        <v>0</v>
      </c>
      <c r="J97" s="371">
        <f ca="1">IFERROR(AVERAGEIF($D$80:$J$93,"POMCA",J$80:J$93),0)</f>
        <v>0</v>
      </c>
      <c r="K97" s="114"/>
    </row>
    <row r="98" spans="1:11" ht="14.1" customHeight="1" thickBot="1" x14ac:dyDescent="0.3">
      <c r="A98" s="359"/>
      <c r="B98" s="378"/>
      <c r="C98" s="355">
        <v>2</v>
      </c>
      <c r="D98" s="290" t="s">
        <v>12</v>
      </c>
      <c r="E98" s="164">
        <v>0.2</v>
      </c>
      <c r="F98" s="33"/>
      <c r="G98" s="371">
        <f ca="1">IFERROR(AVERAGEIF($D$80:$J$93,"PMA",G$80:G$93),0)</f>
        <v>0</v>
      </c>
      <c r="H98" s="371">
        <f ca="1">IFERROR(AVERAGEIF($D$80:$J$93,"PMA",H$80:H$93),0)</f>
        <v>0</v>
      </c>
      <c r="I98" s="371">
        <f ca="1">IFERROR(AVERAGEIF($D$80:$J$93,"PMA",I$80:I$93),0)</f>
        <v>0</v>
      </c>
      <c r="J98" s="371">
        <f ca="1">IFERROR(AVERAGEIF($D$80:$J$93,"PMA",J$80:J$93),0)</f>
        <v>0</v>
      </c>
      <c r="K98" s="114"/>
    </row>
    <row r="99" spans="1:11" ht="14.1" customHeight="1" thickBot="1" x14ac:dyDescent="0.3">
      <c r="A99" s="359"/>
      <c r="B99" s="378"/>
      <c r="C99" s="355">
        <v>3</v>
      </c>
      <c r="D99" s="290" t="s">
        <v>13</v>
      </c>
      <c r="E99" s="164">
        <v>0</v>
      </c>
      <c r="F99" s="33"/>
      <c r="G99" s="371">
        <f ca="1">IFERROR(AVERAGEIF($D$80:$J$93,"PMM",G$80:G$93),0)</f>
        <v>0</v>
      </c>
      <c r="H99" s="371">
        <f ca="1">IFERROR(AVERAGEIF($D$80:$J$93,"PMM",H$80:H$93),0)</f>
        <v>0</v>
      </c>
      <c r="I99" s="371">
        <f ca="1">IFERROR(AVERAGEIF($D$80:$J$93,"PMM",I$80:I$93),0)</f>
        <v>0</v>
      </c>
      <c r="J99" s="371">
        <f ca="1">IFERROR(AVERAGEIF($D$80:$J$93,"PMM",J$80:J$93),0)</f>
        <v>0</v>
      </c>
      <c r="K99" s="114"/>
    </row>
    <row r="100" spans="1:11" ht="14.1" customHeight="1" thickBot="1" x14ac:dyDescent="0.3">
      <c r="A100" s="359"/>
      <c r="B100" s="378"/>
      <c r="C100" s="265"/>
      <c r="D100" s="1772">
        <f>Formulas!$D$5</f>
        <v>1</v>
      </c>
      <c r="E100" s="1773"/>
      <c r="F100" s="535" t="s">
        <v>1247</v>
      </c>
      <c r="G100" s="725" t="str">
        <f ca="1">Formulas!E5</f>
        <v>N.A.</v>
      </c>
      <c r="H100" s="206" t="str">
        <f ca="1">Formulas!F5</f>
        <v>N.A.</v>
      </c>
      <c r="I100" s="206" t="str">
        <f ca="1">Formulas!G5</f>
        <v>N.A.</v>
      </c>
      <c r="J100" s="206" t="str">
        <f ca="1">Formulas!H5</f>
        <v>N.A.</v>
      </c>
      <c r="K100" s="115"/>
    </row>
    <row r="101" spans="1:11" ht="14.1" customHeight="1" x14ac:dyDescent="0.25">
      <c r="A101" s="359"/>
      <c r="B101" s="378"/>
      <c r="C101" s="362"/>
      <c r="D101" s="1774"/>
      <c r="E101" s="1775"/>
      <c r="F101" s="1775"/>
      <c r="G101" s="1775"/>
      <c r="H101" s="1775"/>
      <c r="I101" s="1775"/>
      <c r="J101" s="1775"/>
      <c r="K101" s="1776"/>
    </row>
    <row r="102" spans="1:11" ht="14.1" customHeight="1" x14ac:dyDescent="0.25">
      <c r="A102" s="359"/>
      <c r="B102" s="378"/>
      <c r="C102" s="362"/>
      <c r="D102" s="1756" t="s">
        <v>33</v>
      </c>
      <c r="E102" s="1757"/>
      <c r="F102" s="1757"/>
      <c r="G102" s="1757"/>
      <c r="H102" s="1757"/>
      <c r="I102" s="1757"/>
      <c r="J102" s="1757"/>
      <c r="K102" s="1758"/>
    </row>
    <row r="103" spans="1:11" ht="14.1" customHeight="1" thickBot="1" x14ac:dyDescent="0.3">
      <c r="A103" s="359"/>
      <c r="B103" s="353"/>
      <c r="C103" s="354"/>
      <c r="D103" s="329"/>
      <c r="E103" s="277"/>
      <c r="F103" s="277"/>
      <c r="G103" s="277"/>
      <c r="H103" s="277"/>
      <c r="I103" s="277"/>
      <c r="J103" s="277"/>
      <c r="K103" s="278"/>
    </row>
    <row r="104" spans="1:11" ht="14.1" customHeight="1" thickBot="1" x14ac:dyDescent="0.3">
      <c r="A104" s="359"/>
      <c r="B104" s="353" t="s">
        <v>34</v>
      </c>
      <c r="C104" s="354"/>
      <c r="D104" s="1777" t="s">
        <v>35</v>
      </c>
      <c r="E104" s="1778"/>
      <c r="F104" s="1778"/>
      <c r="G104" s="1778"/>
      <c r="H104" s="1778"/>
      <c r="I104" s="1778"/>
      <c r="J104" s="1778"/>
      <c r="K104" s="1779"/>
    </row>
    <row r="105" spans="1:11" ht="39" customHeight="1" thickBot="1" x14ac:dyDescent="0.3">
      <c r="A105" s="359"/>
      <c r="B105" s="353" t="s">
        <v>36</v>
      </c>
      <c r="C105" s="354"/>
      <c r="D105" s="1777" t="s">
        <v>37</v>
      </c>
      <c r="E105" s="1778"/>
      <c r="F105" s="1778"/>
      <c r="G105" s="1778"/>
      <c r="H105" s="1778"/>
      <c r="I105" s="1778"/>
      <c r="J105" s="1778"/>
      <c r="K105" s="1779"/>
    </row>
    <row r="106" spans="1:11" ht="15.75" thickBot="1" x14ac:dyDescent="0.3">
      <c r="A106" s="359"/>
      <c r="B106" s="249"/>
      <c r="C106" s="250"/>
      <c r="D106" s="248"/>
      <c r="E106" s="248"/>
      <c r="F106" s="248"/>
      <c r="G106" s="248"/>
      <c r="H106" s="248"/>
      <c r="I106" s="248"/>
      <c r="J106" s="248"/>
      <c r="K106" s="248"/>
    </row>
    <row r="107" spans="1:11" ht="24" customHeight="1" thickBot="1" x14ac:dyDescent="0.3">
      <c r="A107" s="359"/>
      <c r="B107" s="1765" t="s">
        <v>38</v>
      </c>
      <c r="C107" s="1766"/>
      <c r="D107" s="1766"/>
      <c r="E107" s="1767"/>
      <c r="F107" s="248"/>
      <c r="G107" s="248"/>
      <c r="H107" s="248"/>
      <c r="I107" s="248"/>
      <c r="J107" s="248"/>
      <c r="K107" s="248"/>
    </row>
    <row r="108" spans="1:11" ht="15.75" thickBot="1" x14ac:dyDescent="0.3">
      <c r="A108" s="359"/>
      <c r="B108" s="1768">
        <v>1</v>
      </c>
      <c r="C108" s="272"/>
      <c r="D108" s="289" t="s">
        <v>39</v>
      </c>
      <c r="E108" s="167" t="s">
        <v>3077</v>
      </c>
      <c r="F108" s="248"/>
      <c r="G108" s="248"/>
      <c r="H108" s="248"/>
      <c r="I108" s="248"/>
      <c r="J108" s="248"/>
      <c r="K108" s="248"/>
    </row>
    <row r="109" spans="1:11" ht="15.75" thickBot="1" x14ac:dyDescent="0.3">
      <c r="A109" s="359"/>
      <c r="B109" s="1769"/>
      <c r="C109" s="272"/>
      <c r="D109" s="278" t="s">
        <v>40</v>
      </c>
      <c r="E109" s="167" t="s">
        <v>3078</v>
      </c>
      <c r="F109" s="248"/>
      <c r="G109" s="248"/>
      <c r="H109" s="248"/>
      <c r="I109" s="248"/>
      <c r="J109" s="248"/>
      <c r="K109" s="248"/>
    </row>
    <row r="110" spans="1:11" ht="15.75" thickBot="1" x14ac:dyDescent="0.3">
      <c r="A110" s="359"/>
      <c r="B110" s="1769"/>
      <c r="C110" s="272"/>
      <c r="D110" s="278" t="s">
        <v>41</v>
      </c>
      <c r="E110" s="167" t="s">
        <v>3079</v>
      </c>
      <c r="F110" s="248"/>
      <c r="G110" s="248"/>
      <c r="H110" s="248"/>
      <c r="I110" s="248"/>
      <c r="J110" s="248"/>
      <c r="K110" s="248"/>
    </row>
    <row r="111" spans="1:11" ht="15.75" thickBot="1" x14ac:dyDescent="0.3">
      <c r="A111" s="359"/>
      <c r="B111" s="1769"/>
      <c r="C111" s="272"/>
      <c r="D111" s="278" t="s">
        <v>42</v>
      </c>
      <c r="E111" s="167" t="s">
        <v>2850</v>
      </c>
      <c r="F111" s="248"/>
      <c r="G111" s="248"/>
      <c r="H111" s="248"/>
      <c r="I111" s="248"/>
      <c r="J111" s="248"/>
      <c r="K111" s="248"/>
    </row>
    <row r="112" spans="1:11" ht="15.75" thickBot="1" x14ac:dyDescent="0.3">
      <c r="A112" s="359"/>
      <c r="B112" s="1769"/>
      <c r="C112" s="272"/>
      <c r="D112" s="278" t="s">
        <v>43</v>
      </c>
      <c r="E112" s="167" t="s">
        <v>3080</v>
      </c>
      <c r="F112" s="248"/>
      <c r="G112" s="248"/>
      <c r="H112" s="248"/>
      <c r="I112" s="248"/>
      <c r="J112" s="248"/>
      <c r="K112" s="248"/>
    </row>
    <row r="113" spans="1:11" ht="15.75" thickBot="1" x14ac:dyDescent="0.3">
      <c r="A113" s="359"/>
      <c r="B113" s="1769"/>
      <c r="C113" s="272"/>
      <c r="D113" s="278" t="s">
        <v>44</v>
      </c>
      <c r="E113" s="167" t="s">
        <v>3081</v>
      </c>
      <c r="F113" s="248"/>
      <c r="G113" s="248"/>
      <c r="H113" s="248"/>
      <c r="I113" s="248"/>
      <c r="J113" s="248"/>
      <c r="K113" s="248"/>
    </row>
    <row r="114" spans="1:11" ht="15.75" thickBot="1" x14ac:dyDescent="0.3">
      <c r="A114" s="359"/>
      <c r="B114" s="1770"/>
      <c r="C114" s="345"/>
      <c r="D114" s="278" t="s">
        <v>45</v>
      </c>
      <c r="E114" s="167" t="s">
        <v>2870</v>
      </c>
      <c r="F114" s="248"/>
      <c r="G114" s="248"/>
      <c r="H114" s="248"/>
      <c r="I114" s="248"/>
      <c r="J114" s="248"/>
      <c r="K114" s="248"/>
    </row>
    <row r="115" spans="1:11" ht="15.75" thickBot="1" x14ac:dyDescent="0.3">
      <c r="A115" s="359"/>
      <c r="B115" s="249"/>
      <c r="C115" s="250"/>
      <c r="D115" s="248"/>
      <c r="E115" s="248"/>
      <c r="F115" s="248"/>
      <c r="G115" s="248"/>
      <c r="H115" s="248"/>
      <c r="I115" s="248"/>
      <c r="J115" s="248"/>
      <c r="K115" s="248"/>
    </row>
    <row r="116" spans="1:11" ht="15" customHeight="1" thickBot="1" x14ac:dyDescent="0.3">
      <c r="A116" s="359"/>
      <c r="B116" s="1765" t="s">
        <v>46</v>
      </c>
      <c r="C116" s="1766"/>
      <c r="D116" s="1766"/>
      <c r="E116" s="1767"/>
      <c r="F116" s="248"/>
      <c r="G116" s="248"/>
      <c r="H116" s="248"/>
      <c r="I116" s="248"/>
      <c r="J116" s="248"/>
      <c r="K116" s="248"/>
    </row>
    <row r="117" spans="1:11" ht="15.75" thickBot="1" x14ac:dyDescent="0.3">
      <c r="A117" s="359"/>
      <c r="B117" s="1768">
        <v>1</v>
      </c>
      <c r="C117" s="272"/>
      <c r="D117" s="289" t="s">
        <v>39</v>
      </c>
      <c r="E117" s="35" t="s">
        <v>47</v>
      </c>
      <c r="F117" s="248"/>
      <c r="G117" s="248"/>
      <c r="H117" s="248"/>
      <c r="I117" s="248"/>
      <c r="J117" s="248"/>
      <c r="K117" s="248"/>
    </row>
    <row r="118" spans="1:11" ht="15.75" thickBot="1" x14ac:dyDescent="0.3">
      <c r="A118" s="359"/>
      <c r="B118" s="1769"/>
      <c r="C118" s="272"/>
      <c r="D118" s="278" t="s">
        <v>40</v>
      </c>
      <c r="E118" s="35" t="s">
        <v>48</v>
      </c>
      <c r="F118" s="248"/>
      <c r="G118" s="248"/>
      <c r="H118" s="248"/>
      <c r="I118" s="248"/>
      <c r="J118" s="248"/>
      <c r="K118" s="248"/>
    </row>
    <row r="119" spans="1:11" ht="15.75" thickBot="1" x14ac:dyDescent="0.3">
      <c r="A119" s="359"/>
      <c r="B119" s="1769"/>
      <c r="C119" s="272"/>
      <c r="D119" s="278" t="s">
        <v>41</v>
      </c>
      <c r="E119" s="172"/>
      <c r="F119" s="248"/>
      <c r="G119" s="248"/>
      <c r="H119" s="248"/>
      <c r="I119" s="248"/>
      <c r="J119" s="248"/>
      <c r="K119" s="248"/>
    </row>
    <row r="120" spans="1:11" ht="15.75" thickBot="1" x14ac:dyDescent="0.3">
      <c r="A120" s="359"/>
      <c r="B120" s="1769"/>
      <c r="C120" s="272"/>
      <c r="D120" s="278" t="s">
        <v>42</v>
      </c>
      <c r="E120" s="172"/>
      <c r="F120" s="248"/>
      <c r="G120" s="248"/>
      <c r="H120" s="248"/>
      <c r="I120" s="248"/>
      <c r="J120" s="248"/>
      <c r="K120" s="248"/>
    </row>
    <row r="121" spans="1:11" ht="15.75" thickBot="1" x14ac:dyDescent="0.3">
      <c r="A121" s="359"/>
      <c r="B121" s="1769"/>
      <c r="C121" s="272"/>
      <c r="D121" s="278" t="s">
        <v>43</v>
      </c>
      <c r="E121" s="172"/>
      <c r="F121" s="248"/>
      <c r="G121" s="248"/>
      <c r="H121" s="248"/>
      <c r="I121" s="248"/>
      <c r="J121" s="248"/>
      <c r="K121" s="248"/>
    </row>
    <row r="122" spans="1:11" ht="15.75" thickBot="1" x14ac:dyDescent="0.3">
      <c r="A122" s="359"/>
      <c r="B122" s="1769"/>
      <c r="C122" s="272"/>
      <c r="D122" s="278" t="s">
        <v>44</v>
      </c>
      <c r="E122" s="172"/>
      <c r="F122" s="248"/>
      <c r="G122" s="248"/>
      <c r="H122" s="248"/>
      <c r="I122" s="248"/>
      <c r="J122" s="248"/>
      <c r="K122" s="248"/>
    </row>
    <row r="123" spans="1:11" ht="15.75" thickBot="1" x14ac:dyDescent="0.3">
      <c r="A123" s="359"/>
      <c r="B123" s="1770"/>
      <c r="C123" s="345"/>
      <c r="D123" s="278" t="s">
        <v>45</v>
      </c>
      <c r="E123" s="172"/>
      <c r="F123" s="248"/>
      <c r="G123" s="248"/>
      <c r="H123" s="248"/>
      <c r="I123" s="248"/>
      <c r="J123" s="248"/>
      <c r="K123" s="248"/>
    </row>
    <row r="124" spans="1:11" ht="15.75" thickBot="1" x14ac:dyDescent="0.3">
      <c r="A124" s="359"/>
      <c r="B124" s="249"/>
      <c r="C124" s="250"/>
      <c r="D124" s="248"/>
      <c r="E124" s="248"/>
      <c r="F124" s="248"/>
      <c r="G124" s="248"/>
      <c r="H124" s="248"/>
      <c r="I124" s="248"/>
      <c r="J124" s="248"/>
      <c r="K124" s="248"/>
    </row>
    <row r="125" spans="1:11" ht="15" customHeight="1" thickBot="1" x14ac:dyDescent="0.3">
      <c r="A125" s="359"/>
      <c r="B125" s="291" t="s">
        <v>49</v>
      </c>
      <c r="C125" s="292"/>
      <c r="D125" s="292"/>
      <c r="E125" s="372"/>
      <c r="F125" s="359"/>
      <c r="G125" s="248"/>
      <c r="H125" s="248"/>
      <c r="I125" s="248"/>
      <c r="J125" s="248"/>
      <c r="K125" s="248"/>
    </row>
    <row r="126" spans="1:11" ht="24.75" thickBot="1" x14ac:dyDescent="0.3">
      <c r="A126" s="359"/>
      <c r="B126" s="285" t="s">
        <v>50</v>
      </c>
      <c r="C126" s="278" t="s">
        <v>51</v>
      </c>
      <c r="D126" s="277" t="s">
        <v>52</v>
      </c>
      <c r="E126" s="373" t="s">
        <v>53</v>
      </c>
      <c r="F126" s="248"/>
      <c r="G126" s="248"/>
      <c r="H126" s="248"/>
      <c r="I126" s="248"/>
      <c r="J126" s="248"/>
      <c r="K126" s="359"/>
    </row>
    <row r="127" spans="1:11" ht="96.75" thickBot="1" x14ac:dyDescent="0.3">
      <c r="A127" s="359"/>
      <c r="B127" s="295">
        <v>42401</v>
      </c>
      <c r="C127" s="278">
        <v>1</v>
      </c>
      <c r="D127" s="307" t="s">
        <v>54</v>
      </c>
      <c r="E127" s="278"/>
      <c r="F127" s="248"/>
      <c r="G127" s="248"/>
      <c r="H127" s="248"/>
      <c r="I127" s="248"/>
      <c r="J127" s="248"/>
      <c r="K127" s="359"/>
    </row>
    <row r="128" spans="1:11" ht="15.75" thickBot="1" x14ac:dyDescent="0.3">
      <c r="A128" s="359"/>
      <c r="B128" s="308"/>
      <c r="C128" s="309"/>
      <c r="D128" s="248"/>
      <c r="E128" s="248"/>
      <c r="F128" s="248"/>
      <c r="G128" s="248"/>
      <c r="H128" s="248"/>
      <c r="I128" s="248"/>
      <c r="J128" s="248"/>
      <c r="K128" s="248"/>
    </row>
    <row r="129" spans="1:11" x14ac:dyDescent="0.25">
      <c r="A129" s="359"/>
      <c r="B129" s="297" t="s">
        <v>55</v>
      </c>
      <c r="C129" s="298"/>
      <c r="D129" s="248"/>
      <c r="E129" s="248"/>
      <c r="F129" s="248"/>
      <c r="G129" s="248"/>
      <c r="H129" s="248"/>
      <c r="I129" s="248"/>
      <c r="J129" s="248"/>
      <c r="K129" s="248"/>
    </row>
    <row r="130" spans="1:11" x14ac:dyDescent="0.25">
      <c r="A130" s="359"/>
      <c r="B130" s="1771"/>
      <c r="C130" s="1771"/>
      <c r="D130" s="1771"/>
      <c r="E130" s="1771"/>
      <c r="F130" s="1771"/>
      <c r="G130" s="248"/>
      <c r="H130" s="248"/>
      <c r="I130" s="248"/>
      <c r="J130" s="248"/>
      <c r="K130" s="248"/>
    </row>
    <row r="131" spans="1:11" ht="44.1" customHeight="1" x14ac:dyDescent="0.25">
      <c r="A131" s="359"/>
      <c r="B131" s="1771"/>
      <c r="C131" s="1771"/>
      <c r="D131" s="1771"/>
      <c r="E131" s="1771"/>
      <c r="F131" s="1771"/>
      <c r="G131" s="248"/>
      <c r="H131" s="248"/>
      <c r="I131" s="248"/>
      <c r="J131" s="248"/>
      <c r="K131" s="248"/>
    </row>
    <row r="132" spans="1:11" x14ac:dyDescent="0.25">
      <c r="A132" s="359"/>
      <c r="B132" s="249"/>
      <c r="C132" s="250"/>
      <c r="D132" s="248"/>
      <c r="E132" s="248"/>
      <c r="F132" s="248"/>
      <c r="G132" s="248"/>
      <c r="H132" s="248"/>
      <c r="I132" s="248"/>
      <c r="J132" s="248"/>
      <c r="K132" s="248"/>
    </row>
    <row r="133" spans="1:11" ht="15.75" thickBot="1" x14ac:dyDescent="0.3">
      <c r="A133" s="359"/>
      <c r="B133" s="318"/>
      <c r="C133" s="304"/>
      <c r="D133" s="248"/>
      <c r="E133" s="248"/>
      <c r="F133" s="248"/>
      <c r="G133" s="248"/>
      <c r="H133" s="248"/>
      <c r="I133" s="248"/>
      <c r="J133" s="248"/>
      <c r="K133" s="248"/>
    </row>
    <row r="134" spans="1:11" ht="15.75" thickBot="1" x14ac:dyDescent="0.3">
      <c r="A134" s="359"/>
      <c r="B134" s="374" t="s">
        <v>56</v>
      </c>
      <c r="C134" s="311"/>
      <c r="D134" s="248"/>
      <c r="E134" s="248"/>
      <c r="F134" s="248"/>
      <c r="G134" s="248"/>
      <c r="H134" s="248"/>
      <c r="I134" s="248"/>
      <c r="J134" s="248"/>
      <c r="K134" s="248"/>
    </row>
    <row r="135" spans="1:11" ht="15.75" thickBot="1" x14ac:dyDescent="0.3">
      <c r="A135" s="359"/>
      <c r="B135" s="318"/>
      <c r="C135" s="304"/>
      <c r="D135" s="248"/>
      <c r="E135" s="248"/>
      <c r="F135" s="248"/>
      <c r="G135" s="248"/>
      <c r="H135" s="248"/>
      <c r="I135" s="248"/>
      <c r="J135" s="248"/>
      <c r="K135" s="248"/>
    </row>
    <row r="136" spans="1:11" ht="15.75" thickBot="1" x14ac:dyDescent="0.3">
      <c r="A136" s="359"/>
      <c r="B136" s="299" t="s">
        <v>57</v>
      </c>
      <c r="C136" s="300"/>
      <c r="D136" s="1777" t="s">
        <v>58</v>
      </c>
      <c r="E136" s="1778"/>
      <c r="F136" s="1779"/>
      <c r="G136" s="248"/>
      <c r="H136" s="248"/>
      <c r="I136" s="248"/>
      <c r="J136" s="248"/>
      <c r="K136" s="248"/>
    </row>
    <row r="137" spans="1:11" x14ac:dyDescent="0.25">
      <c r="A137" s="359"/>
      <c r="B137" s="1768" t="s">
        <v>59</v>
      </c>
      <c r="C137" s="268"/>
      <c r="D137" s="1762" t="s">
        <v>60</v>
      </c>
      <c r="E137" s="1763"/>
      <c r="F137" s="1764"/>
      <c r="G137" s="248"/>
      <c r="H137" s="248"/>
      <c r="I137" s="248"/>
      <c r="J137" s="248"/>
      <c r="K137" s="248"/>
    </row>
    <row r="138" spans="1:11" x14ac:dyDescent="0.25">
      <c r="A138" s="359"/>
      <c r="B138" s="1769"/>
      <c r="C138" s="276"/>
      <c r="D138" s="1756" t="s">
        <v>61</v>
      </c>
      <c r="E138" s="1757"/>
      <c r="F138" s="1758"/>
      <c r="G138" s="248"/>
      <c r="H138" s="248"/>
      <c r="I138" s="248"/>
      <c r="J138" s="248"/>
      <c r="K138" s="248"/>
    </row>
    <row r="139" spans="1:11" x14ac:dyDescent="0.25">
      <c r="A139" s="359"/>
      <c r="B139" s="1769"/>
      <c r="C139" s="276"/>
      <c r="D139" s="1756" t="s">
        <v>62</v>
      </c>
      <c r="E139" s="1757"/>
      <c r="F139" s="1758"/>
      <c r="G139" s="248"/>
      <c r="H139" s="248"/>
      <c r="I139" s="248"/>
      <c r="J139" s="248"/>
      <c r="K139" s="248"/>
    </row>
    <row r="140" spans="1:11" x14ac:dyDescent="0.25">
      <c r="A140" s="359"/>
      <c r="B140" s="1769"/>
      <c r="C140" s="276"/>
      <c r="D140" s="1753" t="s">
        <v>63</v>
      </c>
      <c r="E140" s="1754"/>
      <c r="F140" s="1755"/>
      <c r="G140" s="248"/>
      <c r="H140" s="248"/>
      <c r="I140" s="248"/>
      <c r="J140" s="248"/>
      <c r="K140" s="248"/>
    </row>
    <row r="141" spans="1:11" x14ac:dyDescent="0.25">
      <c r="A141" s="359"/>
      <c r="B141" s="1769"/>
      <c r="C141" s="276"/>
      <c r="D141" s="1756" t="s">
        <v>64</v>
      </c>
      <c r="E141" s="1757"/>
      <c r="F141" s="1758"/>
      <c r="G141" s="248"/>
      <c r="H141" s="248"/>
      <c r="I141" s="248"/>
      <c r="J141" s="248"/>
      <c r="K141" s="248"/>
    </row>
    <row r="142" spans="1:11" x14ac:dyDescent="0.25">
      <c r="A142" s="359"/>
      <c r="B142" s="1769"/>
      <c r="C142" s="276"/>
      <c r="D142" s="1756" t="s">
        <v>65</v>
      </c>
      <c r="E142" s="1757"/>
      <c r="F142" s="1758"/>
      <c r="G142" s="248"/>
      <c r="H142" s="248"/>
      <c r="I142" s="248"/>
      <c r="J142" s="248"/>
      <c r="K142" s="248"/>
    </row>
    <row r="143" spans="1:11" x14ac:dyDescent="0.25">
      <c r="A143" s="359"/>
      <c r="B143" s="1769"/>
      <c r="C143" s="276"/>
      <c r="D143" s="1756" t="s">
        <v>66</v>
      </c>
      <c r="E143" s="1757"/>
      <c r="F143" s="1758"/>
      <c r="G143" s="248"/>
      <c r="H143" s="248"/>
      <c r="I143" s="248"/>
      <c r="J143" s="248"/>
      <c r="K143" s="248"/>
    </row>
    <row r="144" spans="1:11" x14ac:dyDescent="0.25">
      <c r="A144" s="359"/>
      <c r="B144" s="1769"/>
      <c r="C144" s="276"/>
      <c r="D144" s="1756" t="s">
        <v>67</v>
      </c>
      <c r="E144" s="1757"/>
      <c r="F144" s="1758"/>
      <c r="G144" s="248"/>
      <c r="H144" s="248"/>
      <c r="I144" s="248"/>
      <c r="J144" s="248"/>
      <c r="K144" s="248"/>
    </row>
    <row r="145" spans="1:11" x14ac:dyDescent="0.25">
      <c r="A145" s="359"/>
      <c r="B145" s="1769"/>
      <c r="C145" s="276"/>
      <c r="D145" s="1753" t="s">
        <v>68</v>
      </c>
      <c r="E145" s="1754"/>
      <c r="F145" s="1755"/>
      <c r="G145" s="248"/>
      <c r="H145" s="248"/>
      <c r="I145" s="248"/>
      <c r="J145" s="248"/>
      <c r="K145" s="248"/>
    </row>
    <row r="146" spans="1:11" x14ac:dyDescent="0.25">
      <c r="A146" s="359"/>
      <c r="B146" s="1769"/>
      <c r="C146" s="276"/>
      <c r="D146" s="1756" t="s">
        <v>69</v>
      </c>
      <c r="E146" s="1757"/>
      <c r="F146" s="1758"/>
      <c r="G146" s="248"/>
      <c r="H146" s="248"/>
      <c r="I146" s="248"/>
      <c r="J146" s="248"/>
      <c r="K146" s="248"/>
    </row>
    <row r="147" spans="1:11" x14ac:dyDescent="0.25">
      <c r="A147" s="359"/>
      <c r="B147" s="1769"/>
      <c r="C147" s="276"/>
      <c r="D147" s="1756" t="s">
        <v>70</v>
      </c>
      <c r="E147" s="1757"/>
      <c r="F147" s="1758"/>
      <c r="G147" s="248"/>
      <c r="H147" s="248"/>
      <c r="I147" s="248"/>
      <c r="J147" s="248"/>
      <c r="K147" s="248"/>
    </row>
    <row r="148" spans="1:11" ht="15.75" thickBot="1" x14ac:dyDescent="0.3">
      <c r="A148" s="359"/>
      <c r="B148" s="1770"/>
      <c r="C148" s="286"/>
      <c r="D148" s="1780" t="s">
        <v>71</v>
      </c>
      <c r="E148" s="1781"/>
      <c r="F148" s="1782"/>
      <c r="G148" s="248"/>
      <c r="H148" s="248"/>
      <c r="I148" s="248"/>
      <c r="J148" s="248"/>
      <c r="K148" s="248"/>
    </row>
    <row r="149" spans="1:11" ht="24.75" thickBot="1" x14ac:dyDescent="0.3">
      <c r="A149" s="359"/>
      <c r="B149" s="285" t="s">
        <v>72</v>
      </c>
      <c r="C149" s="286"/>
      <c r="D149" s="1777"/>
      <c r="E149" s="1778"/>
      <c r="F149" s="1779"/>
      <c r="G149" s="248"/>
      <c r="H149" s="248"/>
      <c r="I149" s="248"/>
      <c r="J149" s="248"/>
      <c r="K149" s="248"/>
    </row>
    <row r="150" spans="1:11" x14ac:dyDescent="0.25">
      <c r="A150" s="359"/>
      <c r="B150" s="1768" t="s">
        <v>73</v>
      </c>
      <c r="C150" s="268"/>
      <c r="D150" s="1750" t="s">
        <v>74</v>
      </c>
      <c r="E150" s="1751"/>
      <c r="F150" s="1752"/>
      <c r="G150" s="248"/>
      <c r="H150" s="248"/>
      <c r="I150" s="248"/>
      <c r="J150" s="248"/>
      <c r="K150" s="248"/>
    </row>
    <row r="151" spans="1:11" x14ac:dyDescent="0.25">
      <c r="A151" s="359"/>
      <c r="B151" s="1769"/>
      <c r="C151" s="276"/>
      <c r="D151" s="1753" t="s">
        <v>75</v>
      </c>
      <c r="E151" s="1754"/>
      <c r="F151" s="1755"/>
      <c r="G151" s="248"/>
      <c r="H151" s="248"/>
      <c r="I151" s="248"/>
      <c r="J151" s="248"/>
      <c r="K151" s="248"/>
    </row>
    <row r="152" spans="1:11" x14ac:dyDescent="0.25">
      <c r="A152" s="359"/>
      <c r="B152" s="1769"/>
      <c r="C152" s="276"/>
      <c r="D152" s="1756" t="s">
        <v>76</v>
      </c>
      <c r="E152" s="1757"/>
      <c r="F152" s="1758"/>
      <c r="G152" s="248"/>
      <c r="H152" s="248"/>
      <c r="I152" s="248"/>
      <c r="J152" s="248"/>
      <c r="K152" s="248"/>
    </row>
    <row r="153" spans="1:11" x14ac:dyDescent="0.25">
      <c r="A153" s="359"/>
      <c r="B153" s="1769"/>
      <c r="C153" s="276"/>
      <c r="D153" s="1756" t="s">
        <v>77</v>
      </c>
      <c r="E153" s="1757"/>
      <c r="F153" s="1758"/>
      <c r="G153" s="248"/>
      <c r="H153" s="248"/>
      <c r="I153" s="248"/>
      <c r="J153" s="248"/>
      <c r="K153" s="248"/>
    </row>
    <row r="154" spans="1:11" x14ac:dyDescent="0.25">
      <c r="A154" s="359"/>
      <c r="B154" s="1769"/>
      <c r="C154" s="276"/>
      <c r="D154" s="1756" t="s">
        <v>78</v>
      </c>
      <c r="E154" s="1757"/>
      <c r="F154" s="1758"/>
      <c r="G154" s="248"/>
      <c r="H154" s="248"/>
      <c r="I154" s="248"/>
      <c r="J154" s="248"/>
      <c r="K154" s="248"/>
    </row>
    <row r="155" spans="1:11" x14ac:dyDescent="0.25">
      <c r="A155" s="359"/>
      <c r="B155" s="1769"/>
      <c r="C155" s="276"/>
      <c r="D155" s="1756" t="s">
        <v>79</v>
      </c>
      <c r="E155" s="1757"/>
      <c r="F155" s="1758"/>
      <c r="G155" s="248"/>
      <c r="H155" s="248"/>
      <c r="I155" s="248"/>
      <c r="J155" s="248"/>
      <c r="K155" s="248"/>
    </row>
    <row r="156" spans="1:11" x14ac:dyDescent="0.25">
      <c r="A156" s="359"/>
      <c r="B156" s="1769"/>
      <c r="C156" s="276"/>
      <c r="D156" s="1756" t="s">
        <v>80</v>
      </c>
      <c r="E156" s="1757"/>
      <c r="F156" s="1758"/>
      <c r="G156" s="248"/>
      <c r="H156" s="248"/>
      <c r="I156" s="248"/>
      <c r="J156" s="248"/>
      <c r="K156" s="248"/>
    </row>
    <row r="157" spans="1:11" x14ac:dyDescent="0.25">
      <c r="A157" s="359"/>
      <c r="B157" s="1769"/>
      <c r="C157" s="276"/>
      <c r="D157" s="1756" t="s">
        <v>81</v>
      </c>
      <c r="E157" s="1757"/>
      <c r="F157" s="1758"/>
      <c r="G157" s="248"/>
      <c r="H157" s="248"/>
      <c r="I157" s="248"/>
      <c r="J157" s="248"/>
      <c r="K157" s="248"/>
    </row>
    <row r="158" spans="1:11" x14ac:dyDescent="0.25">
      <c r="A158" s="359"/>
      <c r="B158" s="1769"/>
      <c r="C158" s="276"/>
      <c r="D158" s="1753" t="s">
        <v>82</v>
      </c>
      <c r="E158" s="1754"/>
      <c r="F158" s="1755"/>
      <c r="G158" s="248"/>
      <c r="H158" s="248"/>
      <c r="I158" s="248"/>
      <c r="J158" s="248"/>
      <c r="K158" s="248"/>
    </row>
    <row r="159" spans="1:11" x14ac:dyDescent="0.25">
      <c r="A159" s="359"/>
      <c r="B159" s="1769"/>
      <c r="C159" s="276"/>
      <c r="D159" s="1756" t="s">
        <v>83</v>
      </c>
      <c r="E159" s="1757"/>
      <c r="F159" s="1758"/>
      <c r="G159" s="248"/>
      <c r="H159" s="248"/>
      <c r="I159" s="248"/>
      <c r="J159" s="248"/>
      <c r="K159" s="248"/>
    </row>
    <row r="160" spans="1:11" x14ac:dyDescent="0.25">
      <c r="A160" s="359"/>
      <c r="B160" s="1769"/>
      <c r="C160" s="276"/>
      <c r="D160" s="1756" t="s">
        <v>84</v>
      </c>
      <c r="E160" s="1757"/>
      <c r="F160" s="1758"/>
      <c r="G160" s="248"/>
      <c r="H160" s="248"/>
      <c r="I160" s="248"/>
      <c r="J160" s="248"/>
      <c r="K160" s="248"/>
    </row>
    <row r="161" spans="1:11" x14ac:dyDescent="0.25">
      <c r="A161" s="359"/>
      <c r="B161" s="1769"/>
      <c r="C161" s="276"/>
      <c r="D161" s="1756" t="s">
        <v>85</v>
      </c>
      <c r="E161" s="1757"/>
      <c r="F161" s="1758"/>
      <c r="G161" s="248"/>
      <c r="H161" s="248"/>
      <c r="I161" s="248"/>
      <c r="J161" s="248"/>
      <c r="K161" s="248"/>
    </row>
    <row r="162" spans="1:11" x14ac:dyDescent="0.25">
      <c r="A162" s="359"/>
      <c r="B162" s="1769"/>
      <c r="C162" s="276"/>
      <c r="D162" s="1756" t="s">
        <v>86</v>
      </c>
      <c r="E162" s="1757"/>
      <c r="F162" s="1758"/>
      <c r="G162" s="248"/>
      <c r="H162" s="248"/>
      <c r="I162" s="248"/>
      <c r="J162" s="248"/>
      <c r="K162" s="248"/>
    </row>
    <row r="163" spans="1:11" x14ac:dyDescent="0.25">
      <c r="A163" s="359"/>
      <c r="B163" s="1769"/>
      <c r="C163" s="276"/>
      <c r="D163" s="1753" t="s">
        <v>87</v>
      </c>
      <c r="E163" s="1754"/>
      <c r="F163" s="1755"/>
      <c r="G163" s="248"/>
      <c r="H163" s="248"/>
      <c r="I163" s="248"/>
      <c r="J163" s="248"/>
      <c r="K163" s="248"/>
    </row>
    <row r="164" spans="1:11" x14ac:dyDescent="0.25">
      <c r="A164" s="359"/>
      <c r="B164" s="1769"/>
      <c r="C164" s="276"/>
      <c r="D164" s="1756" t="s">
        <v>88</v>
      </c>
      <c r="E164" s="1757"/>
      <c r="F164" s="1758"/>
      <c r="G164" s="248"/>
      <c r="H164" s="248"/>
      <c r="I164" s="248"/>
      <c r="J164" s="248"/>
      <c r="K164" s="248"/>
    </row>
    <row r="165" spans="1:11" x14ac:dyDescent="0.25">
      <c r="A165" s="359"/>
      <c r="B165" s="1769"/>
      <c r="C165" s="276"/>
      <c r="D165" s="1756" t="s">
        <v>84</v>
      </c>
      <c r="E165" s="1757"/>
      <c r="F165" s="1758"/>
      <c r="G165" s="248"/>
      <c r="H165" s="248"/>
      <c r="I165" s="248"/>
      <c r="J165" s="248"/>
      <c r="K165" s="248"/>
    </row>
    <row r="166" spans="1:11" x14ac:dyDescent="0.25">
      <c r="A166" s="359"/>
      <c r="B166" s="1769"/>
      <c r="C166" s="276"/>
      <c r="D166" s="1756" t="s">
        <v>85</v>
      </c>
      <c r="E166" s="1757"/>
      <c r="F166" s="1758"/>
      <c r="G166" s="248"/>
      <c r="H166" s="248"/>
      <c r="I166" s="248"/>
      <c r="J166" s="248"/>
      <c r="K166" s="248"/>
    </row>
    <row r="167" spans="1:11" ht="15.75" thickBot="1" x14ac:dyDescent="0.3">
      <c r="A167" s="359"/>
      <c r="B167" s="1770"/>
      <c r="C167" s="286"/>
      <c r="D167" s="1783" t="s">
        <v>89</v>
      </c>
      <c r="E167" s="1784"/>
      <c r="F167" s="1785"/>
      <c r="G167" s="248"/>
      <c r="H167" s="248"/>
      <c r="I167" s="248"/>
      <c r="J167" s="248"/>
      <c r="K167" s="248"/>
    </row>
    <row r="168" spans="1:11" x14ac:dyDescent="0.25">
      <c r="A168" s="359"/>
      <c r="B168" s="1768" t="s">
        <v>90</v>
      </c>
      <c r="C168" s="268"/>
      <c r="D168" s="1750"/>
      <c r="E168" s="1751"/>
      <c r="F168" s="1752"/>
      <c r="G168" s="248"/>
      <c r="H168" s="248"/>
      <c r="I168" s="248"/>
      <c r="J168" s="248"/>
      <c r="K168" s="248"/>
    </row>
    <row r="169" spans="1:11" x14ac:dyDescent="0.25">
      <c r="A169" s="359"/>
      <c r="B169" s="1769"/>
      <c r="C169" s="276"/>
      <c r="D169" s="1786"/>
      <c r="E169" s="1787"/>
      <c r="F169" s="1788"/>
      <c r="G169" s="248"/>
      <c r="H169" s="248"/>
      <c r="I169" s="248"/>
      <c r="J169" s="248"/>
      <c r="K169" s="248"/>
    </row>
    <row r="170" spans="1:11" x14ac:dyDescent="0.25">
      <c r="A170" s="359"/>
      <c r="B170" s="1769"/>
      <c r="C170" s="276"/>
      <c r="D170" s="1756" t="s">
        <v>91</v>
      </c>
      <c r="E170" s="1757"/>
      <c r="F170" s="1758"/>
      <c r="G170" s="248"/>
      <c r="H170" s="248"/>
      <c r="I170" s="248"/>
      <c r="J170" s="248"/>
      <c r="K170" s="248"/>
    </row>
    <row r="171" spans="1:11" x14ac:dyDescent="0.25">
      <c r="A171" s="359"/>
      <c r="B171" s="1769"/>
      <c r="C171" s="276"/>
      <c r="D171" s="1756" t="s">
        <v>92</v>
      </c>
      <c r="E171" s="1757"/>
      <c r="F171" s="1758"/>
      <c r="G171" s="248"/>
      <c r="H171" s="248"/>
      <c r="I171" s="248"/>
      <c r="J171" s="248"/>
      <c r="K171" s="248"/>
    </row>
    <row r="172" spans="1:11" x14ac:dyDescent="0.25">
      <c r="A172" s="359"/>
      <c r="B172" s="1769"/>
      <c r="C172" s="276"/>
      <c r="D172" s="1756" t="s">
        <v>93</v>
      </c>
      <c r="E172" s="1757"/>
      <c r="F172" s="1758"/>
      <c r="G172" s="248"/>
      <c r="H172" s="248"/>
      <c r="I172" s="248"/>
      <c r="J172" s="248"/>
      <c r="K172" s="248"/>
    </row>
    <row r="173" spans="1:11" x14ac:dyDescent="0.25">
      <c r="A173" s="359"/>
      <c r="B173" s="1769"/>
      <c r="C173" s="276"/>
      <c r="D173" s="1756" t="s">
        <v>94</v>
      </c>
      <c r="E173" s="1757"/>
      <c r="F173" s="1758"/>
      <c r="G173" s="248"/>
      <c r="H173" s="248"/>
      <c r="I173" s="248"/>
      <c r="J173" s="248"/>
      <c r="K173" s="248"/>
    </row>
    <row r="174" spans="1:11" x14ac:dyDescent="0.25">
      <c r="A174" s="359"/>
      <c r="B174" s="1769"/>
      <c r="C174" s="276"/>
      <c r="D174" s="1756" t="s">
        <v>95</v>
      </c>
      <c r="E174" s="1757"/>
      <c r="F174" s="1758"/>
      <c r="G174" s="248"/>
      <c r="H174" s="248"/>
      <c r="I174" s="248"/>
      <c r="J174" s="248"/>
      <c r="K174" s="248"/>
    </row>
    <row r="175" spans="1:11" x14ac:dyDescent="0.25">
      <c r="A175" s="359"/>
      <c r="B175" s="1769"/>
      <c r="C175" s="276"/>
      <c r="D175" s="1756" t="s">
        <v>96</v>
      </c>
      <c r="E175" s="1757"/>
      <c r="F175" s="1758"/>
      <c r="G175" s="248"/>
      <c r="H175" s="248"/>
      <c r="I175" s="248"/>
      <c r="J175" s="248"/>
      <c r="K175" s="248"/>
    </row>
    <row r="176" spans="1:11" x14ac:dyDescent="0.25">
      <c r="A176" s="359"/>
      <c r="B176" s="1769"/>
      <c r="C176" s="276"/>
      <c r="D176" s="1756" t="s">
        <v>97</v>
      </c>
      <c r="E176" s="1757"/>
      <c r="F176" s="1758"/>
      <c r="G176" s="248"/>
      <c r="H176" s="248"/>
      <c r="I176" s="248"/>
      <c r="J176" s="248"/>
      <c r="K176" s="248"/>
    </row>
    <row r="177" spans="1:11" x14ac:dyDescent="0.25">
      <c r="A177" s="359"/>
      <c r="B177" s="1769"/>
      <c r="C177" s="276"/>
      <c r="D177" s="1756" t="s">
        <v>98</v>
      </c>
      <c r="E177" s="1757"/>
      <c r="F177" s="1758"/>
      <c r="G177" s="248"/>
      <c r="H177" s="248"/>
      <c r="I177" s="248"/>
      <c r="J177" s="248"/>
      <c r="K177" s="248"/>
    </row>
    <row r="178" spans="1:11" x14ac:dyDescent="0.25">
      <c r="A178" s="359"/>
      <c r="B178" s="1769"/>
      <c r="C178" s="276"/>
      <c r="D178" s="1756" t="s">
        <v>99</v>
      </c>
      <c r="E178" s="1757"/>
      <c r="F178" s="1758"/>
      <c r="G178" s="248"/>
      <c r="H178" s="248"/>
      <c r="I178" s="248"/>
      <c r="J178" s="248"/>
      <c r="K178" s="248"/>
    </row>
    <row r="179" spans="1:11" x14ac:dyDescent="0.25">
      <c r="A179" s="359"/>
      <c r="B179" s="1769"/>
      <c r="C179" s="276"/>
      <c r="D179" s="1756" t="s">
        <v>100</v>
      </c>
      <c r="E179" s="1757"/>
      <c r="F179" s="1758"/>
      <c r="G179" s="248"/>
      <c r="H179" s="248"/>
      <c r="I179" s="248"/>
      <c r="J179" s="248"/>
      <c r="K179" s="248"/>
    </row>
    <row r="180" spans="1:11" x14ac:dyDescent="0.25">
      <c r="A180" s="359"/>
      <c r="B180" s="1769"/>
      <c r="C180" s="276"/>
      <c r="D180" s="1756" t="s">
        <v>101</v>
      </c>
      <c r="E180" s="1757"/>
      <c r="F180" s="1758"/>
      <c r="G180" s="248"/>
      <c r="H180" s="248"/>
      <c r="I180" s="248"/>
      <c r="J180" s="248"/>
      <c r="K180" s="248"/>
    </row>
    <row r="181" spans="1:11" ht="15.75" thickBot="1" x14ac:dyDescent="0.3">
      <c r="A181" s="359"/>
      <c r="B181" s="1769"/>
      <c r="C181" s="276"/>
      <c r="D181" s="1747" t="s">
        <v>102</v>
      </c>
      <c r="E181" s="1748"/>
      <c r="F181" s="1749"/>
      <c r="G181" s="248"/>
      <c r="H181" s="248"/>
      <c r="I181" s="248"/>
      <c r="J181" s="248"/>
      <c r="K181" s="248"/>
    </row>
    <row r="182" spans="1:11" ht="24.75" thickBot="1" x14ac:dyDescent="0.3">
      <c r="A182" s="359"/>
      <c r="B182" s="1769"/>
      <c r="C182" s="272"/>
      <c r="D182" s="287" t="s">
        <v>103</v>
      </c>
      <c r="E182" s="287" t="s">
        <v>104</v>
      </c>
      <c r="F182" s="287" t="s">
        <v>105</v>
      </c>
      <c r="G182" s="248"/>
      <c r="H182" s="248"/>
      <c r="I182" s="248"/>
      <c r="J182" s="248"/>
      <c r="K182" s="248"/>
    </row>
    <row r="183" spans="1:11" ht="15.75" thickBot="1" x14ac:dyDescent="0.3">
      <c r="A183" s="359"/>
      <c r="B183" s="1769"/>
      <c r="C183" s="272"/>
      <c r="D183" s="278" t="s">
        <v>106</v>
      </c>
      <c r="E183" s="375">
        <v>0.15</v>
      </c>
      <c r="F183" s="375">
        <v>0.15</v>
      </c>
      <c r="G183" s="248"/>
      <c r="H183" s="248"/>
      <c r="I183" s="248"/>
      <c r="J183" s="248"/>
      <c r="K183" s="248"/>
    </row>
    <row r="184" spans="1:11" ht="15.75" thickBot="1" x14ac:dyDescent="0.3">
      <c r="A184" s="359"/>
      <c r="B184" s="1769"/>
      <c r="C184" s="272"/>
      <c r="D184" s="278" t="s">
        <v>107</v>
      </c>
      <c r="E184" s="375">
        <v>0.18</v>
      </c>
      <c r="F184" s="375">
        <v>0.33</v>
      </c>
      <c r="G184" s="248"/>
      <c r="H184" s="376"/>
      <c r="I184" s="248"/>
      <c r="J184" s="248"/>
      <c r="K184" s="248"/>
    </row>
    <row r="185" spans="1:11" ht="15.75" thickBot="1" x14ac:dyDescent="0.3">
      <c r="A185" s="359"/>
      <c r="B185" s="1769"/>
      <c r="C185" s="272"/>
      <c r="D185" s="278" t="s">
        <v>108</v>
      </c>
      <c r="E185" s="375">
        <v>0.33</v>
      </c>
      <c r="F185" s="375">
        <v>0.66</v>
      </c>
      <c r="G185" s="248"/>
      <c r="H185" s="376"/>
      <c r="I185" s="248"/>
      <c r="J185" s="248"/>
      <c r="K185" s="248"/>
    </row>
    <row r="186" spans="1:11" ht="24.75" thickBot="1" x14ac:dyDescent="0.3">
      <c r="A186" s="359"/>
      <c r="B186" s="1769"/>
      <c r="C186" s="272"/>
      <c r="D186" s="278" t="s">
        <v>109</v>
      </c>
      <c r="E186" s="375">
        <v>0.16</v>
      </c>
      <c r="F186" s="375">
        <v>0.82</v>
      </c>
      <c r="G186" s="248"/>
      <c r="H186" s="376"/>
      <c r="I186" s="248"/>
      <c r="J186" s="248"/>
      <c r="K186" s="248"/>
    </row>
    <row r="187" spans="1:11" ht="15.75" thickBot="1" x14ac:dyDescent="0.3">
      <c r="A187" s="359"/>
      <c r="B187" s="1769"/>
      <c r="C187" s="272"/>
      <c r="D187" s="278" t="s">
        <v>110</v>
      </c>
      <c r="E187" s="375">
        <v>0.18</v>
      </c>
      <c r="F187" s="375">
        <v>1</v>
      </c>
      <c r="G187" s="248"/>
      <c r="H187" s="376"/>
      <c r="I187" s="248"/>
      <c r="J187" s="248"/>
      <c r="K187" s="248"/>
    </row>
    <row r="188" spans="1:11" x14ac:dyDescent="0.25">
      <c r="A188" s="359"/>
      <c r="B188" s="1769"/>
      <c r="C188" s="276"/>
      <c r="D188" s="1762"/>
      <c r="E188" s="1763"/>
      <c r="F188" s="1764"/>
      <c r="G188" s="248"/>
      <c r="H188" s="248"/>
      <c r="I188" s="248"/>
      <c r="J188" s="248"/>
      <c r="K188" s="248"/>
    </row>
    <row r="189" spans="1:11" ht="15.75" thickBot="1" x14ac:dyDescent="0.3">
      <c r="A189" s="359"/>
      <c r="B189" s="1769"/>
      <c r="C189" s="276"/>
      <c r="D189" s="1747" t="s">
        <v>82</v>
      </c>
      <c r="E189" s="1748"/>
      <c r="F189" s="1749"/>
      <c r="G189" s="248"/>
      <c r="H189" s="248"/>
      <c r="I189" s="248"/>
      <c r="J189" s="248"/>
      <c r="K189" s="248"/>
    </row>
    <row r="190" spans="1:11" ht="24.75" thickBot="1" x14ac:dyDescent="0.3">
      <c r="A190" s="359"/>
      <c r="B190" s="1769"/>
      <c r="C190" s="272"/>
      <c r="D190" s="287" t="s">
        <v>103</v>
      </c>
      <c r="E190" s="287" t="s">
        <v>104</v>
      </c>
      <c r="F190" s="287" t="s">
        <v>105</v>
      </c>
      <c r="G190" s="248"/>
      <c r="H190" s="248"/>
      <c r="I190" s="248"/>
      <c r="J190" s="248"/>
      <c r="K190" s="248"/>
    </row>
    <row r="191" spans="1:11" ht="15.75" thickBot="1" x14ac:dyDescent="0.3">
      <c r="A191" s="359"/>
      <c r="B191" s="1769"/>
      <c r="C191" s="272"/>
      <c r="D191" s="278" t="s">
        <v>111</v>
      </c>
      <c r="E191" s="375">
        <v>0.2</v>
      </c>
      <c r="F191" s="375">
        <v>0.2</v>
      </c>
      <c r="G191" s="248"/>
      <c r="H191" s="248"/>
      <c r="I191" s="248"/>
      <c r="J191" s="248"/>
      <c r="K191" s="248"/>
    </row>
    <row r="192" spans="1:11" ht="15.75" thickBot="1" x14ac:dyDescent="0.3">
      <c r="A192" s="359"/>
      <c r="B192" s="1769"/>
      <c r="C192" s="272"/>
      <c r="D192" s="278" t="s">
        <v>112</v>
      </c>
      <c r="E192" s="375">
        <v>0.5</v>
      </c>
      <c r="F192" s="375">
        <v>0.7</v>
      </c>
      <c r="G192" s="248"/>
      <c r="H192" s="376"/>
      <c r="I192" s="248"/>
      <c r="J192" s="248"/>
      <c r="K192" s="248"/>
    </row>
    <row r="193" spans="1:11" ht="15.75" thickBot="1" x14ac:dyDescent="0.3">
      <c r="A193" s="359"/>
      <c r="B193" s="1769"/>
      <c r="C193" s="272"/>
      <c r="D193" s="278" t="s">
        <v>113</v>
      </c>
      <c r="E193" s="375">
        <v>0.3</v>
      </c>
      <c r="F193" s="375">
        <v>1</v>
      </c>
      <c r="G193" s="248"/>
      <c r="H193" s="376"/>
      <c r="I193" s="248"/>
      <c r="J193" s="248"/>
      <c r="K193" s="248"/>
    </row>
    <row r="194" spans="1:11" x14ac:dyDescent="0.25">
      <c r="A194" s="359"/>
      <c r="B194" s="1769"/>
      <c r="C194" s="276"/>
      <c r="D194" s="1750"/>
      <c r="E194" s="1751"/>
      <c r="F194" s="1752"/>
      <c r="G194" s="248"/>
      <c r="H194" s="376"/>
      <c r="I194" s="248"/>
      <c r="J194" s="248"/>
      <c r="K194" s="248"/>
    </row>
    <row r="195" spans="1:11" ht="15.75" thickBot="1" x14ac:dyDescent="0.3">
      <c r="A195" s="359"/>
      <c r="B195" s="1769"/>
      <c r="C195" s="276"/>
      <c r="D195" s="1747" t="s">
        <v>114</v>
      </c>
      <c r="E195" s="1748"/>
      <c r="F195" s="1749"/>
      <c r="G195" s="248"/>
      <c r="H195" s="376"/>
      <c r="I195" s="248"/>
      <c r="J195" s="248"/>
      <c r="K195" s="248"/>
    </row>
    <row r="196" spans="1:11" ht="24.75" thickBot="1" x14ac:dyDescent="0.3">
      <c r="A196" s="359"/>
      <c r="B196" s="1769"/>
      <c r="C196" s="272"/>
      <c r="D196" s="287" t="s">
        <v>103</v>
      </c>
      <c r="E196" s="287" t="s">
        <v>104</v>
      </c>
      <c r="F196" s="287" t="s">
        <v>105</v>
      </c>
      <c r="G196" s="248"/>
      <c r="H196" s="248"/>
      <c r="I196" s="248"/>
      <c r="J196" s="248"/>
      <c r="K196" s="248"/>
    </row>
    <row r="197" spans="1:11" ht="15.75" thickBot="1" x14ac:dyDescent="0.3">
      <c r="A197" s="359"/>
      <c r="B197" s="1769"/>
      <c r="C197" s="272"/>
      <c r="D197" s="278" t="s">
        <v>115</v>
      </c>
      <c r="E197" s="375">
        <v>0.2</v>
      </c>
      <c r="F197" s="375">
        <v>0.2</v>
      </c>
      <c r="G197" s="248"/>
      <c r="H197" s="376"/>
      <c r="I197" s="248"/>
      <c r="J197" s="248"/>
      <c r="K197" s="248"/>
    </row>
    <row r="198" spans="1:11" ht="15.75" thickBot="1" x14ac:dyDescent="0.3">
      <c r="A198" s="359"/>
      <c r="B198" s="1769"/>
      <c r="C198" s="272"/>
      <c r="D198" s="278" t="s">
        <v>112</v>
      </c>
      <c r="E198" s="375">
        <v>0.5</v>
      </c>
      <c r="F198" s="375">
        <v>0.7</v>
      </c>
      <c r="G198" s="248"/>
      <c r="H198" s="376"/>
      <c r="I198" s="248"/>
      <c r="J198" s="248"/>
      <c r="K198" s="248"/>
    </row>
    <row r="199" spans="1:11" ht="15.75" thickBot="1" x14ac:dyDescent="0.3">
      <c r="A199" s="359"/>
      <c r="B199" s="1769"/>
      <c r="C199" s="272"/>
      <c r="D199" s="278" t="s">
        <v>113</v>
      </c>
      <c r="E199" s="375">
        <v>0.3</v>
      </c>
      <c r="F199" s="375">
        <v>1</v>
      </c>
      <c r="G199" s="248"/>
      <c r="H199" s="376"/>
      <c r="I199" s="248"/>
      <c r="J199" s="248"/>
      <c r="K199" s="248"/>
    </row>
    <row r="200" spans="1:11" x14ac:dyDescent="0.25">
      <c r="A200" s="359"/>
      <c r="B200" s="1769"/>
      <c r="C200" s="276"/>
      <c r="D200" s="1750"/>
      <c r="E200" s="1751"/>
      <c r="F200" s="1752"/>
      <c r="G200" s="248"/>
      <c r="H200" s="248"/>
      <c r="I200" s="248"/>
      <c r="J200" s="248"/>
      <c r="K200" s="248"/>
    </row>
    <row r="201" spans="1:11" x14ac:dyDescent="0.25">
      <c r="A201" s="359"/>
      <c r="B201" s="1769"/>
      <c r="C201" s="276"/>
      <c r="D201" s="1753" t="s">
        <v>116</v>
      </c>
      <c r="E201" s="1754"/>
      <c r="F201" s="1755"/>
      <c r="G201" s="248"/>
      <c r="H201" s="248"/>
      <c r="I201" s="248"/>
      <c r="J201" s="248"/>
      <c r="K201" s="248"/>
    </row>
    <row r="202" spans="1:11" x14ac:dyDescent="0.25">
      <c r="A202" s="359"/>
      <c r="B202" s="1769"/>
      <c r="C202" s="276"/>
      <c r="D202" s="1756" t="s">
        <v>117</v>
      </c>
      <c r="E202" s="1757"/>
      <c r="F202" s="1758"/>
      <c r="G202" s="248"/>
      <c r="H202" s="248"/>
      <c r="I202" s="248"/>
      <c r="J202" s="248"/>
      <c r="K202" s="248"/>
    </row>
    <row r="203" spans="1:11" x14ac:dyDescent="0.25">
      <c r="A203" s="359"/>
      <c r="B203" s="1769"/>
      <c r="C203" s="276"/>
      <c r="D203" s="301"/>
      <c r="E203" s="377"/>
      <c r="F203" s="313"/>
      <c r="G203" s="248"/>
      <c r="H203" s="248"/>
      <c r="I203" s="248"/>
      <c r="J203" s="248"/>
      <c r="K203" s="248"/>
    </row>
    <row r="204" spans="1:11" x14ac:dyDescent="0.25">
      <c r="A204" s="359"/>
      <c r="B204" s="1769"/>
      <c r="C204" s="276"/>
      <c r="D204" s="1756" t="s">
        <v>118</v>
      </c>
      <c r="E204" s="1757"/>
      <c r="F204" s="1758"/>
      <c r="G204" s="248"/>
      <c r="H204" s="248"/>
      <c r="I204" s="248"/>
      <c r="J204" s="248"/>
      <c r="K204" s="248"/>
    </row>
    <row r="205" spans="1:11" x14ac:dyDescent="0.25">
      <c r="A205" s="359"/>
      <c r="B205" s="1769"/>
      <c r="C205" s="276"/>
      <c r="D205" s="1756" t="s">
        <v>119</v>
      </c>
      <c r="E205" s="1757"/>
      <c r="F205" s="1758"/>
      <c r="G205" s="248"/>
      <c r="H205" s="248"/>
      <c r="I205" s="248"/>
      <c r="J205" s="248"/>
      <c r="K205" s="248"/>
    </row>
    <row r="206" spans="1:11" x14ac:dyDescent="0.25">
      <c r="A206" s="359"/>
      <c r="B206" s="1769"/>
      <c r="C206" s="276"/>
      <c r="D206" s="1756" t="s">
        <v>120</v>
      </c>
      <c r="E206" s="1757"/>
      <c r="F206" s="1758"/>
      <c r="G206" s="248"/>
      <c r="H206" s="248"/>
      <c r="I206" s="248"/>
      <c r="J206" s="248"/>
      <c r="K206" s="248"/>
    </row>
    <row r="207" spans="1:11" x14ac:dyDescent="0.25">
      <c r="A207" s="359"/>
      <c r="B207" s="1769"/>
      <c r="C207" s="276"/>
      <c r="D207" s="1756" t="s">
        <v>121</v>
      </c>
      <c r="E207" s="1757"/>
      <c r="F207" s="1758"/>
      <c r="G207" s="248"/>
      <c r="H207" s="248"/>
      <c r="I207" s="248"/>
      <c r="J207" s="248"/>
      <c r="K207" s="248"/>
    </row>
    <row r="208" spans="1:11" x14ac:dyDescent="0.25">
      <c r="A208" s="359"/>
      <c r="B208" s="1769"/>
      <c r="C208" s="276"/>
      <c r="D208" s="301"/>
      <c r="E208" s="377"/>
      <c r="F208" s="313"/>
      <c r="G208" s="248"/>
      <c r="H208" s="248"/>
      <c r="I208" s="248"/>
      <c r="J208" s="248"/>
      <c r="K208" s="248"/>
    </row>
    <row r="209" spans="1:11" x14ac:dyDescent="0.25">
      <c r="A209" s="359"/>
      <c r="B209" s="1769"/>
      <c r="C209" s="276"/>
      <c r="D209" s="1753" t="s">
        <v>122</v>
      </c>
      <c r="E209" s="1754"/>
      <c r="F209" s="1755"/>
      <c r="G209" s="248"/>
      <c r="H209" s="248"/>
      <c r="I209" s="248"/>
      <c r="J209" s="248"/>
      <c r="K209" s="248"/>
    </row>
    <row r="210" spans="1:11" x14ac:dyDescent="0.25">
      <c r="A210" s="359"/>
      <c r="B210" s="1769"/>
      <c r="C210" s="276"/>
      <c r="D210" s="1756" t="s">
        <v>123</v>
      </c>
      <c r="E210" s="1757"/>
      <c r="F210" s="1758"/>
      <c r="G210" s="248"/>
      <c r="H210" s="248"/>
      <c r="I210" s="248"/>
      <c r="J210" s="248"/>
      <c r="K210" s="248"/>
    </row>
    <row r="211" spans="1:11" ht="32.1" customHeight="1" x14ac:dyDescent="0.25">
      <c r="A211" s="359"/>
      <c r="B211" s="1769"/>
      <c r="C211" s="276"/>
      <c r="D211" s="1786"/>
      <c r="E211" s="1787"/>
      <c r="F211" s="1788"/>
      <c r="G211" s="248"/>
      <c r="H211" s="248"/>
      <c r="I211" s="248"/>
      <c r="J211" s="248"/>
      <c r="K211" s="248"/>
    </row>
    <row r="212" spans="1:11" x14ac:dyDescent="0.25">
      <c r="A212" s="359"/>
      <c r="B212" s="1769"/>
      <c r="C212" s="276"/>
      <c r="D212" s="1756" t="s">
        <v>124</v>
      </c>
      <c r="E212" s="1757"/>
      <c r="F212" s="1758"/>
      <c r="G212" s="248"/>
      <c r="H212" s="248"/>
      <c r="I212" s="248"/>
      <c r="J212" s="248"/>
      <c r="K212" s="248"/>
    </row>
    <row r="213" spans="1:11" x14ac:dyDescent="0.25">
      <c r="A213" s="359"/>
      <c r="B213" s="1769"/>
      <c r="C213" s="276"/>
      <c r="D213" s="1756" t="s">
        <v>125</v>
      </c>
      <c r="E213" s="1757"/>
      <c r="F213" s="1758"/>
      <c r="G213" s="248"/>
      <c r="H213" s="248"/>
      <c r="I213" s="248"/>
      <c r="J213" s="248"/>
      <c r="K213" s="248"/>
    </row>
    <row r="214" spans="1:11" x14ac:dyDescent="0.25">
      <c r="A214" s="359"/>
      <c r="B214" s="1769"/>
      <c r="C214" s="276"/>
      <c r="D214" s="1756" t="s">
        <v>126</v>
      </c>
      <c r="E214" s="1757"/>
      <c r="F214" s="1758"/>
      <c r="G214" s="248"/>
      <c r="H214" s="248"/>
      <c r="I214" s="248"/>
      <c r="J214" s="248"/>
      <c r="K214" s="248"/>
    </row>
    <row r="215" spans="1:11" ht="15.75" thickBot="1" x14ac:dyDescent="0.3">
      <c r="A215" s="359"/>
      <c r="B215" s="1770"/>
      <c r="C215" s="286"/>
      <c r="D215" s="1783" t="s">
        <v>127</v>
      </c>
      <c r="E215" s="1784"/>
      <c r="F215" s="1785"/>
      <c r="G215" s="248"/>
      <c r="H215" s="248"/>
      <c r="I215" s="248"/>
      <c r="J215" s="248"/>
      <c r="K215" s="248"/>
    </row>
  </sheetData>
  <sheetProtection insertRows="0"/>
  <mergeCells count="104">
    <mergeCell ref="A5:P5"/>
    <mergeCell ref="A1:P1"/>
    <mergeCell ref="A2:P2"/>
    <mergeCell ref="A3:P3"/>
    <mergeCell ref="A4:D4"/>
    <mergeCell ref="B10:D10"/>
    <mergeCell ref="F11:S11"/>
    <mergeCell ref="E13:R13"/>
    <mergeCell ref="F10:S10"/>
    <mergeCell ref="E12:J12"/>
    <mergeCell ref="K12:R12"/>
    <mergeCell ref="D211:F211"/>
    <mergeCell ref="D212:F212"/>
    <mergeCell ref="D213:F213"/>
    <mergeCell ref="D214:F214"/>
    <mergeCell ref="D207:F207"/>
    <mergeCell ref="D181:F181"/>
    <mergeCell ref="D188:F188"/>
    <mergeCell ref="D189:F189"/>
    <mergeCell ref="D194:F194"/>
    <mergeCell ref="D195:F195"/>
    <mergeCell ref="D200:F200"/>
    <mergeCell ref="D201:F201"/>
    <mergeCell ref="D202:F202"/>
    <mergeCell ref="D204:F204"/>
    <mergeCell ref="D205:F205"/>
    <mergeCell ref="D206:F206"/>
    <mergeCell ref="D175:F175"/>
    <mergeCell ref="D176:F176"/>
    <mergeCell ref="D177:F177"/>
    <mergeCell ref="D178:F178"/>
    <mergeCell ref="D179:F179"/>
    <mergeCell ref="D180:F180"/>
    <mergeCell ref="D166:F166"/>
    <mergeCell ref="D167:F167"/>
    <mergeCell ref="B168:B215"/>
    <mergeCell ref="D168:F168"/>
    <mergeCell ref="D169:F169"/>
    <mergeCell ref="D170:F170"/>
    <mergeCell ref="D171:F171"/>
    <mergeCell ref="D172:F172"/>
    <mergeCell ref="D173:F173"/>
    <mergeCell ref="D174:F174"/>
    <mergeCell ref="B150:B167"/>
    <mergeCell ref="D150:F150"/>
    <mergeCell ref="D151:F151"/>
    <mergeCell ref="D152:F152"/>
    <mergeCell ref="D153:F153"/>
    <mergeCell ref="D215:F215"/>
    <mergeCell ref="D209:F209"/>
    <mergeCell ref="D210:F210"/>
    <mergeCell ref="D149:F149"/>
    <mergeCell ref="D165:F165"/>
    <mergeCell ref="D154:F154"/>
    <mergeCell ref="D155:F155"/>
    <mergeCell ref="D156:F156"/>
    <mergeCell ref="D157:F157"/>
    <mergeCell ref="D158:F158"/>
    <mergeCell ref="D159:F159"/>
    <mergeCell ref="D160:F160"/>
    <mergeCell ref="D161:F161"/>
    <mergeCell ref="D162:F162"/>
    <mergeCell ref="D163:F163"/>
    <mergeCell ref="D164:F164"/>
    <mergeCell ref="D136:F136"/>
    <mergeCell ref="B137:B148"/>
    <mergeCell ref="D137:F137"/>
    <mergeCell ref="D138:F138"/>
    <mergeCell ref="D139:F139"/>
    <mergeCell ref="D140:F140"/>
    <mergeCell ref="D141:F141"/>
    <mergeCell ref="D142:F142"/>
    <mergeCell ref="D143:F143"/>
    <mergeCell ref="D144:F144"/>
    <mergeCell ref="D145:F145"/>
    <mergeCell ref="D146:F146"/>
    <mergeCell ref="D147:F147"/>
    <mergeCell ref="D148:F148"/>
    <mergeCell ref="B107:E107"/>
    <mergeCell ref="B108:B114"/>
    <mergeCell ref="B116:E116"/>
    <mergeCell ref="B117:B123"/>
    <mergeCell ref="B130:F131"/>
    <mergeCell ref="D100:E100"/>
    <mergeCell ref="D101:K101"/>
    <mergeCell ref="D102:K102"/>
    <mergeCell ref="D104:K104"/>
    <mergeCell ref="D105:K105"/>
    <mergeCell ref="B15:B21"/>
    <mergeCell ref="D95:K95"/>
    <mergeCell ref="D15:K15"/>
    <mergeCell ref="D22:K22"/>
    <mergeCell ref="D23:K23"/>
    <mergeCell ref="D39:K39"/>
    <mergeCell ref="D40:K40"/>
    <mergeCell ref="D41:K41"/>
    <mergeCell ref="D42:K42"/>
    <mergeCell ref="D43:K43"/>
    <mergeCell ref="D59:K59"/>
    <mergeCell ref="D60:K60"/>
    <mergeCell ref="D76:K76"/>
    <mergeCell ref="D77:K77"/>
    <mergeCell ref="D78:K78"/>
    <mergeCell ref="D94:K94"/>
  </mergeCells>
  <conditionalFormatting sqref="D100">
    <cfRule type="containsText" dxfId="130" priority="9" operator="containsText" text="ERROR">
      <formula>NOT(ISERROR(SEARCH("ERROR",D100)))</formula>
    </cfRule>
  </conditionalFormatting>
  <conditionalFormatting sqref="F10">
    <cfRule type="notContainsBlanks" dxfId="129" priority="8">
      <formula>LEN(TRIM(F10))&gt;0</formula>
    </cfRule>
  </conditionalFormatting>
  <conditionalFormatting sqref="F11:S11">
    <cfRule type="expression" dxfId="128" priority="5">
      <formula>E11="NO SE REPORTA"</formula>
    </cfRule>
    <cfRule type="expression" dxfId="127" priority="6">
      <formula>E10="NO APLICA"</formula>
    </cfRule>
  </conditionalFormatting>
  <conditionalFormatting sqref="E12 K12">
    <cfRule type="expression" dxfId="126" priority="2">
      <formula>E11="SI SE REPORTA"</formula>
    </cfRule>
  </conditionalFormatting>
  <dataValidations count="7">
    <dataValidation type="decimal" allowBlank="1" showInputMessage="1" showErrorMessage="1" errorTitle="ERROR" error="Escriba un valor entre 0% y 100%" sqref="E97:F99 G45:J58 G62:J75" xr:uid="{00000000-0002-0000-0B00-000000000000}">
      <formula1>0</formula1>
      <formula2>1</formula2>
    </dataValidation>
    <dataValidation type="whole" operator="greaterThanOrEqual" allowBlank="1" showErrorMessage="1" errorTitle="ERROR" error="Escriba un número igual o mayor que 0" promptTitle="ERROR" prompt="Escriba un número igual o mayor que 0" sqref="E16:E21" xr:uid="{00000000-0002-0000-0B00-000001000000}">
      <formula1>0</formula1>
    </dataValidation>
    <dataValidation type="textLength" allowBlank="1" showInputMessage="1" showErrorMessage="1" errorTitle="ERROR" error="Escriba POMCA, PMM o PMA" promptTitle="ESCRIBA" prompt="POMCA, PMA o PMM" sqref="D25:D38 D45:D58" xr:uid="{00000000-0002-0000-0B00-000002000000}">
      <formula1>1</formula1>
      <formula2>5</formula2>
    </dataValidation>
    <dataValidation type="whole" operator="greaterThanOrEqual" allowBlank="1" showInputMessage="1" showErrorMessage="1" errorTitle="ERROR" error="Valor en HECTAREAS (sin decimales)_x000a_" sqref="G25:G38" xr:uid="{8936C1F3-A2A6-48DB-9816-D8A644E29483}">
      <formula1>0</formula1>
    </dataValidation>
    <dataValidation allowBlank="1" showInputMessage="1" showErrorMessage="1" promptTitle="ESTADO" prompt="Procesos formales previos_x000a_Aprestamiento_x000a_Diagnóstico_x000a_Prospectiva y Zonificación Ambiental_x000a_Formulación_x000a_Aprobado" sqref="H25:H38" xr:uid="{FCB6F178-5B9B-4299-9AE4-31F653A6CEE5}"/>
    <dataValidation type="list" allowBlank="1" showInputMessage="1" showErrorMessage="1" sqref="E10" xr:uid="{00000000-0002-0000-0B00-000005000000}">
      <formula1>SI</formula1>
    </dataValidation>
    <dataValidation type="list" allowBlank="1" showInputMessage="1" showErrorMessage="1" sqref="E11" xr:uid="{00000000-0002-0000-0B00-000006000000}">
      <formula1>REPORTE</formula1>
    </dataValidation>
  </dataValidations>
  <hyperlinks>
    <hyperlink ref="B9" location="'ANEXO 3'!A1" display="VOLVER AL INDICE" xr:uid="{00000000-0004-0000-0B00-000000000000}"/>
  </hyperlinks>
  <pageMargins left="0.25" right="0.25" top="0.75" bottom="0.75" header="0.3" footer="0.3"/>
  <pageSetup paperSize="178" orientation="landscape"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2"/>
  <dimension ref="A1:U76"/>
  <sheetViews>
    <sheetView showGridLines="0" zoomScale="98" zoomScaleNormal="98" workbookViewId="0">
      <selection activeCell="E14" sqref="E14"/>
    </sheetView>
  </sheetViews>
  <sheetFormatPr baseColWidth="10" defaultRowHeight="15" x14ac:dyDescent="0.25"/>
  <cols>
    <col min="1" max="1" width="1.85546875" customWidth="1"/>
    <col min="2" max="2" width="12.85546875" customWidth="1"/>
    <col min="3" max="3" width="6.140625" style="87" bestFit="1" customWidth="1"/>
    <col min="4" max="4" width="34.85546875" customWidth="1"/>
    <col min="5" max="5" width="12.140625" customWidth="1"/>
  </cols>
  <sheetData>
    <row r="1" spans="1:21" s="538" customFormat="1" ht="100.5" customHeight="1" thickBot="1" x14ac:dyDescent="0.3">
      <c r="A1" s="1733"/>
      <c r="B1" s="1734"/>
      <c r="C1" s="1734"/>
      <c r="D1" s="1734"/>
      <c r="E1" s="1734"/>
      <c r="F1" s="1734"/>
      <c r="G1" s="1734"/>
      <c r="H1" s="1734"/>
      <c r="I1" s="1734"/>
      <c r="J1" s="1734"/>
      <c r="K1" s="1734"/>
      <c r="L1" s="1734"/>
      <c r="M1" s="1734"/>
      <c r="N1" s="1734"/>
      <c r="O1" s="1734"/>
      <c r="P1" s="1735"/>
      <c r="Q1" s="412"/>
      <c r="R1" s="412"/>
    </row>
    <row r="2" spans="1:21" s="539" customFormat="1" ht="16.5" thickBot="1" x14ac:dyDescent="0.3">
      <c r="A2" s="1741" t="str">
        <f>'Datos Generales'!C5</f>
        <v>Corporación Autónoma Regional de La Guajira – CORPOGUAJIRA</v>
      </c>
      <c r="B2" s="1742"/>
      <c r="C2" s="1742"/>
      <c r="D2" s="1742"/>
      <c r="E2" s="1742"/>
      <c r="F2" s="1742"/>
      <c r="G2" s="1742"/>
      <c r="H2" s="1742"/>
      <c r="I2" s="1742"/>
      <c r="J2" s="1742"/>
      <c r="K2" s="1742"/>
      <c r="L2" s="1742"/>
      <c r="M2" s="1742"/>
      <c r="N2" s="1742"/>
      <c r="O2" s="1742"/>
      <c r="P2" s="1743"/>
      <c r="Q2" s="412"/>
      <c r="R2" s="412"/>
    </row>
    <row r="3" spans="1:21" s="539" customFormat="1" ht="16.5" thickBot="1" x14ac:dyDescent="0.3">
      <c r="A3" s="1736" t="s">
        <v>1347</v>
      </c>
      <c r="B3" s="1737"/>
      <c r="C3" s="1737"/>
      <c r="D3" s="1737"/>
      <c r="E3" s="1737"/>
      <c r="F3" s="1737"/>
      <c r="G3" s="1737"/>
      <c r="H3" s="1737"/>
      <c r="I3" s="1737"/>
      <c r="J3" s="1737"/>
      <c r="K3" s="1737"/>
      <c r="L3" s="1737"/>
      <c r="M3" s="1737"/>
      <c r="N3" s="1737"/>
      <c r="O3" s="1737"/>
      <c r="P3" s="1738"/>
      <c r="Q3" s="412"/>
      <c r="R3" s="412"/>
    </row>
    <row r="4" spans="1:21" s="539" customFormat="1" ht="16.5" thickBot="1" x14ac:dyDescent="0.3">
      <c r="A4" s="1739" t="s">
        <v>1346</v>
      </c>
      <c r="B4" s="1740"/>
      <c r="C4" s="1740"/>
      <c r="D4" s="1740"/>
      <c r="E4" s="579" t="str">
        <f>'Datos Generales'!C6</f>
        <v>2021-I</v>
      </c>
      <c r="F4" s="579"/>
      <c r="G4" s="579"/>
      <c r="H4" s="579"/>
      <c r="I4" s="579"/>
      <c r="J4" s="579"/>
      <c r="K4" s="579"/>
      <c r="L4" s="581"/>
      <c r="M4" s="581"/>
      <c r="N4" s="581"/>
      <c r="O4" s="581"/>
      <c r="P4" s="582"/>
      <c r="Q4" s="412"/>
      <c r="R4" s="412"/>
    </row>
    <row r="5" spans="1:21" s="245" customFormat="1" ht="16.5" customHeight="1" thickBot="1" x14ac:dyDescent="0.3">
      <c r="A5" s="1736" t="s">
        <v>131</v>
      </c>
      <c r="B5" s="1737"/>
      <c r="C5" s="1737"/>
      <c r="D5" s="1737"/>
      <c r="E5" s="1737"/>
      <c r="F5" s="1737"/>
      <c r="G5" s="1737"/>
      <c r="H5" s="1737"/>
      <c r="I5" s="1737"/>
      <c r="J5" s="1737"/>
      <c r="K5" s="1737"/>
      <c r="L5" s="1737"/>
      <c r="M5" s="1737"/>
      <c r="N5" s="1737"/>
      <c r="O5" s="1737"/>
      <c r="P5" s="1738"/>
    </row>
    <row r="6" spans="1:21" x14ac:dyDescent="0.25">
      <c r="A6" s="245"/>
      <c r="B6" s="249" t="s">
        <v>1</v>
      </c>
      <c r="C6" s="250"/>
      <c r="D6" s="248"/>
      <c r="E6" s="259"/>
      <c r="F6" s="248" t="s">
        <v>128</v>
      </c>
      <c r="G6" s="248"/>
      <c r="H6" s="248"/>
      <c r="I6" s="248"/>
      <c r="J6" s="248"/>
      <c r="K6" s="248"/>
    </row>
    <row r="7" spans="1:21" ht="15.75" thickBot="1" x14ac:dyDescent="0.3">
      <c r="A7" s="245"/>
      <c r="B7" s="251"/>
      <c r="C7" s="260"/>
      <c r="D7" s="248"/>
      <c r="E7" s="253"/>
      <c r="F7" s="248" t="s">
        <v>129</v>
      </c>
      <c r="G7" s="248"/>
      <c r="H7" s="248"/>
      <c r="I7" s="248"/>
      <c r="J7" s="248"/>
      <c r="K7" s="248"/>
    </row>
    <row r="8" spans="1:21" ht="15.75" thickBot="1" x14ac:dyDescent="0.3">
      <c r="A8" s="245"/>
      <c r="B8" s="261" t="s">
        <v>1185</v>
      </c>
      <c r="C8" s="262">
        <v>2020</v>
      </c>
      <c r="D8" s="263" t="str">
        <f>IF(E10="NO APLICA","NO APLICA",IF(E11="NO SE REPORTA","SIN INFORMACION",+E23))</f>
        <v>N.A.</v>
      </c>
      <c r="E8" s="264"/>
      <c r="F8" s="248" t="s">
        <v>130</v>
      </c>
      <c r="G8" s="248"/>
      <c r="H8" s="248"/>
      <c r="I8" s="248"/>
      <c r="J8" s="248"/>
      <c r="K8" s="248"/>
    </row>
    <row r="9" spans="1:21" x14ac:dyDescent="0.25">
      <c r="A9" s="245"/>
      <c r="B9" s="493" t="s">
        <v>1186</v>
      </c>
      <c r="C9" s="265"/>
      <c r="D9" s="266"/>
      <c r="E9" s="248"/>
      <c r="F9" s="248"/>
      <c r="G9" s="248"/>
      <c r="H9" s="248"/>
      <c r="I9" s="248"/>
      <c r="J9" s="248"/>
      <c r="K9" s="248"/>
    </row>
    <row r="10" spans="1:21" s="412" customFormat="1" x14ac:dyDescent="0.25">
      <c r="A10" s="245"/>
      <c r="B10" s="1789" t="s">
        <v>1241</v>
      </c>
      <c r="C10" s="1789"/>
      <c r="D10" s="1789"/>
      <c r="E10" s="499" t="s">
        <v>1238</v>
      </c>
      <c r="F10" s="17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96"/>
      <c r="H10" s="1796"/>
      <c r="I10" s="1796"/>
      <c r="J10" s="1796"/>
      <c r="K10" s="1796"/>
      <c r="L10" s="1796"/>
      <c r="M10" s="1796"/>
      <c r="N10" s="1796"/>
      <c r="O10" s="1796"/>
      <c r="P10" s="1796"/>
      <c r="Q10" s="1796"/>
      <c r="R10" s="1796"/>
      <c r="S10" s="1796"/>
      <c r="T10" s="495"/>
      <c r="U10" s="495"/>
    </row>
    <row r="11" spans="1:21" s="412" customFormat="1" ht="14.45" customHeight="1" x14ac:dyDescent="0.25">
      <c r="A11" s="245"/>
      <c r="B11" s="496"/>
      <c r="C11" s="497"/>
      <c r="D11" s="498" t="str">
        <f>IF(E10="SI APLICA","¿El indicador no se reporta por limitaciones de información disponible? ","")</f>
        <v xml:space="preserve">¿El indicador no se reporta por limitaciones de información disponible? </v>
      </c>
      <c r="E11" s="500" t="s">
        <v>1240</v>
      </c>
      <c r="F11" s="1790"/>
      <c r="G11" s="1791"/>
      <c r="H11" s="1791"/>
      <c r="I11" s="1791"/>
      <c r="J11" s="1791"/>
      <c r="K11" s="1791"/>
      <c r="L11" s="1791"/>
      <c r="M11" s="1791"/>
      <c r="N11" s="1791"/>
      <c r="O11" s="1791"/>
      <c r="P11" s="1791"/>
      <c r="Q11" s="1791"/>
      <c r="R11" s="1791"/>
      <c r="S11" s="1791"/>
    </row>
    <row r="12" spans="1:21" s="412" customFormat="1" ht="23.45" customHeight="1" x14ac:dyDescent="0.25">
      <c r="A12" s="245"/>
      <c r="B12" s="493"/>
      <c r="C12" s="304"/>
      <c r="D12" s="498" t="str">
        <f>IF(E11="SI SE REPORTA","¿Qué programas o proyectos del Plan de Acción están asociados al indicador? ","")</f>
        <v xml:space="preserve">¿Qué programas o proyectos del Plan de Acción están asociados al indicador? </v>
      </c>
      <c r="E12" s="1799" t="str">
        <f>'Anexo 1 Matriz Inf Gestión'!A40</f>
        <v>Proyecto No 2.1. Administración de la Oferta y Demanda del Recurso Hídrico (superficiales y subterráneas)</v>
      </c>
      <c r="F12" s="1799"/>
      <c r="G12" s="1799"/>
      <c r="H12" s="1799"/>
      <c r="I12" s="1799"/>
      <c r="J12" s="1799"/>
      <c r="K12" s="1799"/>
      <c r="L12" s="1799"/>
      <c r="M12" s="1799"/>
      <c r="N12" s="1799"/>
      <c r="O12" s="1799"/>
      <c r="P12" s="1799"/>
      <c r="Q12" s="1799"/>
      <c r="R12" s="1799"/>
    </row>
    <row r="13" spans="1:21" s="412" customFormat="1" ht="21.95" customHeight="1" x14ac:dyDescent="0.25">
      <c r="A13" s="245"/>
      <c r="B13" s="493"/>
      <c r="C13" s="304"/>
      <c r="D13" s="498" t="s">
        <v>1243</v>
      </c>
      <c r="E13" s="1792" t="s">
        <v>3057</v>
      </c>
      <c r="F13" s="1793"/>
      <c r="G13" s="1793"/>
      <c r="H13" s="1793"/>
      <c r="I13" s="1793"/>
      <c r="J13" s="1793"/>
      <c r="K13" s="1793"/>
      <c r="L13" s="1793"/>
      <c r="M13" s="1793"/>
      <c r="N13" s="1793"/>
      <c r="O13" s="1793"/>
      <c r="P13" s="1793"/>
      <c r="Q13" s="1793"/>
      <c r="R13" s="1794"/>
    </row>
    <row r="14" spans="1:21" s="412" customFormat="1" ht="6.95" customHeight="1" thickBot="1" x14ac:dyDescent="0.3">
      <c r="A14" s="245"/>
      <c r="B14" s="493"/>
      <c r="C14" s="265"/>
      <c r="D14" s="266"/>
      <c r="E14" s="248"/>
      <c r="F14" s="248"/>
      <c r="G14" s="248"/>
      <c r="H14" s="248"/>
      <c r="I14" s="248"/>
      <c r="J14" s="248"/>
      <c r="K14" s="248"/>
    </row>
    <row r="15" spans="1:21" ht="15.75" thickBot="1" x14ac:dyDescent="0.3">
      <c r="A15" s="245"/>
      <c r="B15" s="1768" t="s">
        <v>2</v>
      </c>
      <c r="C15" s="268"/>
      <c r="D15" s="1750" t="s">
        <v>3</v>
      </c>
      <c r="E15" s="1751"/>
      <c r="F15" s="1751"/>
      <c r="G15" s="1751"/>
      <c r="H15" s="1751"/>
      <c r="I15" s="1751"/>
      <c r="J15" s="1752"/>
      <c r="K15" s="248"/>
    </row>
    <row r="16" spans="1:21" ht="36.75" thickBot="1" x14ac:dyDescent="0.3">
      <c r="A16" s="245"/>
      <c r="B16" s="1769"/>
      <c r="C16" s="272"/>
      <c r="D16" s="273" t="s">
        <v>148</v>
      </c>
      <c r="E16" s="217">
        <v>52</v>
      </c>
      <c r="F16" s="248"/>
      <c r="G16" s="248"/>
      <c r="H16" s="248"/>
      <c r="I16" s="248"/>
      <c r="J16" s="274"/>
      <c r="K16" s="248"/>
    </row>
    <row r="17" spans="1:11" ht="48.75" thickBot="1" x14ac:dyDescent="0.3">
      <c r="A17" s="245"/>
      <c r="B17" s="1769"/>
      <c r="C17" s="272"/>
      <c r="D17" s="275" t="s">
        <v>1762</v>
      </c>
      <c r="E17" s="217">
        <v>2</v>
      </c>
      <c r="F17" s="248"/>
      <c r="G17" s="248"/>
      <c r="H17" s="248"/>
      <c r="I17" s="248"/>
      <c r="J17" s="274"/>
      <c r="K17" s="248"/>
    </row>
    <row r="18" spans="1:11" ht="48.75" thickBot="1" x14ac:dyDescent="0.3">
      <c r="A18" s="245"/>
      <c r="B18" s="1769"/>
      <c r="C18" s="272"/>
      <c r="D18" s="275" t="s">
        <v>149</v>
      </c>
      <c r="E18" s="217">
        <v>2</v>
      </c>
      <c r="F18" s="248"/>
      <c r="G18" s="248"/>
      <c r="H18" s="248"/>
      <c r="I18" s="248"/>
      <c r="J18" s="274"/>
      <c r="K18" s="248"/>
    </row>
    <row r="19" spans="1:11" ht="15.75" thickBot="1" x14ac:dyDescent="0.3">
      <c r="A19" s="245"/>
      <c r="B19" s="1769"/>
      <c r="C19" s="276"/>
      <c r="D19" s="1780"/>
      <c r="E19" s="1781"/>
      <c r="F19" s="1781"/>
      <c r="G19" s="1781"/>
      <c r="H19" s="1781"/>
      <c r="I19" s="1781"/>
      <c r="J19" s="1782"/>
      <c r="K19" s="248"/>
    </row>
    <row r="20" spans="1:11" ht="15.75" thickBot="1" x14ac:dyDescent="0.3">
      <c r="A20" s="245"/>
      <c r="B20" s="1769"/>
      <c r="C20" s="279" t="s">
        <v>19</v>
      </c>
      <c r="D20" s="273" t="s">
        <v>150</v>
      </c>
      <c r="E20" s="280" t="s">
        <v>20</v>
      </c>
      <c r="F20" s="280" t="s">
        <v>21</v>
      </c>
      <c r="G20" s="280" t="s">
        <v>22</v>
      </c>
      <c r="H20" s="280" t="s">
        <v>23</v>
      </c>
      <c r="I20" s="280" t="s">
        <v>151</v>
      </c>
      <c r="J20" s="113"/>
      <c r="K20" s="248"/>
    </row>
    <row r="21" spans="1:11" ht="36.75" thickBot="1" x14ac:dyDescent="0.3">
      <c r="A21" s="245"/>
      <c r="B21" s="1769"/>
      <c r="C21" s="282" t="s">
        <v>152</v>
      </c>
      <c r="D21" s="275" t="s">
        <v>153</v>
      </c>
      <c r="E21" s="217"/>
      <c r="F21" s="217">
        <v>1</v>
      </c>
      <c r="G21" s="217"/>
      <c r="H21" s="217">
        <v>1</v>
      </c>
      <c r="I21" s="283">
        <f>SUM(E21:H21)</f>
        <v>2</v>
      </c>
      <c r="J21" s="114"/>
      <c r="K21" s="248"/>
    </row>
    <row r="22" spans="1:11" ht="36.75" thickBot="1" x14ac:dyDescent="0.3">
      <c r="A22" s="245"/>
      <c r="B22" s="1769"/>
      <c r="C22" s="282" t="s">
        <v>154</v>
      </c>
      <c r="D22" s="275" t="s">
        <v>155</v>
      </c>
      <c r="E22" s="217"/>
      <c r="F22" s="217">
        <v>0</v>
      </c>
      <c r="G22" s="217"/>
      <c r="H22" s="217"/>
      <c r="I22" s="283">
        <f>SUM(E22:H22)</f>
        <v>0</v>
      </c>
      <c r="J22" s="114"/>
      <c r="K22" s="248"/>
    </row>
    <row r="23" spans="1:11" ht="36.75" thickBot="1" x14ac:dyDescent="0.3">
      <c r="A23" s="245"/>
      <c r="B23" s="1770"/>
      <c r="C23" s="282" t="s">
        <v>156</v>
      </c>
      <c r="D23" s="275" t="s">
        <v>157</v>
      </c>
      <c r="E23" s="196" t="str">
        <f>IFERROR(E22/E21,"N.A.")</f>
        <v>N.A.</v>
      </c>
      <c r="F23" s="196">
        <f>IFERROR(F22/F21,"N.A.")</f>
        <v>0</v>
      </c>
      <c r="G23" s="196" t="str">
        <f>IFERROR(G22/G21,"N.A.")</f>
        <v>N.A.</v>
      </c>
      <c r="H23" s="196">
        <f>IFERROR(H22/H21,"N.A.")</f>
        <v>0</v>
      </c>
      <c r="I23" s="196">
        <f>IFERROR(I22/I21,"N.A.")</f>
        <v>0</v>
      </c>
      <c r="J23" s="115"/>
      <c r="K23" s="248"/>
    </row>
    <row r="24" spans="1:11" ht="15.75" thickBot="1" x14ac:dyDescent="0.3">
      <c r="A24" s="245"/>
      <c r="B24" s="285" t="s">
        <v>34</v>
      </c>
      <c r="C24" s="286"/>
      <c r="D24" s="1777" t="s">
        <v>158</v>
      </c>
      <c r="E24" s="1778"/>
      <c r="F24" s="1778"/>
      <c r="G24" s="1778"/>
      <c r="H24" s="1778"/>
      <c r="I24" s="1778"/>
      <c r="J24" s="1779"/>
      <c r="K24" s="248"/>
    </row>
    <row r="25" spans="1:11" ht="24.75" thickBot="1" x14ac:dyDescent="0.3">
      <c r="A25" s="245"/>
      <c r="B25" s="285" t="s">
        <v>36</v>
      </c>
      <c r="C25" s="286"/>
      <c r="D25" s="1777" t="s">
        <v>159</v>
      </c>
      <c r="E25" s="1778"/>
      <c r="F25" s="1778"/>
      <c r="G25" s="1778"/>
      <c r="H25" s="1778"/>
      <c r="I25" s="1778"/>
      <c r="J25" s="1779"/>
      <c r="K25" s="248"/>
    </row>
    <row r="26" spans="1:11" ht="15.75" thickBot="1" x14ac:dyDescent="0.3">
      <c r="A26" s="245"/>
      <c r="B26" s="249"/>
      <c r="C26" s="250"/>
      <c r="D26" s="248"/>
      <c r="E26" s="248"/>
      <c r="F26" s="248"/>
      <c r="G26" s="248"/>
      <c r="H26" s="248"/>
      <c r="I26" s="248"/>
      <c r="J26" s="248"/>
      <c r="K26" s="248"/>
    </row>
    <row r="27" spans="1:11" ht="24" customHeight="1" thickBot="1" x14ac:dyDescent="0.3">
      <c r="A27" s="245"/>
      <c r="B27" s="1765" t="s">
        <v>38</v>
      </c>
      <c r="C27" s="1766"/>
      <c r="D27" s="1766"/>
      <c r="E27" s="1767"/>
      <c r="F27" s="248"/>
      <c r="G27" s="248"/>
      <c r="H27" s="248"/>
      <c r="I27" s="248"/>
      <c r="J27" s="248"/>
      <c r="K27" s="248"/>
    </row>
    <row r="28" spans="1:11" ht="15.75" thickBot="1" x14ac:dyDescent="0.3">
      <c r="A28" s="245"/>
      <c r="B28" s="1768">
        <v>1</v>
      </c>
      <c r="C28" s="272"/>
      <c r="D28" s="289" t="s">
        <v>39</v>
      </c>
      <c r="E28" s="31"/>
      <c r="F28" s="248"/>
      <c r="G28" s="248"/>
      <c r="H28" s="248"/>
      <c r="I28" s="248"/>
      <c r="J28" s="248"/>
      <c r="K28" s="248"/>
    </row>
    <row r="29" spans="1:11" ht="15.75" thickBot="1" x14ac:dyDescent="0.3">
      <c r="A29" s="245"/>
      <c r="B29" s="1769"/>
      <c r="C29" s="272"/>
      <c r="D29" s="275" t="s">
        <v>40</v>
      </c>
      <c r="E29" s="31"/>
      <c r="F29" s="248"/>
      <c r="G29" s="248"/>
      <c r="H29" s="248"/>
      <c r="I29" s="248"/>
      <c r="J29" s="248"/>
      <c r="K29" s="248"/>
    </row>
    <row r="30" spans="1:11" ht="15.75" thickBot="1" x14ac:dyDescent="0.3">
      <c r="A30" s="245"/>
      <c r="B30" s="1769"/>
      <c r="C30" s="272"/>
      <c r="D30" s="275" t="s">
        <v>41</v>
      </c>
      <c r="E30" s="31"/>
      <c r="F30" s="248"/>
      <c r="G30" s="248"/>
      <c r="H30" s="248"/>
      <c r="I30" s="248"/>
      <c r="J30" s="248"/>
      <c r="K30" s="248"/>
    </row>
    <row r="31" spans="1:11" ht="15.75" thickBot="1" x14ac:dyDescent="0.3">
      <c r="A31" s="245"/>
      <c r="B31" s="1769"/>
      <c r="C31" s="272"/>
      <c r="D31" s="275" t="s">
        <v>42</v>
      </c>
      <c r="E31" s="31"/>
      <c r="F31" s="248"/>
      <c r="G31" s="248"/>
      <c r="H31" s="248"/>
      <c r="I31" s="248"/>
      <c r="J31" s="248"/>
      <c r="K31" s="248"/>
    </row>
    <row r="32" spans="1:11" ht="15.75" thickBot="1" x14ac:dyDescent="0.3">
      <c r="A32" s="245"/>
      <c r="B32" s="1769"/>
      <c r="C32" s="272"/>
      <c r="D32" s="275" t="s">
        <v>43</v>
      </c>
      <c r="E32" s="31"/>
      <c r="F32" s="248"/>
      <c r="G32" s="248"/>
      <c r="H32" s="248"/>
      <c r="I32" s="248"/>
      <c r="J32" s="248"/>
      <c r="K32" s="248"/>
    </row>
    <row r="33" spans="1:11" ht="15.75" thickBot="1" x14ac:dyDescent="0.3">
      <c r="A33" s="245"/>
      <c r="B33" s="1769"/>
      <c r="C33" s="272"/>
      <c r="D33" s="275" t="s">
        <v>44</v>
      </c>
      <c r="E33" s="31"/>
      <c r="F33" s="248"/>
      <c r="G33" s="248"/>
      <c r="H33" s="248"/>
      <c r="I33" s="248"/>
      <c r="J33" s="248"/>
      <c r="K33" s="248"/>
    </row>
    <row r="34" spans="1:11" ht="15.75" thickBot="1" x14ac:dyDescent="0.3">
      <c r="A34" s="245"/>
      <c r="B34" s="1770"/>
      <c r="C34" s="282"/>
      <c r="D34" s="275" t="s">
        <v>45</v>
      </c>
      <c r="E34" s="31"/>
      <c r="F34" s="248"/>
      <c r="G34" s="248"/>
      <c r="H34" s="248"/>
      <c r="I34" s="248"/>
      <c r="J34" s="248"/>
      <c r="K34" s="248"/>
    </row>
    <row r="35" spans="1:11" ht="15.75" thickBot="1" x14ac:dyDescent="0.3">
      <c r="A35" s="245"/>
      <c r="B35" s="249"/>
      <c r="C35" s="250"/>
      <c r="D35" s="248"/>
      <c r="E35" s="248"/>
      <c r="F35" s="248"/>
      <c r="G35" s="248"/>
      <c r="H35" s="248"/>
      <c r="I35" s="248"/>
      <c r="J35" s="248"/>
      <c r="K35" s="248"/>
    </row>
    <row r="36" spans="1:11" ht="15.75" thickBot="1" x14ac:dyDescent="0.3">
      <c r="A36" s="245"/>
      <c r="B36" s="1765" t="s">
        <v>46</v>
      </c>
      <c r="C36" s="1766"/>
      <c r="D36" s="1766"/>
      <c r="E36" s="1767"/>
      <c r="F36" s="248"/>
      <c r="G36" s="248"/>
      <c r="H36" s="248"/>
      <c r="I36" s="248"/>
      <c r="J36" s="248"/>
      <c r="K36" s="248"/>
    </row>
    <row r="37" spans="1:11" ht="15.75" thickBot="1" x14ac:dyDescent="0.3">
      <c r="A37" s="245"/>
      <c r="B37" s="1768">
        <v>1</v>
      </c>
      <c r="C37" s="272"/>
      <c r="D37" s="289" t="s">
        <v>39</v>
      </c>
      <c r="E37" s="302" t="s">
        <v>47</v>
      </c>
      <c r="F37" s="248"/>
      <c r="G37" s="248"/>
      <c r="H37" s="248"/>
      <c r="I37" s="248"/>
      <c r="J37" s="248"/>
      <c r="K37" s="248"/>
    </row>
    <row r="38" spans="1:11" ht="15.75" thickBot="1" x14ac:dyDescent="0.3">
      <c r="A38" s="245"/>
      <c r="B38" s="1769"/>
      <c r="C38" s="272"/>
      <c r="D38" s="275" t="s">
        <v>40</v>
      </c>
      <c r="E38" s="302" t="s">
        <v>160</v>
      </c>
      <c r="F38" s="248"/>
      <c r="G38" s="248"/>
      <c r="H38" s="248"/>
      <c r="I38" s="248"/>
      <c r="J38" s="248"/>
      <c r="K38" s="248"/>
    </row>
    <row r="39" spans="1:11" ht="15.75" thickBot="1" x14ac:dyDescent="0.3">
      <c r="A39" s="245"/>
      <c r="B39" s="1769"/>
      <c r="C39" s="272"/>
      <c r="D39" s="275" t="s">
        <v>41</v>
      </c>
      <c r="E39" s="303"/>
      <c r="F39" s="248"/>
      <c r="G39" s="248"/>
      <c r="H39" s="248"/>
      <c r="I39" s="248"/>
      <c r="J39" s="248"/>
      <c r="K39" s="248"/>
    </row>
    <row r="40" spans="1:11" ht="15.75" thickBot="1" x14ac:dyDescent="0.3">
      <c r="A40" s="245"/>
      <c r="B40" s="1769"/>
      <c r="C40" s="272"/>
      <c r="D40" s="275" t="s">
        <v>42</v>
      </c>
      <c r="E40" s="303"/>
      <c r="F40" s="248"/>
      <c r="G40" s="248"/>
      <c r="H40" s="248"/>
      <c r="I40" s="248"/>
      <c r="J40" s="248"/>
      <c r="K40" s="248"/>
    </row>
    <row r="41" spans="1:11" ht="15.75" thickBot="1" x14ac:dyDescent="0.3">
      <c r="A41" s="245"/>
      <c r="B41" s="1769"/>
      <c r="C41" s="272"/>
      <c r="D41" s="275" t="s">
        <v>43</v>
      </c>
      <c r="E41" s="303"/>
      <c r="F41" s="248"/>
      <c r="G41" s="248"/>
      <c r="H41" s="248"/>
      <c r="I41" s="248"/>
      <c r="J41" s="248"/>
      <c r="K41" s="248"/>
    </row>
    <row r="42" spans="1:11" ht="15.75" thickBot="1" x14ac:dyDescent="0.3">
      <c r="A42" s="245"/>
      <c r="B42" s="1769"/>
      <c r="C42" s="272"/>
      <c r="D42" s="275" t="s">
        <v>44</v>
      </c>
      <c r="E42" s="303"/>
      <c r="F42" s="248"/>
      <c r="G42" s="248"/>
      <c r="H42" s="248"/>
      <c r="I42" s="248"/>
      <c r="J42" s="248"/>
      <c r="K42" s="248"/>
    </row>
    <row r="43" spans="1:11" ht="15.75" thickBot="1" x14ac:dyDescent="0.3">
      <c r="A43" s="245"/>
      <c r="B43" s="1770"/>
      <c r="C43" s="282"/>
      <c r="D43" s="275" t="s">
        <v>45</v>
      </c>
      <c r="E43" s="303"/>
      <c r="F43" s="248"/>
      <c r="G43" s="248"/>
      <c r="H43" s="248"/>
      <c r="I43" s="248"/>
      <c r="J43" s="248"/>
      <c r="K43" s="248"/>
    </row>
    <row r="44" spans="1:11" ht="15.75" thickBot="1" x14ac:dyDescent="0.3">
      <c r="A44" s="245"/>
      <c r="B44" s="249"/>
      <c r="C44" s="250"/>
      <c r="D44" s="248"/>
      <c r="E44" s="248"/>
      <c r="F44" s="248"/>
      <c r="G44" s="248"/>
      <c r="H44" s="248"/>
      <c r="I44" s="248"/>
      <c r="J44" s="248"/>
      <c r="K44" s="248"/>
    </row>
    <row r="45" spans="1:11" ht="15" customHeight="1" thickBot="1" x14ac:dyDescent="0.3">
      <c r="A45" s="245"/>
      <c r="B45" s="291" t="s">
        <v>49</v>
      </c>
      <c r="C45" s="292"/>
      <c r="D45" s="292"/>
      <c r="E45" s="292"/>
      <c r="F45" s="293"/>
      <c r="G45" s="248"/>
      <c r="H45" s="248"/>
      <c r="I45" s="248"/>
      <c r="J45" s="248"/>
      <c r="K45" s="248"/>
    </row>
    <row r="46" spans="1:11" ht="15.75" thickBot="1" x14ac:dyDescent="0.3">
      <c r="A46" s="245"/>
      <c r="B46" s="285" t="s">
        <v>50</v>
      </c>
      <c r="C46" s="294" t="s">
        <v>51</v>
      </c>
      <c r="D46" s="294" t="s">
        <v>52</v>
      </c>
      <c r="E46" s="294" t="s">
        <v>53</v>
      </c>
      <c r="F46" s="248"/>
      <c r="G46" s="248"/>
      <c r="H46" s="248"/>
      <c r="I46" s="248"/>
      <c r="J46" s="248"/>
      <c r="K46" s="245"/>
    </row>
    <row r="47" spans="1:11" ht="72.75" thickBot="1" x14ac:dyDescent="0.3">
      <c r="A47" s="245"/>
      <c r="B47" s="295">
        <v>42401</v>
      </c>
      <c r="C47" s="294">
        <v>0.01</v>
      </c>
      <c r="D47" s="296" t="s">
        <v>161</v>
      </c>
      <c r="E47" s="294"/>
      <c r="F47" s="248"/>
      <c r="G47" s="248"/>
      <c r="H47" s="248"/>
      <c r="I47" s="248"/>
      <c r="J47" s="248"/>
      <c r="K47" s="245"/>
    </row>
    <row r="48" spans="1:11" ht="15.75" thickBot="1" x14ac:dyDescent="0.3">
      <c r="A48" s="245"/>
      <c r="B48" s="249"/>
      <c r="C48" s="250"/>
      <c r="D48" s="248"/>
      <c r="E48" s="248"/>
      <c r="F48" s="248"/>
      <c r="G48" s="248"/>
      <c r="H48" s="248"/>
      <c r="I48" s="248"/>
      <c r="J48" s="248"/>
      <c r="K48" s="248"/>
    </row>
    <row r="49" spans="1:11" x14ac:dyDescent="0.25">
      <c r="A49" s="245"/>
      <c r="B49" s="297" t="s">
        <v>55</v>
      </c>
      <c r="C49" s="298"/>
      <c r="D49" s="248"/>
      <c r="E49" s="248"/>
      <c r="F49" s="248"/>
      <c r="G49" s="248"/>
      <c r="H49" s="248"/>
      <c r="I49" s="248"/>
      <c r="J49" s="248"/>
      <c r="K49" s="248"/>
    </row>
    <row r="50" spans="1:11" x14ac:dyDescent="0.25">
      <c r="A50" s="245"/>
      <c r="B50" s="1800"/>
      <c r="C50" s="1801"/>
      <c r="D50" s="1801"/>
      <c r="E50" s="1801"/>
      <c r="F50" s="1801"/>
      <c r="G50" s="1801"/>
      <c r="H50" s="1801"/>
      <c r="I50" s="1801"/>
      <c r="J50" s="1802"/>
      <c r="K50" s="248"/>
    </row>
    <row r="51" spans="1:11" x14ac:dyDescent="0.25">
      <c r="A51" s="245"/>
      <c r="B51" s="248"/>
      <c r="C51" s="265"/>
      <c r="D51" s="248"/>
      <c r="E51" s="248"/>
      <c r="F51" s="248"/>
      <c r="G51" s="248"/>
      <c r="H51" s="248"/>
      <c r="I51" s="248"/>
      <c r="J51" s="248"/>
      <c r="K51" s="248"/>
    </row>
    <row r="52" spans="1:11" ht="15.75" thickBot="1" x14ac:dyDescent="0.3">
      <c r="A52" s="245"/>
      <c r="B52" s="248"/>
      <c r="C52" s="265"/>
      <c r="D52" s="248"/>
      <c r="E52" s="248"/>
      <c r="F52" s="248"/>
      <c r="G52" s="248"/>
      <c r="H52" s="248"/>
      <c r="I52" s="248"/>
      <c r="J52" s="248"/>
      <c r="K52" s="248"/>
    </row>
    <row r="53" spans="1:11" ht="15.75" thickBot="1" x14ac:dyDescent="0.3">
      <c r="A53" s="245"/>
      <c r="B53" s="1765" t="s">
        <v>56</v>
      </c>
      <c r="C53" s="1766"/>
      <c r="D53" s="1767"/>
      <c r="E53" s="248"/>
      <c r="F53" s="248"/>
      <c r="G53" s="248"/>
      <c r="H53" s="248"/>
      <c r="I53" s="248"/>
      <c r="J53" s="248"/>
      <c r="K53" s="248"/>
    </row>
    <row r="54" spans="1:11" ht="15.75" thickBot="1" x14ac:dyDescent="0.3">
      <c r="A54" s="245"/>
      <c r="B54" s="249"/>
      <c r="C54" s="250"/>
      <c r="D54" s="248"/>
      <c r="E54" s="248"/>
      <c r="F54" s="248"/>
      <c r="G54" s="248"/>
      <c r="H54" s="248"/>
      <c r="I54" s="248"/>
      <c r="J54" s="248"/>
      <c r="K54" s="248"/>
    </row>
    <row r="55" spans="1:11" ht="24" customHeight="1" thickBot="1" x14ac:dyDescent="0.3">
      <c r="A55" s="245"/>
      <c r="B55" s="299" t="s">
        <v>57</v>
      </c>
      <c r="C55" s="300"/>
      <c r="D55" s="1777" t="s">
        <v>132</v>
      </c>
      <c r="E55" s="1778"/>
      <c r="F55" s="1778"/>
      <c r="G55" s="1778"/>
      <c r="H55" s="1778"/>
      <c r="I55" s="1778"/>
      <c r="J55" s="1779"/>
      <c r="K55" s="248"/>
    </row>
    <row r="56" spans="1:11" x14ac:dyDescent="0.25">
      <c r="A56" s="245"/>
      <c r="B56" s="1768" t="s">
        <v>59</v>
      </c>
      <c r="C56" s="268"/>
      <c r="D56" s="1762" t="s">
        <v>60</v>
      </c>
      <c r="E56" s="1763"/>
      <c r="F56" s="1763"/>
      <c r="G56" s="1763"/>
      <c r="H56" s="1763"/>
      <c r="I56" s="1763"/>
      <c r="J56" s="1764"/>
      <c r="K56" s="248"/>
    </row>
    <row r="57" spans="1:11" ht="24" customHeight="1" x14ac:dyDescent="0.25">
      <c r="A57" s="245"/>
      <c r="B57" s="1769"/>
      <c r="C57" s="276"/>
      <c r="D57" s="1756" t="s">
        <v>133</v>
      </c>
      <c r="E57" s="1803"/>
      <c r="F57" s="1803"/>
      <c r="G57" s="1803"/>
      <c r="H57" s="1803"/>
      <c r="I57" s="1803"/>
      <c r="J57" s="1758"/>
      <c r="K57" s="248"/>
    </row>
    <row r="58" spans="1:11" x14ac:dyDescent="0.25">
      <c r="A58" s="245"/>
      <c r="B58" s="1769"/>
      <c r="C58" s="276"/>
      <c r="D58" s="1753" t="s">
        <v>134</v>
      </c>
      <c r="E58" s="1804"/>
      <c r="F58" s="1804"/>
      <c r="G58" s="1804"/>
      <c r="H58" s="1804"/>
      <c r="I58" s="1804"/>
      <c r="J58" s="1755"/>
      <c r="K58" s="248"/>
    </row>
    <row r="59" spans="1:11" x14ac:dyDescent="0.25">
      <c r="A59" s="245"/>
      <c r="B59" s="1769"/>
      <c r="C59" s="276"/>
      <c r="D59" s="1756" t="s">
        <v>135</v>
      </c>
      <c r="E59" s="1803"/>
      <c r="F59" s="1803"/>
      <c r="G59" s="1803"/>
      <c r="H59" s="1803"/>
      <c r="I59" s="1803"/>
      <c r="J59" s="1758"/>
      <c r="K59" s="248"/>
    </row>
    <row r="60" spans="1:11" x14ac:dyDescent="0.25">
      <c r="A60" s="245"/>
      <c r="B60" s="1769"/>
      <c r="C60" s="276"/>
      <c r="D60" s="1756" t="s">
        <v>136</v>
      </c>
      <c r="E60" s="1803"/>
      <c r="F60" s="1803"/>
      <c r="G60" s="1803"/>
      <c r="H60" s="1803"/>
      <c r="I60" s="1803"/>
      <c r="J60" s="1758"/>
      <c r="K60" s="248"/>
    </row>
    <row r="61" spans="1:11" x14ac:dyDescent="0.25">
      <c r="A61" s="245"/>
      <c r="B61" s="1769"/>
      <c r="C61" s="276"/>
      <c r="D61" s="1756" t="s">
        <v>137</v>
      </c>
      <c r="E61" s="1803"/>
      <c r="F61" s="1803"/>
      <c r="G61" s="1803"/>
      <c r="H61" s="1803"/>
      <c r="I61" s="1803"/>
      <c r="J61" s="1758"/>
      <c r="K61" s="248"/>
    </row>
    <row r="62" spans="1:11" ht="24" customHeight="1" x14ac:dyDescent="0.25">
      <c r="A62" s="245"/>
      <c r="B62" s="1769"/>
      <c r="C62" s="276"/>
      <c r="D62" s="1756" t="s">
        <v>138</v>
      </c>
      <c r="E62" s="1803"/>
      <c r="F62" s="1803"/>
      <c r="G62" s="1803"/>
      <c r="H62" s="1803"/>
      <c r="I62" s="1803"/>
      <c r="J62" s="1758"/>
      <c r="K62" s="248"/>
    </row>
    <row r="63" spans="1:11" ht="24" customHeight="1" x14ac:dyDescent="0.25">
      <c r="A63" s="245"/>
      <c r="B63" s="1769"/>
      <c r="C63" s="276"/>
      <c r="D63" s="1756" t="s">
        <v>139</v>
      </c>
      <c r="E63" s="1803"/>
      <c r="F63" s="1803"/>
      <c r="G63" s="1803"/>
      <c r="H63" s="1803"/>
      <c r="I63" s="1803"/>
      <c r="J63" s="1758"/>
      <c r="K63" s="248"/>
    </row>
    <row r="64" spans="1:11" x14ac:dyDescent="0.25">
      <c r="A64" s="245"/>
      <c r="B64" s="1769"/>
      <c r="C64" s="276"/>
      <c r="D64" s="1756" t="s">
        <v>140</v>
      </c>
      <c r="E64" s="1803"/>
      <c r="F64" s="1803"/>
      <c r="G64" s="1803"/>
      <c r="H64" s="1803"/>
      <c r="I64" s="1803"/>
      <c r="J64" s="1758"/>
      <c r="K64" s="248"/>
    </row>
    <row r="65" spans="1:11" x14ac:dyDescent="0.25">
      <c r="A65" s="245"/>
      <c r="B65" s="1769"/>
      <c r="C65" s="276"/>
      <c r="D65" s="1753" t="s">
        <v>141</v>
      </c>
      <c r="E65" s="1804"/>
      <c r="F65" s="1804"/>
      <c r="G65" s="1804"/>
      <c r="H65" s="1804"/>
      <c r="I65" s="1804"/>
      <c r="J65" s="1755"/>
      <c r="K65" s="248"/>
    </row>
    <row r="66" spans="1:11" ht="15.75" thickBot="1" x14ac:dyDescent="0.3">
      <c r="A66" s="245"/>
      <c r="B66" s="1770"/>
      <c r="C66" s="286"/>
      <c r="D66" s="1780" t="s">
        <v>142</v>
      </c>
      <c r="E66" s="1781"/>
      <c r="F66" s="1781"/>
      <c r="G66" s="1781"/>
      <c r="H66" s="1781"/>
      <c r="I66" s="1781"/>
      <c r="J66" s="1782"/>
      <c r="K66" s="248"/>
    </row>
    <row r="67" spans="1:11" ht="24.75" thickBot="1" x14ac:dyDescent="0.3">
      <c r="A67" s="245"/>
      <c r="B67" s="285" t="s">
        <v>72</v>
      </c>
      <c r="C67" s="286"/>
      <c r="D67" s="1777"/>
      <c r="E67" s="1778"/>
      <c r="F67" s="1778"/>
      <c r="G67" s="1778"/>
      <c r="H67" s="1778"/>
      <c r="I67" s="1778"/>
      <c r="J67" s="1779"/>
      <c r="K67" s="248"/>
    </row>
    <row r="68" spans="1:11" ht="24.75" thickBot="1" x14ac:dyDescent="0.3">
      <c r="A68" s="245"/>
      <c r="B68" s="285" t="s">
        <v>73</v>
      </c>
      <c r="C68" s="286"/>
      <c r="D68" s="1777" t="s">
        <v>143</v>
      </c>
      <c r="E68" s="1778"/>
      <c r="F68" s="1778"/>
      <c r="G68" s="1778"/>
      <c r="H68" s="1778"/>
      <c r="I68" s="1778"/>
      <c r="J68" s="1779"/>
      <c r="K68" s="248"/>
    </row>
    <row r="69" spans="1:11" x14ac:dyDescent="0.25">
      <c r="A69" s="245"/>
      <c r="B69" s="1768" t="s">
        <v>90</v>
      </c>
      <c r="C69" s="268"/>
      <c r="D69" s="1750"/>
      <c r="E69" s="1751"/>
      <c r="F69" s="1751"/>
      <c r="G69" s="1751"/>
      <c r="H69" s="1751"/>
      <c r="I69" s="1751"/>
      <c r="J69" s="1752"/>
      <c r="K69" s="248"/>
    </row>
    <row r="70" spans="1:11" x14ac:dyDescent="0.25">
      <c r="A70" s="245"/>
      <c r="B70" s="1769"/>
      <c r="C70" s="276"/>
      <c r="D70" s="1786"/>
      <c r="E70" s="1805"/>
      <c r="F70" s="1805"/>
      <c r="G70" s="1805"/>
      <c r="H70" s="1805"/>
      <c r="I70" s="1805"/>
      <c r="J70" s="1788"/>
      <c r="K70" s="248"/>
    </row>
    <row r="71" spans="1:11" x14ac:dyDescent="0.25">
      <c r="A71" s="245"/>
      <c r="B71" s="1769"/>
      <c r="C71" s="276"/>
      <c r="D71" s="1756" t="s">
        <v>91</v>
      </c>
      <c r="E71" s="1803"/>
      <c r="F71" s="1803"/>
      <c r="G71" s="1803"/>
      <c r="H71" s="1803"/>
      <c r="I71" s="1803"/>
      <c r="J71" s="1758"/>
      <c r="K71" s="248"/>
    </row>
    <row r="72" spans="1:11" ht="26.45" customHeight="1" x14ac:dyDescent="0.25">
      <c r="A72" s="245"/>
      <c r="B72" s="1769"/>
      <c r="C72" s="276"/>
      <c r="D72" s="1756" t="s">
        <v>144</v>
      </c>
      <c r="E72" s="1803"/>
      <c r="F72" s="1803"/>
      <c r="G72" s="1803"/>
      <c r="H72" s="1803"/>
      <c r="I72" s="1803"/>
      <c r="J72" s="1758"/>
      <c r="K72" s="248"/>
    </row>
    <row r="73" spans="1:11" ht="14.45" customHeight="1" x14ac:dyDescent="0.25">
      <c r="A73" s="245"/>
      <c r="B73" s="1769"/>
      <c r="C73" s="276"/>
      <c r="D73" s="1756" t="s">
        <v>145</v>
      </c>
      <c r="E73" s="1803"/>
      <c r="F73" s="1803"/>
      <c r="G73" s="1803"/>
      <c r="H73" s="1803"/>
      <c r="I73" s="1803"/>
      <c r="J73" s="1758"/>
      <c r="K73" s="248"/>
    </row>
    <row r="74" spans="1:11" ht="14.45" customHeight="1" x14ac:dyDescent="0.25">
      <c r="A74" s="245"/>
      <c r="B74" s="1769"/>
      <c r="C74" s="276"/>
      <c r="D74" s="1756" t="s">
        <v>146</v>
      </c>
      <c r="E74" s="1803"/>
      <c r="F74" s="1803"/>
      <c r="G74" s="1803"/>
      <c r="H74" s="1803"/>
      <c r="I74" s="1803"/>
      <c r="J74" s="1758"/>
      <c r="K74" s="248"/>
    </row>
    <row r="75" spans="1:11" ht="24" customHeight="1" thickBot="1" x14ac:dyDescent="0.3">
      <c r="A75" s="245"/>
      <c r="B75" s="1770"/>
      <c r="C75" s="286"/>
      <c r="D75" s="1780" t="s">
        <v>147</v>
      </c>
      <c r="E75" s="1781"/>
      <c r="F75" s="1781"/>
      <c r="G75" s="1781"/>
      <c r="H75" s="1781"/>
      <c r="I75" s="1781"/>
      <c r="J75" s="1782"/>
      <c r="K75" s="248"/>
    </row>
    <row r="76" spans="1:11" x14ac:dyDescent="0.25">
      <c r="A76" s="245"/>
      <c r="B76" s="248"/>
      <c r="C76" s="265"/>
      <c r="D76" s="248"/>
      <c r="E76" s="248"/>
      <c r="F76" s="248"/>
      <c r="G76" s="248"/>
      <c r="H76" s="248"/>
      <c r="I76" s="248"/>
      <c r="J76" s="248"/>
      <c r="K76" s="248"/>
    </row>
  </sheetData>
  <mergeCells count="44">
    <mergeCell ref="A1:P1"/>
    <mergeCell ref="A2:P2"/>
    <mergeCell ref="A3:P3"/>
    <mergeCell ref="A4:D4"/>
    <mergeCell ref="A5:P5"/>
    <mergeCell ref="B28:B34"/>
    <mergeCell ref="B36:E36"/>
    <mergeCell ref="B37:B43"/>
    <mergeCell ref="B15:B23"/>
    <mergeCell ref="D15:J15"/>
    <mergeCell ref="D19:J19"/>
    <mergeCell ref="D24:J24"/>
    <mergeCell ref="D25:J25"/>
    <mergeCell ref="B27:E27"/>
    <mergeCell ref="D67:J67"/>
    <mergeCell ref="B69:B75"/>
    <mergeCell ref="D69:J69"/>
    <mergeCell ref="D70:J70"/>
    <mergeCell ref="D71:J71"/>
    <mergeCell ref="D72:J72"/>
    <mergeCell ref="D73:J73"/>
    <mergeCell ref="D74:J74"/>
    <mergeCell ref="D75:J75"/>
    <mergeCell ref="B50:J50"/>
    <mergeCell ref="D68:J68"/>
    <mergeCell ref="B53:D53"/>
    <mergeCell ref="D55:J55"/>
    <mergeCell ref="B56:B66"/>
    <mergeCell ref="D56:J56"/>
    <mergeCell ref="D57:J57"/>
    <mergeCell ref="D58:J58"/>
    <mergeCell ref="D59:J59"/>
    <mergeCell ref="D60:J60"/>
    <mergeCell ref="D61:J61"/>
    <mergeCell ref="D62:J62"/>
    <mergeCell ref="D63:J63"/>
    <mergeCell ref="D64:J64"/>
    <mergeCell ref="D65:J65"/>
    <mergeCell ref="D66:J66"/>
    <mergeCell ref="B10:D10"/>
    <mergeCell ref="F10:S10"/>
    <mergeCell ref="F11:S11"/>
    <mergeCell ref="E12:R12"/>
    <mergeCell ref="E13:R13"/>
  </mergeCells>
  <conditionalFormatting sqref="F10">
    <cfRule type="notContainsBlanks" dxfId="125" priority="4">
      <formula>LEN(TRIM(F10))&gt;0</formula>
    </cfRule>
  </conditionalFormatting>
  <conditionalFormatting sqref="F11:S11">
    <cfRule type="expression" dxfId="124" priority="2">
      <formula>E11="NO SE REPORTA"</formula>
    </cfRule>
    <cfRule type="expression" dxfId="123" priority="3">
      <formula>E10="NO APLICA"</formula>
    </cfRule>
  </conditionalFormatting>
  <conditionalFormatting sqref="E12:R12">
    <cfRule type="expression" dxfId="122"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6:E18 E21:H22" xr:uid="{00000000-0002-0000-0C00-000000000000}">
      <formula1>0</formula1>
    </dataValidation>
    <dataValidation allowBlank="1" showInputMessage="1" showErrorMessage="1" sqref="I21:I22" xr:uid="{00000000-0002-0000-0C00-000001000000}"/>
    <dataValidation type="list" allowBlank="1" showInputMessage="1" showErrorMessage="1" sqref="E11" xr:uid="{00000000-0002-0000-0C00-000002000000}">
      <formula1>REPORTE</formula1>
    </dataValidation>
    <dataValidation type="list" allowBlank="1" showInputMessage="1" showErrorMessage="1" sqref="E10" xr:uid="{00000000-0002-0000-0C00-000003000000}">
      <formula1>SI</formula1>
    </dataValidation>
  </dataValidations>
  <hyperlinks>
    <hyperlink ref="B9" location="'ANEXO 3'!A1" display="VOLVER AL INDICE" xr:uid="{00000000-0004-0000-0C00-000000000000}"/>
  </hyperlinks>
  <pageMargins left="0.25" right="0.25" top="0.75" bottom="0.75" header="0.3" footer="0.3"/>
  <pageSetup paperSize="178" orientation="landscape"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3"/>
  <dimension ref="A1:U75"/>
  <sheetViews>
    <sheetView showGridLines="0" topLeftCell="A23" zoomScale="80" zoomScaleNormal="80" workbookViewId="0">
      <selection activeCell="F22" sqref="F22"/>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538" customFormat="1" ht="100.5" customHeight="1" thickBot="1" x14ac:dyDescent="0.3">
      <c r="A1" s="1733"/>
      <c r="B1" s="1734"/>
      <c r="C1" s="1734"/>
      <c r="D1" s="1734"/>
      <c r="E1" s="1734"/>
      <c r="F1" s="1734"/>
      <c r="G1" s="1734"/>
      <c r="H1" s="1734"/>
      <c r="I1" s="1734"/>
      <c r="J1" s="1734"/>
      <c r="K1" s="1734"/>
      <c r="L1" s="1734"/>
      <c r="M1" s="1734"/>
      <c r="N1" s="1734"/>
      <c r="O1" s="1734"/>
      <c r="P1" s="1735"/>
      <c r="Q1" s="412"/>
      <c r="R1" s="412"/>
    </row>
    <row r="2" spans="1:21" s="539" customFormat="1" ht="16.5" thickBot="1" x14ac:dyDescent="0.3">
      <c r="A2" s="1741" t="str">
        <f>'Datos Generales'!C5</f>
        <v>Corporación Autónoma Regional de La Guajira – CORPOGUAJIRA</v>
      </c>
      <c r="B2" s="1742"/>
      <c r="C2" s="1742"/>
      <c r="D2" s="1742"/>
      <c r="E2" s="1742"/>
      <c r="F2" s="1742"/>
      <c r="G2" s="1742"/>
      <c r="H2" s="1742"/>
      <c r="I2" s="1742"/>
      <c r="J2" s="1742"/>
      <c r="K2" s="1742"/>
      <c r="L2" s="1742"/>
      <c r="M2" s="1742"/>
      <c r="N2" s="1742"/>
      <c r="O2" s="1742"/>
      <c r="P2" s="1743"/>
      <c r="Q2" s="412"/>
      <c r="R2" s="412"/>
    </row>
    <row r="3" spans="1:21" s="539" customFormat="1" ht="16.5" thickBot="1" x14ac:dyDescent="0.3">
      <c r="A3" s="1736" t="s">
        <v>1347</v>
      </c>
      <c r="B3" s="1737"/>
      <c r="C3" s="1737"/>
      <c r="D3" s="1737"/>
      <c r="E3" s="1737"/>
      <c r="F3" s="1737"/>
      <c r="G3" s="1737"/>
      <c r="H3" s="1737"/>
      <c r="I3" s="1737"/>
      <c r="J3" s="1737"/>
      <c r="K3" s="1737"/>
      <c r="L3" s="1737"/>
      <c r="M3" s="1737"/>
      <c r="N3" s="1737"/>
      <c r="O3" s="1737"/>
      <c r="P3" s="1738"/>
      <c r="Q3" s="412"/>
      <c r="R3" s="412"/>
    </row>
    <row r="4" spans="1:21" s="539" customFormat="1" ht="16.5" thickBot="1" x14ac:dyDescent="0.3">
      <c r="A4" s="1739" t="s">
        <v>1346</v>
      </c>
      <c r="B4" s="1740"/>
      <c r="C4" s="1740"/>
      <c r="D4" s="1740"/>
      <c r="E4" s="579" t="str">
        <f>'Datos Generales'!C6</f>
        <v>2021-I</v>
      </c>
      <c r="F4" s="579"/>
      <c r="G4" s="579"/>
      <c r="H4" s="579"/>
      <c r="I4" s="579"/>
      <c r="J4" s="579"/>
      <c r="K4" s="579"/>
      <c r="L4" s="581"/>
      <c r="M4" s="581"/>
      <c r="N4" s="581"/>
      <c r="O4" s="581"/>
      <c r="P4" s="582"/>
      <c r="Q4" s="412"/>
      <c r="R4" s="412"/>
    </row>
    <row r="5" spans="1:21" s="245" customFormat="1" ht="16.5" customHeight="1" thickBot="1" x14ac:dyDescent="0.3">
      <c r="A5" s="1736" t="s">
        <v>162</v>
      </c>
      <c r="B5" s="1737"/>
      <c r="C5" s="1737"/>
      <c r="D5" s="1737"/>
      <c r="E5" s="1737"/>
      <c r="F5" s="1737"/>
      <c r="G5" s="1737"/>
      <c r="H5" s="1737"/>
      <c r="I5" s="1737"/>
      <c r="J5" s="1737"/>
      <c r="K5" s="1737"/>
      <c r="L5" s="1737"/>
      <c r="M5" s="1737"/>
      <c r="N5" s="1737"/>
      <c r="O5" s="1737"/>
      <c r="P5" s="1738"/>
    </row>
    <row r="6" spans="1:21" x14ac:dyDescent="0.25">
      <c r="A6" s="245"/>
      <c r="B6" s="249" t="s">
        <v>1</v>
      </c>
      <c r="C6" s="250"/>
      <c r="D6" s="248"/>
      <c r="E6" s="259"/>
      <c r="F6" s="248" t="s">
        <v>128</v>
      </c>
      <c r="G6" s="248"/>
      <c r="H6" s="248"/>
      <c r="I6" s="248"/>
      <c r="J6" s="248"/>
      <c r="K6" s="248"/>
    </row>
    <row r="7" spans="1:21" ht="15.75" thickBot="1" x14ac:dyDescent="0.3">
      <c r="A7" s="245"/>
      <c r="B7" s="251"/>
      <c r="C7" s="252"/>
      <c r="D7" s="248"/>
      <c r="E7" s="253"/>
      <c r="F7" s="248" t="s">
        <v>129</v>
      </c>
      <c r="G7" s="248"/>
      <c r="H7" s="248"/>
      <c r="I7" s="248"/>
      <c r="J7" s="248"/>
      <c r="K7" s="248"/>
    </row>
    <row r="8" spans="1:21" ht="15.75" thickBot="1" x14ac:dyDescent="0.3">
      <c r="A8" s="245"/>
      <c r="B8" s="261" t="s">
        <v>1185</v>
      </c>
      <c r="C8" s="262">
        <v>2021</v>
      </c>
      <c r="D8" s="257">
        <f>IF(E10="NO APLICA","NO APLICA",IF(E11="NO SE REPORTA","SIN INFORMACION",+F22))</f>
        <v>1</v>
      </c>
      <c r="E8" s="264"/>
      <c r="F8" s="248" t="s">
        <v>130</v>
      </c>
      <c r="G8" s="248"/>
      <c r="H8" s="248"/>
      <c r="I8" s="248"/>
      <c r="J8" s="248"/>
      <c r="K8" s="248"/>
    </row>
    <row r="9" spans="1:21" x14ac:dyDescent="0.25">
      <c r="A9" s="245"/>
      <c r="B9" s="493" t="s">
        <v>1186</v>
      </c>
      <c r="C9" s="304"/>
      <c r="D9" s="248"/>
      <c r="E9" s="248"/>
      <c r="F9" s="248"/>
      <c r="G9" s="248"/>
      <c r="H9" s="248"/>
      <c r="I9" s="248"/>
      <c r="J9" s="248"/>
      <c r="K9" s="248"/>
    </row>
    <row r="10" spans="1:21" s="412" customFormat="1" x14ac:dyDescent="0.25">
      <c r="A10" s="245"/>
      <c r="B10" s="1789" t="s">
        <v>1241</v>
      </c>
      <c r="C10" s="1789"/>
      <c r="D10" s="1789"/>
      <c r="E10" s="499" t="s">
        <v>1238</v>
      </c>
      <c r="F10" s="17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96"/>
      <c r="H10" s="1796"/>
      <c r="I10" s="1796"/>
      <c r="J10" s="1796"/>
      <c r="K10" s="1796"/>
      <c r="L10" s="1796"/>
      <c r="M10" s="1796"/>
      <c r="N10" s="1796"/>
      <c r="O10" s="1796"/>
      <c r="P10" s="1796"/>
      <c r="Q10" s="1796"/>
      <c r="R10" s="1796"/>
      <c r="S10" s="1796"/>
      <c r="T10" s="495"/>
      <c r="U10" s="495"/>
    </row>
    <row r="11" spans="1:21" s="412" customFormat="1" ht="14.45" customHeight="1" x14ac:dyDescent="0.25">
      <c r="A11" s="245"/>
      <c r="B11" s="496"/>
      <c r="C11" s="497"/>
      <c r="D11" s="498" t="str">
        <f>IF(E10="SI APLICA","¿El indicador no se reporta por limitaciones de información disponible? ","")</f>
        <v xml:space="preserve">¿El indicador no se reporta por limitaciones de información disponible? </v>
      </c>
      <c r="E11" s="500" t="s">
        <v>1240</v>
      </c>
      <c r="F11" s="1790"/>
      <c r="G11" s="1791"/>
      <c r="H11" s="1791"/>
      <c r="I11" s="1791"/>
      <c r="J11" s="1791"/>
      <c r="K11" s="1791"/>
      <c r="L11" s="1791"/>
      <c r="M11" s="1791"/>
      <c r="N11" s="1791"/>
      <c r="O11" s="1791"/>
      <c r="P11" s="1791"/>
      <c r="Q11" s="1791"/>
      <c r="R11" s="1791"/>
      <c r="S11" s="1791"/>
    </row>
    <row r="12" spans="1:21" s="412" customFormat="1" ht="23.45" customHeight="1" x14ac:dyDescent="0.25">
      <c r="A12" s="245"/>
      <c r="B12" s="493"/>
      <c r="C12" s="304"/>
      <c r="D12" s="498" t="str">
        <f>IF(E11="SI SE REPORTA","¿Qué programas o proyectos del Plan de Acción están asociados al indicador? ","")</f>
        <v xml:space="preserve">¿Qué programas o proyectos del Plan de Acción están asociados al indicador? </v>
      </c>
      <c r="E12" s="1799" t="str">
        <f>+'Anexo 1 Matriz Inf Gestión'!A180</f>
        <v>Proyecto 6.1. Evaluación, Seguimiento, Monitoreo y Control de la calidad de los recursos naturales y la biodiversidad.</v>
      </c>
      <c r="F12" s="1799"/>
      <c r="G12" s="1799"/>
      <c r="H12" s="1799"/>
      <c r="I12" s="1799"/>
      <c r="J12" s="1799"/>
      <c r="K12" s="1799"/>
      <c r="L12" s="1799"/>
      <c r="M12" s="1799"/>
      <c r="N12" s="1799"/>
      <c r="O12" s="1799"/>
      <c r="P12" s="1799"/>
      <c r="Q12" s="1799"/>
      <c r="R12" s="1799"/>
    </row>
    <row r="13" spans="1:21" s="412" customFormat="1" ht="21.95" customHeight="1" x14ac:dyDescent="0.25">
      <c r="A13" s="245"/>
      <c r="B13" s="493"/>
      <c r="C13" s="304"/>
      <c r="D13" s="498" t="s">
        <v>1243</v>
      </c>
      <c r="E13" s="1792" t="s">
        <v>3057</v>
      </c>
      <c r="F13" s="1793"/>
      <c r="G13" s="1793"/>
      <c r="H13" s="1793"/>
      <c r="I13" s="1793"/>
      <c r="J13" s="1793"/>
      <c r="K13" s="1793"/>
      <c r="L13" s="1793"/>
      <c r="M13" s="1793"/>
      <c r="N13" s="1793"/>
      <c r="O13" s="1793"/>
      <c r="P13" s="1793"/>
      <c r="Q13" s="1793"/>
      <c r="R13" s="1794"/>
    </row>
    <row r="14" spans="1:21" s="412" customFormat="1" ht="6.95" customHeight="1" thickBot="1" x14ac:dyDescent="0.3">
      <c r="A14" s="245"/>
      <c r="B14" s="493"/>
      <c r="C14" s="304"/>
      <c r="D14" s="248"/>
      <c r="E14" s="248"/>
      <c r="F14" s="248"/>
      <c r="G14" s="248"/>
      <c r="H14" s="248"/>
      <c r="I14" s="248"/>
      <c r="J14" s="248"/>
      <c r="K14" s="248"/>
    </row>
    <row r="15" spans="1:21" ht="15.75" thickBot="1" x14ac:dyDescent="0.3">
      <c r="A15" s="245"/>
      <c r="B15" s="1768" t="s">
        <v>2</v>
      </c>
      <c r="C15" s="268"/>
      <c r="D15" s="1750" t="s">
        <v>3</v>
      </c>
      <c r="E15" s="1751"/>
      <c r="F15" s="1751"/>
      <c r="G15" s="1751"/>
      <c r="H15" s="1751"/>
      <c r="I15" s="1751"/>
      <c r="J15" s="1752"/>
      <c r="K15" s="248"/>
    </row>
    <row r="16" spans="1:21" ht="36.75" thickBot="1" x14ac:dyDescent="0.3">
      <c r="A16" s="245"/>
      <c r="B16" s="1769"/>
      <c r="C16" s="272"/>
      <c r="D16" s="273" t="s">
        <v>176</v>
      </c>
      <c r="E16" s="217">
        <v>18</v>
      </c>
      <c r="F16" s="248"/>
      <c r="G16" s="248"/>
      <c r="H16" s="248"/>
      <c r="I16" s="248"/>
      <c r="J16" s="274"/>
      <c r="K16" s="248"/>
    </row>
    <row r="17" spans="1:11" ht="48.75" thickBot="1" x14ac:dyDescent="0.3">
      <c r="A17" s="245"/>
      <c r="B17" s="1769"/>
      <c r="C17" s="272"/>
      <c r="D17" s="275" t="s">
        <v>177</v>
      </c>
      <c r="E17" s="217">
        <v>18</v>
      </c>
      <c r="F17" s="248"/>
      <c r="G17" s="248"/>
      <c r="H17" s="248"/>
      <c r="I17" s="248"/>
      <c r="J17" s="274"/>
      <c r="K17" s="248"/>
    </row>
    <row r="18" spans="1:11" ht="15.75" thickBot="1" x14ac:dyDescent="0.3">
      <c r="A18" s="245"/>
      <c r="B18" s="1769"/>
      <c r="C18" s="276"/>
      <c r="D18" s="1780"/>
      <c r="E18" s="1781"/>
      <c r="F18" s="1781"/>
      <c r="G18" s="1781"/>
      <c r="H18" s="1781"/>
      <c r="I18" s="1781"/>
      <c r="J18" s="1782"/>
      <c r="K18" s="248"/>
    </row>
    <row r="19" spans="1:11" ht="15.75" thickBot="1" x14ac:dyDescent="0.3">
      <c r="A19" s="245"/>
      <c r="B19" s="1769"/>
      <c r="C19" s="279" t="s">
        <v>19</v>
      </c>
      <c r="D19" s="273" t="s">
        <v>150</v>
      </c>
      <c r="E19" s="280" t="s">
        <v>20</v>
      </c>
      <c r="F19" s="280" t="s">
        <v>21</v>
      </c>
      <c r="G19" s="280" t="s">
        <v>22</v>
      </c>
      <c r="H19" s="280" t="s">
        <v>23</v>
      </c>
      <c r="I19" s="234" t="s">
        <v>55</v>
      </c>
      <c r="J19" s="113"/>
      <c r="K19" s="248"/>
    </row>
    <row r="20" spans="1:11" ht="36.75" thickBot="1" x14ac:dyDescent="0.3">
      <c r="A20" s="245"/>
      <c r="B20" s="1769"/>
      <c r="C20" s="282" t="s">
        <v>152</v>
      </c>
      <c r="D20" s="275" t="s">
        <v>178</v>
      </c>
      <c r="E20" s="217">
        <v>13</v>
      </c>
      <c r="F20" s="217">
        <v>18</v>
      </c>
      <c r="G20" s="217"/>
      <c r="H20" s="217"/>
      <c r="I20" s="31"/>
      <c r="J20" s="114"/>
      <c r="K20" s="248"/>
    </row>
    <row r="21" spans="1:11" ht="36.75" thickBot="1" x14ac:dyDescent="0.3">
      <c r="A21" s="245"/>
      <c r="B21" s="1769"/>
      <c r="C21" s="282" t="s">
        <v>154</v>
      </c>
      <c r="D21" s="275" t="s">
        <v>179</v>
      </c>
      <c r="E21" s="217">
        <v>12</v>
      </c>
      <c r="F21" s="217">
        <v>18</v>
      </c>
      <c r="G21" s="217"/>
      <c r="H21" s="217"/>
      <c r="I21" s="31"/>
      <c r="J21" s="114"/>
      <c r="K21" s="248"/>
    </row>
    <row r="22" spans="1:11" ht="36.75" thickBot="1" x14ac:dyDescent="0.3">
      <c r="A22" s="245"/>
      <c r="B22" s="1770"/>
      <c r="C22" s="282" t="s">
        <v>156</v>
      </c>
      <c r="D22" s="275" t="s">
        <v>180</v>
      </c>
      <c r="E22" s="196">
        <f>IFERROR(E21/E20,"N.A.")</f>
        <v>0.92307692307692313</v>
      </c>
      <c r="F22" s="196">
        <f>IFERROR(F21/F20,"N.A.")</f>
        <v>1</v>
      </c>
      <c r="G22" s="196" t="str">
        <f>IFERROR(G21/G20,"N.A.")</f>
        <v>N.A.</v>
      </c>
      <c r="H22" s="196" t="str">
        <f>IFERROR(H21/H20,"N.A.")</f>
        <v>N.A.</v>
      </c>
      <c r="I22" s="491"/>
      <c r="J22" s="115"/>
      <c r="K22" s="248"/>
    </row>
    <row r="23" spans="1:11" ht="24" customHeight="1" thickBot="1" x14ac:dyDescent="0.3">
      <c r="A23" s="245"/>
      <c r="B23" s="285" t="s">
        <v>34</v>
      </c>
      <c r="C23" s="286"/>
      <c r="D23" s="1777" t="s">
        <v>181</v>
      </c>
      <c r="E23" s="1778"/>
      <c r="F23" s="1778"/>
      <c r="G23" s="1778"/>
      <c r="H23" s="1778"/>
      <c r="I23" s="1778"/>
      <c r="J23" s="1779"/>
      <c r="K23" s="248"/>
    </row>
    <row r="24" spans="1:11" ht="24.75" thickBot="1" x14ac:dyDescent="0.3">
      <c r="A24" s="245"/>
      <c r="B24" s="285" t="s">
        <v>36</v>
      </c>
      <c r="C24" s="286"/>
      <c r="D24" s="1777" t="s">
        <v>159</v>
      </c>
      <c r="E24" s="1778"/>
      <c r="F24" s="1778"/>
      <c r="G24" s="1778"/>
      <c r="H24" s="1778"/>
      <c r="I24" s="1778"/>
      <c r="J24" s="1779"/>
      <c r="K24" s="248"/>
    </row>
    <row r="25" spans="1:11" ht="15.75" thickBot="1" x14ac:dyDescent="0.3">
      <c r="A25" s="245"/>
      <c r="B25" s="249"/>
      <c r="C25" s="250"/>
      <c r="D25" s="248"/>
      <c r="E25" s="248"/>
      <c r="F25" s="248"/>
      <c r="G25" s="248"/>
      <c r="H25" s="248"/>
      <c r="I25" s="248"/>
      <c r="J25" s="248"/>
      <c r="K25" s="248"/>
    </row>
    <row r="26" spans="1:11" ht="24" customHeight="1" thickBot="1" x14ac:dyDescent="0.3">
      <c r="A26" s="245"/>
      <c r="B26" s="1765" t="s">
        <v>38</v>
      </c>
      <c r="C26" s="1766"/>
      <c r="D26" s="1766"/>
      <c r="E26" s="1767"/>
      <c r="F26" s="248"/>
      <c r="G26" s="248"/>
      <c r="H26" s="248"/>
      <c r="I26" s="248"/>
      <c r="J26" s="248"/>
      <c r="K26" s="248"/>
    </row>
    <row r="27" spans="1:11" ht="15.75" thickBot="1" x14ac:dyDescent="0.3">
      <c r="A27" s="245"/>
      <c r="B27" s="1768">
        <v>1</v>
      </c>
      <c r="C27" s="272"/>
      <c r="D27" s="289" t="s">
        <v>39</v>
      </c>
      <c r="E27" s="31" t="s">
        <v>2849</v>
      </c>
      <c r="F27" s="248"/>
      <c r="G27" s="248"/>
      <c r="H27" s="248"/>
      <c r="I27" s="248"/>
      <c r="J27" s="248"/>
      <c r="K27" s="248"/>
    </row>
    <row r="28" spans="1:11" ht="36.75" thickBot="1" x14ac:dyDescent="0.3">
      <c r="A28" s="245"/>
      <c r="B28" s="1769"/>
      <c r="C28" s="272"/>
      <c r="D28" s="275" t="s">
        <v>40</v>
      </c>
      <c r="E28" s="30" t="s">
        <v>2884</v>
      </c>
      <c r="F28" s="248"/>
      <c r="G28" s="248"/>
      <c r="H28" s="248"/>
      <c r="I28" s="248"/>
      <c r="J28" s="248"/>
      <c r="K28" s="248"/>
    </row>
    <row r="29" spans="1:11" ht="24.75" thickBot="1" x14ac:dyDescent="0.3">
      <c r="A29" s="245"/>
      <c r="B29" s="1769"/>
      <c r="C29" s="272"/>
      <c r="D29" s="275" t="s">
        <v>41</v>
      </c>
      <c r="E29" s="30" t="s">
        <v>2885</v>
      </c>
      <c r="F29" s="248"/>
      <c r="G29" s="248"/>
      <c r="H29" s="248"/>
      <c r="I29" s="248"/>
      <c r="J29" s="248"/>
      <c r="K29" s="248"/>
    </row>
    <row r="30" spans="1:11" ht="36.75" thickBot="1" x14ac:dyDescent="0.3">
      <c r="A30" s="245"/>
      <c r="B30" s="1769"/>
      <c r="C30" s="272"/>
      <c r="D30" s="275" t="s">
        <v>42</v>
      </c>
      <c r="E30" s="30" t="s">
        <v>2850</v>
      </c>
      <c r="F30" s="248"/>
      <c r="G30" s="248"/>
      <c r="H30" s="248"/>
      <c r="I30" s="248"/>
      <c r="J30" s="248"/>
      <c r="K30" s="248"/>
    </row>
    <row r="31" spans="1:11" ht="36.75" thickBot="1" x14ac:dyDescent="0.3">
      <c r="A31" s="245"/>
      <c r="B31" s="1769"/>
      <c r="C31" s="272"/>
      <c r="D31" s="275" t="s">
        <v>43</v>
      </c>
      <c r="E31" s="30" t="s">
        <v>2886</v>
      </c>
      <c r="F31" s="248"/>
      <c r="G31" s="248"/>
      <c r="H31" s="248"/>
      <c r="I31" s="248"/>
      <c r="J31" s="248"/>
      <c r="K31" s="248"/>
    </row>
    <row r="32" spans="1:11" ht="24.75" thickBot="1" x14ac:dyDescent="0.3">
      <c r="A32" s="245"/>
      <c r="B32" s="1769"/>
      <c r="C32" s="272"/>
      <c r="D32" s="275" t="s">
        <v>44</v>
      </c>
      <c r="E32" s="30" t="s">
        <v>2887</v>
      </c>
      <c r="F32" s="248"/>
      <c r="G32" s="248"/>
      <c r="H32" s="248"/>
      <c r="I32" s="248"/>
      <c r="J32" s="248"/>
      <c r="K32" s="248"/>
    </row>
    <row r="33" spans="1:11" ht="24.75" thickBot="1" x14ac:dyDescent="0.3">
      <c r="A33" s="245"/>
      <c r="B33" s="1770"/>
      <c r="C33" s="282"/>
      <c r="D33" s="275" t="s">
        <v>45</v>
      </c>
      <c r="E33" s="30" t="s">
        <v>2888</v>
      </c>
      <c r="F33" s="248"/>
      <c r="G33" s="248"/>
      <c r="H33" s="248"/>
      <c r="I33" s="248"/>
      <c r="J33" s="248"/>
      <c r="K33" s="248"/>
    </row>
    <row r="34" spans="1:11" ht="15.75" thickBot="1" x14ac:dyDescent="0.3">
      <c r="A34" s="245"/>
      <c r="B34" s="249"/>
      <c r="C34" s="250"/>
      <c r="D34" s="248"/>
      <c r="E34" s="248"/>
      <c r="F34" s="248"/>
      <c r="G34" s="248"/>
      <c r="H34" s="248"/>
      <c r="I34" s="248"/>
      <c r="J34" s="248"/>
      <c r="K34" s="248"/>
    </row>
    <row r="35" spans="1:11" ht="15.75" thickBot="1" x14ac:dyDescent="0.3">
      <c r="A35" s="245"/>
      <c r="B35" s="1765" t="s">
        <v>46</v>
      </c>
      <c r="C35" s="1766"/>
      <c r="D35" s="1766"/>
      <c r="E35" s="1767"/>
      <c r="F35" s="248"/>
      <c r="G35" s="248"/>
      <c r="H35" s="248"/>
      <c r="I35" s="248"/>
      <c r="J35" s="248"/>
      <c r="K35" s="248"/>
    </row>
    <row r="36" spans="1:11" ht="15.75" thickBot="1" x14ac:dyDescent="0.3">
      <c r="A36" s="245"/>
      <c r="B36" s="1768">
        <v>1</v>
      </c>
      <c r="C36" s="272"/>
      <c r="D36" s="289" t="s">
        <v>39</v>
      </c>
      <c r="E36" s="302" t="s">
        <v>47</v>
      </c>
      <c r="F36" s="248"/>
      <c r="G36" s="248"/>
      <c r="H36" s="248"/>
      <c r="I36" s="248"/>
      <c r="J36" s="248"/>
      <c r="K36" s="248"/>
    </row>
    <row r="37" spans="1:11" ht="15.75" thickBot="1" x14ac:dyDescent="0.3">
      <c r="A37" s="245"/>
      <c r="B37" s="1769"/>
      <c r="C37" s="272"/>
      <c r="D37" s="275" t="s">
        <v>40</v>
      </c>
      <c r="E37" s="302" t="s">
        <v>160</v>
      </c>
      <c r="F37" s="248"/>
      <c r="G37" s="248"/>
      <c r="H37" s="248"/>
      <c r="I37" s="248"/>
      <c r="J37" s="248"/>
      <c r="K37" s="248"/>
    </row>
    <row r="38" spans="1:11" ht="15.75" thickBot="1" x14ac:dyDescent="0.3">
      <c r="A38" s="245"/>
      <c r="B38" s="1769"/>
      <c r="C38" s="272"/>
      <c r="D38" s="275" t="s">
        <v>41</v>
      </c>
      <c r="E38" s="315"/>
      <c r="F38" s="248"/>
      <c r="G38" s="248"/>
      <c r="H38" s="248"/>
      <c r="I38" s="248"/>
      <c r="J38" s="248"/>
      <c r="K38" s="248"/>
    </row>
    <row r="39" spans="1:11" ht="15.75" thickBot="1" x14ac:dyDescent="0.3">
      <c r="A39" s="245"/>
      <c r="B39" s="1769"/>
      <c r="C39" s="272"/>
      <c r="D39" s="275" t="s">
        <v>42</v>
      </c>
      <c r="E39" s="315"/>
      <c r="F39" s="248"/>
      <c r="G39" s="248"/>
      <c r="H39" s="248"/>
      <c r="I39" s="248"/>
      <c r="J39" s="248"/>
      <c r="K39" s="248"/>
    </row>
    <row r="40" spans="1:11" ht="15.75" thickBot="1" x14ac:dyDescent="0.3">
      <c r="A40" s="245"/>
      <c r="B40" s="1769"/>
      <c r="C40" s="272"/>
      <c r="D40" s="275" t="s">
        <v>43</v>
      </c>
      <c r="E40" s="315"/>
      <c r="F40" s="248"/>
      <c r="G40" s="248"/>
      <c r="H40" s="248"/>
      <c r="I40" s="248"/>
      <c r="J40" s="248"/>
      <c r="K40" s="248"/>
    </row>
    <row r="41" spans="1:11" ht="15.75" thickBot="1" x14ac:dyDescent="0.3">
      <c r="A41" s="245"/>
      <c r="B41" s="1769"/>
      <c r="C41" s="272"/>
      <c r="D41" s="275" t="s">
        <v>44</v>
      </c>
      <c r="E41" s="315"/>
      <c r="F41" s="248"/>
      <c r="G41" s="248"/>
      <c r="H41" s="248"/>
      <c r="I41" s="248"/>
      <c r="J41" s="248"/>
      <c r="K41" s="248"/>
    </row>
    <row r="42" spans="1:11" ht="15.75" thickBot="1" x14ac:dyDescent="0.3">
      <c r="A42" s="245"/>
      <c r="B42" s="1770"/>
      <c r="C42" s="282"/>
      <c r="D42" s="275" t="s">
        <v>45</v>
      </c>
      <c r="E42" s="315"/>
      <c r="F42" s="248"/>
      <c r="G42" s="248"/>
      <c r="H42" s="248"/>
      <c r="I42" s="248"/>
      <c r="J42" s="248"/>
      <c r="K42" s="248"/>
    </row>
    <row r="43" spans="1:11" ht="15.75" thickBot="1" x14ac:dyDescent="0.3">
      <c r="A43" s="245"/>
      <c r="B43" s="249"/>
      <c r="C43" s="250"/>
      <c r="D43" s="248"/>
      <c r="E43" s="248"/>
      <c r="F43" s="248"/>
      <c r="G43" s="248"/>
      <c r="H43" s="248"/>
      <c r="I43" s="248"/>
      <c r="J43" s="248"/>
      <c r="K43" s="248"/>
    </row>
    <row r="44" spans="1:11" ht="15" customHeight="1" thickBot="1" x14ac:dyDescent="0.3">
      <c r="A44" s="245"/>
      <c r="B44" s="306" t="s">
        <v>49</v>
      </c>
      <c r="C44" s="292"/>
      <c r="D44" s="292"/>
      <c r="E44" s="293"/>
      <c r="F44" s="245"/>
      <c r="G44" s="248"/>
      <c r="H44" s="248"/>
      <c r="I44" s="248"/>
      <c r="J44" s="248"/>
      <c r="K44" s="248"/>
    </row>
    <row r="45" spans="1:11" ht="24.75" thickBot="1" x14ac:dyDescent="0.3">
      <c r="A45" s="245"/>
      <c r="B45" s="285" t="s">
        <v>50</v>
      </c>
      <c r="C45" s="275" t="s">
        <v>51</v>
      </c>
      <c r="D45" s="275" t="s">
        <v>52</v>
      </c>
      <c r="E45" s="275" t="s">
        <v>53</v>
      </c>
      <c r="F45" s="248"/>
      <c r="G45" s="248"/>
      <c r="H45" s="248"/>
      <c r="I45" s="248"/>
      <c r="J45" s="248"/>
      <c r="K45" s="245"/>
    </row>
    <row r="46" spans="1:11" ht="72.75" thickBot="1" x14ac:dyDescent="0.3">
      <c r="A46" s="245"/>
      <c r="B46" s="295">
        <v>42401</v>
      </c>
      <c r="C46" s="275">
        <v>0.01</v>
      </c>
      <c r="D46" s="307" t="s">
        <v>182</v>
      </c>
      <c r="E46" s="275"/>
      <c r="F46" s="248"/>
      <c r="G46" s="248"/>
      <c r="H46" s="248"/>
      <c r="I46" s="248"/>
      <c r="J46" s="248"/>
      <c r="K46" s="245"/>
    </row>
    <row r="47" spans="1:11" ht="15.75" thickBot="1" x14ac:dyDescent="0.3">
      <c r="A47" s="245"/>
      <c r="B47" s="308"/>
      <c r="C47" s="309"/>
      <c r="D47" s="248"/>
      <c r="E47" s="248"/>
      <c r="F47" s="248"/>
      <c r="G47" s="248"/>
      <c r="H47" s="248"/>
      <c r="I47" s="248"/>
      <c r="J47" s="248"/>
      <c r="K47" s="248"/>
    </row>
    <row r="48" spans="1:11" x14ac:dyDescent="0.25">
      <c r="A48" s="245"/>
      <c r="B48" s="297" t="s">
        <v>55</v>
      </c>
      <c r="C48" s="298"/>
      <c r="D48" s="248"/>
      <c r="E48" s="248"/>
      <c r="F48" s="248"/>
      <c r="G48" s="248"/>
      <c r="H48" s="248"/>
      <c r="I48" s="248"/>
      <c r="J48" s="248"/>
      <c r="K48" s="248"/>
    </row>
    <row r="49" spans="1:11" x14ac:dyDescent="0.25">
      <c r="A49" s="245"/>
      <c r="B49" s="1806"/>
      <c r="C49" s="1807"/>
      <c r="D49" s="1807"/>
      <c r="E49" s="1808"/>
      <c r="F49" s="248"/>
      <c r="G49" s="248"/>
      <c r="H49" s="248"/>
      <c r="I49" s="248"/>
      <c r="J49" s="248"/>
      <c r="K49" s="248"/>
    </row>
    <row r="50" spans="1:11" ht="15.75" thickBot="1" x14ac:dyDescent="0.3">
      <c r="A50" s="245"/>
      <c r="B50" s="248"/>
      <c r="C50" s="265"/>
      <c r="D50" s="248"/>
      <c r="E50" s="248"/>
      <c r="F50" s="248"/>
      <c r="G50" s="248"/>
      <c r="H50" s="248"/>
      <c r="I50" s="248"/>
      <c r="J50" s="248"/>
      <c r="K50" s="248"/>
    </row>
    <row r="51" spans="1:11" ht="24.75" thickBot="1" x14ac:dyDescent="0.3">
      <c r="A51" s="245"/>
      <c r="B51" s="310" t="s">
        <v>56</v>
      </c>
      <c r="C51" s="311"/>
      <c r="D51" s="248"/>
      <c r="E51" s="248"/>
      <c r="F51" s="248"/>
      <c r="G51" s="248"/>
      <c r="H51" s="248"/>
      <c r="I51" s="248"/>
      <c r="J51" s="248"/>
      <c r="K51" s="248"/>
    </row>
    <row r="52" spans="1:11" ht="15.75" thickBot="1" x14ac:dyDescent="0.3">
      <c r="A52" s="245"/>
      <c r="B52" s="249"/>
      <c r="C52" s="250"/>
      <c r="D52" s="248"/>
      <c r="E52" s="248"/>
      <c r="F52" s="248"/>
      <c r="G52" s="248"/>
      <c r="H52" s="248"/>
      <c r="I52" s="248"/>
      <c r="J52" s="248"/>
      <c r="K52" s="248"/>
    </row>
    <row r="53" spans="1:11" ht="60.75" thickBot="1" x14ac:dyDescent="0.3">
      <c r="A53" s="245"/>
      <c r="B53" s="299" t="s">
        <v>57</v>
      </c>
      <c r="C53" s="279"/>
      <c r="D53" s="273" t="s">
        <v>163</v>
      </c>
      <c r="E53" s="248"/>
      <c r="F53" s="248"/>
      <c r="G53" s="248"/>
      <c r="H53" s="248"/>
      <c r="I53" s="248"/>
      <c r="J53" s="248"/>
      <c r="K53" s="248"/>
    </row>
    <row r="54" spans="1:11" x14ac:dyDescent="0.25">
      <c r="A54" s="245"/>
      <c r="B54" s="1768" t="s">
        <v>59</v>
      </c>
      <c r="C54" s="272"/>
      <c r="D54" s="312" t="s">
        <v>60</v>
      </c>
      <c r="E54" s="248"/>
      <c r="F54" s="248"/>
      <c r="G54" s="248"/>
      <c r="H54" s="248"/>
      <c r="I54" s="248"/>
      <c r="J54" s="248"/>
      <c r="K54" s="248"/>
    </row>
    <row r="55" spans="1:11" ht="60" x14ac:dyDescent="0.25">
      <c r="A55" s="245"/>
      <c r="B55" s="1769"/>
      <c r="C55" s="272"/>
      <c r="D55" s="313" t="s">
        <v>164</v>
      </c>
      <c r="E55" s="248"/>
      <c r="F55" s="248"/>
      <c r="G55" s="248"/>
      <c r="H55" s="248"/>
      <c r="I55" s="248"/>
      <c r="J55" s="248"/>
      <c r="K55" s="248"/>
    </row>
    <row r="56" spans="1:11" x14ac:dyDescent="0.25">
      <c r="A56" s="245"/>
      <c r="B56" s="1769"/>
      <c r="C56" s="272"/>
      <c r="D56" s="312" t="s">
        <v>134</v>
      </c>
      <c r="E56" s="248"/>
      <c r="F56" s="248"/>
      <c r="G56" s="248"/>
      <c r="H56" s="248"/>
      <c r="I56" s="248"/>
      <c r="J56" s="248"/>
      <c r="K56" s="248"/>
    </row>
    <row r="57" spans="1:11" x14ac:dyDescent="0.25">
      <c r="A57" s="245"/>
      <c r="B57" s="1769"/>
      <c r="C57" s="272"/>
      <c r="D57" s="313" t="s">
        <v>64</v>
      </c>
      <c r="E57" s="248"/>
      <c r="F57" s="248"/>
      <c r="G57" s="248"/>
      <c r="H57" s="248"/>
      <c r="I57" s="248"/>
      <c r="J57" s="248"/>
      <c r="K57" s="248"/>
    </row>
    <row r="58" spans="1:11" x14ac:dyDescent="0.25">
      <c r="A58" s="245"/>
      <c r="B58" s="1769"/>
      <c r="C58" s="272"/>
      <c r="D58" s="313" t="s">
        <v>165</v>
      </c>
      <c r="E58" s="248"/>
      <c r="F58" s="248"/>
      <c r="G58" s="248"/>
      <c r="H58" s="248"/>
      <c r="I58" s="248"/>
      <c r="J58" s="248"/>
      <c r="K58" s="248"/>
    </row>
    <row r="59" spans="1:11" x14ac:dyDescent="0.25">
      <c r="A59" s="245"/>
      <c r="B59" s="1769"/>
      <c r="C59" s="272"/>
      <c r="D59" s="313" t="s">
        <v>166</v>
      </c>
      <c r="E59" s="248"/>
      <c r="F59" s="248"/>
      <c r="G59" s="248"/>
      <c r="H59" s="248"/>
      <c r="I59" s="248"/>
      <c r="J59" s="248"/>
      <c r="K59" s="248"/>
    </row>
    <row r="60" spans="1:11" x14ac:dyDescent="0.25">
      <c r="A60" s="245"/>
      <c r="B60" s="1769"/>
      <c r="C60" s="272"/>
      <c r="D60" s="313" t="s">
        <v>167</v>
      </c>
      <c r="E60" s="248"/>
      <c r="F60" s="248"/>
      <c r="G60" s="248"/>
      <c r="H60" s="248"/>
      <c r="I60" s="248"/>
      <c r="J60" s="248"/>
      <c r="K60" s="248"/>
    </row>
    <row r="61" spans="1:11" x14ac:dyDescent="0.25">
      <c r="A61" s="245"/>
      <c r="B61" s="1769"/>
      <c r="C61" s="272"/>
      <c r="D61" s="313" t="s">
        <v>168</v>
      </c>
      <c r="E61" s="248"/>
      <c r="F61" s="248"/>
      <c r="G61" s="248"/>
      <c r="H61" s="248"/>
      <c r="I61" s="248"/>
      <c r="J61" s="248"/>
      <c r="K61" s="248"/>
    </row>
    <row r="62" spans="1:11" ht="15.75" thickBot="1" x14ac:dyDescent="0.3">
      <c r="A62" s="245"/>
      <c r="B62" s="1770"/>
      <c r="C62" s="282"/>
      <c r="D62" s="307"/>
      <c r="E62" s="248"/>
      <c r="F62" s="248"/>
      <c r="G62" s="248"/>
      <c r="H62" s="248"/>
      <c r="I62" s="248"/>
      <c r="J62" s="248"/>
      <c r="K62" s="248"/>
    </row>
    <row r="63" spans="1:11" ht="24.75" thickBot="1" x14ac:dyDescent="0.3">
      <c r="A63" s="245"/>
      <c r="B63" s="285" t="s">
        <v>72</v>
      </c>
      <c r="C63" s="282"/>
      <c r="D63" s="275"/>
      <c r="E63" s="248"/>
      <c r="F63" s="248"/>
      <c r="G63" s="248"/>
      <c r="H63" s="248"/>
      <c r="I63" s="248"/>
      <c r="J63" s="248"/>
      <c r="K63" s="248"/>
    </row>
    <row r="64" spans="1:11" ht="108" x14ac:dyDescent="0.25">
      <c r="A64" s="245"/>
      <c r="B64" s="1768" t="s">
        <v>73</v>
      </c>
      <c r="C64" s="272"/>
      <c r="D64" s="313" t="s">
        <v>169</v>
      </c>
      <c r="E64" s="248"/>
      <c r="F64" s="248"/>
      <c r="G64" s="248"/>
      <c r="H64" s="248"/>
      <c r="I64" s="248"/>
      <c r="J64" s="248"/>
      <c r="K64" s="248"/>
    </row>
    <row r="65" spans="1:11" ht="96" x14ac:dyDescent="0.25">
      <c r="A65" s="245"/>
      <c r="B65" s="1769"/>
      <c r="C65" s="272"/>
      <c r="D65" s="313" t="s">
        <v>170</v>
      </c>
      <c r="E65" s="248"/>
      <c r="F65" s="248"/>
      <c r="G65" s="248"/>
      <c r="H65" s="248"/>
      <c r="I65" s="248"/>
      <c r="J65" s="248"/>
      <c r="K65" s="248"/>
    </row>
    <row r="66" spans="1:11" ht="120.75" thickBot="1" x14ac:dyDescent="0.3">
      <c r="A66" s="245"/>
      <c r="B66" s="1770"/>
      <c r="C66" s="282"/>
      <c r="D66" s="275" t="s">
        <v>171</v>
      </c>
      <c r="E66" s="248"/>
      <c r="F66" s="248"/>
      <c r="G66" s="248"/>
      <c r="H66" s="248"/>
      <c r="I66" s="248"/>
      <c r="J66" s="248"/>
      <c r="K66" s="248"/>
    </row>
    <row r="67" spans="1:11" x14ac:dyDescent="0.25">
      <c r="A67" s="245"/>
      <c r="B67" s="1768" t="s">
        <v>90</v>
      </c>
      <c r="C67" s="272"/>
      <c r="D67" s="313"/>
      <c r="E67" s="248"/>
      <c r="F67" s="248"/>
      <c r="G67" s="248"/>
      <c r="H67" s="248"/>
      <c r="I67" s="248"/>
      <c r="J67" s="248"/>
      <c r="K67" s="248"/>
    </row>
    <row r="68" spans="1:11" x14ac:dyDescent="0.25">
      <c r="A68" s="245"/>
      <c r="B68" s="1769"/>
      <c r="C68" s="272"/>
      <c r="D68" s="314"/>
      <c r="E68" s="248"/>
      <c r="F68" s="248"/>
      <c r="G68" s="248"/>
      <c r="H68" s="248"/>
      <c r="I68" s="248"/>
      <c r="J68" s="248"/>
      <c r="K68" s="248"/>
    </row>
    <row r="69" spans="1:11" x14ac:dyDescent="0.25">
      <c r="A69" s="245"/>
      <c r="B69" s="1769"/>
      <c r="C69" s="272"/>
      <c r="D69" s="313" t="s">
        <v>91</v>
      </c>
      <c r="E69" s="248"/>
      <c r="F69" s="248"/>
      <c r="G69" s="248"/>
      <c r="H69" s="248"/>
      <c r="I69" s="248"/>
      <c r="J69" s="248"/>
      <c r="K69" s="248"/>
    </row>
    <row r="70" spans="1:11" ht="37.5" x14ac:dyDescent="0.25">
      <c r="A70" s="245"/>
      <c r="B70" s="1769"/>
      <c r="C70" s="272"/>
      <c r="D70" s="313" t="s">
        <v>172</v>
      </c>
      <c r="E70" s="248"/>
      <c r="F70" s="248"/>
      <c r="G70" s="248"/>
      <c r="H70" s="248"/>
      <c r="I70" s="248"/>
      <c r="J70" s="248"/>
      <c r="K70" s="248"/>
    </row>
    <row r="71" spans="1:11" ht="37.5" x14ac:dyDescent="0.25">
      <c r="A71" s="245"/>
      <c r="B71" s="1769"/>
      <c r="C71" s="272"/>
      <c r="D71" s="313" t="s">
        <v>173</v>
      </c>
      <c r="E71" s="248"/>
      <c r="F71" s="248"/>
      <c r="G71" s="248"/>
      <c r="H71" s="248"/>
      <c r="I71" s="248"/>
      <c r="J71" s="248"/>
      <c r="K71" s="248"/>
    </row>
    <row r="72" spans="1:11" ht="37.5" x14ac:dyDescent="0.25">
      <c r="A72" s="245"/>
      <c r="B72" s="1769"/>
      <c r="C72" s="272"/>
      <c r="D72" s="313" t="s">
        <v>174</v>
      </c>
      <c r="E72" s="248"/>
      <c r="F72" s="248"/>
      <c r="G72" s="248"/>
      <c r="H72" s="248"/>
      <c r="I72" s="248"/>
      <c r="J72" s="248"/>
      <c r="K72" s="248"/>
    </row>
    <row r="73" spans="1:11" ht="48.75" thickBot="1" x14ac:dyDescent="0.3">
      <c r="A73" s="245"/>
      <c r="B73" s="1770"/>
      <c r="C73" s="282"/>
      <c r="D73" s="275" t="s">
        <v>175</v>
      </c>
      <c r="E73" s="248"/>
      <c r="F73" s="248"/>
      <c r="G73" s="248"/>
      <c r="H73" s="248"/>
      <c r="I73" s="248"/>
      <c r="J73" s="248"/>
      <c r="K73" s="248"/>
    </row>
    <row r="74" spans="1:11" x14ac:dyDescent="0.25">
      <c r="A74" s="245"/>
      <c r="B74" s="248"/>
      <c r="C74" s="265"/>
      <c r="D74" s="248"/>
      <c r="E74" s="248"/>
      <c r="F74" s="248"/>
      <c r="G74" s="248"/>
      <c r="H74" s="248"/>
      <c r="I74" s="248"/>
      <c r="J74" s="248"/>
      <c r="K74" s="248"/>
    </row>
    <row r="75" spans="1:11" x14ac:dyDescent="0.25">
      <c r="A75" s="245"/>
      <c r="B75" s="248"/>
      <c r="C75" s="265"/>
      <c r="D75" s="248"/>
      <c r="E75" s="248"/>
      <c r="F75" s="248"/>
      <c r="G75" s="248"/>
      <c r="H75" s="248"/>
      <c r="I75" s="248"/>
      <c r="J75" s="248"/>
      <c r="K75" s="248"/>
    </row>
  </sheetData>
  <mergeCells count="23">
    <mergeCell ref="A1:P1"/>
    <mergeCell ref="A2:P2"/>
    <mergeCell ref="A3:P3"/>
    <mergeCell ref="A4:D4"/>
    <mergeCell ref="A5:P5"/>
    <mergeCell ref="B67:B73"/>
    <mergeCell ref="B15:B22"/>
    <mergeCell ref="D23:J23"/>
    <mergeCell ref="D24:J24"/>
    <mergeCell ref="B26:E26"/>
    <mergeCell ref="B27:B33"/>
    <mergeCell ref="B35:E35"/>
    <mergeCell ref="D15:J15"/>
    <mergeCell ref="D18:J18"/>
    <mergeCell ref="B36:B42"/>
    <mergeCell ref="B54:B62"/>
    <mergeCell ref="B64:B66"/>
    <mergeCell ref="B49:E49"/>
    <mergeCell ref="B10:D10"/>
    <mergeCell ref="F10:S10"/>
    <mergeCell ref="F11:S11"/>
    <mergeCell ref="E12:R12"/>
    <mergeCell ref="E13:R13"/>
  </mergeCells>
  <conditionalFormatting sqref="F10">
    <cfRule type="notContainsBlanks" dxfId="121" priority="4">
      <formula>LEN(TRIM(F10))&gt;0</formula>
    </cfRule>
  </conditionalFormatting>
  <conditionalFormatting sqref="F11:S11">
    <cfRule type="expression" dxfId="120" priority="2">
      <formula>E11="NO SE REPORTA"</formula>
    </cfRule>
    <cfRule type="expression" dxfId="119" priority="3">
      <formula>E10="NO APLICA"</formula>
    </cfRule>
  </conditionalFormatting>
  <conditionalFormatting sqref="E12:R12">
    <cfRule type="expression" dxfId="118"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6:E17 E20:H21" xr:uid="{00000000-0002-0000-0D00-000000000000}">
      <formula1>0</formula1>
    </dataValidation>
    <dataValidation type="list" allowBlank="1" showInputMessage="1" showErrorMessage="1" sqref="E11" xr:uid="{00000000-0002-0000-0D00-000001000000}">
      <formula1>REPORTE</formula1>
    </dataValidation>
    <dataValidation type="list" allowBlank="1" showInputMessage="1" showErrorMessage="1" sqref="E10" xr:uid="{00000000-0002-0000-0D00-000002000000}">
      <formula1>SI</formula1>
    </dataValidation>
  </dataValidations>
  <hyperlinks>
    <hyperlink ref="B9" location="'ANEXO 3'!A1" display="VOLVER AL INDICE" xr:uid="{00000000-0004-0000-0D00-000000000000}"/>
  </hyperlinks>
  <pageMargins left="0.25" right="0.25" top="0.75" bottom="0.75" header="0.3" footer="0.3"/>
  <pageSetup paperSize="178" orientation="landscape"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4"/>
  <dimension ref="A1:U75"/>
  <sheetViews>
    <sheetView showGridLines="0" topLeftCell="A57" zoomScale="98" zoomScaleNormal="98" workbookViewId="0">
      <selection activeCell="A5" sqref="A5:P5"/>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538" customFormat="1" ht="100.5" customHeight="1" thickBot="1" x14ac:dyDescent="0.3">
      <c r="A1" s="1733"/>
      <c r="B1" s="1734"/>
      <c r="C1" s="1734"/>
      <c r="D1" s="1734"/>
      <c r="E1" s="1734"/>
      <c r="F1" s="1734"/>
      <c r="G1" s="1734"/>
      <c r="H1" s="1734"/>
      <c r="I1" s="1734"/>
      <c r="J1" s="1734"/>
      <c r="K1" s="1734"/>
      <c r="L1" s="1734"/>
      <c r="M1" s="1734"/>
      <c r="N1" s="1734"/>
      <c r="O1" s="1734"/>
      <c r="P1" s="1735"/>
      <c r="Q1" s="412"/>
      <c r="R1" s="412"/>
    </row>
    <row r="2" spans="1:21" s="539" customFormat="1" ht="16.5" thickBot="1" x14ac:dyDescent="0.3">
      <c r="A2" s="1741" t="str">
        <f>'Datos Generales'!C5</f>
        <v>Corporación Autónoma Regional de La Guajira – CORPOGUAJIRA</v>
      </c>
      <c r="B2" s="1742"/>
      <c r="C2" s="1742"/>
      <c r="D2" s="1742"/>
      <c r="E2" s="1742"/>
      <c r="F2" s="1742"/>
      <c r="G2" s="1742"/>
      <c r="H2" s="1742"/>
      <c r="I2" s="1742"/>
      <c r="J2" s="1742"/>
      <c r="K2" s="1742"/>
      <c r="L2" s="1742"/>
      <c r="M2" s="1742"/>
      <c r="N2" s="1742"/>
      <c r="O2" s="1742"/>
      <c r="P2" s="1743"/>
      <c r="Q2" s="412"/>
      <c r="R2" s="412"/>
    </row>
    <row r="3" spans="1:21" s="539" customFormat="1" ht="16.5" thickBot="1" x14ac:dyDescent="0.3">
      <c r="A3" s="1736" t="s">
        <v>1347</v>
      </c>
      <c r="B3" s="1737"/>
      <c r="C3" s="1737"/>
      <c r="D3" s="1737"/>
      <c r="E3" s="1737"/>
      <c r="F3" s="1737"/>
      <c r="G3" s="1737"/>
      <c r="H3" s="1737"/>
      <c r="I3" s="1737"/>
      <c r="J3" s="1737"/>
      <c r="K3" s="1737"/>
      <c r="L3" s="1737"/>
      <c r="M3" s="1737"/>
      <c r="N3" s="1737"/>
      <c r="O3" s="1737"/>
      <c r="P3" s="1738"/>
      <c r="Q3" s="412"/>
      <c r="R3" s="412"/>
    </row>
    <row r="4" spans="1:21" s="539" customFormat="1" ht="16.5" thickBot="1" x14ac:dyDescent="0.3">
      <c r="A4" s="1739" t="s">
        <v>1346</v>
      </c>
      <c r="B4" s="1740"/>
      <c r="C4" s="1740"/>
      <c r="D4" s="1740"/>
      <c r="E4" s="579" t="str">
        <f>'Datos Generales'!C6</f>
        <v>2021-I</v>
      </c>
      <c r="F4" s="579"/>
      <c r="G4" s="579"/>
      <c r="H4" s="579"/>
      <c r="I4" s="579"/>
      <c r="J4" s="579"/>
      <c r="K4" s="579"/>
      <c r="L4" s="581"/>
      <c r="M4" s="581"/>
      <c r="N4" s="581"/>
      <c r="O4" s="581"/>
      <c r="P4" s="582"/>
      <c r="Q4" s="412"/>
      <c r="R4" s="412"/>
    </row>
    <row r="5" spans="1:21" s="245" customFormat="1" ht="16.5" customHeight="1" thickBot="1" x14ac:dyDescent="0.3">
      <c r="A5" s="1736" t="s">
        <v>183</v>
      </c>
      <c r="B5" s="1737"/>
      <c r="C5" s="1737"/>
      <c r="D5" s="1737"/>
      <c r="E5" s="1737"/>
      <c r="F5" s="1737"/>
      <c r="G5" s="1737"/>
      <c r="H5" s="1737"/>
      <c r="I5" s="1737"/>
      <c r="J5" s="1737"/>
      <c r="K5" s="1737"/>
      <c r="L5" s="1737"/>
      <c r="M5" s="1737"/>
      <c r="N5" s="1737"/>
      <c r="O5" s="1737"/>
      <c r="P5" s="1738"/>
    </row>
    <row r="6" spans="1:21" x14ac:dyDescent="0.25">
      <c r="A6" s="245"/>
      <c r="B6" s="249" t="s">
        <v>1</v>
      </c>
      <c r="C6" s="250"/>
      <c r="D6" s="248"/>
      <c r="E6" s="259"/>
      <c r="F6" s="248" t="s">
        <v>128</v>
      </c>
      <c r="G6" s="248"/>
      <c r="H6" s="248"/>
      <c r="I6" s="248"/>
      <c r="J6" s="248"/>
      <c r="K6" s="248"/>
    </row>
    <row r="7" spans="1:21" ht="15.75" thickBot="1" x14ac:dyDescent="0.3">
      <c r="A7" s="245"/>
      <c r="B7" s="251"/>
      <c r="C7" s="252"/>
      <c r="D7" s="248"/>
      <c r="E7" s="253"/>
      <c r="F7" s="248" t="s">
        <v>129</v>
      </c>
      <c r="G7" s="248"/>
      <c r="H7" s="248"/>
      <c r="I7" s="248"/>
      <c r="J7" s="248"/>
      <c r="K7" s="248"/>
    </row>
    <row r="8" spans="1:21" ht="15.75" thickBot="1" x14ac:dyDescent="0.3">
      <c r="A8" s="245"/>
      <c r="B8" s="261" t="s">
        <v>1185</v>
      </c>
      <c r="C8" s="262">
        <v>2020</v>
      </c>
      <c r="D8" s="257" t="str">
        <f>+E23</f>
        <v>N.A.</v>
      </c>
      <c r="E8" s="264"/>
      <c r="F8" s="248" t="s">
        <v>130</v>
      </c>
      <c r="G8" s="248"/>
      <c r="H8" s="248"/>
      <c r="I8" s="248"/>
      <c r="J8" s="248"/>
      <c r="K8" s="248"/>
    </row>
    <row r="9" spans="1:21" x14ac:dyDescent="0.25">
      <c r="A9" s="245"/>
      <c r="B9" s="493" t="s">
        <v>1186</v>
      </c>
      <c r="C9" s="304"/>
      <c r="D9" s="248"/>
      <c r="E9" s="248"/>
      <c r="F9" s="248"/>
      <c r="G9" s="248"/>
      <c r="H9" s="248"/>
      <c r="I9" s="248"/>
      <c r="J9" s="248"/>
      <c r="K9" s="248"/>
    </row>
    <row r="10" spans="1:21" s="412" customFormat="1" x14ac:dyDescent="0.25">
      <c r="A10" s="245"/>
      <c r="B10" s="1789" t="s">
        <v>1241</v>
      </c>
      <c r="C10" s="1789"/>
      <c r="D10" s="1789"/>
      <c r="E10" s="499" t="s">
        <v>1238</v>
      </c>
      <c r="F10" s="17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96"/>
      <c r="H10" s="1796"/>
      <c r="I10" s="1796"/>
      <c r="J10" s="1796"/>
      <c r="K10" s="1796"/>
      <c r="L10" s="1796"/>
      <c r="M10" s="1796"/>
      <c r="N10" s="1796"/>
      <c r="O10" s="1796"/>
      <c r="P10" s="1796"/>
      <c r="Q10" s="1796"/>
      <c r="R10" s="1796"/>
      <c r="S10" s="1796"/>
      <c r="T10" s="495"/>
      <c r="U10" s="495"/>
    </row>
    <row r="11" spans="1:21" s="412" customFormat="1" ht="14.45" customHeight="1" x14ac:dyDescent="0.25">
      <c r="A11" s="245"/>
      <c r="B11" s="496"/>
      <c r="C11" s="497"/>
      <c r="D11" s="498" t="str">
        <f>IF(E10="SI APLICA","¿El indicador no se reporta por limitaciones de información disponible? ","")</f>
        <v xml:space="preserve">¿El indicador no se reporta por limitaciones de información disponible? </v>
      </c>
      <c r="E11" s="500" t="s">
        <v>1240</v>
      </c>
      <c r="F11" s="1790"/>
      <c r="G11" s="1791"/>
      <c r="H11" s="1791"/>
      <c r="I11" s="1791"/>
      <c r="J11" s="1791"/>
      <c r="K11" s="1791"/>
      <c r="L11" s="1791"/>
      <c r="M11" s="1791"/>
      <c r="N11" s="1791"/>
      <c r="O11" s="1791"/>
      <c r="P11" s="1791"/>
      <c r="Q11" s="1791"/>
      <c r="R11" s="1791"/>
      <c r="S11" s="1791"/>
    </row>
    <row r="12" spans="1:21" s="412" customFormat="1" ht="23.45" customHeight="1" x14ac:dyDescent="0.25">
      <c r="A12" s="245"/>
      <c r="B12" s="493"/>
      <c r="C12" s="304"/>
      <c r="D12" s="498" t="str">
        <f>IF(E11="SI SE REPORTA","¿Qué programas o proyectos del Plan de Acción están asociados al indicador? ","")</f>
        <v xml:space="preserve">¿Qué programas o proyectos del Plan de Acción están asociados al indicador? </v>
      </c>
      <c r="E12" s="1799"/>
      <c r="F12" s="1799"/>
      <c r="G12" s="1799"/>
      <c r="H12" s="1799"/>
      <c r="I12" s="1799"/>
      <c r="J12" s="1799"/>
      <c r="K12" s="1799"/>
      <c r="L12" s="1799"/>
      <c r="M12" s="1799"/>
      <c r="N12" s="1799"/>
      <c r="O12" s="1799"/>
      <c r="P12" s="1799"/>
      <c r="Q12" s="1799"/>
      <c r="R12" s="1799"/>
    </row>
    <row r="13" spans="1:21" s="412" customFormat="1" ht="21.95" customHeight="1" x14ac:dyDescent="0.25">
      <c r="A13" s="245"/>
      <c r="B13" s="493"/>
      <c r="C13" s="304"/>
      <c r="D13" s="498" t="s">
        <v>1243</v>
      </c>
      <c r="E13" s="1792" t="s">
        <v>3057</v>
      </c>
      <c r="F13" s="1793"/>
      <c r="G13" s="1793"/>
      <c r="H13" s="1793"/>
      <c r="I13" s="1793"/>
      <c r="J13" s="1793"/>
      <c r="K13" s="1793"/>
      <c r="L13" s="1793"/>
      <c r="M13" s="1793"/>
      <c r="N13" s="1793"/>
      <c r="O13" s="1793"/>
      <c r="P13" s="1793"/>
      <c r="Q13" s="1793"/>
      <c r="R13" s="1794"/>
    </row>
    <row r="14" spans="1:21" s="412" customFormat="1" ht="6.95" customHeight="1" thickBot="1" x14ac:dyDescent="0.3">
      <c r="A14" s="245"/>
      <c r="B14" s="493"/>
      <c r="C14" s="304"/>
      <c r="D14" s="248"/>
      <c r="E14" s="248"/>
      <c r="F14" s="248"/>
      <c r="G14" s="248"/>
      <c r="H14" s="248"/>
      <c r="I14" s="248"/>
      <c r="J14" s="248"/>
      <c r="K14" s="248"/>
    </row>
    <row r="15" spans="1:21" ht="15.75" thickBot="1" x14ac:dyDescent="0.3">
      <c r="A15" s="245"/>
      <c r="B15" s="1768" t="s">
        <v>2</v>
      </c>
      <c r="C15" s="268"/>
      <c r="D15" s="1750" t="s">
        <v>3</v>
      </c>
      <c r="E15" s="1751"/>
      <c r="F15" s="1751"/>
      <c r="G15" s="1751"/>
      <c r="H15" s="1751"/>
      <c r="I15" s="1751"/>
      <c r="J15" s="1752"/>
      <c r="K15" s="248"/>
    </row>
    <row r="16" spans="1:21" ht="24.75" thickBot="1" x14ac:dyDescent="0.3">
      <c r="A16" s="245"/>
      <c r="B16" s="1769"/>
      <c r="C16" s="272"/>
      <c r="D16" s="273" t="s">
        <v>193</v>
      </c>
      <c r="E16" s="217"/>
      <c r="F16" s="248"/>
      <c r="G16" s="248"/>
      <c r="H16" s="248"/>
      <c r="I16" s="248"/>
      <c r="J16" s="274"/>
      <c r="K16" s="248"/>
    </row>
    <row r="17" spans="1:11" ht="40.5" customHeight="1" thickBot="1" x14ac:dyDescent="0.3">
      <c r="A17" s="245"/>
      <c r="B17" s="1769"/>
      <c r="C17" s="272"/>
      <c r="D17" s="275" t="s">
        <v>1763</v>
      </c>
      <c r="E17" s="217"/>
      <c r="F17" s="248"/>
      <c r="G17" s="248"/>
      <c r="H17" s="248"/>
      <c r="I17" s="248"/>
      <c r="J17" s="274"/>
      <c r="K17" s="248"/>
    </row>
    <row r="18" spans="1:11" ht="36.75" thickBot="1" x14ac:dyDescent="0.3">
      <c r="A18" s="245"/>
      <c r="B18" s="1769"/>
      <c r="C18" s="272"/>
      <c r="D18" s="275" t="s">
        <v>194</v>
      </c>
      <c r="E18" s="217"/>
      <c r="F18" s="248"/>
      <c r="G18" s="248"/>
      <c r="H18" s="248"/>
      <c r="I18" s="248"/>
      <c r="J18" s="274"/>
      <c r="K18" s="248"/>
    </row>
    <row r="19" spans="1:11" ht="15.75" thickBot="1" x14ac:dyDescent="0.3">
      <c r="A19" s="245"/>
      <c r="B19" s="1769"/>
      <c r="C19" s="276"/>
      <c r="D19" s="1780"/>
      <c r="E19" s="1781"/>
      <c r="F19" s="1781"/>
      <c r="G19" s="1781"/>
      <c r="H19" s="1781"/>
      <c r="I19" s="1781"/>
      <c r="J19" s="1782"/>
      <c r="K19" s="248"/>
    </row>
    <row r="20" spans="1:11" ht="15.75" thickBot="1" x14ac:dyDescent="0.3">
      <c r="A20" s="245"/>
      <c r="B20" s="1769"/>
      <c r="C20" s="279" t="s">
        <v>19</v>
      </c>
      <c r="D20" s="273" t="s">
        <v>150</v>
      </c>
      <c r="E20" s="280" t="s">
        <v>20</v>
      </c>
      <c r="F20" s="280" t="s">
        <v>21</v>
      </c>
      <c r="G20" s="280" t="s">
        <v>22</v>
      </c>
      <c r="H20" s="280" t="s">
        <v>23</v>
      </c>
      <c r="I20" s="280" t="s">
        <v>151</v>
      </c>
      <c r="J20" s="113"/>
      <c r="K20" s="248"/>
    </row>
    <row r="21" spans="1:11" ht="36.75" thickBot="1" x14ac:dyDescent="0.3">
      <c r="A21" s="245"/>
      <c r="B21" s="1769"/>
      <c r="C21" s="282" t="s">
        <v>152</v>
      </c>
      <c r="D21" s="275" t="s">
        <v>195</v>
      </c>
      <c r="E21" s="217"/>
      <c r="F21" s="217"/>
      <c r="G21" s="217"/>
      <c r="H21" s="217"/>
      <c r="I21" s="283">
        <f>SUM(E21:H21)</f>
        <v>0</v>
      </c>
      <c r="J21" s="114"/>
      <c r="K21" s="248"/>
    </row>
    <row r="22" spans="1:11" ht="36.75" thickBot="1" x14ac:dyDescent="0.3">
      <c r="A22" s="245"/>
      <c r="B22" s="1769"/>
      <c r="C22" s="282" t="s">
        <v>154</v>
      </c>
      <c r="D22" s="275" t="s">
        <v>196</v>
      </c>
      <c r="E22" s="217"/>
      <c r="F22" s="217"/>
      <c r="G22" s="217"/>
      <c r="H22" s="217"/>
      <c r="I22" s="283">
        <f>SUM(E22:H22)</f>
        <v>0</v>
      </c>
      <c r="J22" s="114"/>
      <c r="K22" s="248"/>
    </row>
    <row r="23" spans="1:11" ht="36.75" thickBot="1" x14ac:dyDescent="0.3">
      <c r="A23" s="245"/>
      <c r="B23" s="1770"/>
      <c r="C23" s="282" t="s">
        <v>156</v>
      </c>
      <c r="D23" s="275" t="s">
        <v>197</v>
      </c>
      <c r="E23" s="196" t="str">
        <f>IFERROR(E22/E21,"N.A.")</f>
        <v>N.A.</v>
      </c>
      <c r="F23" s="196" t="str">
        <f>IFERROR(F22/F21,"N.A.")</f>
        <v>N.A.</v>
      </c>
      <c r="G23" s="196" t="str">
        <f>IFERROR(G22/G21,"N.A.")</f>
        <v>N.A.</v>
      </c>
      <c r="H23" s="196" t="str">
        <f>IFERROR(H22/H21,"N.A.")</f>
        <v>N.A.</v>
      </c>
      <c r="I23" s="196" t="str">
        <f>IFERROR(I22/I21,"N.A.")</f>
        <v>N.A.</v>
      </c>
      <c r="J23" s="115"/>
      <c r="K23" s="248"/>
    </row>
    <row r="24" spans="1:11" ht="24" customHeight="1" thickBot="1" x14ac:dyDescent="0.3">
      <c r="A24" s="245"/>
      <c r="B24" s="285" t="s">
        <v>34</v>
      </c>
      <c r="C24" s="286"/>
      <c r="D24" s="1777" t="s">
        <v>198</v>
      </c>
      <c r="E24" s="1778"/>
      <c r="F24" s="1778"/>
      <c r="G24" s="1778"/>
      <c r="H24" s="1778"/>
      <c r="I24" s="1778"/>
      <c r="J24" s="1779"/>
      <c r="K24" s="248"/>
    </row>
    <row r="25" spans="1:11" ht="24.75" thickBot="1" x14ac:dyDescent="0.3">
      <c r="A25" s="245"/>
      <c r="B25" s="285" t="s">
        <v>36</v>
      </c>
      <c r="C25" s="286"/>
      <c r="D25" s="1777" t="s">
        <v>159</v>
      </c>
      <c r="E25" s="1778"/>
      <c r="F25" s="1778"/>
      <c r="G25" s="1778"/>
      <c r="H25" s="1778"/>
      <c r="I25" s="1778"/>
      <c r="J25" s="1779"/>
      <c r="K25" s="248"/>
    </row>
    <row r="26" spans="1:11" ht="15.75" thickBot="1" x14ac:dyDescent="0.3">
      <c r="A26" s="245"/>
      <c r="B26" s="249"/>
      <c r="C26" s="250"/>
      <c r="D26" s="248"/>
      <c r="E26" s="248"/>
      <c r="F26" s="248"/>
      <c r="G26" s="248"/>
      <c r="H26" s="248"/>
      <c r="I26" s="248"/>
      <c r="J26" s="248"/>
      <c r="K26" s="248"/>
    </row>
    <row r="27" spans="1:11" ht="15" customHeight="1" thickBot="1" x14ac:dyDescent="0.3">
      <c r="A27" s="245"/>
      <c r="B27" s="291" t="s">
        <v>38</v>
      </c>
      <c r="C27" s="292"/>
      <c r="D27" s="292"/>
      <c r="E27" s="292"/>
      <c r="F27" s="293"/>
      <c r="G27" s="248"/>
      <c r="H27" s="248"/>
      <c r="I27" s="248"/>
      <c r="J27" s="248"/>
      <c r="K27" s="248"/>
    </row>
    <row r="28" spans="1:11" ht="15.75" thickBot="1" x14ac:dyDescent="0.3">
      <c r="A28" s="245"/>
      <c r="B28" s="1768">
        <v>1</v>
      </c>
      <c r="C28" s="272"/>
      <c r="D28" s="289" t="s">
        <v>39</v>
      </c>
      <c r="E28" s="167"/>
      <c r="F28" s="316"/>
      <c r="G28" s="248"/>
      <c r="H28" s="248"/>
      <c r="I28" s="248"/>
      <c r="J28" s="248"/>
      <c r="K28" s="248"/>
    </row>
    <row r="29" spans="1:11" ht="15.75" thickBot="1" x14ac:dyDescent="0.3">
      <c r="A29" s="245"/>
      <c r="B29" s="1769"/>
      <c r="C29" s="272"/>
      <c r="D29" s="275" t="s">
        <v>40</v>
      </c>
      <c r="E29" s="167"/>
      <c r="F29" s="316"/>
      <c r="G29" s="248"/>
      <c r="H29" s="248"/>
      <c r="I29" s="248"/>
      <c r="J29" s="248"/>
      <c r="K29" s="248"/>
    </row>
    <row r="30" spans="1:11" ht="15.75" thickBot="1" x14ac:dyDescent="0.3">
      <c r="A30" s="245"/>
      <c r="B30" s="1769"/>
      <c r="C30" s="272"/>
      <c r="D30" s="275" t="s">
        <v>41</v>
      </c>
      <c r="E30" s="167"/>
      <c r="F30" s="316"/>
      <c r="G30" s="248"/>
      <c r="H30" s="248"/>
      <c r="I30" s="248"/>
      <c r="J30" s="248"/>
      <c r="K30" s="248"/>
    </row>
    <row r="31" spans="1:11" ht="15.75" thickBot="1" x14ac:dyDescent="0.3">
      <c r="A31" s="245"/>
      <c r="B31" s="1769"/>
      <c r="C31" s="272"/>
      <c r="D31" s="275" t="s">
        <v>42</v>
      </c>
      <c r="E31" s="167"/>
      <c r="F31" s="316"/>
      <c r="G31" s="248"/>
      <c r="H31" s="248"/>
      <c r="I31" s="248"/>
      <c r="J31" s="248"/>
      <c r="K31" s="248"/>
    </row>
    <row r="32" spans="1:11" ht="15.75" thickBot="1" x14ac:dyDescent="0.3">
      <c r="A32" s="245"/>
      <c r="B32" s="1769"/>
      <c r="C32" s="272"/>
      <c r="D32" s="275" t="s">
        <v>43</v>
      </c>
      <c r="E32" s="167"/>
      <c r="F32" s="316"/>
      <c r="G32" s="248"/>
      <c r="H32" s="248"/>
      <c r="I32" s="248"/>
      <c r="J32" s="248"/>
      <c r="K32" s="248"/>
    </row>
    <row r="33" spans="1:11" ht="15.75" thickBot="1" x14ac:dyDescent="0.3">
      <c r="A33" s="245"/>
      <c r="B33" s="1769"/>
      <c r="C33" s="272"/>
      <c r="D33" s="275" t="s">
        <v>44</v>
      </c>
      <c r="E33" s="167"/>
      <c r="F33" s="316"/>
      <c r="G33" s="248"/>
      <c r="H33" s="248"/>
      <c r="I33" s="248"/>
      <c r="J33" s="248"/>
      <c r="K33" s="248"/>
    </row>
    <row r="34" spans="1:11" ht="15.75" thickBot="1" x14ac:dyDescent="0.3">
      <c r="A34" s="245"/>
      <c r="B34" s="1770"/>
      <c r="C34" s="282"/>
      <c r="D34" s="275" t="s">
        <v>45</v>
      </c>
      <c r="E34" s="167"/>
      <c r="F34" s="316"/>
      <c r="G34" s="248"/>
      <c r="H34" s="248"/>
      <c r="I34" s="248"/>
      <c r="J34" s="248"/>
      <c r="K34" s="248"/>
    </row>
    <row r="35" spans="1:11" ht="15.75" thickBot="1" x14ac:dyDescent="0.3">
      <c r="A35" s="245"/>
      <c r="B35" s="249"/>
      <c r="C35" s="250"/>
      <c r="D35" s="248"/>
      <c r="E35" s="248"/>
      <c r="F35" s="248"/>
      <c r="G35" s="248"/>
      <c r="H35" s="248"/>
      <c r="I35" s="248"/>
      <c r="J35" s="248"/>
      <c r="K35" s="248"/>
    </row>
    <row r="36" spans="1:11" ht="15" customHeight="1" thickBot="1" x14ac:dyDescent="0.3">
      <c r="A36" s="245"/>
      <c r="B36" s="291" t="s">
        <v>46</v>
      </c>
      <c r="C36" s="292"/>
      <c r="D36" s="292"/>
      <c r="E36" s="292"/>
      <c r="F36" s="293"/>
      <c r="G36" s="248"/>
      <c r="H36" s="248"/>
      <c r="I36" s="248"/>
      <c r="J36" s="248"/>
      <c r="K36" s="248"/>
    </row>
    <row r="37" spans="1:11" ht="15.75" thickBot="1" x14ac:dyDescent="0.3">
      <c r="A37" s="245"/>
      <c r="B37" s="1768">
        <v>1</v>
      </c>
      <c r="C37" s="272"/>
      <c r="D37" s="289" t="s">
        <v>39</v>
      </c>
      <c r="E37" s="302" t="s">
        <v>47</v>
      </c>
      <c r="F37" s="316"/>
      <c r="G37" s="248"/>
      <c r="H37" s="248"/>
      <c r="I37" s="248"/>
      <c r="J37" s="248"/>
      <c r="K37" s="248"/>
    </row>
    <row r="38" spans="1:11" ht="15.75" thickBot="1" x14ac:dyDescent="0.3">
      <c r="A38" s="245"/>
      <c r="B38" s="1769"/>
      <c r="C38" s="272"/>
      <c r="D38" s="275" t="s">
        <v>40</v>
      </c>
      <c r="E38" s="302" t="s">
        <v>160</v>
      </c>
      <c r="F38" s="316"/>
      <c r="G38" s="248"/>
      <c r="H38" s="248"/>
      <c r="I38" s="248"/>
      <c r="J38" s="248"/>
      <c r="K38" s="248"/>
    </row>
    <row r="39" spans="1:11" ht="15.75" thickBot="1" x14ac:dyDescent="0.3">
      <c r="A39" s="245"/>
      <c r="B39" s="1769"/>
      <c r="C39" s="272"/>
      <c r="D39" s="275" t="s">
        <v>41</v>
      </c>
      <c r="E39" s="315"/>
      <c r="F39" s="316"/>
      <c r="G39" s="248"/>
      <c r="H39" s="248"/>
      <c r="I39" s="248"/>
      <c r="J39" s="248"/>
      <c r="K39" s="248"/>
    </row>
    <row r="40" spans="1:11" ht="15.75" thickBot="1" x14ac:dyDescent="0.3">
      <c r="A40" s="245"/>
      <c r="B40" s="1769"/>
      <c r="C40" s="272"/>
      <c r="D40" s="275" t="s">
        <v>42</v>
      </c>
      <c r="E40" s="315"/>
      <c r="F40" s="316"/>
      <c r="G40" s="248"/>
      <c r="H40" s="248"/>
      <c r="I40" s="248"/>
      <c r="J40" s="248"/>
      <c r="K40" s="248"/>
    </row>
    <row r="41" spans="1:11" ht="15.75" thickBot="1" x14ac:dyDescent="0.3">
      <c r="A41" s="245"/>
      <c r="B41" s="1769"/>
      <c r="C41" s="272"/>
      <c r="D41" s="275" t="s">
        <v>43</v>
      </c>
      <c r="E41" s="315"/>
      <c r="F41" s="316"/>
      <c r="G41" s="248"/>
      <c r="H41" s="248"/>
      <c r="I41" s="248"/>
      <c r="J41" s="248"/>
      <c r="K41" s="248"/>
    </row>
    <row r="42" spans="1:11" ht="15.75" thickBot="1" x14ac:dyDescent="0.3">
      <c r="A42" s="245"/>
      <c r="B42" s="1769"/>
      <c r="C42" s="272"/>
      <c r="D42" s="275" t="s">
        <v>44</v>
      </c>
      <c r="E42" s="315"/>
      <c r="F42" s="316"/>
      <c r="G42" s="248"/>
      <c r="H42" s="248"/>
      <c r="I42" s="248"/>
      <c r="J42" s="248"/>
      <c r="K42" s="248"/>
    </row>
    <row r="43" spans="1:11" ht="15.75" thickBot="1" x14ac:dyDescent="0.3">
      <c r="A43" s="245"/>
      <c r="B43" s="1770"/>
      <c r="C43" s="282"/>
      <c r="D43" s="275" t="s">
        <v>45</v>
      </c>
      <c r="E43" s="315"/>
      <c r="F43" s="316"/>
      <c r="G43" s="248"/>
      <c r="H43" s="248"/>
      <c r="I43" s="248"/>
      <c r="J43" s="248"/>
      <c r="K43" s="248"/>
    </row>
    <row r="44" spans="1:11" ht="15.75" thickBot="1" x14ac:dyDescent="0.3">
      <c r="A44" s="245"/>
      <c r="B44" s="249"/>
      <c r="C44" s="250"/>
      <c r="D44" s="248"/>
      <c r="E44" s="248"/>
      <c r="F44" s="248"/>
      <c r="G44" s="248"/>
      <c r="H44" s="248"/>
      <c r="I44" s="248"/>
      <c r="J44" s="248"/>
      <c r="K44" s="248"/>
    </row>
    <row r="45" spans="1:11" ht="15" customHeight="1" thickBot="1" x14ac:dyDescent="0.3">
      <c r="A45" s="245"/>
      <c r="B45" s="291" t="s">
        <v>49</v>
      </c>
      <c r="C45" s="292"/>
      <c r="D45" s="292"/>
      <c r="E45" s="293"/>
      <c r="F45" s="245"/>
      <c r="G45" s="248"/>
      <c r="H45" s="248"/>
      <c r="I45" s="248"/>
      <c r="J45" s="248"/>
      <c r="K45" s="248"/>
    </row>
    <row r="46" spans="1:11" ht="24.75" thickBot="1" x14ac:dyDescent="0.3">
      <c r="A46" s="245"/>
      <c r="B46" s="285" t="s">
        <v>50</v>
      </c>
      <c r="C46" s="275" t="s">
        <v>51</v>
      </c>
      <c r="D46" s="275" t="s">
        <v>52</v>
      </c>
      <c r="E46" s="275" t="s">
        <v>53</v>
      </c>
      <c r="F46" s="248"/>
      <c r="G46" s="248"/>
      <c r="H46" s="248"/>
      <c r="I46" s="248"/>
      <c r="J46" s="248"/>
      <c r="K46" s="245"/>
    </row>
    <row r="47" spans="1:11" ht="72.75" thickBot="1" x14ac:dyDescent="0.3">
      <c r="A47" s="245"/>
      <c r="B47" s="295">
        <v>42401</v>
      </c>
      <c r="C47" s="275">
        <v>0.01</v>
      </c>
      <c r="D47" s="307" t="s">
        <v>199</v>
      </c>
      <c r="E47" s="275"/>
      <c r="F47" s="248"/>
      <c r="G47" s="248"/>
      <c r="H47" s="248"/>
      <c r="I47" s="248"/>
      <c r="J47" s="248"/>
      <c r="K47" s="245"/>
    </row>
    <row r="48" spans="1:11" ht="15.75" thickBot="1" x14ac:dyDescent="0.3">
      <c r="A48" s="245"/>
      <c r="B48" s="308"/>
      <c r="C48" s="309"/>
      <c r="D48" s="248"/>
      <c r="E48" s="248"/>
      <c r="F48" s="248"/>
      <c r="G48" s="248"/>
      <c r="H48" s="248"/>
      <c r="I48" s="248"/>
      <c r="J48" s="248"/>
      <c r="K48" s="248"/>
    </row>
    <row r="49" spans="1:11" x14ac:dyDescent="0.25">
      <c r="A49" s="245"/>
      <c r="B49" s="297" t="s">
        <v>55</v>
      </c>
      <c r="C49" s="298"/>
      <c r="D49" s="248"/>
      <c r="E49" s="248"/>
      <c r="F49" s="248"/>
      <c r="G49" s="248"/>
      <c r="H49" s="248"/>
      <c r="I49" s="248"/>
      <c r="J49" s="248"/>
      <c r="K49" s="248"/>
    </row>
    <row r="50" spans="1:11" x14ac:dyDescent="0.25">
      <c r="A50" s="245"/>
      <c r="B50" s="1809"/>
      <c r="C50" s="1810"/>
      <c r="D50" s="1810"/>
      <c r="E50" s="1811"/>
      <c r="F50" s="248"/>
      <c r="G50" s="248"/>
      <c r="H50" s="248"/>
      <c r="I50" s="248"/>
      <c r="J50" s="248"/>
      <c r="K50" s="248"/>
    </row>
    <row r="51" spans="1:11" x14ac:dyDescent="0.25">
      <c r="A51" s="245"/>
      <c r="B51" s="1812"/>
      <c r="C51" s="1813"/>
      <c r="D51" s="1813"/>
      <c r="E51" s="1814"/>
      <c r="F51" s="248"/>
      <c r="G51" s="248"/>
      <c r="H51" s="248"/>
      <c r="I51" s="248"/>
      <c r="J51" s="248"/>
      <c r="K51" s="248"/>
    </row>
    <row r="52" spans="1:11" ht="15.75" thickBot="1" x14ac:dyDescent="0.3">
      <c r="A52" s="245"/>
      <c r="B52" s="248"/>
      <c r="C52" s="265"/>
      <c r="D52" s="248"/>
      <c r="E52" s="248"/>
      <c r="F52" s="248"/>
      <c r="G52" s="248"/>
      <c r="H52" s="248"/>
      <c r="I52" s="248"/>
      <c r="J52" s="248"/>
      <c r="K52" s="248"/>
    </row>
    <row r="53" spans="1:11" ht="24.75" thickBot="1" x14ac:dyDescent="0.3">
      <c r="A53" s="245"/>
      <c r="B53" s="310" t="s">
        <v>56</v>
      </c>
      <c r="C53" s="311"/>
      <c r="D53" s="248"/>
      <c r="E53" s="248"/>
      <c r="F53" s="248"/>
      <c r="G53" s="248"/>
      <c r="H53" s="248"/>
      <c r="I53" s="248"/>
      <c r="J53" s="248"/>
      <c r="K53" s="248"/>
    </row>
    <row r="54" spans="1:11" ht="15.75" thickBot="1" x14ac:dyDescent="0.3">
      <c r="A54" s="245"/>
      <c r="B54" s="249"/>
      <c r="C54" s="250"/>
      <c r="D54" s="248"/>
      <c r="E54" s="248"/>
      <c r="F54" s="248"/>
      <c r="G54" s="248"/>
      <c r="H54" s="248"/>
      <c r="I54" s="248"/>
      <c r="J54" s="248"/>
      <c r="K54" s="248"/>
    </row>
    <row r="55" spans="1:11" ht="60.75" thickBot="1" x14ac:dyDescent="0.3">
      <c r="A55" s="245"/>
      <c r="B55" s="299" t="s">
        <v>57</v>
      </c>
      <c r="C55" s="279"/>
      <c r="D55" s="273" t="s">
        <v>184</v>
      </c>
      <c r="E55" s="248"/>
      <c r="F55" s="248"/>
      <c r="G55" s="248"/>
      <c r="H55" s="248"/>
      <c r="I55" s="248"/>
      <c r="J55" s="248"/>
      <c r="K55" s="248"/>
    </row>
    <row r="56" spans="1:11" x14ac:dyDescent="0.25">
      <c r="A56" s="245"/>
      <c r="B56" s="1768" t="s">
        <v>59</v>
      </c>
      <c r="C56" s="272"/>
      <c r="D56" s="312" t="s">
        <v>60</v>
      </c>
      <c r="E56" s="248"/>
      <c r="F56" s="248"/>
      <c r="G56" s="248"/>
      <c r="H56" s="248"/>
      <c r="I56" s="248"/>
      <c r="J56" s="248"/>
      <c r="K56" s="248"/>
    </row>
    <row r="57" spans="1:11" ht="60" x14ac:dyDescent="0.25">
      <c r="A57" s="245"/>
      <c r="B57" s="1769"/>
      <c r="C57" s="272"/>
      <c r="D57" s="313" t="s">
        <v>185</v>
      </c>
      <c r="E57" s="248"/>
      <c r="F57" s="248"/>
      <c r="G57" s="248"/>
      <c r="H57" s="248"/>
      <c r="I57" s="248"/>
      <c r="J57" s="248"/>
      <c r="K57" s="248"/>
    </row>
    <row r="58" spans="1:11" x14ac:dyDescent="0.25">
      <c r="A58" s="245"/>
      <c r="B58" s="1769"/>
      <c r="C58" s="272"/>
      <c r="D58" s="312" t="s">
        <v>134</v>
      </c>
      <c r="E58" s="248"/>
      <c r="F58" s="248"/>
      <c r="G58" s="248"/>
      <c r="H58" s="248"/>
      <c r="I58" s="248"/>
      <c r="J58" s="248"/>
      <c r="K58" s="248"/>
    </row>
    <row r="59" spans="1:11" ht="24" x14ac:dyDescent="0.25">
      <c r="A59" s="245"/>
      <c r="B59" s="1769"/>
      <c r="C59" s="272"/>
      <c r="D59" s="313" t="s">
        <v>136</v>
      </c>
      <c r="E59" s="248"/>
      <c r="F59" s="248"/>
      <c r="G59" s="248"/>
      <c r="H59" s="248"/>
      <c r="I59" s="248"/>
      <c r="J59" s="248"/>
      <c r="K59" s="248"/>
    </row>
    <row r="60" spans="1:11" x14ac:dyDescent="0.25">
      <c r="A60" s="245"/>
      <c r="B60" s="1769"/>
      <c r="C60" s="272"/>
      <c r="D60" s="313" t="s">
        <v>165</v>
      </c>
      <c r="E60" s="248"/>
      <c r="F60" s="248"/>
      <c r="G60" s="248"/>
      <c r="H60" s="248"/>
      <c r="I60" s="248"/>
      <c r="J60" s="248"/>
      <c r="K60" s="248"/>
    </row>
    <row r="61" spans="1:11" ht="36" x14ac:dyDescent="0.25">
      <c r="A61" s="245"/>
      <c r="B61" s="1769"/>
      <c r="C61" s="272"/>
      <c r="D61" s="313" t="s">
        <v>140</v>
      </c>
      <c r="E61" s="248"/>
      <c r="F61" s="248"/>
      <c r="G61" s="248"/>
      <c r="H61" s="248"/>
      <c r="I61" s="248"/>
      <c r="J61" s="248"/>
      <c r="K61" s="248"/>
    </row>
    <row r="62" spans="1:11" x14ac:dyDescent="0.25">
      <c r="A62" s="245"/>
      <c r="B62" s="1769"/>
      <c r="C62" s="272"/>
      <c r="D62" s="312" t="s">
        <v>141</v>
      </c>
      <c r="E62" s="248"/>
      <c r="F62" s="248"/>
      <c r="G62" s="248"/>
      <c r="H62" s="248"/>
      <c r="I62" s="248"/>
      <c r="J62" s="248"/>
      <c r="K62" s="248"/>
    </row>
    <row r="63" spans="1:11" ht="24.75" thickBot="1" x14ac:dyDescent="0.3">
      <c r="A63" s="245"/>
      <c r="B63" s="1770"/>
      <c r="C63" s="282"/>
      <c r="D63" s="275" t="s">
        <v>142</v>
      </c>
      <c r="E63" s="248"/>
      <c r="F63" s="248"/>
      <c r="G63" s="248"/>
      <c r="H63" s="248"/>
      <c r="I63" s="248"/>
      <c r="J63" s="248"/>
      <c r="K63" s="248"/>
    </row>
    <row r="64" spans="1:11" ht="24.75" thickBot="1" x14ac:dyDescent="0.3">
      <c r="A64" s="245"/>
      <c r="B64" s="285" t="s">
        <v>72</v>
      </c>
      <c r="C64" s="282"/>
      <c r="D64" s="275"/>
      <c r="E64" s="248"/>
      <c r="F64" s="248"/>
      <c r="G64" s="248"/>
      <c r="H64" s="248"/>
      <c r="I64" s="248"/>
      <c r="J64" s="248"/>
      <c r="K64" s="248"/>
    </row>
    <row r="65" spans="1:11" ht="108" x14ac:dyDescent="0.25">
      <c r="A65" s="245"/>
      <c r="B65" s="1768" t="s">
        <v>73</v>
      </c>
      <c r="C65" s="272"/>
      <c r="D65" s="313" t="s">
        <v>186</v>
      </c>
      <c r="E65" s="248"/>
      <c r="F65" s="248"/>
      <c r="G65" s="248"/>
      <c r="H65" s="248"/>
      <c r="I65" s="248"/>
      <c r="J65" s="248"/>
      <c r="K65" s="248"/>
    </row>
    <row r="66" spans="1:11" ht="240" x14ac:dyDescent="0.25">
      <c r="A66" s="245"/>
      <c r="B66" s="1769"/>
      <c r="C66" s="272"/>
      <c r="D66" s="313" t="s">
        <v>187</v>
      </c>
      <c r="E66" s="248"/>
      <c r="F66" s="248"/>
      <c r="G66" s="248"/>
      <c r="H66" s="248"/>
      <c r="I66" s="248"/>
      <c r="J66" s="248"/>
      <c r="K66" s="248"/>
    </row>
    <row r="67" spans="1:11" ht="48.75" thickBot="1" x14ac:dyDescent="0.3">
      <c r="A67" s="245"/>
      <c r="B67" s="1770"/>
      <c r="C67" s="282"/>
      <c r="D67" s="275" t="s">
        <v>188</v>
      </c>
      <c r="E67" s="248"/>
      <c r="F67" s="248"/>
      <c r="G67" s="248"/>
      <c r="H67" s="248"/>
      <c r="I67" s="248"/>
      <c r="J67" s="248"/>
      <c r="K67" s="248"/>
    </row>
    <row r="68" spans="1:11" x14ac:dyDescent="0.25">
      <c r="A68" s="245"/>
      <c r="B68" s="1768" t="s">
        <v>90</v>
      </c>
      <c r="C68" s="272"/>
      <c r="D68" s="313"/>
      <c r="E68" s="248"/>
      <c r="F68" s="248"/>
      <c r="G68" s="248"/>
      <c r="H68" s="248"/>
      <c r="I68" s="248"/>
      <c r="J68" s="248"/>
      <c r="K68" s="248"/>
    </row>
    <row r="69" spans="1:11" x14ac:dyDescent="0.25">
      <c r="A69" s="245"/>
      <c r="B69" s="1769"/>
      <c r="C69" s="272"/>
      <c r="D69" s="314"/>
      <c r="E69" s="248"/>
      <c r="F69" s="248"/>
      <c r="G69" s="248"/>
      <c r="H69" s="248"/>
      <c r="I69" s="248"/>
      <c r="J69" s="248"/>
      <c r="K69" s="248"/>
    </row>
    <row r="70" spans="1:11" x14ac:dyDescent="0.25">
      <c r="A70" s="245"/>
      <c r="B70" s="1769"/>
      <c r="C70" s="272"/>
      <c r="D70" s="313" t="s">
        <v>91</v>
      </c>
      <c r="E70" s="248"/>
      <c r="F70" s="248"/>
      <c r="G70" s="248"/>
      <c r="H70" s="248"/>
      <c r="I70" s="248"/>
      <c r="J70" s="248"/>
      <c r="K70" s="248"/>
    </row>
    <row r="71" spans="1:11" ht="37.5" x14ac:dyDescent="0.25">
      <c r="A71" s="245"/>
      <c r="B71" s="1769"/>
      <c r="C71" s="272"/>
      <c r="D71" s="313" t="s">
        <v>189</v>
      </c>
      <c r="E71" s="248"/>
      <c r="F71" s="248"/>
      <c r="G71" s="248"/>
      <c r="H71" s="248"/>
      <c r="I71" s="248"/>
      <c r="J71" s="248"/>
      <c r="K71" s="248"/>
    </row>
    <row r="72" spans="1:11" ht="37.5" x14ac:dyDescent="0.25">
      <c r="A72" s="245"/>
      <c r="B72" s="1769"/>
      <c r="C72" s="272"/>
      <c r="D72" s="313" t="s">
        <v>190</v>
      </c>
      <c r="E72" s="248"/>
      <c r="F72" s="248"/>
      <c r="G72" s="248"/>
      <c r="H72" s="248"/>
      <c r="I72" s="248"/>
      <c r="J72" s="248"/>
      <c r="K72" s="248"/>
    </row>
    <row r="73" spans="1:11" ht="37.5" x14ac:dyDescent="0.25">
      <c r="A73" s="245"/>
      <c r="B73" s="1769"/>
      <c r="C73" s="272"/>
      <c r="D73" s="313" t="s">
        <v>191</v>
      </c>
      <c r="E73" s="248"/>
      <c r="F73" s="248"/>
      <c r="G73" s="248"/>
      <c r="H73" s="248"/>
      <c r="I73" s="248"/>
      <c r="J73" s="248"/>
      <c r="K73" s="248"/>
    </row>
    <row r="74" spans="1:11" ht="48.75" thickBot="1" x14ac:dyDescent="0.3">
      <c r="A74" s="245"/>
      <c r="B74" s="1770"/>
      <c r="C74" s="282"/>
      <c r="D74" s="275" t="s">
        <v>192</v>
      </c>
      <c r="E74" s="248"/>
      <c r="F74" s="248"/>
      <c r="G74" s="248"/>
      <c r="H74" s="248"/>
      <c r="I74" s="248"/>
      <c r="J74" s="248"/>
      <c r="K74" s="248"/>
    </row>
    <row r="75" spans="1:11" x14ac:dyDescent="0.25">
      <c r="A75" s="245"/>
      <c r="B75" s="248"/>
      <c r="C75" s="265"/>
      <c r="D75" s="248"/>
      <c r="E75" s="248"/>
      <c r="F75" s="248"/>
      <c r="G75" s="248"/>
      <c r="H75" s="248"/>
      <c r="I75" s="248"/>
      <c r="J75" s="248"/>
      <c r="K75" s="248"/>
    </row>
  </sheetData>
  <mergeCells count="21">
    <mergeCell ref="A1:P1"/>
    <mergeCell ref="A2:P2"/>
    <mergeCell ref="A3:P3"/>
    <mergeCell ref="A4:D4"/>
    <mergeCell ref="A5:P5"/>
    <mergeCell ref="B56:B63"/>
    <mergeCell ref="B65:B67"/>
    <mergeCell ref="B68:B74"/>
    <mergeCell ref="B15:B23"/>
    <mergeCell ref="D15:J15"/>
    <mergeCell ref="D19:J19"/>
    <mergeCell ref="D24:J24"/>
    <mergeCell ref="D25:J25"/>
    <mergeCell ref="B28:B34"/>
    <mergeCell ref="B37:B43"/>
    <mergeCell ref="B50:E51"/>
    <mergeCell ref="B10:D10"/>
    <mergeCell ref="F10:S10"/>
    <mergeCell ref="F11:S11"/>
    <mergeCell ref="E12:R12"/>
    <mergeCell ref="E13:R13"/>
  </mergeCells>
  <conditionalFormatting sqref="F10">
    <cfRule type="notContainsBlanks" dxfId="117" priority="4">
      <formula>LEN(TRIM(F10))&gt;0</formula>
    </cfRule>
  </conditionalFormatting>
  <conditionalFormatting sqref="F11:S11">
    <cfRule type="expression" dxfId="116" priority="2">
      <formula>E11="NO SE REPORTA"</formula>
    </cfRule>
    <cfRule type="expression" dxfId="115" priority="3">
      <formula>E10="NO APLICA"</formula>
    </cfRule>
  </conditionalFormatting>
  <conditionalFormatting sqref="E12:R12">
    <cfRule type="expression" dxfId="114"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6:E18 E21:H22" xr:uid="{00000000-0002-0000-0E00-000000000000}">
      <formula1>0</formula1>
    </dataValidation>
    <dataValidation allowBlank="1" showInputMessage="1" showErrorMessage="1" sqref="I21:I22" xr:uid="{00000000-0002-0000-0E00-000001000000}"/>
    <dataValidation type="list" allowBlank="1" showInputMessage="1" showErrorMessage="1" sqref="E11" xr:uid="{00000000-0002-0000-0E00-000002000000}">
      <formula1>REPORTE</formula1>
    </dataValidation>
    <dataValidation type="list" allowBlank="1" showInputMessage="1" showErrorMessage="1" sqref="E10" xr:uid="{00000000-0002-0000-0E00-000003000000}">
      <formula1>SI</formula1>
    </dataValidation>
  </dataValidations>
  <hyperlinks>
    <hyperlink ref="B9" location="'ANEXO 3'!A1" display="VOLVER AL INDICE" xr:uid="{00000000-0004-0000-0E00-000000000000}"/>
  </hyperlinks>
  <pageMargins left="0.25" right="0.25" top="0.75" bottom="0.75" header="0.3" footer="0.3"/>
  <pageSetup paperSize="178" orientation="landscape"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5"/>
  <dimension ref="A1:U78"/>
  <sheetViews>
    <sheetView showGridLines="0" topLeftCell="A49" zoomScale="80" zoomScaleNormal="80" workbookViewId="0">
      <selection activeCell="G21" sqref="G21"/>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538" customFormat="1" ht="100.5" customHeight="1" thickBot="1" x14ac:dyDescent="0.3">
      <c r="A1" s="1733"/>
      <c r="B1" s="1734"/>
      <c r="C1" s="1734"/>
      <c r="D1" s="1734"/>
      <c r="E1" s="1734"/>
      <c r="F1" s="1734"/>
      <c r="G1" s="1734"/>
      <c r="H1" s="1734"/>
      <c r="I1" s="1734"/>
      <c r="J1" s="1734"/>
      <c r="K1" s="1734"/>
      <c r="L1" s="1734"/>
      <c r="M1" s="1734"/>
      <c r="N1" s="1734"/>
      <c r="O1" s="1734"/>
      <c r="P1" s="1735"/>
      <c r="Q1" s="412"/>
      <c r="R1" s="412"/>
    </row>
    <row r="2" spans="1:21" s="539" customFormat="1" ht="16.5" thickBot="1" x14ac:dyDescent="0.3">
      <c r="A2" s="1741" t="str">
        <f>'Datos Generales'!C5</f>
        <v>Corporación Autónoma Regional de La Guajira – CORPOGUAJIRA</v>
      </c>
      <c r="B2" s="1742"/>
      <c r="C2" s="1742"/>
      <c r="D2" s="1742"/>
      <c r="E2" s="1742"/>
      <c r="F2" s="1742"/>
      <c r="G2" s="1742"/>
      <c r="H2" s="1742"/>
      <c r="I2" s="1742"/>
      <c r="J2" s="1742"/>
      <c r="K2" s="1742"/>
      <c r="L2" s="1742"/>
      <c r="M2" s="1742"/>
      <c r="N2" s="1742"/>
      <c r="O2" s="1742"/>
      <c r="P2" s="1743"/>
      <c r="Q2" s="412"/>
      <c r="R2" s="412"/>
    </row>
    <row r="3" spans="1:21" s="539" customFormat="1" ht="16.5" thickBot="1" x14ac:dyDescent="0.3">
      <c r="A3" s="1736" t="s">
        <v>1347</v>
      </c>
      <c r="B3" s="1737"/>
      <c r="C3" s="1737"/>
      <c r="D3" s="1737"/>
      <c r="E3" s="1737"/>
      <c r="F3" s="1737"/>
      <c r="G3" s="1737"/>
      <c r="H3" s="1737"/>
      <c r="I3" s="1737"/>
      <c r="J3" s="1737"/>
      <c r="K3" s="1737"/>
      <c r="L3" s="1737"/>
      <c r="M3" s="1737"/>
      <c r="N3" s="1737"/>
      <c r="O3" s="1737"/>
      <c r="P3" s="1738"/>
      <c r="Q3" s="412"/>
      <c r="R3" s="412"/>
    </row>
    <row r="4" spans="1:21" s="539" customFormat="1" ht="16.5" thickBot="1" x14ac:dyDescent="0.3">
      <c r="A4" s="1739" t="s">
        <v>1346</v>
      </c>
      <c r="B4" s="1740"/>
      <c r="C4" s="1740"/>
      <c r="D4" s="1740"/>
      <c r="E4" s="579" t="str">
        <f>'Datos Generales'!C6</f>
        <v>2021-I</v>
      </c>
      <c r="F4" s="579"/>
      <c r="G4" s="579"/>
      <c r="H4" s="579"/>
      <c r="I4" s="579"/>
      <c r="J4" s="579"/>
      <c r="K4" s="579"/>
      <c r="L4" s="581"/>
      <c r="M4" s="581"/>
      <c r="N4" s="581"/>
      <c r="O4" s="581"/>
      <c r="P4" s="582"/>
      <c r="Q4" s="412"/>
      <c r="R4" s="412"/>
    </row>
    <row r="5" spans="1:21" s="245" customFormat="1" ht="16.5" customHeight="1" thickBot="1" x14ac:dyDescent="0.3">
      <c r="A5" s="1736" t="s">
        <v>200</v>
      </c>
      <c r="B5" s="1737"/>
      <c r="C5" s="1737"/>
      <c r="D5" s="1737"/>
      <c r="E5" s="1737"/>
      <c r="F5" s="1737"/>
      <c r="G5" s="1737"/>
      <c r="H5" s="1737"/>
      <c r="I5" s="1737"/>
      <c r="J5" s="1737"/>
      <c r="K5" s="1737"/>
      <c r="L5" s="1737"/>
      <c r="M5" s="1737"/>
      <c r="N5" s="1737"/>
      <c r="O5" s="1737"/>
      <c r="P5" s="1738"/>
    </row>
    <row r="6" spans="1:21" x14ac:dyDescent="0.25">
      <c r="A6" s="245"/>
      <c r="B6" s="249" t="s">
        <v>1</v>
      </c>
      <c r="C6" s="250"/>
      <c r="D6" s="248"/>
      <c r="E6" s="259"/>
      <c r="F6" s="248" t="s">
        <v>128</v>
      </c>
      <c r="G6" s="248"/>
      <c r="H6" s="248"/>
      <c r="I6" s="248"/>
      <c r="J6" s="248"/>
      <c r="K6" s="248"/>
    </row>
    <row r="7" spans="1:21" ht="15.75" thickBot="1" x14ac:dyDescent="0.3">
      <c r="A7" s="245"/>
      <c r="B7" s="251"/>
      <c r="C7" s="252"/>
      <c r="D7" s="248"/>
      <c r="E7" s="253"/>
      <c r="F7" s="248" t="s">
        <v>129</v>
      </c>
      <c r="G7" s="248"/>
      <c r="H7" s="248"/>
      <c r="I7" s="248"/>
      <c r="J7" s="248"/>
      <c r="K7" s="248"/>
    </row>
    <row r="8" spans="1:21" ht="15.75" thickBot="1" x14ac:dyDescent="0.3">
      <c r="A8" s="245"/>
      <c r="B8" s="261" t="s">
        <v>1185</v>
      </c>
      <c r="C8" s="262">
        <v>2021</v>
      </c>
      <c r="D8" s="257">
        <f>IF(E10="NO APLICA","NO APLICA",IF(E11="NO SE REPORTA","SIN INFORMACION",+F22))</f>
        <v>1</v>
      </c>
      <c r="E8" s="264"/>
      <c r="F8" s="248" t="s">
        <v>130</v>
      </c>
      <c r="G8" s="248"/>
      <c r="H8" s="248"/>
      <c r="I8" s="248"/>
      <c r="J8" s="248"/>
      <c r="K8" s="248"/>
    </row>
    <row r="9" spans="1:21" x14ac:dyDescent="0.25">
      <c r="A9" s="245"/>
      <c r="B9" s="493" t="s">
        <v>1186</v>
      </c>
      <c r="C9" s="304"/>
      <c r="D9" s="248"/>
      <c r="E9" s="248"/>
      <c r="F9" s="248"/>
      <c r="G9" s="248"/>
      <c r="H9" s="248"/>
      <c r="I9" s="248"/>
      <c r="J9" s="248"/>
      <c r="K9" s="248"/>
    </row>
    <row r="10" spans="1:21" s="412" customFormat="1" x14ac:dyDescent="0.25">
      <c r="A10" s="245"/>
      <c r="B10" s="1789" t="s">
        <v>1241</v>
      </c>
      <c r="C10" s="1789"/>
      <c r="D10" s="1789"/>
      <c r="E10" s="499" t="s">
        <v>1238</v>
      </c>
      <c r="F10" s="17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96"/>
      <c r="H10" s="1796"/>
      <c r="I10" s="1796"/>
      <c r="J10" s="1796"/>
      <c r="K10" s="1796"/>
      <c r="L10" s="1796"/>
      <c r="M10" s="1796"/>
      <c r="N10" s="1796"/>
      <c r="O10" s="1796"/>
      <c r="P10" s="1796"/>
      <c r="Q10" s="1796"/>
      <c r="R10" s="1796"/>
      <c r="S10" s="1796"/>
      <c r="T10" s="495"/>
      <c r="U10" s="495"/>
    </row>
    <row r="11" spans="1:21" s="412" customFormat="1" ht="14.45" customHeight="1" x14ac:dyDescent="0.25">
      <c r="A11" s="245"/>
      <c r="B11" s="496"/>
      <c r="C11" s="497"/>
      <c r="D11" s="498" t="str">
        <f>IF(E10="SI APLICA","¿El indicador no se reporta por limitaciones de información disponible? ","")</f>
        <v xml:space="preserve">¿El indicador no se reporta por limitaciones de información disponible? </v>
      </c>
      <c r="E11" s="500" t="s">
        <v>1240</v>
      </c>
      <c r="F11" s="1790"/>
      <c r="G11" s="1791"/>
      <c r="H11" s="1791"/>
      <c r="I11" s="1791"/>
      <c r="J11" s="1791"/>
      <c r="K11" s="1791"/>
      <c r="L11" s="1791"/>
      <c r="M11" s="1791"/>
      <c r="N11" s="1791"/>
      <c r="O11" s="1791"/>
      <c r="P11" s="1791"/>
      <c r="Q11" s="1791"/>
      <c r="R11" s="1791"/>
      <c r="S11" s="1791"/>
    </row>
    <row r="12" spans="1:21" s="412" customFormat="1" ht="23.45" customHeight="1" x14ac:dyDescent="0.25">
      <c r="A12" s="245"/>
      <c r="B12" s="493"/>
      <c r="C12" s="304"/>
      <c r="D12" s="498" t="str">
        <f>IF(E11="SI SE REPORTA","¿Qué programas o proyectos del Plan de Acción están asociados al indicador? ","")</f>
        <v xml:space="preserve">¿Qué programas o proyectos del Plan de Acción están asociados al indicador? </v>
      </c>
      <c r="E12" s="1799" t="str">
        <f>'Anexo 1 Matriz Inf Gestión'!A180</f>
        <v>Proyecto 6.1. Evaluación, Seguimiento, Monitoreo y Control de la calidad de los recursos naturales y la biodiversidad.</v>
      </c>
      <c r="F12" s="1799"/>
      <c r="G12" s="1799"/>
      <c r="H12" s="1799"/>
      <c r="I12" s="1799"/>
      <c r="J12" s="1799"/>
      <c r="K12" s="1799"/>
      <c r="L12" s="1799"/>
      <c r="M12" s="1799"/>
      <c r="N12" s="1799"/>
      <c r="O12" s="1799"/>
      <c r="P12" s="1799"/>
      <c r="Q12" s="1799"/>
      <c r="R12" s="1799"/>
    </row>
    <row r="13" spans="1:21" s="412" customFormat="1" ht="21.95" customHeight="1" x14ac:dyDescent="0.25">
      <c r="A13" s="245"/>
      <c r="B13" s="493"/>
      <c r="C13" s="304"/>
      <c r="D13" s="498" t="s">
        <v>1243</v>
      </c>
      <c r="E13" s="1792" t="s">
        <v>3057</v>
      </c>
      <c r="F13" s="1793"/>
      <c r="G13" s="1793"/>
      <c r="H13" s="1793"/>
      <c r="I13" s="1793"/>
      <c r="J13" s="1793"/>
      <c r="K13" s="1793"/>
      <c r="L13" s="1793"/>
      <c r="M13" s="1793"/>
      <c r="N13" s="1793"/>
      <c r="O13" s="1793"/>
      <c r="P13" s="1793"/>
      <c r="Q13" s="1793"/>
      <c r="R13" s="1794"/>
    </row>
    <row r="14" spans="1:21" s="412" customFormat="1" ht="6.95" customHeight="1" thickBot="1" x14ac:dyDescent="0.3">
      <c r="A14" s="245"/>
      <c r="B14" s="493"/>
      <c r="C14" s="304"/>
      <c r="D14" s="248"/>
      <c r="E14" s="248"/>
      <c r="F14" s="248"/>
      <c r="G14" s="248"/>
      <c r="H14" s="248"/>
      <c r="I14" s="248"/>
      <c r="J14" s="248"/>
      <c r="K14" s="248"/>
    </row>
    <row r="15" spans="1:21" ht="15.75" thickBot="1" x14ac:dyDescent="0.3">
      <c r="A15" s="245"/>
      <c r="B15" s="1768" t="s">
        <v>2</v>
      </c>
      <c r="C15" s="268"/>
      <c r="D15" s="1750" t="s">
        <v>3</v>
      </c>
      <c r="E15" s="1751"/>
      <c r="F15" s="1751"/>
      <c r="G15" s="1751"/>
      <c r="H15" s="1751"/>
      <c r="I15" s="1751"/>
      <c r="J15" s="1752"/>
      <c r="K15" s="248"/>
    </row>
    <row r="16" spans="1:21" ht="48.75" thickBot="1" x14ac:dyDescent="0.3">
      <c r="A16" s="245"/>
      <c r="B16" s="1769"/>
      <c r="C16" s="272"/>
      <c r="D16" s="273" t="s">
        <v>1764</v>
      </c>
      <c r="E16" s="217">
        <v>10</v>
      </c>
      <c r="F16" s="248"/>
      <c r="G16" s="248"/>
      <c r="H16" s="248"/>
      <c r="I16" s="248"/>
      <c r="J16" s="274"/>
      <c r="K16" s="248"/>
    </row>
    <row r="17" spans="1:11" ht="48.75" thickBot="1" x14ac:dyDescent="0.3">
      <c r="A17" s="245"/>
      <c r="B17" s="1769"/>
      <c r="C17" s="272"/>
      <c r="D17" s="275" t="s">
        <v>214</v>
      </c>
      <c r="E17" s="217">
        <v>10</v>
      </c>
      <c r="F17" s="248"/>
      <c r="G17" s="248"/>
      <c r="H17" s="248"/>
      <c r="I17" s="248"/>
      <c r="J17" s="274"/>
      <c r="K17" s="248"/>
    </row>
    <row r="18" spans="1:11" ht="15.75" thickBot="1" x14ac:dyDescent="0.3">
      <c r="A18" s="245"/>
      <c r="B18" s="1769"/>
      <c r="C18" s="276"/>
      <c r="D18" s="1780"/>
      <c r="E18" s="1781"/>
      <c r="F18" s="1781"/>
      <c r="G18" s="1781"/>
      <c r="H18" s="1781"/>
      <c r="I18" s="1781"/>
      <c r="J18" s="1782"/>
      <c r="K18" s="248"/>
    </row>
    <row r="19" spans="1:11" ht="15.75" thickBot="1" x14ac:dyDescent="0.3">
      <c r="A19" s="245"/>
      <c r="B19" s="1769"/>
      <c r="C19" s="279" t="s">
        <v>19</v>
      </c>
      <c r="D19" s="273" t="s">
        <v>150</v>
      </c>
      <c r="E19" s="317" t="s">
        <v>20</v>
      </c>
      <c r="F19" s="317" t="s">
        <v>21</v>
      </c>
      <c r="G19" s="317" t="s">
        <v>22</v>
      </c>
      <c r="H19" s="317" t="s">
        <v>23</v>
      </c>
      <c r="I19" s="234" t="s">
        <v>55</v>
      </c>
      <c r="J19" s="113"/>
      <c r="K19" s="248"/>
    </row>
    <row r="20" spans="1:11" ht="36.75" thickBot="1" x14ac:dyDescent="0.3">
      <c r="A20" s="245"/>
      <c r="B20" s="1769"/>
      <c r="C20" s="282" t="s">
        <v>152</v>
      </c>
      <c r="D20" s="275" t="s">
        <v>215</v>
      </c>
      <c r="E20" s="217">
        <v>11</v>
      </c>
      <c r="F20" s="217">
        <v>10</v>
      </c>
      <c r="G20" s="217"/>
      <c r="H20" s="217"/>
      <c r="I20" s="31"/>
      <c r="J20" s="114"/>
      <c r="K20" s="248"/>
    </row>
    <row r="21" spans="1:11" ht="36.75" thickBot="1" x14ac:dyDescent="0.3">
      <c r="A21" s="245"/>
      <c r="B21" s="1769"/>
      <c r="C21" s="282" t="s">
        <v>154</v>
      </c>
      <c r="D21" s="275" t="s">
        <v>216</v>
      </c>
      <c r="E21" s="217">
        <v>10</v>
      </c>
      <c r="F21" s="217">
        <v>10</v>
      </c>
      <c r="G21" s="217"/>
      <c r="H21" s="217"/>
      <c r="I21" s="31"/>
      <c r="J21" s="114"/>
      <c r="K21" s="248"/>
    </row>
    <row r="22" spans="1:11" ht="36.75" thickBot="1" x14ac:dyDescent="0.3">
      <c r="A22" s="245"/>
      <c r="B22" s="1770"/>
      <c r="C22" s="282" t="s">
        <v>156</v>
      </c>
      <c r="D22" s="275" t="s">
        <v>217</v>
      </c>
      <c r="E22" s="196">
        <f>IFERROR(E21/E20,"N.A.")</f>
        <v>0.90909090909090906</v>
      </c>
      <c r="F22" s="196">
        <f>IFERROR(F21/F20,"N.A.")</f>
        <v>1</v>
      </c>
      <c r="G22" s="196" t="str">
        <f>IFERROR(G21/G20,"N.A.")</f>
        <v>N.A.</v>
      </c>
      <c r="H22" s="196" t="str">
        <f>IFERROR(H21/H20,"N.A.")</f>
        <v>N.A.</v>
      </c>
      <c r="I22" s="491"/>
      <c r="J22" s="115"/>
      <c r="K22" s="248"/>
    </row>
    <row r="23" spans="1:11" ht="24" customHeight="1" thickBot="1" x14ac:dyDescent="0.3">
      <c r="A23" s="245"/>
      <c r="B23" s="285" t="s">
        <v>34</v>
      </c>
      <c r="C23" s="286"/>
      <c r="D23" s="1777" t="s">
        <v>218</v>
      </c>
      <c r="E23" s="1778"/>
      <c r="F23" s="1778"/>
      <c r="G23" s="1778"/>
      <c r="H23" s="1778"/>
      <c r="I23" s="1778"/>
      <c r="J23" s="1779"/>
      <c r="K23" s="248"/>
    </row>
    <row r="24" spans="1:11" ht="24.75" thickBot="1" x14ac:dyDescent="0.3">
      <c r="A24" s="245"/>
      <c r="B24" s="285" t="s">
        <v>36</v>
      </c>
      <c r="C24" s="286"/>
      <c r="D24" s="1777" t="s">
        <v>159</v>
      </c>
      <c r="E24" s="1778"/>
      <c r="F24" s="1778"/>
      <c r="G24" s="1778"/>
      <c r="H24" s="1778"/>
      <c r="I24" s="1778"/>
      <c r="J24" s="1779"/>
      <c r="K24" s="248"/>
    </row>
    <row r="25" spans="1:11" ht="15.75" thickBot="1" x14ac:dyDescent="0.3">
      <c r="A25" s="245"/>
      <c r="B25" s="318"/>
      <c r="C25" s="304"/>
      <c r="D25" s="248"/>
      <c r="E25" s="248"/>
      <c r="F25" s="248"/>
      <c r="G25" s="248"/>
      <c r="H25" s="248"/>
      <c r="I25" s="248"/>
      <c r="J25" s="319"/>
      <c r="K25" s="248"/>
    </row>
    <row r="26" spans="1:11" ht="15" customHeight="1" thickBot="1" x14ac:dyDescent="0.3">
      <c r="A26" s="245"/>
      <c r="B26" s="291" t="s">
        <v>38</v>
      </c>
      <c r="C26" s="320"/>
      <c r="D26" s="320"/>
      <c r="E26" s="320"/>
      <c r="F26" s="320"/>
      <c r="G26" s="320"/>
      <c r="H26" s="320"/>
      <c r="I26" s="320"/>
      <c r="J26" s="321"/>
      <c r="K26" s="248"/>
    </row>
    <row r="27" spans="1:11" ht="15.75" thickBot="1" x14ac:dyDescent="0.3">
      <c r="A27" s="245"/>
      <c r="B27" s="1768">
        <v>1</v>
      </c>
      <c r="C27" s="268"/>
      <c r="D27" s="322" t="s">
        <v>39</v>
      </c>
      <c r="E27" s="1815" t="s">
        <v>2849</v>
      </c>
      <c r="F27" s="1816"/>
      <c r="G27" s="245"/>
      <c r="H27" s="245"/>
      <c r="I27" s="316"/>
      <c r="J27" s="323"/>
      <c r="K27" s="248"/>
    </row>
    <row r="28" spans="1:11" ht="15.75" thickBot="1" x14ac:dyDescent="0.3">
      <c r="A28" s="245"/>
      <c r="B28" s="1769"/>
      <c r="C28" s="276"/>
      <c r="D28" s="324" t="s">
        <v>40</v>
      </c>
      <c r="E28" s="1815" t="s">
        <v>2884</v>
      </c>
      <c r="F28" s="1816"/>
      <c r="G28" s="245"/>
      <c r="H28" s="245"/>
      <c r="I28" s="316"/>
      <c r="J28" s="274"/>
      <c r="K28" s="248"/>
    </row>
    <row r="29" spans="1:11" ht="15.75" thickBot="1" x14ac:dyDescent="0.3">
      <c r="A29" s="245"/>
      <c r="B29" s="1769"/>
      <c r="C29" s="276"/>
      <c r="D29" s="324" t="s">
        <v>41</v>
      </c>
      <c r="E29" s="1815" t="s">
        <v>2885</v>
      </c>
      <c r="F29" s="1816"/>
      <c r="G29" s="245"/>
      <c r="H29" s="245"/>
      <c r="I29" s="316"/>
      <c r="J29" s="274"/>
      <c r="K29" s="248"/>
    </row>
    <row r="30" spans="1:11" ht="15.75" thickBot="1" x14ac:dyDescent="0.3">
      <c r="A30" s="245"/>
      <c r="B30" s="1769"/>
      <c r="C30" s="276"/>
      <c r="D30" s="324" t="s">
        <v>42</v>
      </c>
      <c r="E30" s="1815" t="s">
        <v>2889</v>
      </c>
      <c r="F30" s="1816"/>
      <c r="G30" s="245"/>
      <c r="H30" s="245"/>
      <c r="I30" s="316"/>
      <c r="J30" s="274"/>
      <c r="K30" s="248"/>
    </row>
    <row r="31" spans="1:11" ht="15.75" thickBot="1" x14ac:dyDescent="0.3">
      <c r="A31" s="245"/>
      <c r="B31" s="1769"/>
      <c r="C31" s="276"/>
      <c r="D31" s="324" t="s">
        <v>43</v>
      </c>
      <c r="E31" s="1815" t="s">
        <v>2886</v>
      </c>
      <c r="F31" s="1816"/>
      <c r="G31" s="245"/>
      <c r="H31" s="245"/>
      <c r="I31" s="316"/>
      <c r="J31" s="274"/>
      <c r="K31" s="248"/>
    </row>
    <row r="32" spans="1:11" ht="15.75" thickBot="1" x14ac:dyDescent="0.3">
      <c r="A32" s="245"/>
      <c r="B32" s="1769"/>
      <c r="C32" s="276"/>
      <c r="D32" s="324" t="s">
        <v>44</v>
      </c>
      <c r="E32" s="1815" t="s">
        <v>2890</v>
      </c>
      <c r="F32" s="1816"/>
      <c r="G32" s="245"/>
      <c r="H32" s="245"/>
      <c r="I32" s="316"/>
      <c r="J32" s="274"/>
      <c r="K32" s="248"/>
    </row>
    <row r="33" spans="1:11" ht="15.75" thickBot="1" x14ac:dyDescent="0.3">
      <c r="A33" s="245"/>
      <c r="B33" s="1770"/>
      <c r="C33" s="286"/>
      <c r="D33" s="324" t="s">
        <v>45</v>
      </c>
      <c r="E33" s="1815" t="s">
        <v>2891</v>
      </c>
      <c r="F33" s="1816"/>
      <c r="G33" s="245"/>
      <c r="H33" s="245"/>
      <c r="I33" s="325"/>
      <c r="J33" s="326"/>
      <c r="K33" s="248"/>
    </row>
    <row r="34" spans="1:11" ht="15" customHeight="1" thickBot="1" x14ac:dyDescent="0.3">
      <c r="A34" s="245"/>
      <c r="B34" s="291" t="s">
        <v>46</v>
      </c>
      <c r="C34" s="292"/>
      <c r="D34" s="292"/>
      <c r="E34" s="292"/>
      <c r="F34" s="292"/>
      <c r="G34" s="292"/>
      <c r="H34" s="292"/>
      <c r="I34" s="320"/>
      <c r="J34" s="321"/>
      <c r="K34" s="248"/>
    </row>
    <row r="35" spans="1:11" ht="14.45" customHeight="1" thickBot="1" x14ac:dyDescent="0.3">
      <c r="A35" s="245"/>
      <c r="B35" s="1768">
        <v>1</v>
      </c>
      <c r="C35" s="268"/>
      <c r="D35" s="327" t="s">
        <v>39</v>
      </c>
      <c r="E35" s="233" t="s">
        <v>47</v>
      </c>
      <c r="F35" s="234"/>
      <c r="G35" s="245"/>
      <c r="H35" s="245"/>
      <c r="I35" s="316"/>
      <c r="J35" s="323"/>
      <c r="K35" s="248"/>
    </row>
    <row r="36" spans="1:11" ht="15.75" thickBot="1" x14ac:dyDescent="0.3">
      <c r="A36" s="245"/>
      <c r="B36" s="1769"/>
      <c r="C36" s="276"/>
      <c r="D36" s="328" t="s">
        <v>40</v>
      </c>
      <c r="E36" s="233" t="s">
        <v>160</v>
      </c>
      <c r="F36" s="233"/>
      <c r="G36" s="245"/>
      <c r="H36" s="245"/>
      <c r="I36" s="316"/>
      <c r="J36" s="274"/>
      <c r="K36" s="248"/>
    </row>
    <row r="37" spans="1:11" ht="15.75" thickBot="1" x14ac:dyDescent="0.3">
      <c r="A37" s="245"/>
      <c r="B37" s="1769"/>
      <c r="C37" s="276"/>
      <c r="D37" s="328" t="s">
        <v>41</v>
      </c>
      <c r="E37" s="1817"/>
      <c r="F37" s="1818"/>
      <c r="G37" s="245"/>
      <c r="H37" s="245"/>
      <c r="I37" s="316"/>
      <c r="J37" s="274"/>
      <c r="K37" s="248"/>
    </row>
    <row r="38" spans="1:11" ht="15.75" thickBot="1" x14ac:dyDescent="0.3">
      <c r="A38" s="245"/>
      <c r="B38" s="1769"/>
      <c r="C38" s="276"/>
      <c r="D38" s="328" t="s">
        <v>42</v>
      </c>
      <c r="E38" s="1817"/>
      <c r="F38" s="1818"/>
      <c r="G38" s="245"/>
      <c r="H38" s="245"/>
      <c r="I38" s="316"/>
      <c r="J38" s="274"/>
      <c r="K38" s="248"/>
    </row>
    <row r="39" spans="1:11" ht="15.75" thickBot="1" x14ac:dyDescent="0.3">
      <c r="A39" s="245"/>
      <c r="B39" s="1769"/>
      <c r="C39" s="276"/>
      <c r="D39" s="328" t="s">
        <v>43</v>
      </c>
      <c r="E39" s="1817"/>
      <c r="F39" s="1818"/>
      <c r="G39" s="245"/>
      <c r="H39" s="245"/>
      <c r="I39" s="316"/>
      <c r="J39" s="274"/>
      <c r="K39" s="248"/>
    </row>
    <row r="40" spans="1:11" ht="15.75" thickBot="1" x14ac:dyDescent="0.3">
      <c r="A40" s="245"/>
      <c r="B40" s="1769"/>
      <c r="C40" s="276"/>
      <c r="D40" s="328" t="s">
        <v>44</v>
      </c>
      <c r="E40" s="1817"/>
      <c r="F40" s="1818"/>
      <c r="G40" s="245"/>
      <c r="H40" s="245"/>
      <c r="I40" s="316"/>
      <c r="J40" s="274"/>
      <c r="K40" s="248"/>
    </row>
    <row r="41" spans="1:11" ht="15.75" thickBot="1" x14ac:dyDescent="0.3">
      <c r="A41" s="245"/>
      <c r="B41" s="1770"/>
      <c r="C41" s="286"/>
      <c r="D41" s="328" t="s">
        <v>45</v>
      </c>
      <c r="E41" s="1817"/>
      <c r="F41" s="1818"/>
      <c r="G41" s="245"/>
      <c r="H41" s="245"/>
      <c r="I41" s="325"/>
      <c r="J41" s="326"/>
      <c r="K41" s="248"/>
    </row>
    <row r="42" spans="1:11" ht="15.75" thickBot="1" x14ac:dyDescent="0.3">
      <c r="A42" s="245"/>
      <c r="B42" s="329"/>
      <c r="C42" s="330"/>
      <c r="D42" s="331"/>
      <c r="E42" s="331"/>
      <c r="F42" s="331"/>
      <c r="G42" s="320"/>
      <c r="H42" s="320"/>
      <c r="I42" s="320"/>
      <c r="J42" s="321"/>
      <c r="K42" s="248"/>
    </row>
    <row r="43" spans="1:11" ht="15.75" thickBot="1" x14ac:dyDescent="0.3">
      <c r="A43" s="245"/>
      <c r="B43" s="1765" t="s">
        <v>49</v>
      </c>
      <c r="C43" s="1766"/>
      <c r="D43" s="1766"/>
      <c r="E43" s="1766"/>
      <c r="F43" s="1766"/>
      <c r="G43" s="1766"/>
      <c r="H43" s="1766"/>
      <c r="I43" s="1767"/>
      <c r="J43" s="321"/>
      <c r="K43" s="248"/>
    </row>
    <row r="44" spans="1:11" ht="24" customHeight="1" thickBot="1" x14ac:dyDescent="0.3">
      <c r="A44" s="245"/>
      <c r="B44" s="1777" t="s">
        <v>50</v>
      </c>
      <c r="C44" s="1778"/>
      <c r="D44" s="1779"/>
      <c r="E44" s="275" t="s">
        <v>51</v>
      </c>
      <c r="F44" s="1777" t="s">
        <v>52</v>
      </c>
      <c r="G44" s="1779"/>
      <c r="H44" s="1777" t="s">
        <v>53</v>
      </c>
      <c r="I44" s="1779"/>
      <c r="J44" s="281"/>
      <c r="K44" s="248"/>
    </row>
    <row r="45" spans="1:11" ht="108" customHeight="1" thickBot="1" x14ac:dyDescent="0.3">
      <c r="A45" s="245"/>
      <c r="B45" s="1821">
        <v>42401</v>
      </c>
      <c r="C45" s="1822"/>
      <c r="D45" s="1823"/>
      <c r="E45" s="275">
        <v>0.01</v>
      </c>
      <c r="F45" s="1824" t="s">
        <v>219</v>
      </c>
      <c r="G45" s="1825"/>
      <c r="H45" s="1777"/>
      <c r="I45" s="1779"/>
      <c r="J45" s="284"/>
      <c r="K45" s="248"/>
    </row>
    <row r="46" spans="1:11" x14ac:dyDescent="0.25">
      <c r="A46" s="245"/>
      <c r="B46" s="333"/>
      <c r="C46" s="334"/>
      <c r="D46" s="333"/>
      <c r="E46" s="333"/>
      <c r="F46" s="333"/>
      <c r="G46" s="333"/>
      <c r="H46" s="333"/>
      <c r="I46" s="333"/>
      <c r="J46" s="248"/>
      <c r="K46" s="248"/>
    </row>
    <row r="47" spans="1:11" ht="15.75" thickBot="1" x14ac:dyDescent="0.3">
      <c r="A47" s="245"/>
      <c r="B47" s="249"/>
      <c r="C47" s="250"/>
      <c r="D47" s="248"/>
      <c r="E47" s="248"/>
      <c r="F47" s="248"/>
      <c r="G47" s="248"/>
      <c r="H47" s="248"/>
      <c r="I47" s="248"/>
      <c r="J47" s="248"/>
      <c r="K47" s="248"/>
    </row>
    <row r="48" spans="1:11" ht="15.75" thickBot="1" x14ac:dyDescent="0.3">
      <c r="A48" s="245"/>
      <c r="B48" s="335" t="s">
        <v>55</v>
      </c>
      <c r="C48" s="298"/>
      <c r="D48" s="248"/>
      <c r="E48" s="248"/>
      <c r="F48" s="248"/>
      <c r="G48" s="248"/>
      <c r="H48" s="248"/>
      <c r="I48" s="248"/>
      <c r="J48" s="248"/>
      <c r="K48" s="248"/>
    </row>
    <row r="49" spans="1:11" x14ac:dyDescent="0.25">
      <c r="A49" s="245"/>
      <c r="B49" s="1819"/>
      <c r="C49" s="1820"/>
      <c r="D49" s="1820"/>
      <c r="E49" s="1820"/>
      <c r="F49" s="1820"/>
      <c r="G49" s="1820"/>
      <c r="H49" s="1820"/>
      <c r="I49" s="1820"/>
      <c r="J49" s="1820"/>
      <c r="K49" s="248"/>
    </row>
    <row r="50" spans="1:11" x14ac:dyDescent="0.25">
      <c r="A50" s="245"/>
      <c r="B50" s="1819"/>
      <c r="C50" s="1820"/>
      <c r="D50" s="1820"/>
      <c r="E50" s="1820"/>
      <c r="F50" s="1820"/>
      <c r="G50" s="1820"/>
      <c r="H50" s="1820"/>
      <c r="I50" s="1820"/>
      <c r="J50" s="1820"/>
      <c r="K50" s="248"/>
    </row>
    <row r="51" spans="1:11" x14ac:dyDescent="0.25">
      <c r="A51" s="245"/>
      <c r="B51" s="249"/>
      <c r="C51" s="250"/>
      <c r="D51" s="248"/>
      <c r="E51" s="248"/>
      <c r="F51" s="248"/>
      <c r="G51" s="248"/>
      <c r="H51" s="248"/>
      <c r="I51" s="248"/>
      <c r="J51" s="248"/>
      <c r="K51" s="248"/>
    </row>
    <row r="52" spans="1:11" ht="15.75" thickBot="1" x14ac:dyDescent="0.3">
      <c r="A52" s="245"/>
      <c r="B52" s="248"/>
      <c r="C52" s="265"/>
      <c r="D52" s="248"/>
      <c r="E52" s="248"/>
      <c r="F52" s="248"/>
      <c r="G52" s="248"/>
      <c r="H52" s="248"/>
      <c r="I52" s="248"/>
      <c r="J52" s="248"/>
      <c r="K52" s="248"/>
    </row>
    <row r="53" spans="1:11" ht="24.75" thickBot="1" x14ac:dyDescent="0.3">
      <c r="A53" s="245"/>
      <c r="B53" s="310" t="s">
        <v>56</v>
      </c>
      <c r="C53" s="311"/>
      <c r="D53" s="248"/>
      <c r="E53" s="248"/>
      <c r="F53" s="248"/>
      <c r="G53" s="248"/>
      <c r="H53" s="248"/>
      <c r="I53" s="248"/>
      <c r="J53" s="248"/>
      <c r="K53" s="248"/>
    </row>
    <row r="54" spans="1:11" ht="15.75" thickBot="1" x14ac:dyDescent="0.3">
      <c r="A54" s="245"/>
      <c r="B54" s="249"/>
      <c r="C54" s="250"/>
      <c r="D54" s="248"/>
      <c r="E54" s="248"/>
      <c r="F54" s="248"/>
      <c r="G54" s="248"/>
      <c r="H54" s="248"/>
      <c r="I54" s="248"/>
      <c r="J54" s="248"/>
      <c r="K54" s="248"/>
    </row>
    <row r="55" spans="1:11" ht="72.75" thickBot="1" x14ac:dyDescent="0.3">
      <c r="A55" s="245"/>
      <c r="B55" s="299" t="s">
        <v>57</v>
      </c>
      <c r="C55" s="279"/>
      <c r="D55" s="273" t="s">
        <v>201</v>
      </c>
      <c r="E55" s="248"/>
      <c r="F55" s="248"/>
      <c r="G55" s="248"/>
      <c r="H55" s="248"/>
      <c r="I55" s="248"/>
      <c r="J55" s="248"/>
      <c r="K55" s="248"/>
    </row>
    <row r="56" spans="1:11" x14ac:dyDescent="0.25">
      <c r="A56" s="245"/>
      <c r="B56" s="1768" t="s">
        <v>59</v>
      </c>
      <c r="C56" s="272"/>
      <c r="D56" s="312" t="s">
        <v>60</v>
      </c>
      <c r="E56" s="248"/>
      <c r="F56" s="248"/>
      <c r="G56" s="248"/>
      <c r="H56" s="248"/>
      <c r="I56" s="248"/>
      <c r="J56" s="248"/>
      <c r="K56" s="248"/>
    </row>
    <row r="57" spans="1:11" ht="60" x14ac:dyDescent="0.25">
      <c r="A57" s="245"/>
      <c r="B57" s="1769"/>
      <c r="C57" s="272"/>
      <c r="D57" s="313" t="s">
        <v>202</v>
      </c>
      <c r="E57" s="248"/>
      <c r="F57" s="248"/>
      <c r="G57" s="248"/>
      <c r="H57" s="248"/>
      <c r="I57" s="248"/>
      <c r="J57" s="248"/>
      <c r="K57" s="248"/>
    </row>
    <row r="58" spans="1:11" x14ac:dyDescent="0.25">
      <c r="A58" s="245"/>
      <c r="B58" s="1769"/>
      <c r="C58" s="272"/>
      <c r="D58" s="312" t="s">
        <v>134</v>
      </c>
      <c r="E58" s="248"/>
      <c r="F58" s="248"/>
      <c r="G58" s="248"/>
      <c r="H58" s="248"/>
      <c r="I58" s="248"/>
      <c r="J58" s="248"/>
      <c r="K58" s="248"/>
    </row>
    <row r="59" spans="1:11" x14ac:dyDescent="0.25">
      <c r="A59" s="245"/>
      <c r="B59" s="1769"/>
      <c r="C59" s="272"/>
      <c r="D59" s="313" t="s">
        <v>64</v>
      </c>
      <c r="E59" s="248"/>
      <c r="F59" s="248"/>
      <c r="G59" s="248"/>
      <c r="H59" s="248"/>
      <c r="I59" s="248"/>
      <c r="J59" s="248"/>
      <c r="K59" s="248"/>
    </row>
    <row r="60" spans="1:11" x14ac:dyDescent="0.25">
      <c r="A60" s="245"/>
      <c r="B60" s="1769"/>
      <c r="C60" s="272"/>
      <c r="D60" s="313" t="s">
        <v>165</v>
      </c>
      <c r="E60" s="248"/>
      <c r="F60" s="248"/>
      <c r="G60" s="248"/>
      <c r="H60" s="248"/>
      <c r="I60" s="248"/>
      <c r="J60" s="248"/>
      <c r="K60" s="248"/>
    </row>
    <row r="61" spans="1:11" x14ac:dyDescent="0.25">
      <c r="A61" s="245"/>
      <c r="B61" s="1769"/>
      <c r="C61" s="272"/>
      <c r="D61" s="313" t="s">
        <v>203</v>
      </c>
      <c r="E61" s="248"/>
      <c r="F61" s="248"/>
      <c r="G61" s="248"/>
      <c r="H61" s="248"/>
      <c r="I61" s="248"/>
      <c r="J61" s="248"/>
      <c r="K61" s="248"/>
    </row>
    <row r="62" spans="1:11" x14ac:dyDescent="0.25">
      <c r="A62" s="245"/>
      <c r="B62" s="1769"/>
      <c r="C62" s="272"/>
      <c r="D62" s="313" t="s">
        <v>204</v>
      </c>
      <c r="E62" s="248"/>
      <c r="F62" s="248"/>
      <c r="G62" s="248"/>
      <c r="H62" s="248"/>
      <c r="I62" s="248"/>
      <c r="J62" s="248"/>
      <c r="K62" s="248"/>
    </row>
    <row r="63" spans="1:11" ht="24" x14ac:dyDescent="0.25">
      <c r="A63" s="245"/>
      <c r="B63" s="1769"/>
      <c r="C63" s="272"/>
      <c r="D63" s="313" t="s">
        <v>205</v>
      </c>
      <c r="E63" s="248"/>
      <c r="F63" s="248"/>
      <c r="G63" s="248"/>
      <c r="H63" s="248"/>
      <c r="I63" s="248"/>
      <c r="J63" s="248"/>
      <c r="K63" s="248"/>
    </row>
    <row r="64" spans="1:11" x14ac:dyDescent="0.25">
      <c r="A64" s="245"/>
      <c r="B64" s="1769"/>
      <c r="C64" s="272"/>
      <c r="D64" s="312" t="s">
        <v>141</v>
      </c>
      <c r="E64" s="248"/>
      <c r="F64" s="248"/>
      <c r="G64" s="248"/>
      <c r="H64" s="248"/>
      <c r="I64" s="248"/>
      <c r="J64" s="248"/>
      <c r="K64" s="248"/>
    </row>
    <row r="65" spans="1:11" ht="15.75" thickBot="1" x14ac:dyDescent="0.3">
      <c r="A65" s="245"/>
      <c r="B65" s="1770"/>
      <c r="C65" s="282"/>
      <c r="D65" s="307"/>
      <c r="E65" s="248"/>
      <c r="F65" s="248"/>
      <c r="G65" s="248"/>
      <c r="H65" s="248"/>
      <c r="I65" s="248"/>
      <c r="J65" s="248"/>
      <c r="K65" s="248"/>
    </row>
    <row r="66" spans="1:11" ht="24.75" thickBot="1" x14ac:dyDescent="0.3">
      <c r="A66" s="245"/>
      <c r="B66" s="285" t="s">
        <v>72</v>
      </c>
      <c r="C66" s="282"/>
      <c r="D66" s="275"/>
      <c r="E66" s="248"/>
      <c r="F66" s="248"/>
      <c r="G66" s="248"/>
      <c r="H66" s="248"/>
      <c r="I66" s="248"/>
      <c r="J66" s="248"/>
      <c r="K66" s="248"/>
    </row>
    <row r="67" spans="1:11" ht="156" x14ac:dyDescent="0.25">
      <c r="A67" s="245"/>
      <c r="B67" s="1768" t="s">
        <v>73</v>
      </c>
      <c r="C67" s="272"/>
      <c r="D67" s="313" t="s">
        <v>206</v>
      </c>
      <c r="E67" s="248"/>
      <c r="F67" s="248"/>
      <c r="G67" s="248"/>
      <c r="H67" s="248"/>
      <c r="I67" s="248"/>
      <c r="J67" s="248"/>
      <c r="K67" s="248"/>
    </row>
    <row r="68" spans="1:11" ht="132" x14ac:dyDescent="0.25">
      <c r="A68" s="245"/>
      <c r="B68" s="1769"/>
      <c r="C68" s="272"/>
      <c r="D68" s="313" t="s">
        <v>207</v>
      </c>
      <c r="E68" s="248"/>
      <c r="F68" s="248"/>
      <c r="G68" s="248"/>
      <c r="H68" s="248"/>
      <c r="I68" s="248"/>
      <c r="J68" s="248"/>
      <c r="K68" s="248"/>
    </row>
    <row r="69" spans="1:11" ht="216" x14ac:dyDescent="0.25">
      <c r="A69" s="245"/>
      <c r="B69" s="1769"/>
      <c r="C69" s="272"/>
      <c r="D69" s="313" t="s">
        <v>208</v>
      </c>
      <c r="E69" s="248"/>
      <c r="F69" s="248"/>
      <c r="G69" s="248"/>
      <c r="H69" s="248"/>
      <c r="I69" s="248"/>
      <c r="J69" s="248"/>
      <c r="K69" s="248"/>
    </row>
    <row r="70" spans="1:11" ht="72" x14ac:dyDescent="0.25">
      <c r="A70" s="245"/>
      <c r="B70" s="1769"/>
      <c r="C70" s="272"/>
      <c r="D70" s="313" t="s">
        <v>209</v>
      </c>
      <c r="E70" s="248"/>
      <c r="F70" s="248"/>
      <c r="G70" s="248"/>
      <c r="H70" s="248"/>
      <c r="I70" s="248"/>
      <c r="J70" s="248"/>
      <c r="K70" s="248"/>
    </row>
    <row r="71" spans="1:11" ht="15.75" thickBot="1" x14ac:dyDescent="0.3">
      <c r="A71" s="245"/>
      <c r="B71" s="1770"/>
      <c r="C71" s="282"/>
      <c r="D71" s="275"/>
      <c r="E71" s="248"/>
      <c r="F71" s="248"/>
      <c r="G71" s="248"/>
      <c r="H71" s="248"/>
      <c r="I71" s="248"/>
      <c r="J71" s="248"/>
      <c r="K71" s="248"/>
    </row>
    <row r="72" spans="1:11" x14ac:dyDescent="0.25">
      <c r="A72" s="245"/>
      <c r="B72" s="1768" t="s">
        <v>90</v>
      </c>
      <c r="C72" s="272"/>
      <c r="D72" s="313"/>
      <c r="E72" s="248"/>
      <c r="F72" s="248"/>
      <c r="G72" s="248"/>
      <c r="H72" s="248"/>
      <c r="I72" s="248"/>
      <c r="J72" s="248"/>
      <c r="K72" s="248"/>
    </row>
    <row r="73" spans="1:11" x14ac:dyDescent="0.25">
      <c r="A73" s="245"/>
      <c r="B73" s="1769"/>
      <c r="C73" s="272"/>
      <c r="D73" s="314"/>
      <c r="E73" s="248"/>
      <c r="F73" s="248"/>
      <c r="G73" s="248"/>
      <c r="H73" s="248"/>
      <c r="I73" s="248"/>
      <c r="J73" s="248"/>
      <c r="K73" s="248"/>
    </row>
    <row r="74" spans="1:11" x14ac:dyDescent="0.25">
      <c r="A74" s="245"/>
      <c r="B74" s="1769"/>
      <c r="C74" s="272"/>
      <c r="D74" s="313" t="s">
        <v>91</v>
      </c>
      <c r="E74" s="248"/>
      <c r="F74" s="248"/>
      <c r="G74" s="248"/>
      <c r="H74" s="248"/>
      <c r="I74" s="248"/>
      <c r="J74" s="248"/>
      <c r="K74" s="248"/>
    </row>
    <row r="75" spans="1:11" ht="37.5" x14ac:dyDescent="0.25">
      <c r="A75" s="245"/>
      <c r="B75" s="1769"/>
      <c r="C75" s="272"/>
      <c r="D75" s="313" t="s">
        <v>210</v>
      </c>
      <c r="E75" s="248"/>
      <c r="F75" s="248"/>
      <c r="G75" s="248"/>
      <c r="H75" s="248"/>
      <c r="I75" s="248"/>
      <c r="J75" s="248"/>
      <c r="K75" s="248"/>
    </row>
    <row r="76" spans="1:11" ht="37.5" x14ac:dyDescent="0.25">
      <c r="A76" s="245"/>
      <c r="B76" s="1769"/>
      <c r="C76" s="272"/>
      <c r="D76" s="313" t="s">
        <v>211</v>
      </c>
      <c r="E76" s="248"/>
      <c r="F76" s="248"/>
      <c r="G76" s="248"/>
      <c r="H76" s="248"/>
      <c r="I76" s="248"/>
      <c r="J76" s="248"/>
      <c r="K76" s="248"/>
    </row>
    <row r="77" spans="1:11" ht="37.5" x14ac:dyDescent="0.25">
      <c r="A77" s="245"/>
      <c r="B77" s="1769"/>
      <c r="C77" s="272"/>
      <c r="D77" s="313" t="s">
        <v>212</v>
      </c>
      <c r="E77" s="248"/>
      <c r="F77" s="248"/>
      <c r="G77" s="248"/>
      <c r="H77" s="248"/>
      <c r="I77" s="248"/>
      <c r="J77" s="248"/>
      <c r="K77" s="248"/>
    </row>
    <row r="78" spans="1:11" ht="48.75" thickBot="1" x14ac:dyDescent="0.3">
      <c r="A78" s="245"/>
      <c r="B78" s="1770"/>
      <c r="C78" s="282"/>
      <c r="D78" s="275" t="s">
        <v>213</v>
      </c>
      <c r="E78" s="248"/>
      <c r="F78" s="248"/>
      <c r="G78" s="248"/>
      <c r="H78" s="248"/>
      <c r="I78" s="248"/>
      <c r="J78" s="248"/>
      <c r="K78" s="248"/>
    </row>
  </sheetData>
  <sheetProtection insertColumns="0" insertRows="0"/>
  <mergeCells count="40">
    <mergeCell ref="A1:P1"/>
    <mergeCell ref="A2:P2"/>
    <mergeCell ref="A3:P3"/>
    <mergeCell ref="A4:D4"/>
    <mergeCell ref="A5:P5"/>
    <mergeCell ref="B49:J50"/>
    <mergeCell ref="B45:D45"/>
    <mergeCell ref="F45:G45"/>
    <mergeCell ref="H45:I45"/>
    <mergeCell ref="E41:F41"/>
    <mergeCell ref="B43:I43"/>
    <mergeCell ref="B44:D44"/>
    <mergeCell ref="F44:G44"/>
    <mergeCell ref="H44:I44"/>
    <mergeCell ref="E40:F40"/>
    <mergeCell ref="E33:F33"/>
    <mergeCell ref="B35:B41"/>
    <mergeCell ref="E37:F37"/>
    <mergeCell ref="B27:B33"/>
    <mergeCell ref="B56:B65"/>
    <mergeCell ref="B67:B71"/>
    <mergeCell ref="B72:B78"/>
    <mergeCell ref="B15:B22"/>
    <mergeCell ref="D15:J15"/>
    <mergeCell ref="D18:J18"/>
    <mergeCell ref="E30:F30"/>
    <mergeCell ref="E31:F31"/>
    <mergeCell ref="E32:F32"/>
    <mergeCell ref="D23:J23"/>
    <mergeCell ref="D24:J24"/>
    <mergeCell ref="E27:F27"/>
    <mergeCell ref="E28:F28"/>
    <mergeCell ref="E29:F29"/>
    <mergeCell ref="E38:F38"/>
    <mergeCell ref="E39:F39"/>
    <mergeCell ref="B10:D10"/>
    <mergeCell ref="F10:S10"/>
    <mergeCell ref="F11:S11"/>
    <mergeCell ref="E12:R12"/>
    <mergeCell ref="E13:R13"/>
  </mergeCells>
  <conditionalFormatting sqref="F10">
    <cfRule type="notContainsBlanks" dxfId="113" priority="4">
      <formula>LEN(TRIM(F10))&gt;0</formula>
    </cfRule>
  </conditionalFormatting>
  <conditionalFormatting sqref="F11:S11">
    <cfRule type="expression" dxfId="112" priority="2">
      <formula>E11="NO SE REPORTA"</formula>
    </cfRule>
    <cfRule type="expression" dxfId="111" priority="3">
      <formula>E10="NO APLICA"</formula>
    </cfRule>
  </conditionalFormatting>
  <conditionalFormatting sqref="E12:R12">
    <cfRule type="expression" dxfId="110"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6:E17 E20:H21" xr:uid="{00000000-0002-0000-0F00-000000000000}">
      <formula1>0</formula1>
    </dataValidation>
    <dataValidation type="list" allowBlank="1" showInputMessage="1" showErrorMessage="1" sqref="E11" xr:uid="{00000000-0002-0000-0F00-000001000000}">
      <formula1>REPORTE</formula1>
    </dataValidation>
    <dataValidation type="list" allowBlank="1" showInputMessage="1" showErrorMessage="1" sqref="E10" xr:uid="{00000000-0002-0000-0F00-000002000000}">
      <formula1>SI</formula1>
    </dataValidation>
  </dataValidations>
  <hyperlinks>
    <hyperlink ref="B9" location="'ANEXO 3'!A1" display="VOLVER AL INDICE" xr:uid="{00000000-0004-0000-0F00-000000000000}"/>
  </hyperlinks>
  <pageMargins left="0.25" right="0.25" top="0.75" bottom="0.75" header="0.3" footer="0.3"/>
  <pageSetup paperSize="178" orientation="landscape"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6">
    <tabColor rgb="FFFF0000"/>
  </sheetPr>
  <dimension ref="A1:U128"/>
  <sheetViews>
    <sheetView showGridLines="0" topLeftCell="A4" zoomScale="60" zoomScaleNormal="60" workbookViewId="0">
      <selection activeCell="G21" sqref="G21"/>
    </sheetView>
  </sheetViews>
  <sheetFormatPr baseColWidth="10" defaultRowHeight="15" x14ac:dyDescent="0.25"/>
  <cols>
    <col min="1" max="1" width="1.85546875" customWidth="1"/>
    <col min="2" max="2" width="12.85546875" customWidth="1"/>
    <col min="3" max="3" width="9" style="87" customWidth="1"/>
    <col min="4" max="4" width="34.85546875" customWidth="1"/>
    <col min="5" max="5" width="12.140625" customWidth="1"/>
    <col min="6" max="6" width="14.42578125" customWidth="1"/>
    <col min="7" max="7" width="13.85546875" customWidth="1"/>
    <col min="8" max="8" width="14.85546875" customWidth="1"/>
  </cols>
  <sheetData>
    <row r="1" spans="1:21" s="538" customFormat="1" ht="100.5" customHeight="1" thickBot="1" x14ac:dyDescent="0.3">
      <c r="A1" s="1733"/>
      <c r="B1" s="1734"/>
      <c r="C1" s="1734"/>
      <c r="D1" s="1734"/>
      <c r="E1" s="1734"/>
      <c r="F1" s="1734"/>
      <c r="G1" s="1734"/>
      <c r="H1" s="1734"/>
      <c r="I1" s="1734"/>
      <c r="J1" s="1734"/>
      <c r="K1" s="1734"/>
      <c r="L1" s="1734"/>
      <c r="M1" s="1734"/>
      <c r="N1" s="1734"/>
      <c r="O1" s="1734"/>
      <c r="P1" s="1735"/>
      <c r="Q1" s="412"/>
      <c r="R1" s="412"/>
    </row>
    <row r="2" spans="1:21" s="539" customFormat="1" ht="16.5" thickBot="1" x14ac:dyDescent="0.3">
      <c r="A2" s="1741" t="str">
        <f>'Datos Generales'!C5</f>
        <v>Corporación Autónoma Regional de La Guajira – CORPOGUAJIRA</v>
      </c>
      <c r="B2" s="1742"/>
      <c r="C2" s="1742"/>
      <c r="D2" s="1742"/>
      <c r="E2" s="1742"/>
      <c r="F2" s="1742"/>
      <c r="G2" s="1742"/>
      <c r="H2" s="1742"/>
      <c r="I2" s="1742"/>
      <c r="J2" s="1742"/>
      <c r="K2" s="1742"/>
      <c r="L2" s="1742"/>
      <c r="M2" s="1742"/>
      <c r="N2" s="1742"/>
      <c r="O2" s="1742"/>
      <c r="P2" s="1743"/>
      <c r="Q2" s="412"/>
      <c r="R2" s="412"/>
    </row>
    <row r="3" spans="1:21" s="539" customFormat="1" ht="16.5" thickBot="1" x14ac:dyDescent="0.3">
      <c r="A3" s="1736" t="s">
        <v>1347</v>
      </c>
      <c r="B3" s="1737"/>
      <c r="C3" s="1737"/>
      <c r="D3" s="1737"/>
      <c r="E3" s="1737"/>
      <c r="F3" s="1737"/>
      <c r="G3" s="1737"/>
      <c r="H3" s="1737"/>
      <c r="I3" s="1737"/>
      <c r="J3" s="1737"/>
      <c r="K3" s="1737"/>
      <c r="L3" s="1737"/>
      <c r="M3" s="1737"/>
      <c r="N3" s="1737"/>
      <c r="O3" s="1737"/>
      <c r="P3" s="1738"/>
      <c r="Q3" s="412"/>
      <c r="R3" s="412"/>
    </row>
    <row r="4" spans="1:21" s="539" customFormat="1" ht="16.5" thickBot="1" x14ac:dyDescent="0.3">
      <c r="A4" s="1739" t="s">
        <v>1346</v>
      </c>
      <c r="B4" s="1740"/>
      <c r="C4" s="1740"/>
      <c r="D4" s="1740"/>
      <c r="E4" s="579" t="str">
        <f>'Datos Generales'!C6</f>
        <v>2021-I</v>
      </c>
      <c r="F4" s="579"/>
      <c r="G4" s="579"/>
      <c r="H4" s="579"/>
      <c r="I4" s="579"/>
      <c r="J4" s="579"/>
      <c r="K4" s="579"/>
      <c r="L4" s="581"/>
      <c r="M4" s="581"/>
      <c r="N4" s="581"/>
      <c r="O4" s="581"/>
      <c r="P4" s="582"/>
      <c r="Q4" s="412"/>
      <c r="R4" s="412"/>
    </row>
    <row r="5" spans="1:21" s="245" customFormat="1" ht="16.5" customHeight="1" thickBot="1" x14ac:dyDescent="0.3">
      <c r="A5" s="1736" t="s">
        <v>220</v>
      </c>
      <c r="B5" s="1737"/>
      <c r="C5" s="1737"/>
      <c r="D5" s="1737"/>
      <c r="E5" s="1737"/>
      <c r="F5" s="1737"/>
      <c r="G5" s="1737"/>
      <c r="H5" s="1737"/>
      <c r="I5" s="1737"/>
      <c r="J5" s="1737"/>
      <c r="K5" s="1737"/>
      <c r="L5" s="1737"/>
      <c r="M5" s="1737"/>
      <c r="N5" s="1737"/>
      <c r="O5" s="1737"/>
      <c r="P5" s="1738"/>
    </row>
    <row r="6" spans="1:21" x14ac:dyDescent="0.25">
      <c r="B6" s="2" t="s">
        <v>1</v>
      </c>
      <c r="C6" s="76"/>
      <c r="D6" s="6"/>
      <c r="E6" s="74"/>
      <c r="F6" s="6" t="s">
        <v>128</v>
      </c>
      <c r="G6" s="6"/>
      <c r="H6" s="6"/>
      <c r="I6" s="6"/>
      <c r="J6" s="6"/>
      <c r="K6" s="6"/>
    </row>
    <row r="7" spans="1:21" ht="15.75" thickBot="1" x14ac:dyDescent="0.3">
      <c r="B7" s="75"/>
      <c r="C7" s="77"/>
      <c r="D7" s="6"/>
      <c r="E7" s="18"/>
      <c r="F7" s="6" t="s">
        <v>129</v>
      </c>
      <c r="G7" s="6"/>
      <c r="H7" s="6"/>
      <c r="I7" s="6"/>
      <c r="J7" s="6"/>
      <c r="K7" s="6"/>
    </row>
    <row r="8" spans="1:21" ht="15.75" thickBot="1" x14ac:dyDescent="0.3">
      <c r="B8" s="178" t="s">
        <v>1185</v>
      </c>
      <c r="C8" s="222">
        <v>2021</v>
      </c>
      <c r="D8" s="226">
        <f>IF(E10="NO APLICA","NO APLICA",IF(E11="NO SE REPORTA","SIN INFORMACION",))+F27</f>
        <v>0.5</v>
      </c>
      <c r="E8" s="223"/>
      <c r="F8" s="6" t="s">
        <v>130</v>
      </c>
      <c r="G8" s="6"/>
      <c r="H8" s="6"/>
      <c r="I8" s="6"/>
      <c r="J8" s="6"/>
      <c r="K8" s="6"/>
    </row>
    <row r="9" spans="1:21" x14ac:dyDescent="0.25">
      <c r="B9" s="493" t="s">
        <v>1186</v>
      </c>
      <c r="C9" s="88"/>
      <c r="D9" s="6"/>
      <c r="E9" s="6"/>
      <c r="F9" s="6"/>
      <c r="G9" s="6"/>
      <c r="H9" s="6"/>
      <c r="I9" s="6"/>
      <c r="J9" s="6"/>
      <c r="K9" s="6"/>
    </row>
    <row r="10" spans="1:21" s="412" customFormat="1" x14ac:dyDescent="0.25">
      <c r="A10" s="245"/>
      <c r="B10" s="1789" t="s">
        <v>1241</v>
      </c>
      <c r="C10" s="1789"/>
      <c r="D10" s="1789"/>
      <c r="E10" s="499" t="s">
        <v>1238</v>
      </c>
      <c r="F10" s="17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96"/>
      <c r="H10" s="1796"/>
      <c r="I10" s="1796"/>
      <c r="J10" s="1796"/>
      <c r="K10" s="1796"/>
      <c r="L10" s="1796"/>
      <c r="M10" s="1796"/>
      <c r="N10" s="1796"/>
      <c r="O10" s="1796"/>
      <c r="P10" s="1796"/>
      <c r="Q10" s="1796"/>
      <c r="R10" s="1796"/>
      <c r="S10" s="1796"/>
      <c r="T10" s="495"/>
      <c r="U10" s="495"/>
    </row>
    <row r="11" spans="1:21" s="412" customFormat="1" ht="14.45" customHeight="1" x14ac:dyDescent="0.25">
      <c r="A11" s="245"/>
      <c r="B11" s="496"/>
      <c r="C11" s="497"/>
      <c r="D11" s="498" t="str">
        <f>IF(E10="SI APLICA","¿El indicador no se reporta por limitaciones de información disponible? ","")</f>
        <v xml:space="preserve">¿El indicador no se reporta por limitaciones de información disponible? </v>
      </c>
      <c r="E11" s="500" t="s">
        <v>1240</v>
      </c>
      <c r="F11" s="1790"/>
      <c r="G11" s="1791"/>
      <c r="H11" s="1791"/>
      <c r="I11" s="1791"/>
      <c r="J11" s="1791"/>
      <c r="K11" s="1791"/>
      <c r="L11" s="1791"/>
      <c r="M11" s="1791"/>
      <c r="N11" s="1791"/>
      <c r="O11" s="1791"/>
      <c r="P11" s="1791"/>
      <c r="Q11" s="1791"/>
      <c r="R11" s="1791"/>
      <c r="S11" s="1791"/>
    </row>
    <row r="12" spans="1:21" s="412" customFormat="1" ht="23.45" customHeight="1" x14ac:dyDescent="0.25">
      <c r="A12" s="245"/>
      <c r="B12" s="493"/>
      <c r="C12" s="304"/>
      <c r="D12" s="498" t="str">
        <f>IF(E11="SI SE REPORTA","¿Qué programas o proyectos del Plan de Acción están asociados al indicador? ","")</f>
        <v xml:space="preserve">¿Qué programas o proyectos del Plan de Acción están asociados al indicador? </v>
      </c>
      <c r="E12" s="1853" t="str">
        <f>'Anexo 1 Matriz Inf Gestión'!A40</f>
        <v>Proyecto No 2.1. Administración de la Oferta y Demanda del Recurso Hídrico (superficiales y subterráneas)</v>
      </c>
      <c r="F12" s="1853"/>
      <c r="G12" s="1853"/>
      <c r="H12" s="1853"/>
      <c r="I12" s="1854" t="str">
        <f>'Anexo 1 Matriz Inf Gestión'!A67</f>
        <v>Proyecto No 3.1. Ecosistemas estratégicos continentales.</v>
      </c>
      <c r="J12" s="1854"/>
      <c r="K12" s="1854"/>
      <c r="L12" s="1854"/>
      <c r="M12" s="1854"/>
      <c r="N12" s="1349"/>
      <c r="O12" s="1349"/>
      <c r="P12" s="1349"/>
      <c r="Q12" s="1349"/>
      <c r="R12" s="1349"/>
    </row>
    <row r="13" spans="1:21" s="412" customFormat="1" ht="21.95" customHeight="1" x14ac:dyDescent="0.25">
      <c r="A13" s="245"/>
      <c r="B13" s="493"/>
      <c r="C13" s="304"/>
      <c r="D13" s="498" t="s">
        <v>1243</v>
      </c>
      <c r="E13" s="1792" t="s">
        <v>3057</v>
      </c>
      <c r="F13" s="1793"/>
      <c r="G13" s="1793"/>
      <c r="H13" s="1793"/>
      <c r="I13" s="1793"/>
      <c r="J13" s="1793"/>
      <c r="K13" s="1793"/>
      <c r="L13" s="1793"/>
      <c r="M13" s="1793"/>
      <c r="N13" s="1793"/>
      <c r="O13" s="1793"/>
      <c r="P13" s="1793"/>
      <c r="Q13" s="1793"/>
      <c r="R13" s="1794"/>
    </row>
    <row r="14" spans="1:21" s="412" customFormat="1" ht="6.95" customHeight="1" thickBot="1" x14ac:dyDescent="0.3">
      <c r="B14" s="493"/>
      <c r="C14" s="88"/>
      <c r="D14" s="6"/>
      <c r="E14" s="6"/>
      <c r="F14" s="6"/>
      <c r="G14" s="6"/>
      <c r="H14" s="6"/>
      <c r="I14" s="6"/>
      <c r="J14" s="6"/>
      <c r="K14" s="6"/>
    </row>
    <row r="15" spans="1:21" ht="15" customHeight="1" thickTop="1" x14ac:dyDescent="0.25">
      <c r="B15" s="1835" t="s">
        <v>2</v>
      </c>
      <c r="C15" s="89"/>
      <c r="D15" s="1837" t="s">
        <v>3</v>
      </c>
      <c r="E15" s="1838"/>
      <c r="F15" s="1838"/>
      <c r="G15" s="1838"/>
      <c r="H15" s="1838"/>
      <c r="I15" s="1838"/>
      <c r="J15" s="1838"/>
      <c r="K15" s="1839"/>
    </row>
    <row r="16" spans="1:21" ht="15.75" thickBot="1" x14ac:dyDescent="0.3">
      <c r="B16" s="1836"/>
      <c r="C16" s="92"/>
      <c r="D16" s="1840" t="s">
        <v>252</v>
      </c>
      <c r="E16" s="1841"/>
      <c r="F16" s="1841"/>
      <c r="G16" s="1841"/>
      <c r="H16" s="1841"/>
      <c r="I16" s="1841"/>
      <c r="J16" s="1841"/>
      <c r="K16" s="1842"/>
    </row>
    <row r="17" spans="2:11" ht="15.75" thickBot="1" x14ac:dyDescent="0.3">
      <c r="B17" s="1836"/>
      <c r="C17" s="98" t="s">
        <v>19</v>
      </c>
      <c r="D17" s="39" t="s">
        <v>253</v>
      </c>
      <c r="E17" s="39" t="s">
        <v>20</v>
      </c>
      <c r="F17" s="39" t="s">
        <v>21</v>
      </c>
      <c r="G17" s="39" t="s">
        <v>22</v>
      </c>
      <c r="H17" s="39" t="s">
        <v>23</v>
      </c>
      <c r="I17" s="234"/>
      <c r="K17" s="22"/>
    </row>
    <row r="18" spans="2:11" ht="15.75" thickBot="1" x14ac:dyDescent="0.3">
      <c r="B18" s="1836"/>
      <c r="C18" s="3" t="s">
        <v>152</v>
      </c>
      <c r="D18" s="40" t="s">
        <v>255</v>
      </c>
      <c r="E18" s="217">
        <v>4</v>
      </c>
      <c r="F18" s="217">
        <v>4</v>
      </c>
      <c r="G18" s="217"/>
      <c r="H18" s="217"/>
      <c r="I18" s="341"/>
      <c r="K18" s="22"/>
    </row>
    <row r="19" spans="2:11" ht="15.75" thickBot="1" x14ac:dyDescent="0.3">
      <c r="B19" s="1836"/>
      <c r="C19" s="3" t="s">
        <v>154</v>
      </c>
      <c r="D19" s="40" t="s">
        <v>256</v>
      </c>
      <c r="E19" s="217">
        <v>2</v>
      </c>
      <c r="F19" s="217">
        <v>2</v>
      </c>
      <c r="G19" s="217"/>
      <c r="H19" s="217"/>
      <c r="I19" s="341"/>
      <c r="K19" s="22"/>
    </row>
    <row r="20" spans="2:11" ht="15.75" thickBot="1" x14ac:dyDescent="0.3">
      <c r="B20" s="1836"/>
      <c r="C20" s="3" t="s">
        <v>156</v>
      </c>
      <c r="D20" s="40" t="s">
        <v>257</v>
      </c>
      <c r="E20" s="217">
        <v>0</v>
      </c>
      <c r="F20" s="217">
        <v>2</v>
      </c>
      <c r="G20" s="217"/>
      <c r="H20" s="217"/>
      <c r="I20" s="341"/>
      <c r="K20" s="22"/>
    </row>
    <row r="21" spans="2:11" ht="15.75" thickBot="1" x14ac:dyDescent="0.3">
      <c r="B21" s="1836"/>
      <c r="C21" s="3" t="s">
        <v>258</v>
      </c>
      <c r="D21" s="40" t="s">
        <v>259</v>
      </c>
      <c r="E21" s="217">
        <v>0</v>
      </c>
      <c r="F21" s="217">
        <v>1</v>
      </c>
      <c r="G21" s="217"/>
      <c r="H21" s="217">
        <v>0</v>
      </c>
      <c r="I21" s="341"/>
      <c r="K21" s="22"/>
    </row>
    <row r="22" spans="2:11" ht="15.75" thickBot="1" x14ac:dyDescent="0.3">
      <c r="B22" s="1836"/>
      <c r="C22" s="3" t="s">
        <v>260</v>
      </c>
      <c r="D22" s="40" t="s">
        <v>261</v>
      </c>
      <c r="E22" s="217">
        <v>0</v>
      </c>
      <c r="F22" s="217">
        <v>0</v>
      </c>
      <c r="G22" s="217">
        <v>0</v>
      </c>
      <c r="H22" s="217">
        <v>0</v>
      </c>
      <c r="I22" s="341"/>
      <c r="K22" s="22"/>
    </row>
    <row r="23" spans="2:11" ht="15.75" thickBot="1" x14ac:dyDescent="0.3">
      <c r="B23" s="1836"/>
      <c r="C23" s="3" t="s">
        <v>262</v>
      </c>
      <c r="D23" s="40" t="s">
        <v>263</v>
      </c>
      <c r="E23" s="217">
        <v>0</v>
      </c>
      <c r="F23" s="217">
        <v>0</v>
      </c>
      <c r="G23" s="217">
        <v>0</v>
      </c>
      <c r="H23" s="217">
        <v>0</v>
      </c>
      <c r="I23" s="341"/>
      <c r="K23" s="22"/>
    </row>
    <row r="24" spans="2:11" ht="15.75" thickBot="1" x14ac:dyDescent="0.3">
      <c r="B24" s="1836"/>
      <c r="C24" s="3" t="s">
        <v>264</v>
      </c>
      <c r="D24" s="40" t="s">
        <v>265</v>
      </c>
      <c r="E24" s="196">
        <f>IFERROR(E19/E18,"N.A.")</f>
        <v>0.5</v>
      </c>
      <c r="F24" s="196">
        <f>IFERROR(F19/F18,"N.A.")</f>
        <v>0.5</v>
      </c>
      <c r="G24" s="196" t="str">
        <f>IFERROR(G19/G18,"N.A.")</f>
        <v>N.A.</v>
      </c>
      <c r="H24" s="196" t="str">
        <f>IFERROR(H19/H18,"N.A.")</f>
        <v>N.A.</v>
      </c>
      <c r="I24" s="305"/>
      <c r="K24" s="22"/>
    </row>
    <row r="25" spans="2:11" ht="15.75" thickBot="1" x14ac:dyDescent="0.3">
      <c r="B25" s="1836"/>
      <c r="C25" s="3" t="s">
        <v>266</v>
      </c>
      <c r="D25" s="40" t="s">
        <v>267</v>
      </c>
      <c r="E25" s="196" t="str">
        <f>IFERROR(E21/E20,"N.A.")</f>
        <v>N.A.</v>
      </c>
      <c r="F25" s="196">
        <f>IFERROR(F21/F20,"N.A.")</f>
        <v>0.5</v>
      </c>
      <c r="G25" s="196" t="str">
        <f>IFERROR(G21/G20,"N.A.")</f>
        <v>N.A.</v>
      </c>
      <c r="H25" s="196" t="str">
        <f>IFERROR(H21/H20,"N.A.")</f>
        <v>N.A.</v>
      </c>
      <c r="I25" s="305"/>
      <c r="K25" s="22"/>
    </row>
    <row r="26" spans="2:11" ht="15.75" thickBot="1" x14ac:dyDescent="0.3">
      <c r="B26" s="1836"/>
      <c r="C26" s="3" t="s">
        <v>268</v>
      </c>
      <c r="D26" s="40" t="s">
        <v>269</v>
      </c>
      <c r="E26" s="196" t="str">
        <f>IFERROR(E23/E22,"N.A.")</f>
        <v>N.A.</v>
      </c>
      <c r="F26" s="196" t="str">
        <f>IFERROR(F23/F22,"N.A.")</f>
        <v>N.A.</v>
      </c>
      <c r="G26" s="196" t="str">
        <f>IFERROR(G23/G22,"N.A.")</f>
        <v>N.A.</v>
      </c>
      <c r="H26" s="196" t="str">
        <f>IFERROR(H23/H22,"N.A.")</f>
        <v>N.A.</v>
      </c>
      <c r="I26" s="305"/>
      <c r="K26" s="22"/>
    </row>
    <row r="27" spans="2:11" ht="15.75" thickBot="1" x14ac:dyDescent="0.3">
      <c r="B27" s="338"/>
      <c r="C27" s="131"/>
      <c r="D27" s="339" t="s">
        <v>1196</v>
      </c>
      <c r="E27" s="196">
        <f>IFERROR(AVERAGE(E24:E26),"N.A.")</f>
        <v>0.5</v>
      </c>
      <c r="F27" s="196">
        <f>IFERROR(AVERAGE(F24:F26),"N.A.")</f>
        <v>0.5</v>
      </c>
      <c r="G27" s="196" t="str">
        <f>IFERROR(AVERAGE(G24:G26),"N.A.")</f>
        <v>N.A.</v>
      </c>
      <c r="H27" s="196" t="str">
        <f>IFERROR(AVERAGE(H24:H26),"N.A.")</f>
        <v>N.A.</v>
      </c>
      <c r="I27" s="305"/>
      <c r="K27" s="22"/>
    </row>
    <row r="28" spans="2:11" x14ac:dyDescent="0.25">
      <c r="B28" s="230"/>
      <c r="C28" s="92"/>
      <c r="D28" s="1843"/>
      <c r="E28" s="1844"/>
      <c r="F28" s="1844"/>
      <c r="G28" s="1844"/>
      <c r="H28" s="1844"/>
      <c r="I28" s="1844"/>
      <c r="J28" s="1844"/>
      <c r="K28" s="1845"/>
    </row>
    <row r="29" spans="2:11" x14ac:dyDescent="0.25">
      <c r="B29" s="230"/>
      <c r="C29" s="92"/>
      <c r="D29" s="1840" t="s">
        <v>246</v>
      </c>
      <c r="E29" s="1841"/>
      <c r="F29" s="1841"/>
      <c r="G29" s="1841"/>
      <c r="H29" s="1841"/>
      <c r="I29" s="1841"/>
      <c r="J29" s="1841"/>
      <c r="K29" s="1842"/>
    </row>
    <row r="30" spans="2:11" ht="15.75" thickBot="1" x14ac:dyDescent="0.3">
      <c r="B30" s="230"/>
      <c r="C30" s="92"/>
      <c r="D30" s="1846" t="s">
        <v>247</v>
      </c>
      <c r="E30" s="1847"/>
      <c r="F30" s="1847"/>
      <c r="G30" s="1847"/>
      <c r="H30" s="1847"/>
      <c r="I30" s="1847"/>
      <c r="J30" s="1847"/>
      <c r="K30" s="1848"/>
    </row>
    <row r="31" spans="2:11" ht="24.75" thickBot="1" x14ac:dyDescent="0.3">
      <c r="B31" s="230"/>
      <c r="C31" s="98" t="s">
        <v>19</v>
      </c>
      <c r="D31" s="43" t="s">
        <v>270</v>
      </c>
      <c r="E31" s="43" t="s">
        <v>271</v>
      </c>
      <c r="F31" s="43" t="s">
        <v>272</v>
      </c>
      <c r="G31" s="43" t="s">
        <v>273</v>
      </c>
      <c r="H31" s="43" t="s">
        <v>274</v>
      </c>
      <c r="I31" s="43" t="s">
        <v>275</v>
      </c>
      <c r="J31" s="43" t="s">
        <v>55</v>
      </c>
      <c r="K31" s="116"/>
    </row>
    <row r="32" spans="2:11" s="199" customFormat="1" ht="15.75" thickBot="1" x14ac:dyDescent="0.3">
      <c r="B32" s="227"/>
      <c r="C32" s="232">
        <v>1</v>
      </c>
      <c r="D32" s="31" t="s">
        <v>3237</v>
      </c>
      <c r="E32" s="1161" t="s">
        <v>11</v>
      </c>
      <c r="F32" s="218"/>
      <c r="G32" s="218"/>
      <c r="H32" s="218"/>
      <c r="I32" s="218"/>
      <c r="J32" s="31"/>
      <c r="K32" s="114"/>
    </row>
    <row r="33" spans="2:11" s="199" customFormat="1" ht="45.75" thickBot="1" x14ac:dyDescent="0.3">
      <c r="B33" s="227"/>
      <c r="C33" s="232">
        <v>2</v>
      </c>
      <c r="D33" s="1849" t="s">
        <v>3238</v>
      </c>
      <c r="E33" s="1851" t="s">
        <v>11</v>
      </c>
      <c r="F33" s="1223">
        <v>1265611410.5</v>
      </c>
      <c r="G33" s="1223">
        <v>1265611410.5</v>
      </c>
      <c r="H33" s="1223">
        <v>1263345629</v>
      </c>
      <c r="I33" s="1223">
        <v>0</v>
      </c>
      <c r="J33" s="979" t="s">
        <v>3239</v>
      </c>
      <c r="K33" s="114"/>
    </row>
    <row r="34" spans="2:11" s="199" customFormat="1" ht="45.75" thickBot="1" x14ac:dyDescent="0.3">
      <c r="B34" s="227"/>
      <c r="C34" s="232">
        <v>3</v>
      </c>
      <c r="D34" s="1850"/>
      <c r="E34" s="1852"/>
      <c r="F34" s="1223">
        <v>300171729</v>
      </c>
      <c r="G34" s="1223">
        <v>300171729</v>
      </c>
      <c r="H34" s="1223">
        <v>299979214</v>
      </c>
      <c r="I34" s="1223">
        <v>133531546</v>
      </c>
      <c r="J34" s="979" t="s">
        <v>3240</v>
      </c>
      <c r="K34" s="114"/>
    </row>
    <row r="35" spans="2:11" s="199" customFormat="1" ht="15.75" thickBot="1" x14ac:dyDescent="0.3">
      <c r="B35" s="227"/>
      <c r="C35" s="232">
        <v>4</v>
      </c>
      <c r="D35" s="31" t="s">
        <v>3241</v>
      </c>
      <c r="E35" s="1161" t="s">
        <v>11</v>
      </c>
      <c r="F35" s="218"/>
      <c r="G35" s="218"/>
      <c r="H35" s="218"/>
      <c r="I35" s="218"/>
      <c r="J35" s="31"/>
      <c r="K35" s="114"/>
    </row>
    <row r="36" spans="2:11" s="199" customFormat="1" ht="15.75" thickBot="1" x14ac:dyDescent="0.3">
      <c r="B36" s="227"/>
      <c r="C36" s="232">
        <v>5</v>
      </c>
      <c r="D36" s="30" t="s">
        <v>3242</v>
      </c>
      <c r="E36" s="1161" t="s">
        <v>12</v>
      </c>
      <c r="F36" s="218"/>
      <c r="G36" s="218"/>
      <c r="H36" s="218"/>
      <c r="I36" s="218"/>
      <c r="J36" s="31"/>
      <c r="K36" s="114"/>
    </row>
    <row r="37" spans="2:11" s="199" customFormat="1" ht="36.75" thickBot="1" x14ac:dyDescent="0.3">
      <c r="B37" s="227"/>
      <c r="C37" s="232">
        <v>6</v>
      </c>
      <c r="D37" s="1128" t="s">
        <v>3243</v>
      </c>
      <c r="E37" s="1161" t="s">
        <v>12</v>
      </c>
      <c r="F37" s="218"/>
      <c r="G37" s="218"/>
      <c r="H37" s="218"/>
      <c r="I37" s="218"/>
      <c r="J37" s="31"/>
      <c r="K37" s="114"/>
    </row>
    <row r="38" spans="2:11" s="199" customFormat="1" ht="24.75" thickBot="1" x14ac:dyDescent="0.3">
      <c r="B38" s="227"/>
      <c r="C38" s="232">
        <v>7</v>
      </c>
      <c r="D38" s="1128" t="s">
        <v>3244</v>
      </c>
      <c r="E38" s="1161" t="s">
        <v>12</v>
      </c>
      <c r="F38" s="218"/>
      <c r="G38" s="218"/>
      <c r="H38" s="218"/>
      <c r="I38" s="218"/>
      <c r="J38" s="31"/>
      <c r="K38" s="114"/>
    </row>
    <row r="39" spans="2:11" s="199" customFormat="1" ht="72.75" thickBot="1" x14ac:dyDescent="0.3">
      <c r="B39" s="227"/>
      <c r="C39" s="232">
        <v>8</v>
      </c>
      <c r="D39" s="1128" t="s">
        <v>3245</v>
      </c>
      <c r="E39" s="1161" t="s">
        <v>12</v>
      </c>
      <c r="F39" s="218"/>
      <c r="G39" s="218"/>
      <c r="H39" s="218"/>
      <c r="I39" s="218"/>
      <c r="J39" s="31"/>
      <c r="K39" s="114"/>
    </row>
    <row r="40" spans="2:11" s="199" customFormat="1" ht="36.75" thickBot="1" x14ac:dyDescent="0.3">
      <c r="B40" s="227"/>
      <c r="C40" s="232">
        <v>9</v>
      </c>
      <c r="D40" s="1212" t="s">
        <v>3246</v>
      </c>
      <c r="E40" s="1161" t="s">
        <v>12</v>
      </c>
      <c r="F40" s="218"/>
      <c r="G40" s="218"/>
      <c r="H40" s="218"/>
      <c r="I40" s="218"/>
      <c r="J40" s="31"/>
      <c r="K40" s="114"/>
    </row>
    <row r="41" spans="2:11" s="199" customFormat="1" ht="24.75" thickBot="1" x14ac:dyDescent="0.3">
      <c r="B41" s="227"/>
      <c r="C41" s="232">
        <v>10</v>
      </c>
      <c r="D41" s="1212" t="s">
        <v>3247</v>
      </c>
      <c r="E41" s="1161" t="s">
        <v>12</v>
      </c>
      <c r="F41" s="218"/>
      <c r="G41" s="218"/>
      <c r="H41" s="218"/>
      <c r="I41" s="218"/>
      <c r="J41" s="31"/>
      <c r="K41" s="114"/>
    </row>
    <row r="42" spans="2:11" s="199" customFormat="1" ht="48.75" thickBot="1" x14ac:dyDescent="0.3">
      <c r="B42" s="227"/>
      <c r="C42" s="232">
        <v>11</v>
      </c>
      <c r="D42" s="1212" t="s">
        <v>3248</v>
      </c>
      <c r="E42" s="1161" t="s">
        <v>12</v>
      </c>
      <c r="F42" s="218"/>
      <c r="G42" s="218"/>
      <c r="H42" s="218"/>
      <c r="I42" s="218"/>
      <c r="J42" s="31"/>
      <c r="K42" s="114"/>
    </row>
    <row r="43" spans="2:11" s="199" customFormat="1" ht="60.75" thickBot="1" x14ac:dyDescent="0.3">
      <c r="B43" s="227"/>
      <c r="C43" s="232">
        <v>12</v>
      </c>
      <c r="D43" s="1212" t="s">
        <v>3249</v>
      </c>
      <c r="E43" s="1161" t="s">
        <v>12</v>
      </c>
      <c r="F43" s="218"/>
      <c r="G43" s="218"/>
      <c r="H43" s="218"/>
      <c r="I43" s="218"/>
      <c r="J43" s="31"/>
      <c r="K43" s="114"/>
    </row>
    <row r="44" spans="2:11" s="199" customFormat="1" ht="36.75" thickBot="1" x14ac:dyDescent="0.3">
      <c r="B44" s="227"/>
      <c r="C44" s="232">
        <v>13</v>
      </c>
      <c r="D44" s="1212" t="s">
        <v>3250</v>
      </c>
      <c r="E44" s="1161" t="s">
        <v>12</v>
      </c>
      <c r="F44" s="218"/>
      <c r="G44" s="218"/>
      <c r="H44" s="218"/>
      <c r="I44" s="218"/>
      <c r="J44" s="31"/>
      <c r="K44" s="114"/>
    </row>
    <row r="45" spans="2:11" s="199" customFormat="1" ht="24.75" thickBot="1" x14ac:dyDescent="0.3">
      <c r="B45" s="227"/>
      <c r="C45" s="232">
        <v>14</v>
      </c>
      <c r="D45" s="1212" t="s">
        <v>3251</v>
      </c>
      <c r="E45" s="1161" t="s">
        <v>12</v>
      </c>
      <c r="F45" s="218"/>
      <c r="G45" s="218"/>
      <c r="H45" s="218"/>
      <c r="I45" s="218"/>
      <c r="J45" s="31"/>
      <c r="K45" s="114"/>
    </row>
    <row r="46" spans="2:11" s="199" customFormat="1" ht="36.75" thickBot="1" x14ac:dyDescent="0.3">
      <c r="B46" s="227"/>
      <c r="C46" s="232">
        <v>15</v>
      </c>
      <c r="D46" s="1212" t="s">
        <v>3252</v>
      </c>
      <c r="E46" s="1161" t="s">
        <v>12</v>
      </c>
      <c r="F46" s="218"/>
      <c r="G46" s="218"/>
      <c r="H46" s="218"/>
      <c r="I46" s="218"/>
      <c r="J46" s="31"/>
      <c r="K46" s="114"/>
    </row>
    <row r="47" spans="2:11" s="199" customFormat="1" ht="36.75" thickBot="1" x14ac:dyDescent="0.3">
      <c r="B47" s="227"/>
      <c r="C47" s="232">
        <v>16</v>
      </c>
      <c r="D47" s="1212" t="s">
        <v>3253</v>
      </c>
      <c r="E47" s="1161" t="s">
        <v>12</v>
      </c>
      <c r="F47" s="218"/>
      <c r="G47" s="218"/>
      <c r="H47" s="218"/>
      <c r="I47" s="218"/>
      <c r="J47" s="31"/>
      <c r="K47" s="114"/>
    </row>
    <row r="48" spans="2:11" s="199" customFormat="1" ht="48.75" thickBot="1" x14ac:dyDescent="0.3">
      <c r="B48" s="227"/>
      <c r="C48" s="232">
        <v>17</v>
      </c>
      <c r="D48" s="1212" t="s">
        <v>3254</v>
      </c>
      <c r="E48" s="1161" t="s">
        <v>12</v>
      </c>
      <c r="F48" s="218"/>
      <c r="G48" s="218"/>
      <c r="H48" s="218"/>
      <c r="I48" s="218"/>
      <c r="J48" s="31"/>
      <c r="K48" s="114"/>
    </row>
    <row r="49" spans="2:11" s="199" customFormat="1" ht="15.75" thickBot="1" x14ac:dyDescent="0.3">
      <c r="B49" s="227"/>
      <c r="C49" s="232">
        <v>18</v>
      </c>
      <c r="D49" s="1212" t="s">
        <v>3255</v>
      </c>
      <c r="E49" s="1161" t="s">
        <v>11</v>
      </c>
      <c r="F49" s="218"/>
      <c r="G49" s="218"/>
      <c r="H49" s="218"/>
      <c r="I49" s="218"/>
      <c r="J49" s="1213"/>
      <c r="K49" s="114"/>
    </row>
    <row r="50" spans="2:11" s="199" customFormat="1" ht="15.75" thickBot="1" x14ac:dyDescent="0.3">
      <c r="B50" s="1121"/>
      <c r="C50" s="240"/>
      <c r="D50" s="1212"/>
      <c r="E50" s="167"/>
      <c r="F50" s="218"/>
      <c r="G50" s="218"/>
      <c r="H50" s="218"/>
      <c r="I50" s="218"/>
      <c r="J50" s="31"/>
      <c r="K50" s="114"/>
    </row>
    <row r="51" spans="2:11" s="199" customFormat="1" ht="15.75" thickBot="1" x14ac:dyDescent="0.3">
      <c r="B51" s="227"/>
      <c r="C51" s="232">
        <v>19</v>
      </c>
      <c r="D51" s="1212"/>
      <c r="E51" s="167"/>
      <c r="F51" s="218"/>
      <c r="G51" s="218"/>
      <c r="H51" s="218"/>
      <c r="I51" s="218"/>
      <c r="J51" s="31"/>
      <c r="K51" s="114"/>
    </row>
    <row r="52" spans="2:11" ht="15.75" thickBot="1" x14ac:dyDescent="0.3">
      <c r="B52" s="230"/>
      <c r="C52" s="3"/>
      <c r="D52" s="41" t="s">
        <v>151</v>
      </c>
      <c r="E52" s="112"/>
      <c r="F52" s="143">
        <f>SUM(F32:F51)</f>
        <v>1565783139.5</v>
      </c>
      <c r="G52" s="143">
        <f>SUM(G32:G51)</f>
        <v>1565783139.5</v>
      </c>
      <c r="H52" s="143">
        <f>SUM(H32:H51)</f>
        <v>1563324843</v>
      </c>
      <c r="I52" s="143">
        <f>SUM(I32:I51)</f>
        <v>133531546</v>
      </c>
      <c r="J52" s="31"/>
      <c r="K52" s="118"/>
    </row>
    <row r="53" spans="2:11" ht="15.75" thickBot="1" x14ac:dyDescent="0.3">
      <c r="B53" s="231"/>
      <c r="C53" s="93"/>
      <c r="D53" s="1832" t="s">
        <v>276</v>
      </c>
      <c r="E53" s="1833"/>
      <c r="F53" s="1833"/>
      <c r="G53" s="1833"/>
      <c r="H53" s="1833"/>
      <c r="I53" s="1833"/>
      <c r="J53" s="1833"/>
      <c r="K53" s="1834"/>
    </row>
    <row r="54" spans="2:11" ht="36" customHeight="1" thickBot="1" x14ac:dyDescent="0.3">
      <c r="B54" s="72" t="s">
        <v>34</v>
      </c>
      <c r="C54" s="108"/>
      <c r="D54" s="1832" t="s">
        <v>277</v>
      </c>
      <c r="E54" s="1833"/>
      <c r="F54" s="1833"/>
      <c r="G54" s="1833"/>
      <c r="H54" s="1833"/>
      <c r="I54" s="1833"/>
      <c r="J54" s="1833"/>
      <c r="K54" s="1834"/>
    </row>
    <row r="55" spans="2:11" ht="23.25" thickBot="1" x14ac:dyDescent="0.3">
      <c r="B55" s="72" t="s">
        <v>36</v>
      </c>
      <c r="C55" s="108"/>
      <c r="D55" s="1832" t="s">
        <v>278</v>
      </c>
      <c r="E55" s="1833"/>
      <c r="F55" s="1833"/>
      <c r="G55" s="1833"/>
      <c r="H55" s="1833"/>
      <c r="I55" s="1833"/>
      <c r="J55" s="1833"/>
      <c r="K55" s="1834"/>
    </row>
    <row r="56" spans="2:11" ht="15.75" thickBot="1" x14ac:dyDescent="0.3">
      <c r="B56" s="2"/>
      <c r="C56" s="76"/>
      <c r="D56" s="6"/>
      <c r="E56" s="6"/>
      <c r="F56" s="6"/>
      <c r="G56" s="6"/>
      <c r="H56" s="6"/>
      <c r="I56" s="6"/>
      <c r="J56" s="6"/>
      <c r="K56" s="6"/>
    </row>
    <row r="57" spans="2:11" ht="24" customHeight="1" thickBot="1" x14ac:dyDescent="0.3">
      <c r="B57" s="1829" t="s">
        <v>38</v>
      </c>
      <c r="C57" s="1830"/>
      <c r="D57" s="1830"/>
      <c r="E57" s="1831"/>
      <c r="F57" s="6"/>
      <c r="G57" s="6"/>
      <c r="H57" s="6"/>
      <c r="I57" s="6"/>
      <c r="J57" s="6"/>
      <c r="K57" s="6"/>
    </row>
    <row r="58" spans="2:11" ht="15.75" thickBot="1" x14ac:dyDescent="0.3">
      <c r="B58" s="1826">
        <v>1</v>
      </c>
      <c r="C58" s="94"/>
      <c r="D58" s="48" t="s">
        <v>39</v>
      </c>
      <c r="E58" s="31" t="s">
        <v>2849</v>
      </c>
      <c r="F58" s="6"/>
      <c r="G58" s="6"/>
      <c r="H58" s="6"/>
      <c r="I58" s="6"/>
      <c r="J58" s="6"/>
      <c r="K58" s="6"/>
    </row>
    <row r="59" spans="2:11" ht="15.75" thickBot="1" x14ac:dyDescent="0.3">
      <c r="B59" s="1827"/>
      <c r="C59" s="94"/>
      <c r="D59" s="41" t="s">
        <v>40</v>
      </c>
      <c r="E59" s="31" t="s">
        <v>3363</v>
      </c>
      <c r="F59" s="6"/>
      <c r="G59" s="6"/>
      <c r="H59" s="6"/>
      <c r="I59" s="6"/>
      <c r="J59" s="6"/>
      <c r="K59" s="6"/>
    </row>
    <row r="60" spans="2:11" ht="15.75" thickBot="1" x14ac:dyDescent="0.3">
      <c r="B60" s="1827"/>
      <c r="C60" s="94"/>
      <c r="D60" s="41" t="s">
        <v>41</v>
      </c>
      <c r="E60" s="31" t="s">
        <v>3270</v>
      </c>
      <c r="F60" s="6"/>
      <c r="G60" s="6"/>
      <c r="H60" s="6"/>
      <c r="I60" s="6"/>
      <c r="J60" s="6"/>
      <c r="K60" s="6"/>
    </row>
    <row r="61" spans="2:11" ht="15.75" thickBot="1" x14ac:dyDescent="0.3">
      <c r="B61" s="1827"/>
      <c r="C61" s="94"/>
      <c r="D61" s="41" t="s">
        <v>42</v>
      </c>
      <c r="E61" s="31" t="s">
        <v>3218</v>
      </c>
      <c r="F61" s="6"/>
      <c r="G61" s="6"/>
      <c r="H61" s="6"/>
      <c r="I61" s="6"/>
      <c r="J61" s="6"/>
      <c r="K61" s="6"/>
    </row>
    <row r="62" spans="2:11" ht="15.75" thickBot="1" x14ac:dyDescent="0.3">
      <c r="B62" s="1827"/>
      <c r="C62" s="94"/>
      <c r="D62" s="41" t="s">
        <v>43</v>
      </c>
      <c r="E62" s="980" t="s">
        <v>3362</v>
      </c>
      <c r="F62" s="6"/>
      <c r="G62" s="6"/>
      <c r="H62" s="6"/>
      <c r="I62" s="6"/>
      <c r="J62" s="6"/>
      <c r="K62" s="6"/>
    </row>
    <row r="63" spans="2:11" ht="15.75" thickBot="1" x14ac:dyDescent="0.3">
      <c r="B63" s="1827"/>
      <c r="C63" s="94"/>
      <c r="D63" s="41" t="s">
        <v>44</v>
      </c>
      <c r="E63" s="31" t="s">
        <v>3324</v>
      </c>
      <c r="F63" s="6"/>
      <c r="G63" s="6"/>
      <c r="H63" s="6"/>
      <c r="I63" s="6"/>
      <c r="J63" s="6"/>
      <c r="K63" s="6"/>
    </row>
    <row r="64" spans="2:11" ht="15.75" thickBot="1" x14ac:dyDescent="0.3">
      <c r="B64" s="1828"/>
      <c r="C64" s="3"/>
      <c r="D64" s="41" t="s">
        <v>45</v>
      </c>
      <c r="E64" s="31" t="s">
        <v>2852</v>
      </c>
      <c r="F64" s="6"/>
      <c r="G64" s="6"/>
      <c r="H64" s="6"/>
      <c r="I64" s="6"/>
      <c r="J64" s="6"/>
      <c r="K64" s="6"/>
    </row>
    <row r="65" spans="2:11" ht="15.75" thickBot="1" x14ac:dyDescent="0.3">
      <c r="B65" s="2"/>
      <c r="C65" s="76"/>
      <c r="D65" s="6"/>
      <c r="E65" s="6"/>
      <c r="F65" s="6"/>
      <c r="G65" s="6"/>
      <c r="H65" s="6"/>
      <c r="I65" s="6"/>
      <c r="J65" s="6"/>
      <c r="K65" s="6"/>
    </row>
    <row r="66" spans="2:11" ht="15.75" thickBot="1" x14ac:dyDescent="0.3">
      <c r="B66" s="1829" t="s">
        <v>46</v>
      </c>
      <c r="C66" s="1830"/>
      <c r="D66" s="1830"/>
      <c r="E66" s="1831"/>
      <c r="F66" s="6"/>
      <c r="G66" s="6"/>
      <c r="H66" s="6"/>
      <c r="I66" s="6"/>
      <c r="J66" s="6"/>
      <c r="K66" s="6"/>
    </row>
    <row r="67" spans="2:11" ht="15.75" thickBot="1" x14ac:dyDescent="0.3">
      <c r="B67" s="1826">
        <v>1</v>
      </c>
      <c r="C67" s="94"/>
      <c r="D67" s="48" t="s">
        <v>39</v>
      </c>
      <c r="E67" s="233" t="s">
        <v>47</v>
      </c>
      <c r="F67" s="6"/>
      <c r="G67" s="6"/>
      <c r="H67" s="6"/>
      <c r="I67" s="6"/>
      <c r="J67" s="6"/>
      <c r="K67" s="6"/>
    </row>
    <row r="68" spans="2:11" ht="15.75" thickBot="1" x14ac:dyDescent="0.3">
      <c r="B68" s="1827"/>
      <c r="C68" s="94"/>
      <c r="D68" s="41" t="s">
        <v>40</v>
      </c>
      <c r="E68" s="233" t="s">
        <v>48</v>
      </c>
      <c r="F68" s="6"/>
      <c r="G68" s="6"/>
      <c r="H68" s="6"/>
      <c r="I68" s="6"/>
      <c r="J68" s="6"/>
      <c r="K68" s="6"/>
    </row>
    <row r="69" spans="2:11" ht="15.75" thickBot="1" x14ac:dyDescent="0.3">
      <c r="B69" s="1827"/>
      <c r="C69" s="94"/>
      <c r="D69" s="41" t="s">
        <v>41</v>
      </c>
      <c r="E69" s="303"/>
      <c r="F69" s="6"/>
      <c r="G69" s="6"/>
      <c r="H69" s="6"/>
      <c r="I69" s="6"/>
      <c r="J69" s="6"/>
      <c r="K69" s="6"/>
    </row>
    <row r="70" spans="2:11" ht="15.75" thickBot="1" x14ac:dyDescent="0.3">
      <c r="B70" s="1827"/>
      <c r="C70" s="94"/>
      <c r="D70" s="41" t="s">
        <v>42</v>
      </c>
      <c r="E70" s="303"/>
      <c r="F70" s="6"/>
      <c r="G70" s="6"/>
      <c r="H70" s="6"/>
      <c r="I70" s="6"/>
      <c r="J70" s="6"/>
      <c r="K70" s="6"/>
    </row>
    <row r="71" spans="2:11" ht="15.75" thickBot="1" x14ac:dyDescent="0.3">
      <c r="B71" s="1827"/>
      <c r="C71" s="94"/>
      <c r="D71" s="41" t="s">
        <v>43</v>
      </c>
      <c r="E71" s="303"/>
      <c r="F71" s="6"/>
      <c r="G71" s="6"/>
      <c r="H71" s="6"/>
      <c r="I71" s="6"/>
      <c r="J71" s="6"/>
      <c r="K71" s="6"/>
    </row>
    <row r="72" spans="2:11" ht="15.75" thickBot="1" x14ac:dyDescent="0.3">
      <c r="B72" s="1827"/>
      <c r="C72" s="94"/>
      <c r="D72" s="41" t="s">
        <v>44</v>
      </c>
      <c r="E72" s="303"/>
      <c r="F72" s="6"/>
      <c r="G72" s="6"/>
      <c r="H72" s="6"/>
      <c r="I72" s="6"/>
      <c r="J72" s="6"/>
      <c r="K72" s="6"/>
    </row>
    <row r="73" spans="2:11" ht="15.75" thickBot="1" x14ac:dyDescent="0.3">
      <c r="B73" s="1828"/>
      <c r="C73" s="3"/>
      <c r="D73" s="41" t="s">
        <v>45</v>
      </c>
      <c r="E73" s="303"/>
      <c r="F73" s="6"/>
      <c r="G73" s="6"/>
      <c r="H73" s="6"/>
      <c r="I73" s="6"/>
      <c r="J73" s="6"/>
      <c r="K73" s="6"/>
    </row>
    <row r="74" spans="2:11" ht="15.75" thickBot="1" x14ac:dyDescent="0.3">
      <c r="B74" s="2"/>
      <c r="C74" s="76"/>
      <c r="D74" s="6"/>
      <c r="E74" s="6"/>
      <c r="F74" s="6"/>
      <c r="G74" s="6"/>
      <c r="H74" s="6"/>
      <c r="I74" s="6"/>
      <c r="J74" s="6"/>
      <c r="K74" s="6"/>
    </row>
    <row r="75" spans="2:11" ht="15.75" thickBot="1" x14ac:dyDescent="0.3">
      <c r="B75" s="1829" t="s">
        <v>49</v>
      </c>
      <c r="C75" s="1830"/>
      <c r="D75" s="1830"/>
      <c r="E75" s="1830"/>
      <c r="F75" s="1831"/>
      <c r="G75" s="6"/>
      <c r="H75" s="6"/>
      <c r="I75" s="6"/>
      <c r="J75" s="6"/>
      <c r="K75" s="6"/>
    </row>
    <row r="76" spans="2:11" ht="24.75" thickBot="1" x14ac:dyDescent="0.3">
      <c r="B76" s="47" t="s">
        <v>50</v>
      </c>
      <c r="C76" s="41" t="s">
        <v>51</v>
      </c>
      <c r="D76" s="41" t="s">
        <v>52</v>
      </c>
      <c r="E76" s="41" t="s">
        <v>53</v>
      </c>
      <c r="F76" s="6"/>
      <c r="G76" s="6"/>
      <c r="H76" s="6"/>
      <c r="I76" s="6"/>
      <c r="J76" s="6"/>
    </row>
    <row r="77" spans="2:11" ht="96.75" thickBot="1" x14ac:dyDescent="0.3">
      <c r="B77" s="49">
        <v>42401</v>
      </c>
      <c r="C77" s="41">
        <v>0.01</v>
      </c>
      <c r="D77" s="68" t="s">
        <v>279</v>
      </c>
      <c r="E77" s="41"/>
      <c r="F77" s="6"/>
      <c r="G77" s="6"/>
      <c r="H77" s="6"/>
      <c r="I77" s="6"/>
      <c r="J77" s="6"/>
    </row>
    <row r="78" spans="2:11" ht="15.75" thickBot="1" x14ac:dyDescent="0.3">
      <c r="B78" s="2"/>
      <c r="C78" s="76"/>
      <c r="D78" s="6"/>
      <c r="E78" s="6"/>
      <c r="F78" s="6"/>
      <c r="G78" s="6"/>
      <c r="H78" s="6"/>
      <c r="I78" s="6"/>
      <c r="J78" s="6"/>
      <c r="K78" s="6"/>
    </row>
    <row r="79" spans="2:11" ht="15.75" thickBot="1" x14ac:dyDescent="0.3">
      <c r="B79" s="5" t="s">
        <v>55</v>
      </c>
      <c r="C79" s="96"/>
      <c r="D79" s="6"/>
      <c r="E79" s="6"/>
      <c r="F79" s="6"/>
      <c r="G79" s="6"/>
      <c r="H79" s="6"/>
      <c r="I79" s="6"/>
      <c r="J79" s="6"/>
      <c r="K79" s="6"/>
    </row>
    <row r="80" spans="2:11" x14ac:dyDescent="0.25">
      <c r="B80" s="1819"/>
      <c r="C80" s="1820"/>
      <c r="D80" s="1820"/>
      <c r="E80" s="1820"/>
      <c r="F80" s="1820"/>
      <c r="G80" s="1820"/>
      <c r="H80" s="1820"/>
      <c r="I80" s="1820"/>
      <c r="J80" s="1820"/>
      <c r="K80" s="6"/>
    </row>
    <row r="81" spans="2:11" ht="15.75" thickBot="1" x14ac:dyDescent="0.3">
      <c r="B81" s="1819"/>
      <c r="C81" s="1820"/>
      <c r="D81" s="1820"/>
      <c r="E81" s="1820"/>
      <c r="F81" s="1820"/>
      <c r="G81" s="1820"/>
      <c r="H81" s="1820"/>
      <c r="I81" s="1820"/>
      <c r="J81" s="1820"/>
      <c r="K81" s="6"/>
    </row>
    <row r="82" spans="2:11" ht="15.75" thickBot="1" x14ac:dyDescent="0.3">
      <c r="B82" s="1829" t="s">
        <v>56</v>
      </c>
      <c r="C82" s="1830"/>
      <c r="D82" s="1831"/>
      <c r="E82" s="6"/>
      <c r="F82" s="6"/>
      <c r="G82" s="6"/>
      <c r="H82" s="6"/>
      <c r="I82" s="6"/>
      <c r="J82" s="6"/>
      <c r="K82" s="6"/>
    </row>
    <row r="83" spans="2:11" ht="120.75" thickBot="1" x14ac:dyDescent="0.3">
      <c r="B83" s="47" t="s">
        <v>57</v>
      </c>
      <c r="C83" s="3"/>
      <c r="D83" s="41" t="s">
        <v>221</v>
      </c>
      <c r="E83" s="6"/>
      <c r="F83" s="6"/>
      <c r="G83" s="6"/>
      <c r="H83" s="6"/>
      <c r="I83" s="6"/>
      <c r="J83" s="6"/>
      <c r="K83" s="6"/>
    </row>
    <row r="84" spans="2:11" x14ac:dyDescent="0.25">
      <c r="B84" s="1826" t="s">
        <v>59</v>
      </c>
      <c r="C84" s="94"/>
      <c r="D84" s="53" t="s">
        <v>60</v>
      </c>
      <c r="E84" s="6"/>
      <c r="F84" s="6"/>
      <c r="G84" s="6"/>
      <c r="H84" s="6"/>
      <c r="I84" s="6"/>
      <c r="J84" s="6"/>
      <c r="K84" s="6"/>
    </row>
    <row r="85" spans="2:11" ht="72" x14ac:dyDescent="0.25">
      <c r="B85" s="1827"/>
      <c r="C85" s="94"/>
      <c r="D85" s="46" t="s">
        <v>222</v>
      </c>
      <c r="E85" s="6"/>
      <c r="F85" s="6"/>
      <c r="G85" s="6"/>
      <c r="H85" s="6"/>
      <c r="I85" s="6"/>
      <c r="J85" s="6"/>
      <c r="K85" s="6"/>
    </row>
    <row r="86" spans="2:11" ht="48" x14ac:dyDescent="0.25">
      <c r="B86" s="1827"/>
      <c r="C86" s="94"/>
      <c r="D86" s="46" t="s">
        <v>223</v>
      </c>
      <c r="E86" s="6"/>
      <c r="F86" s="6"/>
      <c r="G86" s="6"/>
      <c r="H86" s="6"/>
      <c r="I86" s="6"/>
      <c r="J86" s="6"/>
      <c r="K86" s="6"/>
    </row>
    <row r="87" spans="2:11" x14ac:dyDescent="0.25">
      <c r="B87" s="1827"/>
      <c r="C87" s="94"/>
      <c r="D87" s="53" t="s">
        <v>224</v>
      </c>
      <c r="E87" s="6"/>
      <c r="F87" s="6"/>
      <c r="G87" s="6"/>
      <c r="H87" s="6"/>
      <c r="I87" s="6"/>
      <c r="J87" s="6"/>
      <c r="K87" s="6"/>
    </row>
    <row r="88" spans="2:11" x14ac:dyDescent="0.25">
      <c r="B88" s="1827"/>
      <c r="C88" s="94"/>
      <c r="D88" s="46" t="s">
        <v>64</v>
      </c>
      <c r="E88" s="6"/>
      <c r="F88" s="6"/>
      <c r="G88" s="6"/>
      <c r="H88" s="6"/>
      <c r="I88" s="6"/>
      <c r="J88" s="6"/>
      <c r="K88" s="6"/>
    </row>
    <row r="89" spans="2:11" x14ac:dyDescent="0.25">
      <c r="B89" s="1827"/>
      <c r="C89" s="94"/>
      <c r="D89" s="46" t="s">
        <v>165</v>
      </c>
      <c r="E89" s="6"/>
      <c r="F89" s="6"/>
      <c r="G89" s="6"/>
      <c r="H89" s="6"/>
      <c r="I89" s="6"/>
      <c r="J89" s="6"/>
      <c r="K89" s="6"/>
    </row>
    <row r="90" spans="2:11" ht="15.75" thickBot="1" x14ac:dyDescent="0.3">
      <c r="B90" s="1828"/>
      <c r="C90" s="3"/>
      <c r="D90" s="41" t="s">
        <v>225</v>
      </c>
      <c r="E90" s="6"/>
      <c r="F90" s="6"/>
      <c r="G90" s="6"/>
      <c r="H90" s="6"/>
      <c r="I90" s="6"/>
      <c r="J90" s="6"/>
      <c r="K90" s="6"/>
    </row>
    <row r="91" spans="2:11" ht="24.75" thickBot="1" x14ac:dyDescent="0.3">
      <c r="B91" s="47" t="s">
        <v>72</v>
      </c>
      <c r="C91" s="3"/>
      <c r="D91" s="41"/>
      <c r="E91" s="6"/>
      <c r="F91" s="6"/>
      <c r="G91" s="6"/>
      <c r="H91" s="6"/>
      <c r="I91" s="6"/>
      <c r="J91" s="6"/>
      <c r="K91" s="6"/>
    </row>
    <row r="92" spans="2:11" ht="156" x14ac:dyDescent="0.25">
      <c r="B92" s="1826" t="s">
        <v>73</v>
      </c>
      <c r="C92" s="94"/>
      <c r="D92" s="46" t="s">
        <v>226</v>
      </c>
      <c r="E92" s="6"/>
      <c r="F92" s="6"/>
      <c r="G92" s="6"/>
      <c r="H92" s="6"/>
      <c r="I92" s="6"/>
      <c r="J92" s="6"/>
      <c r="K92" s="6"/>
    </row>
    <row r="93" spans="2:11" ht="132.75" thickBot="1" x14ac:dyDescent="0.3">
      <c r="B93" s="1828"/>
      <c r="C93" s="3"/>
      <c r="D93" s="41" t="s">
        <v>227</v>
      </c>
      <c r="E93" s="6"/>
      <c r="F93" s="6"/>
      <c r="G93" s="6"/>
      <c r="H93" s="6"/>
      <c r="I93" s="6"/>
      <c r="J93" s="6"/>
      <c r="K93" s="6"/>
    </row>
    <row r="94" spans="2:11" ht="29.45" customHeight="1" x14ac:dyDescent="0.25">
      <c r="B94" s="1826" t="s">
        <v>90</v>
      </c>
      <c r="C94" s="94"/>
      <c r="D94" s="46" t="s">
        <v>91</v>
      </c>
      <c r="E94" s="6"/>
      <c r="F94" s="6"/>
      <c r="G94" s="6"/>
      <c r="H94" s="6"/>
      <c r="I94" s="6"/>
      <c r="J94" s="6"/>
      <c r="K94" s="6"/>
    </row>
    <row r="95" spans="2:11" ht="73.5" x14ac:dyDescent="0.25">
      <c r="B95" s="1827"/>
      <c r="C95" s="94"/>
      <c r="D95" s="46" t="s">
        <v>228</v>
      </c>
      <c r="E95" s="6"/>
      <c r="F95" s="6"/>
      <c r="G95" s="6"/>
      <c r="H95" s="6"/>
      <c r="I95" s="6"/>
      <c r="J95" s="6"/>
      <c r="K95" s="6"/>
    </row>
    <row r="96" spans="2:11" ht="37.5" x14ac:dyDescent="0.25">
      <c r="B96" s="1827"/>
      <c r="C96" s="94"/>
      <c r="D96" s="46" t="s">
        <v>229</v>
      </c>
      <c r="E96" s="6"/>
      <c r="F96" s="6"/>
      <c r="G96" s="6"/>
      <c r="H96" s="6"/>
      <c r="I96" s="6"/>
      <c r="J96" s="6"/>
      <c r="K96" s="6"/>
    </row>
    <row r="97" spans="2:11" ht="37.5" x14ac:dyDescent="0.25">
      <c r="B97" s="1827"/>
      <c r="C97" s="94"/>
      <c r="D97" s="46" t="s">
        <v>230</v>
      </c>
      <c r="E97" s="6"/>
      <c r="F97" s="6"/>
      <c r="G97" s="6"/>
      <c r="H97" s="6"/>
      <c r="I97" s="6"/>
      <c r="J97" s="6"/>
      <c r="K97" s="6"/>
    </row>
    <row r="98" spans="2:11" ht="37.5" x14ac:dyDescent="0.25">
      <c r="B98" s="1827"/>
      <c r="C98" s="94"/>
      <c r="D98" s="46" t="s">
        <v>231</v>
      </c>
      <c r="E98" s="6"/>
      <c r="F98" s="6"/>
      <c r="G98" s="6"/>
      <c r="H98" s="6"/>
      <c r="I98" s="6"/>
      <c r="J98" s="6"/>
      <c r="K98" s="6"/>
    </row>
    <row r="99" spans="2:11" x14ac:dyDescent="0.25">
      <c r="B99" s="1827"/>
      <c r="C99" s="94"/>
      <c r="D99" s="46" t="s">
        <v>232</v>
      </c>
      <c r="E99" s="6"/>
      <c r="F99" s="6"/>
      <c r="G99" s="6"/>
      <c r="H99" s="6"/>
      <c r="I99" s="6"/>
      <c r="J99" s="6"/>
      <c r="K99" s="6"/>
    </row>
    <row r="100" spans="2:11" x14ac:dyDescent="0.25">
      <c r="B100" s="1827"/>
      <c r="C100" s="94"/>
      <c r="D100" s="46" t="s">
        <v>233</v>
      </c>
      <c r="E100" s="6"/>
      <c r="F100" s="6"/>
      <c r="G100" s="6"/>
      <c r="H100" s="6"/>
      <c r="I100" s="6"/>
      <c r="J100" s="6"/>
      <c r="K100" s="6"/>
    </row>
    <row r="101" spans="2:11" x14ac:dyDescent="0.25">
      <c r="B101" s="1827"/>
      <c r="C101" s="94"/>
      <c r="D101" s="46" t="s">
        <v>234</v>
      </c>
      <c r="E101" s="6"/>
      <c r="F101" s="6"/>
      <c r="G101" s="6"/>
      <c r="H101" s="6"/>
      <c r="I101" s="6"/>
      <c r="J101" s="6"/>
      <c r="K101" s="6"/>
    </row>
    <row r="102" spans="2:11" x14ac:dyDescent="0.25">
      <c r="B102" s="1827"/>
      <c r="C102" s="94"/>
      <c r="D102" s="46" t="s">
        <v>99</v>
      </c>
      <c r="E102" s="6"/>
      <c r="F102" s="6"/>
      <c r="G102" s="6"/>
      <c r="H102" s="6"/>
      <c r="I102" s="6"/>
      <c r="J102" s="6"/>
      <c r="K102" s="6"/>
    </row>
    <row r="103" spans="2:11" ht="84" x14ac:dyDescent="0.25">
      <c r="B103" s="1827"/>
      <c r="C103" s="94"/>
      <c r="D103" s="54" t="s">
        <v>235</v>
      </c>
      <c r="E103" s="6"/>
      <c r="F103" s="6"/>
      <c r="G103" s="6"/>
      <c r="H103" s="6"/>
      <c r="I103" s="6"/>
      <c r="J103" s="6"/>
      <c r="K103" s="6"/>
    </row>
    <row r="104" spans="2:11" ht="24" x14ac:dyDescent="0.25">
      <c r="B104" s="1827"/>
      <c r="C104" s="94"/>
      <c r="D104" s="53" t="s">
        <v>236</v>
      </c>
      <c r="E104" s="6"/>
      <c r="F104" s="6"/>
      <c r="G104" s="6"/>
      <c r="H104" s="6"/>
      <c r="I104" s="6"/>
      <c r="J104" s="6"/>
      <c r="K104" s="6"/>
    </row>
    <row r="105" spans="2:11" x14ac:dyDescent="0.25">
      <c r="B105" s="1827"/>
      <c r="C105" s="94"/>
      <c r="D105" s="17"/>
      <c r="E105" s="6"/>
      <c r="F105" s="6"/>
      <c r="G105" s="6"/>
      <c r="H105" s="6"/>
      <c r="I105" s="6"/>
      <c r="J105" s="6"/>
      <c r="K105" s="6"/>
    </row>
    <row r="106" spans="2:11" x14ac:dyDescent="0.25">
      <c r="B106" s="1827"/>
      <c r="C106" s="94"/>
      <c r="D106" s="46" t="s">
        <v>91</v>
      </c>
      <c r="E106" s="6"/>
      <c r="F106" s="6"/>
      <c r="G106" s="6"/>
      <c r="H106" s="6"/>
      <c r="I106" s="6"/>
      <c r="J106" s="6"/>
      <c r="K106" s="6"/>
    </row>
    <row r="107" spans="2:11" ht="37.5" x14ac:dyDescent="0.25">
      <c r="B107" s="1827"/>
      <c r="C107" s="94"/>
      <c r="D107" s="46" t="s">
        <v>229</v>
      </c>
      <c r="E107" s="6"/>
      <c r="F107" s="6"/>
      <c r="G107" s="6"/>
      <c r="H107" s="6"/>
      <c r="I107" s="6"/>
      <c r="J107" s="6"/>
      <c r="K107" s="6"/>
    </row>
    <row r="108" spans="2:11" ht="25.5" x14ac:dyDescent="0.25">
      <c r="B108" s="1827"/>
      <c r="C108" s="94"/>
      <c r="D108" s="46" t="s">
        <v>237</v>
      </c>
      <c r="E108" s="6"/>
      <c r="F108" s="6"/>
      <c r="G108" s="6"/>
      <c r="H108" s="6"/>
      <c r="I108" s="6"/>
      <c r="J108" s="6"/>
      <c r="K108" s="6"/>
    </row>
    <row r="109" spans="2:11" x14ac:dyDescent="0.25">
      <c r="B109" s="1827"/>
      <c r="C109" s="94"/>
      <c r="D109" s="46" t="s">
        <v>238</v>
      </c>
      <c r="E109" s="6"/>
      <c r="F109" s="6"/>
      <c r="G109" s="6"/>
      <c r="H109" s="6"/>
      <c r="I109" s="6"/>
      <c r="J109" s="6"/>
      <c r="K109" s="6"/>
    </row>
    <row r="110" spans="2:11" x14ac:dyDescent="0.25">
      <c r="B110" s="1827"/>
      <c r="C110" s="94"/>
      <c r="D110" s="53" t="s">
        <v>239</v>
      </c>
      <c r="E110" s="6"/>
      <c r="F110" s="6"/>
      <c r="G110" s="6"/>
      <c r="H110" s="6"/>
      <c r="I110" s="6"/>
      <c r="J110" s="6"/>
      <c r="K110" s="6"/>
    </row>
    <row r="111" spans="2:11" x14ac:dyDescent="0.25">
      <c r="B111" s="1827"/>
      <c r="C111" s="94"/>
      <c r="D111" s="17"/>
      <c r="E111" s="6"/>
      <c r="F111" s="6"/>
      <c r="G111" s="6"/>
      <c r="H111" s="6"/>
      <c r="I111" s="6"/>
      <c r="J111" s="6"/>
      <c r="K111" s="6"/>
    </row>
    <row r="112" spans="2:11" x14ac:dyDescent="0.25">
      <c r="B112" s="1827"/>
      <c r="C112" s="94"/>
      <c r="D112" s="46" t="s">
        <v>91</v>
      </c>
      <c r="E112" s="6"/>
      <c r="F112" s="6"/>
      <c r="G112" s="6"/>
      <c r="H112" s="6"/>
      <c r="I112" s="6"/>
      <c r="J112" s="6"/>
      <c r="K112" s="6"/>
    </row>
    <row r="113" spans="2:11" ht="37.5" x14ac:dyDescent="0.25">
      <c r="B113" s="1827"/>
      <c r="C113" s="94"/>
      <c r="D113" s="46" t="s">
        <v>230</v>
      </c>
      <c r="E113" s="6"/>
      <c r="F113" s="6"/>
      <c r="G113" s="6"/>
      <c r="H113" s="6"/>
      <c r="I113" s="6"/>
      <c r="J113" s="6"/>
      <c r="K113" s="6"/>
    </row>
    <row r="114" spans="2:11" ht="25.5" x14ac:dyDescent="0.25">
      <c r="B114" s="1827"/>
      <c r="C114" s="94"/>
      <c r="D114" s="46" t="s">
        <v>240</v>
      </c>
      <c r="E114" s="6"/>
      <c r="F114" s="6"/>
      <c r="G114" s="6"/>
      <c r="H114" s="6"/>
      <c r="I114" s="6"/>
      <c r="J114" s="6"/>
      <c r="K114" s="6"/>
    </row>
    <row r="115" spans="2:11" x14ac:dyDescent="0.25">
      <c r="B115" s="1827"/>
      <c r="C115" s="94"/>
      <c r="D115" s="46" t="s">
        <v>241</v>
      </c>
      <c r="E115" s="6"/>
      <c r="F115" s="6"/>
      <c r="G115" s="6"/>
      <c r="H115" s="6"/>
      <c r="I115" s="6"/>
      <c r="J115" s="6"/>
      <c r="K115" s="6"/>
    </row>
    <row r="116" spans="2:11" x14ac:dyDescent="0.25">
      <c r="B116" s="1827"/>
      <c r="C116" s="94"/>
      <c r="D116" s="53" t="s">
        <v>242</v>
      </c>
      <c r="E116" s="6"/>
      <c r="F116" s="6"/>
      <c r="G116" s="6"/>
      <c r="H116" s="6"/>
      <c r="I116" s="6"/>
      <c r="J116" s="6"/>
      <c r="K116" s="6"/>
    </row>
    <row r="117" spans="2:11" x14ac:dyDescent="0.25">
      <c r="B117" s="1827"/>
      <c r="C117" s="94"/>
      <c r="D117" s="17"/>
      <c r="E117" s="6"/>
      <c r="F117" s="6"/>
      <c r="G117" s="6"/>
      <c r="H117" s="6"/>
      <c r="I117" s="6"/>
      <c r="J117" s="6"/>
      <c r="K117" s="6"/>
    </row>
    <row r="118" spans="2:11" x14ac:dyDescent="0.25">
      <c r="B118" s="1827"/>
      <c r="C118" s="94"/>
      <c r="D118" s="46" t="s">
        <v>91</v>
      </c>
      <c r="E118" s="6"/>
      <c r="F118" s="6"/>
      <c r="G118" s="6"/>
      <c r="H118" s="6"/>
      <c r="I118" s="6"/>
      <c r="J118" s="6"/>
      <c r="K118" s="6"/>
    </row>
    <row r="119" spans="2:11" ht="37.5" x14ac:dyDescent="0.25">
      <c r="B119" s="1827"/>
      <c r="C119" s="94"/>
      <c r="D119" s="46" t="s">
        <v>243</v>
      </c>
      <c r="E119" s="6"/>
      <c r="F119" s="6"/>
      <c r="G119" s="6"/>
      <c r="H119" s="6"/>
      <c r="I119" s="6"/>
      <c r="J119" s="6"/>
      <c r="K119" s="6"/>
    </row>
    <row r="120" spans="2:11" ht="25.5" x14ac:dyDescent="0.25">
      <c r="B120" s="1827"/>
      <c r="C120" s="94"/>
      <c r="D120" s="46" t="s">
        <v>244</v>
      </c>
      <c r="E120" s="6"/>
      <c r="F120" s="6"/>
      <c r="G120" s="6"/>
      <c r="H120" s="6"/>
      <c r="I120" s="6"/>
      <c r="J120" s="6"/>
      <c r="K120" s="6"/>
    </row>
    <row r="121" spans="2:11" x14ac:dyDescent="0.25">
      <c r="B121" s="1827"/>
      <c r="C121" s="94"/>
      <c r="D121" s="46" t="s">
        <v>245</v>
      </c>
      <c r="E121" s="6"/>
      <c r="F121" s="6"/>
      <c r="G121" s="6"/>
      <c r="H121" s="6"/>
      <c r="I121" s="6"/>
      <c r="J121" s="6"/>
      <c r="K121" s="6"/>
    </row>
    <row r="122" spans="2:11" x14ac:dyDescent="0.25">
      <c r="B122" s="1827"/>
      <c r="C122" s="94"/>
      <c r="D122" s="53" t="s">
        <v>246</v>
      </c>
      <c r="E122" s="6"/>
      <c r="F122" s="6"/>
      <c r="G122" s="6"/>
      <c r="H122" s="6"/>
      <c r="I122" s="6"/>
      <c r="J122" s="6"/>
      <c r="K122" s="6"/>
    </row>
    <row r="123" spans="2:11" ht="36" x14ac:dyDescent="0.25">
      <c r="B123" s="1827"/>
      <c r="C123" s="94"/>
      <c r="D123" s="53" t="s">
        <v>247</v>
      </c>
      <c r="E123" s="6"/>
      <c r="F123" s="6"/>
      <c r="G123" s="6"/>
      <c r="H123" s="6"/>
      <c r="I123" s="6"/>
      <c r="J123" s="6"/>
      <c r="K123" s="6"/>
    </row>
    <row r="124" spans="2:11" x14ac:dyDescent="0.25">
      <c r="B124" s="1827"/>
      <c r="C124" s="94"/>
      <c r="D124" s="46" t="s">
        <v>248</v>
      </c>
      <c r="E124" s="6"/>
      <c r="F124" s="6"/>
      <c r="G124" s="6"/>
      <c r="H124" s="6"/>
      <c r="I124" s="6"/>
      <c r="J124" s="6"/>
      <c r="K124" s="6"/>
    </row>
    <row r="125" spans="2:11" x14ac:dyDescent="0.25">
      <c r="B125" s="1827"/>
      <c r="C125" s="94"/>
      <c r="D125" s="46" t="s">
        <v>91</v>
      </c>
      <c r="E125" s="6"/>
      <c r="F125" s="6"/>
      <c r="G125" s="6"/>
      <c r="H125" s="6"/>
      <c r="I125" s="6"/>
      <c r="J125" s="6"/>
      <c r="K125" s="6"/>
    </row>
    <row r="126" spans="2:11" ht="49.5" x14ac:dyDescent="0.25">
      <c r="B126" s="1827"/>
      <c r="C126" s="94"/>
      <c r="D126" s="46" t="s">
        <v>249</v>
      </c>
      <c r="E126" s="6"/>
      <c r="F126" s="6"/>
      <c r="G126" s="6"/>
      <c r="H126" s="6"/>
      <c r="I126" s="6"/>
      <c r="J126" s="6"/>
      <c r="K126" s="6"/>
    </row>
    <row r="127" spans="2:11" ht="49.5" x14ac:dyDescent="0.25">
      <c r="B127" s="1827"/>
      <c r="C127" s="94"/>
      <c r="D127" s="46" t="s">
        <v>250</v>
      </c>
      <c r="E127" s="6"/>
      <c r="F127" s="6"/>
      <c r="G127" s="6"/>
      <c r="H127" s="6"/>
      <c r="I127" s="6"/>
      <c r="J127" s="6"/>
      <c r="K127" s="6"/>
    </row>
    <row r="128" spans="2:11" ht="50.25" thickBot="1" x14ac:dyDescent="0.3">
      <c r="B128" s="1828"/>
      <c r="C128" s="3"/>
      <c r="D128" s="41" t="s">
        <v>251</v>
      </c>
      <c r="E128" s="6"/>
      <c r="F128" s="6"/>
      <c r="G128" s="6"/>
      <c r="H128" s="6"/>
      <c r="I128" s="6"/>
      <c r="J128" s="6"/>
      <c r="K128" s="6"/>
    </row>
  </sheetData>
  <sheetProtection insertRows="0"/>
  <mergeCells count="32">
    <mergeCell ref="E12:H12"/>
    <mergeCell ref="I12:M12"/>
    <mergeCell ref="A1:P1"/>
    <mergeCell ref="A2:P2"/>
    <mergeCell ref="A3:P3"/>
    <mergeCell ref="A4:D4"/>
    <mergeCell ref="A5:P5"/>
    <mergeCell ref="B58:B64"/>
    <mergeCell ref="B66:E66"/>
    <mergeCell ref="D29:K29"/>
    <mergeCell ref="D30:K30"/>
    <mergeCell ref="D54:K54"/>
    <mergeCell ref="D55:K55"/>
    <mergeCell ref="B57:E57"/>
    <mergeCell ref="D33:D34"/>
    <mergeCell ref="E33:E34"/>
    <mergeCell ref="B94:B128"/>
    <mergeCell ref="B67:B73"/>
    <mergeCell ref="B75:F75"/>
    <mergeCell ref="B10:D10"/>
    <mergeCell ref="F10:S10"/>
    <mergeCell ref="F11:S11"/>
    <mergeCell ref="E13:R13"/>
    <mergeCell ref="D53:K53"/>
    <mergeCell ref="B15:B26"/>
    <mergeCell ref="B82:D82"/>
    <mergeCell ref="B84:B90"/>
    <mergeCell ref="B92:B93"/>
    <mergeCell ref="D15:K15"/>
    <mergeCell ref="D16:K16"/>
    <mergeCell ref="D28:K28"/>
    <mergeCell ref="B80:J81"/>
  </mergeCells>
  <conditionalFormatting sqref="F10">
    <cfRule type="notContainsBlanks" dxfId="109" priority="4">
      <formula>LEN(TRIM(F10))&gt;0</formula>
    </cfRule>
  </conditionalFormatting>
  <conditionalFormatting sqref="F11:S11">
    <cfRule type="expression" dxfId="108" priority="2">
      <formula>E11="NO SE REPORTA"</formula>
    </cfRule>
    <cfRule type="expression" dxfId="107" priority="3">
      <formula>E10="NO APLICA"</formula>
    </cfRule>
  </conditionalFormatting>
  <conditionalFormatting sqref="E12 N12:R12">
    <cfRule type="expression" dxfId="106" priority="1">
      <formula>E11="SI SE REPORTA"</formula>
    </cfRule>
  </conditionalFormatting>
  <dataValidations count="5">
    <dataValidation type="whole" operator="greaterThanOrEqual" allowBlank="1" showErrorMessage="1" errorTitle="ERROR" error="Escriba un número igual o mayor que 0" promptTitle="ERROR" prompt="Escriba un número igual o mayor que 0" sqref="E18:H23" xr:uid="{A6DC827C-1D14-484F-96B8-5CAC728B4B17}">
      <formula1>0</formula1>
    </dataValidation>
    <dataValidation type="whole" operator="greaterThanOrEqual" allowBlank="1" showInputMessage="1" showErrorMessage="1" errorTitle="ERROR" error="Valor en PESOS (sin centavos)" sqref="F32:I51" xr:uid="{00000000-0002-0000-1000-000001000000}">
      <formula1>0</formula1>
    </dataValidation>
    <dataValidation type="textLength" allowBlank="1" showInputMessage="1" showErrorMessage="1" errorTitle="ERROR" error="Escriba POMCA, PMM o PMA" promptTitle="ESCRIBA" prompt="POMCA, PMA o PMM" sqref="E32:E33 E35:E51" xr:uid="{00000000-0002-0000-1000-000002000000}">
      <formula1>1</formula1>
      <formula2>5</formula2>
    </dataValidation>
    <dataValidation type="list" allowBlank="1" showInputMessage="1" showErrorMessage="1" sqref="E11" xr:uid="{00000000-0002-0000-1000-000003000000}">
      <formula1>REPORTE</formula1>
    </dataValidation>
    <dataValidation type="list" allowBlank="1" showInputMessage="1" showErrorMessage="1" sqref="E10" xr:uid="{00000000-0002-0000-1000-000004000000}">
      <formula1>SI</formula1>
    </dataValidation>
  </dataValidations>
  <hyperlinks>
    <hyperlink ref="B9" location="'ANEXO 3'!A1" display="VOLVER AL INDICE" xr:uid="{00000000-0004-0000-1000-000000000000}"/>
    <hyperlink ref="E62" r:id="rId1" xr:uid="{6A921691-D2C8-4BC4-9C8C-50D3F5B2E049}"/>
  </hyperlinks>
  <pageMargins left="0.25" right="0.25" top="0.75" bottom="0.75" header="0.3" footer="0.3"/>
  <pageSetup paperSize="178" orientation="landscape" horizontalDpi="1200" verticalDpi="1200"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7"/>
  <dimension ref="A1:U101"/>
  <sheetViews>
    <sheetView showGridLines="0" zoomScale="80" zoomScaleNormal="80" workbookViewId="0">
      <selection activeCell="D27" sqref="D27"/>
    </sheetView>
  </sheetViews>
  <sheetFormatPr baseColWidth="10" defaultRowHeight="15" x14ac:dyDescent="0.25"/>
  <cols>
    <col min="1" max="1" width="1.85546875" customWidth="1"/>
    <col min="2" max="2" width="12.85546875" customWidth="1"/>
    <col min="3" max="3" width="6.42578125" style="87" customWidth="1"/>
    <col min="4" max="4" width="34.85546875" customWidth="1"/>
    <col min="5" max="5" width="12.140625" customWidth="1"/>
    <col min="6" max="6" width="18.7109375" customWidth="1"/>
  </cols>
  <sheetData>
    <row r="1" spans="1:21" s="538" customFormat="1" ht="100.5" customHeight="1" thickBot="1" x14ac:dyDescent="0.3">
      <c r="A1" s="1733"/>
      <c r="B1" s="1734"/>
      <c r="C1" s="1734"/>
      <c r="D1" s="1734"/>
      <c r="E1" s="1734"/>
      <c r="F1" s="1734"/>
      <c r="G1" s="1734"/>
      <c r="H1" s="1734"/>
      <c r="I1" s="1734"/>
      <c r="J1" s="1734"/>
      <c r="K1" s="1734"/>
      <c r="L1" s="1734"/>
      <c r="M1" s="1734"/>
      <c r="N1" s="1734"/>
      <c r="O1" s="1734"/>
      <c r="P1" s="1735"/>
      <c r="Q1" s="412"/>
      <c r="R1" s="412"/>
    </row>
    <row r="2" spans="1:21" s="539" customFormat="1" ht="16.5" thickBot="1" x14ac:dyDescent="0.3">
      <c r="A2" s="1741" t="str">
        <f>'Datos Generales'!C5</f>
        <v>Corporación Autónoma Regional de La Guajira – CORPOGUAJIRA</v>
      </c>
      <c r="B2" s="1742"/>
      <c r="C2" s="1742"/>
      <c r="D2" s="1742"/>
      <c r="E2" s="1742"/>
      <c r="F2" s="1742"/>
      <c r="G2" s="1742"/>
      <c r="H2" s="1742"/>
      <c r="I2" s="1742"/>
      <c r="J2" s="1742"/>
      <c r="K2" s="1742"/>
      <c r="L2" s="1742"/>
      <c r="M2" s="1742"/>
      <c r="N2" s="1742"/>
      <c r="O2" s="1742"/>
      <c r="P2" s="1743"/>
      <c r="Q2" s="412"/>
      <c r="R2" s="412"/>
    </row>
    <row r="3" spans="1:21" s="539" customFormat="1" ht="16.5" thickBot="1" x14ac:dyDescent="0.3">
      <c r="A3" s="1736" t="s">
        <v>1347</v>
      </c>
      <c r="B3" s="1737"/>
      <c r="C3" s="1737"/>
      <c r="D3" s="1737"/>
      <c r="E3" s="1737"/>
      <c r="F3" s="1737"/>
      <c r="G3" s="1737"/>
      <c r="H3" s="1737"/>
      <c r="I3" s="1737"/>
      <c r="J3" s="1737"/>
      <c r="K3" s="1737"/>
      <c r="L3" s="1737"/>
      <c r="M3" s="1737"/>
      <c r="N3" s="1737"/>
      <c r="O3" s="1737"/>
      <c r="P3" s="1738"/>
      <c r="Q3" s="412"/>
      <c r="R3" s="412"/>
    </row>
    <row r="4" spans="1:21" s="539" customFormat="1" ht="16.5" thickBot="1" x14ac:dyDescent="0.3">
      <c r="A4" s="1739" t="s">
        <v>1346</v>
      </c>
      <c r="B4" s="1740"/>
      <c r="C4" s="1740"/>
      <c r="D4" s="1740"/>
      <c r="E4" s="579" t="str">
        <f>'Datos Generales'!C6</f>
        <v>2021-I</v>
      </c>
      <c r="F4" s="579"/>
      <c r="G4" s="579"/>
      <c r="H4" s="579"/>
      <c r="I4" s="579"/>
      <c r="J4" s="579"/>
      <c r="K4" s="579"/>
      <c r="L4" s="581"/>
      <c r="M4" s="581"/>
      <c r="N4" s="581"/>
      <c r="O4" s="581"/>
      <c r="P4" s="582"/>
      <c r="Q4" s="412"/>
      <c r="R4" s="412"/>
    </row>
    <row r="5" spans="1:21" s="245" customFormat="1" ht="16.5" customHeight="1" thickBot="1" x14ac:dyDescent="0.3">
      <c r="A5" s="1736" t="s">
        <v>280</v>
      </c>
      <c r="B5" s="1737"/>
      <c r="C5" s="1737"/>
      <c r="D5" s="1737"/>
      <c r="E5" s="1737"/>
      <c r="F5" s="1737"/>
      <c r="G5" s="1737"/>
      <c r="H5" s="1737"/>
      <c r="I5" s="1737"/>
      <c r="J5" s="1737"/>
      <c r="K5" s="1737"/>
      <c r="L5" s="1737"/>
      <c r="M5" s="1737"/>
      <c r="N5" s="1737"/>
      <c r="O5" s="1737"/>
      <c r="P5" s="1738"/>
    </row>
    <row r="6" spans="1:21" x14ac:dyDescent="0.25">
      <c r="A6" s="245"/>
      <c r="B6" s="249" t="s">
        <v>1</v>
      </c>
      <c r="C6" s="250"/>
      <c r="D6" s="248"/>
      <c r="E6" s="259"/>
      <c r="F6" s="248" t="s">
        <v>128</v>
      </c>
      <c r="G6" s="248"/>
      <c r="H6" s="248"/>
      <c r="I6" s="248"/>
      <c r="J6" s="248"/>
      <c r="K6" s="248"/>
    </row>
    <row r="7" spans="1:21" ht="15.75" thickBot="1" x14ac:dyDescent="0.3">
      <c r="A7" s="245"/>
      <c r="B7" s="251"/>
      <c r="C7" s="252"/>
      <c r="D7" s="248"/>
      <c r="E7" s="253"/>
      <c r="F7" s="248" t="s">
        <v>129</v>
      </c>
      <c r="G7" s="248"/>
      <c r="H7" s="248"/>
      <c r="I7" s="248"/>
      <c r="J7" s="248"/>
      <c r="K7" s="248"/>
    </row>
    <row r="8" spans="1:21" ht="15.75" thickBot="1" x14ac:dyDescent="0.3">
      <c r="A8" s="245"/>
      <c r="B8" s="261" t="s">
        <v>1185</v>
      </c>
      <c r="C8" s="262">
        <v>2021</v>
      </c>
      <c r="D8" s="257">
        <f>IF(E10="NO APLICA","NO APLICA",IF(E11="NO SE REPORTA","SIN INFORMACION",+F19))</f>
        <v>1</v>
      </c>
      <c r="E8" s="264"/>
      <c r="F8" s="248" t="s">
        <v>130</v>
      </c>
      <c r="G8" s="248"/>
      <c r="H8" s="248"/>
      <c r="I8" s="248"/>
      <c r="J8" s="248"/>
      <c r="K8" s="248"/>
    </row>
    <row r="9" spans="1:21" x14ac:dyDescent="0.25">
      <c r="A9" s="245"/>
      <c r="B9" s="493" t="s">
        <v>1186</v>
      </c>
      <c r="C9" s="265"/>
      <c r="D9" s="248"/>
      <c r="E9" s="248"/>
      <c r="F9" s="248"/>
      <c r="G9" s="248"/>
      <c r="H9" s="248"/>
      <c r="I9" s="248"/>
      <c r="J9" s="248"/>
      <c r="K9" s="248"/>
    </row>
    <row r="10" spans="1:21" s="412" customFormat="1" x14ac:dyDescent="0.25">
      <c r="A10" s="245"/>
      <c r="B10" s="1789" t="s">
        <v>1241</v>
      </c>
      <c r="C10" s="1789"/>
      <c r="D10" s="1789"/>
      <c r="E10" s="499" t="s">
        <v>1238</v>
      </c>
      <c r="F10" s="17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96"/>
      <c r="H10" s="1796"/>
      <c r="I10" s="1796"/>
      <c r="J10" s="1796"/>
      <c r="K10" s="1796"/>
      <c r="L10" s="1796"/>
      <c r="M10" s="1796"/>
      <c r="N10" s="1796"/>
      <c r="O10" s="1796"/>
      <c r="P10" s="1796"/>
      <c r="Q10" s="1796"/>
      <c r="R10" s="1796"/>
      <c r="S10" s="1796"/>
      <c r="T10" s="495"/>
      <c r="U10" s="495"/>
    </row>
    <row r="11" spans="1:21" s="412" customFormat="1" ht="14.45" customHeight="1" x14ac:dyDescent="0.25">
      <c r="A11" s="245"/>
      <c r="B11" s="496"/>
      <c r="C11" s="497"/>
      <c r="D11" s="498" t="str">
        <f>IF(E10="SI APLICA","¿El indicador no se reporta por limitaciones de información disponible? ","")</f>
        <v xml:space="preserve">¿El indicador no se reporta por limitaciones de información disponible? </v>
      </c>
      <c r="E11" s="500" t="s">
        <v>1240</v>
      </c>
      <c r="F11" s="1790"/>
      <c r="G11" s="1791"/>
      <c r="H11" s="1791"/>
      <c r="I11" s="1791"/>
      <c r="J11" s="1791"/>
      <c r="K11" s="1791"/>
      <c r="L11" s="1791"/>
      <c r="M11" s="1791"/>
      <c r="N11" s="1791"/>
      <c r="O11" s="1791"/>
      <c r="P11" s="1791"/>
      <c r="Q11" s="1791"/>
      <c r="R11" s="1791"/>
      <c r="S11" s="1791"/>
    </row>
    <row r="12" spans="1:21" s="412" customFormat="1" ht="23.45" customHeight="1" x14ac:dyDescent="0.25">
      <c r="A12" s="245"/>
      <c r="B12" s="493"/>
      <c r="C12" s="304"/>
      <c r="D12" s="498" t="str">
        <f>IF(E11="SI SE REPORTA","¿Qué programas o proyectos del Plan de Acción están asociados al indicador? ","")</f>
        <v xml:space="preserve">¿Qué programas o proyectos del Plan de Acción están asociados al indicador? </v>
      </c>
      <c r="E12" s="1799" t="str">
        <f>'Anexo 1 Matriz Inf Gestión'!A19</f>
        <v>Proyecto No 1.2. Gestión del Riesgo y adaptación al Cambio Climático (2)</v>
      </c>
      <c r="F12" s="1799"/>
      <c r="G12" s="1799"/>
      <c r="H12" s="1799"/>
      <c r="I12" s="1799"/>
      <c r="J12" s="1799"/>
      <c r="K12" s="1799"/>
      <c r="L12" s="1799"/>
      <c r="M12" s="1799"/>
      <c r="N12" s="1799"/>
      <c r="O12" s="1799"/>
      <c r="P12" s="1799"/>
      <c r="Q12" s="1799"/>
      <c r="R12" s="1799"/>
    </row>
    <row r="13" spans="1:21" s="412" customFormat="1" ht="21.95" customHeight="1" x14ac:dyDescent="0.25">
      <c r="A13" s="245"/>
      <c r="B13" s="493"/>
      <c r="C13" s="304"/>
      <c r="D13" s="498" t="s">
        <v>1243</v>
      </c>
      <c r="E13" s="1792" t="s">
        <v>2830</v>
      </c>
      <c r="F13" s="1793"/>
      <c r="G13" s="1793"/>
      <c r="H13" s="1793"/>
      <c r="I13" s="1793"/>
      <c r="J13" s="1793"/>
      <c r="K13" s="1793"/>
      <c r="L13" s="1793"/>
      <c r="M13" s="1793"/>
      <c r="N13" s="1793"/>
      <c r="O13" s="1793"/>
      <c r="P13" s="1793"/>
      <c r="Q13" s="1793"/>
      <c r="R13" s="1794"/>
    </row>
    <row r="14" spans="1:21" s="412" customFormat="1" ht="6.95" customHeight="1" thickBot="1" x14ac:dyDescent="0.3">
      <c r="A14" s="245"/>
      <c r="B14" s="493"/>
      <c r="C14" s="265"/>
      <c r="D14" s="248"/>
      <c r="E14" s="248"/>
      <c r="F14" s="248"/>
      <c r="G14" s="248"/>
      <c r="H14" s="248"/>
      <c r="I14" s="248"/>
      <c r="J14" s="248"/>
      <c r="K14" s="248"/>
    </row>
    <row r="15" spans="1:21" ht="15.6" customHeight="1" thickTop="1" thickBot="1" x14ac:dyDescent="0.3">
      <c r="A15" s="245"/>
      <c r="B15" s="1861" t="s">
        <v>2</v>
      </c>
      <c r="C15" s="268"/>
      <c r="D15" s="1777" t="s">
        <v>3</v>
      </c>
      <c r="E15" s="1778"/>
      <c r="F15" s="1778"/>
      <c r="G15" s="1778"/>
      <c r="H15" s="1778"/>
      <c r="I15" s="1779"/>
      <c r="J15" s="248"/>
      <c r="K15" s="248"/>
    </row>
    <row r="16" spans="1:21" ht="15.75" thickBot="1" x14ac:dyDescent="0.3">
      <c r="A16" s="245"/>
      <c r="B16" s="1745"/>
      <c r="C16" s="272"/>
      <c r="D16" s="273" t="s">
        <v>150</v>
      </c>
      <c r="E16" s="280" t="s">
        <v>20</v>
      </c>
      <c r="F16" s="280" t="s">
        <v>21</v>
      </c>
      <c r="G16" s="280" t="s">
        <v>22</v>
      </c>
      <c r="H16" s="280" t="s">
        <v>23</v>
      </c>
      <c r="I16" s="342"/>
      <c r="J16" s="248"/>
      <c r="K16" s="248"/>
    </row>
    <row r="17" spans="1:11" ht="60.75" thickBot="1" x14ac:dyDescent="0.3">
      <c r="A17" s="245"/>
      <c r="B17" s="1745"/>
      <c r="C17" s="272"/>
      <c r="D17" s="343" t="s">
        <v>305</v>
      </c>
      <c r="E17" s="976">
        <v>25</v>
      </c>
      <c r="F17" s="976">
        <v>50</v>
      </c>
      <c r="G17" s="976">
        <v>75</v>
      </c>
      <c r="H17" s="976">
        <v>100</v>
      </c>
      <c r="I17" s="340"/>
      <c r="J17" s="248"/>
      <c r="K17" s="248"/>
    </row>
    <row r="18" spans="1:11" ht="60.75" thickBot="1" x14ac:dyDescent="0.3">
      <c r="A18" s="245"/>
      <c r="B18" s="1745"/>
      <c r="C18" s="272"/>
      <c r="D18" s="343" t="s">
        <v>306</v>
      </c>
      <c r="E18" s="976">
        <v>25</v>
      </c>
      <c r="F18" s="976">
        <v>50</v>
      </c>
      <c r="G18" s="976"/>
      <c r="H18" s="976"/>
      <c r="I18" s="340"/>
      <c r="J18" s="248"/>
      <c r="K18" s="248"/>
    </row>
    <row r="19" spans="1:11" ht="60.75" thickBot="1" x14ac:dyDescent="0.3">
      <c r="A19" s="245"/>
      <c r="B19" s="1745"/>
      <c r="C19" s="272"/>
      <c r="D19" s="343" t="s">
        <v>307</v>
      </c>
      <c r="E19" s="196">
        <f>IFERROR(E18/E17,"N.A.")</f>
        <v>1</v>
      </c>
      <c r="F19" s="196">
        <f>IFERROR(F18/F17,"N.A.")</f>
        <v>1</v>
      </c>
      <c r="G19" s="196">
        <f>IFERROR(G18/G17,"N.A.")</f>
        <v>0</v>
      </c>
      <c r="H19" s="196">
        <f>IFERROR(H18/H17,"N.A.")</f>
        <v>0</v>
      </c>
      <c r="I19" s="305"/>
      <c r="J19" s="248"/>
      <c r="K19" s="248"/>
    </row>
    <row r="20" spans="1:11" ht="15.75" thickBot="1" x14ac:dyDescent="0.3">
      <c r="A20" s="245"/>
      <c r="B20" s="1745"/>
      <c r="C20" s="276"/>
      <c r="D20" s="1750" t="s">
        <v>308</v>
      </c>
      <c r="E20" s="1751"/>
      <c r="F20" s="1751"/>
      <c r="G20" s="1751"/>
      <c r="H20" s="1751"/>
      <c r="I20" s="1752"/>
      <c r="J20" s="248"/>
      <c r="K20" s="248"/>
    </row>
    <row r="21" spans="1:11" ht="21" customHeight="1" x14ac:dyDescent="0.25">
      <c r="A21" s="245"/>
      <c r="B21" s="337"/>
      <c r="C21" s="1855" t="s">
        <v>19</v>
      </c>
      <c r="D21" s="1857" t="s">
        <v>309</v>
      </c>
      <c r="E21" s="1859" t="s">
        <v>313</v>
      </c>
      <c r="F21" s="1859" t="s">
        <v>310</v>
      </c>
      <c r="G21" s="1859" t="s">
        <v>55</v>
      </c>
      <c r="H21" s="245"/>
      <c r="I21" s="274"/>
      <c r="J21" s="248"/>
      <c r="K21" s="248"/>
    </row>
    <row r="22" spans="1:11" ht="15.75" thickBot="1" x14ac:dyDescent="0.3">
      <c r="A22" s="245"/>
      <c r="B22" s="337"/>
      <c r="C22" s="1856"/>
      <c r="D22" s="1858"/>
      <c r="E22" s="1860"/>
      <c r="F22" s="1860"/>
      <c r="G22" s="1860"/>
      <c r="H22" s="245"/>
      <c r="I22" s="274"/>
      <c r="J22" s="248"/>
      <c r="K22" s="248"/>
    </row>
    <row r="23" spans="1:11" s="199" customFormat="1" ht="132.75" thickBot="1" x14ac:dyDescent="0.3">
      <c r="B23" s="227"/>
      <c r="C23" s="232">
        <v>1</v>
      </c>
      <c r="D23" s="44" t="s">
        <v>3082</v>
      </c>
      <c r="E23" s="993">
        <v>15</v>
      </c>
      <c r="F23" s="1123" t="s">
        <v>3083</v>
      </c>
      <c r="G23" s="1124"/>
      <c r="I23" s="20"/>
      <c r="J23" s="19"/>
      <c r="K23" s="19"/>
    </row>
    <row r="24" spans="1:11" s="199" customFormat="1" ht="132.75" thickBot="1" x14ac:dyDescent="0.3">
      <c r="B24" s="227"/>
      <c r="C24" s="232">
        <v>2</v>
      </c>
      <c r="D24" s="1125" t="s">
        <v>3172</v>
      </c>
      <c r="E24" s="993">
        <v>16</v>
      </c>
      <c r="F24" s="1123" t="s">
        <v>3083</v>
      </c>
      <c r="G24" s="1126" t="s">
        <v>3084</v>
      </c>
      <c r="I24" s="20"/>
      <c r="J24" s="19"/>
      <c r="K24" s="19"/>
    </row>
    <row r="25" spans="1:11" s="199" customFormat="1" ht="132.75" thickBot="1" x14ac:dyDescent="0.3">
      <c r="B25" s="227"/>
      <c r="C25" s="232">
        <v>3</v>
      </c>
      <c r="D25" s="44" t="s">
        <v>3335</v>
      </c>
      <c r="E25" s="7">
        <v>15</v>
      </c>
      <c r="F25" s="1123" t="s">
        <v>3083</v>
      </c>
      <c r="G25" s="1397"/>
      <c r="H25" s="350"/>
      <c r="I25" s="20"/>
      <c r="J25" s="19"/>
      <c r="K25" s="19"/>
    </row>
    <row r="26" spans="1:11" s="199" customFormat="1" ht="15.75" thickBot="1" x14ac:dyDescent="0.3">
      <c r="B26" s="227"/>
      <c r="C26" s="232">
        <v>4</v>
      </c>
      <c r="D26" s="31"/>
      <c r="E26" s="7"/>
      <c r="F26" s="30"/>
      <c r="G26" s="30"/>
      <c r="H26" s="350"/>
      <c r="I26" s="20"/>
      <c r="J26" s="19"/>
      <c r="K26" s="19"/>
    </row>
    <row r="27" spans="1:11" s="199" customFormat="1" ht="15.75" thickBot="1" x14ac:dyDescent="0.3">
      <c r="B27" s="227"/>
      <c r="C27" s="232">
        <v>5</v>
      </c>
      <c r="D27" s="31"/>
      <c r="E27" s="7"/>
      <c r="F27" s="30"/>
      <c r="G27" s="30"/>
      <c r="H27" s="350"/>
      <c r="I27" s="20"/>
      <c r="J27" s="19"/>
      <c r="K27" s="19"/>
    </row>
    <row r="28" spans="1:11" s="199" customFormat="1" ht="15.75" thickBot="1" x14ac:dyDescent="0.3">
      <c r="B28" s="227"/>
      <c r="C28" s="232">
        <v>6</v>
      </c>
      <c r="D28" s="31"/>
      <c r="E28" s="7"/>
      <c r="F28" s="30"/>
      <c r="G28" s="30"/>
      <c r="H28" s="350"/>
      <c r="I28" s="20"/>
      <c r="J28" s="19"/>
      <c r="K28" s="19"/>
    </row>
    <row r="29" spans="1:11" s="199" customFormat="1" ht="15.75" thickBot="1" x14ac:dyDescent="0.3">
      <c r="B29" s="227"/>
      <c r="C29" s="232">
        <v>7</v>
      </c>
      <c r="D29" s="31"/>
      <c r="E29" s="7"/>
      <c r="F29" s="30"/>
      <c r="G29" s="30"/>
      <c r="H29" s="350"/>
      <c r="I29" s="20"/>
      <c r="J29" s="19"/>
      <c r="K29" s="19"/>
    </row>
    <row r="30" spans="1:11" s="199" customFormat="1" ht="15.75" thickBot="1" x14ac:dyDescent="0.3">
      <c r="B30" s="227"/>
      <c r="C30" s="232">
        <v>8</v>
      </c>
      <c r="D30" s="31"/>
      <c r="E30" s="7"/>
      <c r="F30" s="30"/>
      <c r="G30" s="30"/>
      <c r="H30" s="350"/>
      <c r="I30" s="20"/>
      <c r="J30" s="19"/>
      <c r="K30" s="19"/>
    </row>
    <row r="31" spans="1:11" s="199" customFormat="1" ht="15.75" thickBot="1" x14ac:dyDescent="0.3">
      <c r="B31" s="227"/>
      <c r="C31" s="232">
        <v>9</v>
      </c>
      <c r="D31" s="31"/>
      <c r="E31" s="7"/>
      <c r="F31" s="30"/>
      <c r="G31" s="30"/>
      <c r="H31" s="350"/>
      <c r="I31" s="20"/>
      <c r="J31" s="19"/>
      <c r="K31" s="19"/>
    </row>
    <row r="32" spans="1:11" s="199" customFormat="1" ht="15.75" thickBot="1" x14ac:dyDescent="0.3">
      <c r="B32" s="227"/>
      <c r="C32" s="232">
        <v>10</v>
      </c>
      <c r="D32" s="31"/>
      <c r="E32" s="7"/>
      <c r="F32" s="30"/>
      <c r="G32" s="30"/>
      <c r="H32" s="350"/>
      <c r="I32" s="20"/>
      <c r="J32" s="19"/>
      <c r="K32" s="19"/>
    </row>
    <row r="33" spans="1:11" s="199" customFormat="1" ht="15.75" thickBot="1" x14ac:dyDescent="0.3">
      <c r="B33" s="227"/>
      <c r="C33" s="232">
        <v>11</v>
      </c>
      <c r="D33" s="31"/>
      <c r="E33" s="7"/>
      <c r="F33" s="30"/>
      <c r="G33" s="30"/>
      <c r="H33" s="350"/>
      <c r="I33" s="20"/>
      <c r="J33" s="19"/>
      <c r="K33" s="19"/>
    </row>
    <row r="34" spans="1:11" s="199" customFormat="1" ht="15.75" thickBot="1" x14ac:dyDescent="0.3">
      <c r="B34" s="227"/>
      <c r="C34" s="232">
        <v>12</v>
      </c>
      <c r="D34" s="31"/>
      <c r="E34" s="7"/>
      <c r="F34" s="30"/>
      <c r="G34" s="30"/>
      <c r="H34" s="350"/>
      <c r="I34" s="20"/>
      <c r="J34" s="19"/>
      <c r="K34" s="19"/>
    </row>
    <row r="35" spans="1:11" s="199" customFormat="1" ht="15.75" thickBot="1" x14ac:dyDescent="0.3">
      <c r="B35" s="227"/>
      <c r="C35" s="232">
        <v>13</v>
      </c>
      <c r="D35" s="31"/>
      <c r="E35" s="7"/>
      <c r="F35" s="30"/>
      <c r="G35" s="30"/>
      <c r="H35" s="350"/>
      <c r="I35" s="20"/>
      <c r="J35" s="19"/>
      <c r="K35" s="19"/>
    </row>
    <row r="36" spans="1:11" s="199" customFormat="1" ht="15.75" thickBot="1" x14ac:dyDescent="0.3">
      <c r="B36" s="227"/>
      <c r="C36" s="232">
        <v>14</v>
      </c>
      <c r="D36" s="31"/>
      <c r="E36" s="7"/>
      <c r="F36" s="30"/>
      <c r="G36" s="30"/>
      <c r="H36" s="350"/>
      <c r="I36" s="20"/>
      <c r="J36" s="19"/>
      <c r="K36" s="19"/>
    </row>
    <row r="37" spans="1:11" s="199" customFormat="1" ht="15.75" thickBot="1" x14ac:dyDescent="0.3">
      <c r="B37" s="227"/>
      <c r="C37" s="232">
        <v>15</v>
      </c>
      <c r="D37" s="31"/>
      <c r="E37" s="7"/>
      <c r="F37" s="30"/>
      <c r="G37" s="30"/>
      <c r="H37" s="350"/>
      <c r="I37" s="20"/>
      <c r="J37" s="19"/>
      <c r="K37" s="19"/>
    </row>
    <row r="38" spans="1:11" s="199" customFormat="1" ht="15.75" thickBot="1" x14ac:dyDescent="0.3">
      <c r="B38" s="227"/>
      <c r="C38" s="232">
        <v>16</v>
      </c>
      <c r="D38" s="31"/>
      <c r="E38" s="7"/>
      <c r="F38" s="30"/>
      <c r="G38" s="30"/>
      <c r="H38" s="350"/>
      <c r="I38" s="20"/>
      <c r="J38" s="19"/>
      <c r="K38" s="19"/>
    </row>
    <row r="39" spans="1:11" s="199" customFormat="1" ht="15.75" thickBot="1" x14ac:dyDescent="0.3">
      <c r="B39" s="227"/>
      <c r="C39" s="232">
        <v>17</v>
      </c>
      <c r="D39" s="31"/>
      <c r="E39" s="7"/>
      <c r="F39" s="30"/>
      <c r="G39" s="30"/>
      <c r="H39" s="350"/>
      <c r="I39" s="20"/>
      <c r="J39" s="19"/>
      <c r="K39" s="19"/>
    </row>
    <row r="40" spans="1:11" s="199" customFormat="1" ht="15.75" thickBot="1" x14ac:dyDescent="0.3">
      <c r="B40" s="227"/>
      <c r="C40" s="232">
        <v>18</v>
      </c>
      <c r="D40" s="31"/>
      <c r="E40" s="7"/>
      <c r="F40" s="30"/>
      <c r="G40" s="30"/>
      <c r="H40" s="350"/>
      <c r="I40" s="20"/>
      <c r="J40" s="19"/>
      <c r="K40" s="19"/>
    </row>
    <row r="41" spans="1:11" s="199" customFormat="1" ht="15.75" thickBot="1" x14ac:dyDescent="0.3">
      <c r="B41" s="227"/>
      <c r="C41" s="232">
        <v>19</v>
      </c>
      <c r="D41" s="31"/>
      <c r="E41" s="7"/>
      <c r="F41" s="30"/>
      <c r="G41" s="30"/>
      <c r="I41" s="20"/>
      <c r="J41" s="19"/>
      <c r="K41" s="19"/>
    </row>
    <row r="42" spans="1:11" s="199" customFormat="1" ht="15.75" thickBot="1" x14ac:dyDescent="0.3">
      <c r="B42" s="228"/>
      <c r="C42" s="232">
        <v>20</v>
      </c>
      <c r="D42" s="31"/>
      <c r="E42" s="7"/>
      <c r="F42" s="30"/>
      <c r="G42" s="30"/>
      <c r="I42" s="202"/>
      <c r="J42" s="19"/>
      <c r="K42" s="19"/>
    </row>
    <row r="43" spans="1:11" ht="36" customHeight="1" thickBot="1" x14ac:dyDescent="0.3">
      <c r="A43" s="245"/>
      <c r="B43" s="285" t="s">
        <v>34</v>
      </c>
      <c r="C43" s="286"/>
      <c r="D43" s="1777" t="s">
        <v>311</v>
      </c>
      <c r="E43" s="1778"/>
      <c r="F43" s="1778"/>
      <c r="G43" s="1778"/>
      <c r="H43" s="1778"/>
      <c r="I43" s="1779"/>
      <c r="J43" s="248"/>
      <c r="K43" s="248"/>
    </row>
    <row r="44" spans="1:11" ht="24.75" thickBot="1" x14ac:dyDescent="0.3">
      <c r="A44" s="245"/>
      <c r="B44" s="285" t="s">
        <v>36</v>
      </c>
      <c r="C44" s="286"/>
      <c r="D44" s="1777" t="s">
        <v>278</v>
      </c>
      <c r="E44" s="1778"/>
      <c r="F44" s="1778"/>
      <c r="G44" s="1778"/>
      <c r="H44" s="1778"/>
      <c r="I44" s="1779"/>
      <c r="J44" s="248"/>
      <c r="K44" s="248"/>
    </row>
    <row r="45" spans="1:11" ht="15.75" thickBot="1" x14ac:dyDescent="0.3">
      <c r="A45" s="245"/>
      <c r="B45" s="249"/>
      <c r="C45" s="250"/>
      <c r="D45" s="248"/>
      <c r="E45" s="248"/>
      <c r="F45" s="248"/>
      <c r="G45" s="248"/>
      <c r="H45" s="248"/>
      <c r="I45" s="248"/>
      <c r="J45" s="248"/>
      <c r="K45" s="248"/>
    </row>
    <row r="46" spans="1:11" ht="24" customHeight="1" thickBot="1" x14ac:dyDescent="0.3">
      <c r="A46" s="245"/>
      <c r="B46" s="1765" t="s">
        <v>38</v>
      </c>
      <c r="C46" s="1766"/>
      <c r="D46" s="1766"/>
      <c r="E46" s="1767"/>
      <c r="F46" s="248"/>
      <c r="G46" s="248"/>
      <c r="H46" s="248"/>
      <c r="I46" s="248"/>
      <c r="J46" s="248"/>
      <c r="K46" s="248"/>
    </row>
    <row r="47" spans="1:11" ht="15.75" thickBot="1" x14ac:dyDescent="0.3">
      <c r="A47" s="245"/>
      <c r="B47" s="1768">
        <v>1</v>
      </c>
      <c r="C47" s="272"/>
      <c r="D47" s="289" t="s">
        <v>39</v>
      </c>
      <c r="E47" s="31" t="s">
        <v>2849</v>
      </c>
      <c r="F47" s="248"/>
      <c r="G47" s="248"/>
      <c r="H47" s="248"/>
      <c r="I47" s="248"/>
      <c r="J47" s="248"/>
      <c r="K47" s="248"/>
    </row>
    <row r="48" spans="1:11" ht="15.75" thickBot="1" x14ac:dyDescent="0.3">
      <c r="A48" s="245"/>
      <c r="B48" s="1769"/>
      <c r="C48" s="272"/>
      <c r="D48" s="275" t="s">
        <v>40</v>
      </c>
      <c r="E48" s="31" t="s">
        <v>3085</v>
      </c>
      <c r="F48" s="248"/>
      <c r="G48" s="248"/>
      <c r="H48" s="248"/>
      <c r="I48" s="248"/>
      <c r="J48" s="248"/>
      <c r="K48" s="248"/>
    </row>
    <row r="49" spans="1:11" ht="15.75" thickBot="1" x14ac:dyDescent="0.3">
      <c r="A49" s="245"/>
      <c r="B49" s="1769"/>
      <c r="C49" s="272"/>
      <c r="D49" s="275" t="s">
        <v>41</v>
      </c>
      <c r="E49" s="31" t="s">
        <v>3086</v>
      </c>
      <c r="F49" s="248"/>
      <c r="G49" s="248"/>
      <c r="H49" s="248"/>
      <c r="I49" s="248"/>
      <c r="J49" s="248"/>
      <c r="K49" s="248"/>
    </row>
    <row r="50" spans="1:11" ht="15.75" thickBot="1" x14ac:dyDescent="0.3">
      <c r="A50" s="245"/>
      <c r="B50" s="1769"/>
      <c r="C50" s="272"/>
      <c r="D50" s="275" t="s">
        <v>42</v>
      </c>
      <c r="E50" s="31" t="s">
        <v>2894</v>
      </c>
      <c r="F50" s="248"/>
      <c r="G50" s="248"/>
      <c r="H50" s="248"/>
      <c r="I50" s="248"/>
      <c r="J50" s="248"/>
      <c r="K50" s="248"/>
    </row>
    <row r="51" spans="1:11" ht="15.75" thickBot="1" x14ac:dyDescent="0.3">
      <c r="A51" s="245"/>
      <c r="B51" s="1769"/>
      <c r="C51" s="272"/>
      <c r="D51" s="275" t="s">
        <v>43</v>
      </c>
      <c r="E51" s="980" t="s">
        <v>3087</v>
      </c>
      <c r="F51" s="248"/>
      <c r="G51" s="248"/>
      <c r="H51" s="248"/>
      <c r="I51" s="248"/>
      <c r="J51" s="248"/>
      <c r="K51" s="248"/>
    </row>
    <row r="52" spans="1:11" ht="15.75" thickBot="1" x14ac:dyDescent="0.3">
      <c r="A52" s="245"/>
      <c r="B52" s="1769"/>
      <c r="C52" s="272"/>
      <c r="D52" s="275" t="s">
        <v>44</v>
      </c>
      <c r="E52" s="31" t="s">
        <v>3088</v>
      </c>
      <c r="F52" s="248"/>
      <c r="G52" s="248"/>
      <c r="H52" s="248"/>
      <c r="I52" s="248"/>
      <c r="J52" s="248"/>
      <c r="K52" s="248"/>
    </row>
    <row r="53" spans="1:11" ht="15.75" thickBot="1" x14ac:dyDescent="0.3">
      <c r="A53" s="245"/>
      <c r="B53" s="1770"/>
      <c r="C53" s="282"/>
      <c r="D53" s="275" t="s">
        <v>45</v>
      </c>
      <c r="E53" s="31" t="s">
        <v>3089</v>
      </c>
      <c r="F53" s="248"/>
      <c r="G53" s="248"/>
      <c r="H53" s="248"/>
      <c r="I53" s="248"/>
      <c r="J53" s="248"/>
      <c r="K53" s="248"/>
    </row>
    <row r="54" spans="1:11" ht="15.75" thickBot="1" x14ac:dyDescent="0.3">
      <c r="A54" s="245"/>
      <c r="B54" s="249"/>
      <c r="C54" s="250"/>
      <c r="D54" s="248"/>
      <c r="E54" s="248"/>
      <c r="F54" s="248"/>
      <c r="G54" s="248"/>
      <c r="H54" s="248"/>
      <c r="I54" s="248"/>
      <c r="J54" s="248"/>
      <c r="K54" s="248"/>
    </row>
    <row r="55" spans="1:11" ht="15.75" thickBot="1" x14ac:dyDescent="0.3">
      <c r="A55" s="245"/>
      <c r="B55" s="1765" t="s">
        <v>46</v>
      </c>
      <c r="C55" s="1766"/>
      <c r="D55" s="1766"/>
      <c r="E55" s="1767"/>
      <c r="F55" s="248"/>
      <c r="G55" s="248"/>
      <c r="H55" s="248"/>
      <c r="I55" s="248"/>
      <c r="J55" s="248"/>
      <c r="K55" s="248"/>
    </row>
    <row r="56" spans="1:11" ht="15.75" thickBot="1" x14ac:dyDescent="0.3">
      <c r="A56" s="245"/>
      <c r="B56" s="1768">
        <v>1</v>
      </c>
      <c r="C56" s="272"/>
      <c r="D56" s="289" t="s">
        <v>39</v>
      </c>
      <c r="E56" s="233" t="s">
        <v>47</v>
      </c>
      <c r="F56" s="248"/>
      <c r="G56" s="248"/>
      <c r="H56" s="248"/>
      <c r="I56" s="248"/>
      <c r="J56" s="248"/>
      <c r="K56" s="248"/>
    </row>
    <row r="57" spans="1:11" ht="15.75" thickBot="1" x14ac:dyDescent="0.3">
      <c r="A57" s="245"/>
      <c r="B57" s="1769"/>
      <c r="C57" s="272"/>
      <c r="D57" s="275" t="s">
        <v>40</v>
      </c>
      <c r="E57" s="233" t="s">
        <v>48</v>
      </c>
      <c r="F57" s="248"/>
      <c r="G57" s="248"/>
      <c r="H57" s="248"/>
      <c r="I57" s="248"/>
      <c r="J57" s="248"/>
      <c r="K57" s="248"/>
    </row>
    <row r="58" spans="1:11" ht="15.75" thickBot="1" x14ac:dyDescent="0.3">
      <c r="A58" s="245"/>
      <c r="B58" s="1769"/>
      <c r="C58" s="272"/>
      <c r="D58" s="275" t="s">
        <v>41</v>
      </c>
      <c r="E58" s="315"/>
      <c r="F58" s="248"/>
      <c r="G58" s="248"/>
      <c r="H58" s="248"/>
      <c r="I58" s="248"/>
      <c r="J58" s="248"/>
      <c r="K58" s="248"/>
    </row>
    <row r="59" spans="1:11" ht="15.75" thickBot="1" x14ac:dyDescent="0.3">
      <c r="A59" s="245"/>
      <c r="B59" s="1769"/>
      <c r="C59" s="272"/>
      <c r="D59" s="275" t="s">
        <v>42</v>
      </c>
      <c r="E59" s="315"/>
      <c r="F59" s="248"/>
      <c r="G59" s="248"/>
      <c r="H59" s="248"/>
      <c r="I59" s="248"/>
      <c r="J59" s="248"/>
      <c r="K59" s="248"/>
    </row>
    <row r="60" spans="1:11" ht="15.75" thickBot="1" x14ac:dyDescent="0.3">
      <c r="A60" s="245"/>
      <c r="B60" s="1769"/>
      <c r="C60" s="272"/>
      <c r="D60" s="275" t="s">
        <v>43</v>
      </c>
      <c r="E60" s="315"/>
      <c r="F60" s="248"/>
      <c r="G60" s="248"/>
      <c r="H60" s="248"/>
      <c r="I60" s="248"/>
      <c r="J60" s="248"/>
      <c r="K60" s="248"/>
    </row>
    <row r="61" spans="1:11" ht="15.75" thickBot="1" x14ac:dyDescent="0.3">
      <c r="A61" s="245"/>
      <c r="B61" s="1769"/>
      <c r="C61" s="272"/>
      <c r="D61" s="275" t="s">
        <v>44</v>
      </c>
      <c r="E61" s="315"/>
      <c r="F61" s="248"/>
      <c r="G61" s="248"/>
      <c r="H61" s="248"/>
      <c r="I61" s="248"/>
      <c r="J61" s="248"/>
      <c r="K61" s="248"/>
    </row>
    <row r="62" spans="1:11" ht="15.75" thickBot="1" x14ac:dyDescent="0.3">
      <c r="A62" s="245"/>
      <c r="B62" s="1770"/>
      <c r="C62" s="282"/>
      <c r="D62" s="275" t="s">
        <v>45</v>
      </c>
      <c r="E62" s="315"/>
      <c r="F62" s="248"/>
      <c r="G62" s="248"/>
      <c r="H62" s="248"/>
      <c r="I62" s="248"/>
      <c r="J62" s="248"/>
      <c r="K62" s="248"/>
    </row>
    <row r="63" spans="1:11" ht="15.75" thickBot="1" x14ac:dyDescent="0.3">
      <c r="A63" s="245"/>
      <c r="B63" s="249"/>
      <c r="C63" s="250"/>
      <c r="D63" s="248"/>
      <c r="E63" s="248"/>
      <c r="F63" s="248"/>
      <c r="G63" s="248"/>
      <c r="H63" s="248"/>
      <c r="I63" s="248"/>
      <c r="J63" s="248"/>
      <c r="K63" s="248"/>
    </row>
    <row r="64" spans="1:11" ht="15" customHeight="1" thickBot="1" x14ac:dyDescent="0.3">
      <c r="A64" s="245"/>
      <c r="B64" s="291" t="s">
        <v>49</v>
      </c>
      <c r="C64" s="292"/>
      <c r="D64" s="292"/>
      <c r="E64" s="293"/>
      <c r="F64" s="245"/>
      <c r="G64" s="248"/>
      <c r="H64" s="248"/>
      <c r="I64" s="248"/>
      <c r="J64" s="248"/>
      <c r="K64" s="248"/>
    </row>
    <row r="65" spans="1:11" ht="24.75" thickBot="1" x14ac:dyDescent="0.3">
      <c r="A65" s="245"/>
      <c r="B65" s="285" t="s">
        <v>50</v>
      </c>
      <c r="C65" s="275" t="s">
        <v>51</v>
      </c>
      <c r="D65" s="275" t="s">
        <v>52</v>
      </c>
      <c r="E65" s="275" t="s">
        <v>53</v>
      </c>
      <c r="F65" s="248"/>
      <c r="G65" s="248"/>
      <c r="H65" s="248"/>
      <c r="I65" s="248"/>
      <c r="J65" s="248"/>
      <c r="K65" s="245"/>
    </row>
    <row r="66" spans="1:11" ht="96.75" thickBot="1" x14ac:dyDescent="0.3">
      <c r="A66" s="245"/>
      <c r="B66" s="295">
        <v>42401</v>
      </c>
      <c r="C66" s="275">
        <v>0.01</v>
      </c>
      <c r="D66" s="307" t="s">
        <v>312</v>
      </c>
      <c r="E66" s="275"/>
      <c r="F66" s="248"/>
      <c r="G66" s="248"/>
      <c r="H66" s="248"/>
      <c r="I66" s="248"/>
      <c r="J66" s="248"/>
      <c r="K66" s="245"/>
    </row>
    <row r="67" spans="1:11" ht="15.75" thickBot="1" x14ac:dyDescent="0.3">
      <c r="A67" s="245"/>
      <c r="B67" s="308"/>
      <c r="C67" s="309"/>
      <c r="D67" s="248"/>
      <c r="E67" s="248"/>
      <c r="F67" s="248"/>
      <c r="G67" s="248"/>
      <c r="H67" s="248"/>
      <c r="I67" s="248"/>
      <c r="J67" s="248"/>
      <c r="K67" s="248"/>
    </row>
    <row r="68" spans="1:11" x14ac:dyDescent="0.25">
      <c r="A68" s="245"/>
      <c r="B68" s="297" t="s">
        <v>55</v>
      </c>
      <c r="C68" s="298"/>
      <c r="D68" s="248"/>
      <c r="E68" s="248"/>
      <c r="F68" s="248"/>
      <c r="G68" s="248"/>
      <c r="H68" s="248"/>
      <c r="I68" s="248"/>
      <c r="J68" s="248"/>
      <c r="K68" s="248"/>
    </row>
    <row r="69" spans="1:11" x14ac:dyDescent="0.25">
      <c r="A69" s="245"/>
      <c r="B69" s="1806"/>
      <c r="C69" s="1807"/>
      <c r="D69" s="1807"/>
      <c r="E69" s="1808"/>
      <c r="F69" s="248"/>
      <c r="G69" s="248"/>
      <c r="H69" s="248"/>
      <c r="I69" s="248"/>
      <c r="J69" s="248"/>
      <c r="K69" s="248"/>
    </row>
    <row r="70" spans="1:11" ht="15.75" thickBot="1" x14ac:dyDescent="0.3">
      <c r="A70" s="245"/>
      <c r="B70" s="248"/>
      <c r="C70" s="265"/>
      <c r="D70" s="248"/>
      <c r="E70" s="248"/>
      <c r="F70" s="248"/>
      <c r="G70" s="248"/>
      <c r="H70" s="248"/>
      <c r="I70" s="248"/>
      <c r="J70" s="248"/>
      <c r="K70" s="248"/>
    </row>
    <row r="71" spans="1:11" ht="15.75" thickBot="1" x14ac:dyDescent="0.3">
      <c r="A71" s="245"/>
      <c r="B71" s="1765" t="s">
        <v>56</v>
      </c>
      <c r="C71" s="1766"/>
      <c r="D71" s="1767"/>
      <c r="E71" s="248"/>
      <c r="F71" s="248"/>
      <c r="G71" s="248"/>
      <c r="H71" s="248"/>
      <c r="I71" s="248"/>
      <c r="J71" s="248"/>
      <c r="K71" s="248"/>
    </row>
    <row r="72" spans="1:11" ht="120.75" thickBot="1" x14ac:dyDescent="0.3">
      <c r="A72" s="245"/>
      <c r="B72" s="285" t="s">
        <v>57</v>
      </c>
      <c r="C72" s="282"/>
      <c r="D72" s="275" t="s">
        <v>281</v>
      </c>
      <c r="E72" s="248"/>
      <c r="F72" s="248"/>
      <c r="G72" s="248"/>
      <c r="H72" s="248"/>
      <c r="I72" s="248"/>
      <c r="J72" s="248"/>
      <c r="K72" s="248"/>
    </row>
    <row r="73" spans="1:11" x14ac:dyDescent="0.25">
      <c r="A73" s="245"/>
      <c r="B73" s="1768" t="s">
        <v>59</v>
      </c>
      <c r="C73" s="272"/>
      <c r="D73" s="312" t="s">
        <v>60</v>
      </c>
      <c r="E73" s="248"/>
      <c r="F73" s="248"/>
      <c r="G73" s="248"/>
      <c r="H73" s="248"/>
      <c r="I73" s="248"/>
      <c r="J73" s="248"/>
      <c r="K73" s="248"/>
    </row>
    <row r="74" spans="1:11" ht="96" x14ac:dyDescent="0.25">
      <c r="A74" s="245"/>
      <c r="B74" s="1769"/>
      <c r="C74" s="272"/>
      <c r="D74" s="313" t="s">
        <v>282</v>
      </c>
      <c r="E74" s="248"/>
      <c r="F74" s="248"/>
      <c r="G74" s="248"/>
      <c r="H74" s="248"/>
      <c r="I74" s="248"/>
      <c r="J74" s="248"/>
      <c r="K74" s="248"/>
    </row>
    <row r="75" spans="1:11" ht="60" x14ac:dyDescent="0.25">
      <c r="A75" s="245"/>
      <c r="B75" s="1769"/>
      <c r="C75" s="272"/>
      <c r="D75" s="313" t="s">
        <v>283</v>
      </c>
      <c r="E75" s="248"/>
      <c r="F75" s="248"/>
      <c r="G75" s="248"/>
      <c r="H75" s="248"/>
      <c r="I75" s="248"/>
      <c r="J75" s="248"/>
      <c r="K75" s="248"/>
    </row>
    <row r="76" spans="1:11" x14ac:dyDescent="0.25">
      <c r="A76" s="245"/>
      <c r="B76" s="1769"/>
      <c r="C76" s="272"/>
      <c r="D76" s="312" t="s">
        <v>63</v>
      </c>
      <c r="E76" s="248"/>
      <c r="F76" s="248"/>
      <c r="G76" s="248"/>
      <c r="H76" s="248"/>
      <c r="I76" s="248"/>
      <c r="J76" s="248"/>
      <c r="K76" s="248"/>
    </row>
    <row r="77" spans="1:11" ht="24" x14ac:dyDescent="0.25">
      <c r="A77" s="245"/>
      <c r="B77" s="1769"/>
      <c r="C77" s="272"/>
      <c r="D77" s="313" t="s">
        <v>284</v>
      </c>
      <c r="E77" s="248"/>
      <c r="F77" s="248"/>
      <c r="G77" s="248"/>
      <c r="H77" s="248"/>
      <c r="I77" s="248"/>
      <c r="J77" s="248"/>
      <c r="K77" s="248"/>
    </row>
    <row r="78" spans="1:11" ht="48" x14ac:dyDescent="0.25">
      <c r="A78" s="245"/>
      <c r="B78" s="1769"/>
      <c r="C78" s="272"/>
      <c r="D78" s="313" t="s">
        <v>285</v>
      </c>
      <c r="E78" s="248"/>
      <c r="F78" s="248"/>
      <c r="G78" s="248"/>
      <c r="H78" s="248"/>
      <c r="I78" s="248"/>
      <c r="J78" s="248"/>
      <c r="K78" s="248"/>
    </row>
    <row r="79" spans="1:11" x14ac:dyDescent="0.25">
      <c r="A79" s="245"/>
      <c r="B79" s="1769"/>
      <c r="C79" s="272"/>
      <c r="D79" s="313" t="s">
        <v>286</v>
      </c>
      <c r="E79" s="248"/>
      <c r="F79" s="248"/>
      <c r="G79" s="248"/>
      <c r="H79" s="248"/>
      <c r="I79" s="248"/>
      <c r="J79" s="248"/>
      <c r="K79" s="248"/>
    </row>
    <row r="80" spans="1:11" ht="36" x14ac:dyDescent="0.25">
      <c r="A80" s="245"/>
      <c r="B80" s="1769"/>
      <c r="C80" s="272"/>
      <c r="D80" s="313" t="s">
        <v>287</v>
      </c>
      <c r="E80" s="248"/>
      <c r="F80" s="248"/>
      <c r="G80" s="248"/>
      <c r="H80" s="248"/>
      <c r="I80" s="248"/>
      <c r="J80" s="248"/>
      <c r="K80" s="248"/>
    </row>
    <row r="81" spans="1:11" x14ac:dyDescent="0.25">
      <c r="A81" s="245"/>
      <c r="B81" s="1769"/>
      <c r="C81" s="272"/>
      <c r="D81" s="312" t="s">
        <v>288</v>
      </c>
      <c r="E81" s="248"/>
      <c r="F81" s="248"/>
      <c r="G81" s="248"/>
      <c r="H81" s="248"/>
      <c r="I81" s="248"/>
      <c r="J81" s="248"/>
      <c r="K81" s="248"/>
    </row>
    <row r="82" spans="1:11" x14ac:dyDescent="0.25">
      <c r="A82" s="245"/>
      <c r="B82" s="1769"/>
      <c r="C82" s="272"/>
      <c r="D82" s="313" t="s">
        <v>289</v>
      </c>
      <c r="E82" s="248"/>
      <c r="F82" s="248"/>
      <c r="G82" s="248"/>
      <c r="H82" s="248"/>
      <c r="I82" s="248"/>
      <c r="J82" s="248"/>
      <c r="K82" s="248"/>
    </row>
    <row r="83" spans="1:11" ht="36" x14ac:dyDescent="0.25">
      <c r="A83" s="245"/>
      <c r="B83" s="1769"/>
      <c r="C83" s="272"/>
      <c r="D83" s="313" t="s">
        <v>290</v>
      </c>
      <c r="E83" s="248"/>
      <c r="F83" s="248"/>
      <c r="G83" s="248"/>
      <c r="H83" s="248"/>
      <c r="I83" s="248"/>
      <c r="J83" s="248"/>
      <c r="K83" s="248"/>
    </row>
    <row r="84" spans="1:11" ht="45.75" thickBot="1" x14ac:dyDescent="0.3">
      <c r="A84" s="245"/>
      <c r="B84" s="1770"/>
      <c r="C84" s="282"/>
      <c r="D84" s="346" t="s">
        <v>291</v>
      </c>
      <c r="E84" s="248"/>
      <c r="F84" s="248"/>
      <c r="G84" s="248"/>
      <c r="H84" s="248"/>
      <c r="I84" s="248"/>
      <c r="J84" s="248"/>
      <c r="K84" s="248"/>
    </row>
    <row r="85" spans="1:11" ht="24.75" thickBot="1" x14ac:dyDescent="0.3">
      <c r="A85" s="245"/>
      <c r="B85" s="285" t="s">
        <v>72</v>
      </c>
      <c r="C85" s="282"/>
      <c r="D85" s="275"/>
      <c r="E85" s="248"/>
      <c r="F85" s="248"/>
      <c r="G85" s="248"/>
      <c r="H85" s="248"/>
      <c r="I85" s="248"/>
      <c r="J85" s="248"/>
      <c r="K85" s="248"/>
    </row>
    <row r="86" spans="1:11" ht="228" x14ac:dyDescent="0.25">
      <c r="A86" s="245"/>
      <c r="B86" s="1768" t="s">
        <v>73</v>
      </c>
      <c r="C86" s="272"/>
      <c r="D86" s="313" t="s">
        <v>292</v>
      </c>
      <c r="E86" s="248"/>
      <c r="F86" s="248"/>
      <c r="G86" s="248"/>
      <c r="H86" s="248"/>
      <c r="I86" s="248"/>
      <c r="J86" s="248"/>
      <c r="K86" s="248"/>
    </row>
    <row r="87" spans="1:11" ht="180" x14ac:dyDescent="0.25">
      <c r="A87" s="245"/>
      <c r="B87" s="1769"/>
      <c r="C87" s="272"/>
      <c r="D87" s="313" t="s">
        <v>293</v>
      </c>
      <c r="E87" s="248"/>
      <c r="F87" s="248"/>
      <c r="G87" s="248"/>
      <c r="H87" s="248"/>
      <c r="I87" s="248"/>
      <c r="J87" s="248"/>
      <c r="K87" s="248"/>
    </row>
    <row r="88" spans="1:11" ht="72" x14ac:dyDescent="0.25">
      <c r="A88" s="245"/>
      <c r="B88" s="1769"/>
      <c r="C88" s="272"/>
      <c r="D88" s="313" t="s">
        <v>294</v>
      </c>
      <c r="E88" s="248"/>
      <c r="F88" s="248"/>
      <c r="G88" s="248"/>
      <c r="H88" s="248"/>
      <c r="I88" s="248"/>
      <c r="J88" s="248"/>
      <c r="K88" s="248"/>
    </row>
    <row r="89" spans="1:11" ht="24" x14ac:dyDescent="0.25">
      <c r="A89" s="245"/>
      <c r="B89" s="1769"/>
      <c r="C89" s="272"/>
      <c r="D89" s="313" t="s">
        <v>295</v>
      </c>
      <c r="E89" s="248"/>
      <c r="F89" s="248"/>
      <c r="G89" s="248"/>
      <c r="H89" s="248"/>
      <c r="I89" s="248"/>
      <c r="J89" s="248"/>
      <c r="K89" s="248"/>
    </row>
    <row r="90" spans="1:11" ht="72" x14ac:dyDescent="0.25">
      <c r="A90" s="245"/>
      <c r="B90" s="1769"/>
      <c r="C90" s="272"/>
      <c r="D90" s="347" t="s">
        <v>296</v>
      </c>
      <c r="E90" s="248"/>
      <c r="F90" s="248"/>
      <c r="G90" s="248"/>
      <c r="H90" s="248"/>
      <c r="I90" s="248"/>
      <c r="J90" s="248"/>
      <c r="K90" s="248"/>
    </row>
    <row r="91" spans="1:11" ht="84" x14ac:dyDescent="0.25">
      <c r="A91" s="245"/>
      <c r="B91" s="1769"/>
      <c r="C91" s="272"/>
      <c r="D91" s="347" t="s">
        <v>297</v>
      </c>
      <c r="E91" s="248"/>
      <c r="F91" s="248"/>
      <c r="G91" s="248"/>
      <c r="H91" s="248"/>
      <c r="I91" s="248"/>
      <c r="J91" s="248"/>
      <c r="K91" s="248"/>
    </row>
    <row r="92" spans="1:11" ht="36" x14ac:dyDescent="0.25">
      <c r="A92" s="245"/>
      <c r="B92" s="1769"/>
      <c r="C92" s="272"/>
      <c r="D92" s="347" t="s">
        <v>298</v>
      </c>
      <c r="E92" s="248"/>
      <c r="F92" s="248"/>
      <c r="G92" s="248"/>
      <c r="H92" s="248"/>
      <c r="I92" s="248"/>
      <c r="J92" s="248"/>
      <c r="K92" s="248"/>
    </row>
    <row r="93" spans="1:11" ht="36" x14ac:dyDescent="0.25">
      <c r="A93" s="245"/>
      <c r="B93" s="1769"/>
      <c r="C93" s="272"/>
      <c r="D93" s="347" t="s">
        <v>299</v>
      </c>
      <c r="E93" s="248"/>
      <c r="F93" s="248"/>
      <c r="G93" s="248"/>
      <c r="H93" s="248"/>
      <c r="I93" s="248"/>
      <c r="J93" s="248"/>
      <c r="K93" s="248"/>
    </row>
    <row r="94" spans="1:11" ht="48" x14ac:dyDescent="0.25">
      <c r="A94" s="245"/>
      <c r="B94" s="1769"/>
      <c r="C94" s="272"/>
      <c r="D94" s="347" t="s">
        <v>300</v>
      </c>
      <c r="E94" s="248"/>
      <c r="F94" s="248"/>
      <c r="G94" s="248"/>
      <c r="H94" s="248"/>
      <c r="I94" s="248"/>
      <c r="J94" s="248"/>
      <c r="K94" s="248"/>
    </row>
    <row r="95" spans="1:11" ht="60.75" thickBot="1" x14ac:dyDescent="0.3">
      <c r="A95" s="245"/>
      <c r="B95" s="1770"/>
      <c r="C95" s="282"/>
      <c r="D95" s="348" t="s">
        <v>301</v>
      </c>
      <c r="E95" s="248"/>
      <c r="F95" s="248"/>
      <c r="G95" s="248"/>
      <c r="H95" s="248"/>
      <c r="I95" s="248"/>
      <c r="J95" s="248"/>
      <c r="K95" s="248"/>
    </row>
    <row r="96" spans="1:11" x14ac:dyDescent="0.25">
      <c r="A96" s="245"/>
      <c r="B96" s="1768" t="s">
        <v>90</v>
      </c>
      <c r="C96" s="272"/>
      <c r="D96" s="313"/>
      <c r="E96" s="248"/>
      <c r="F96" s="248"/>
      <c r="G96" s="248"/>
      <c r="H96" s="248"/>
      <c r="I96" s="248"/>
      <c r="J96" s="248"/>
      <c r="K96" s="248"/>
    </row>
    <row r="97" spans="1:11" x14ac:dyDescent="0.25">
      <c r="A97" s="245"/>
      <c r="B97" s="1769"/>
      <c r="C97" s="272"/>
      <c r="D97" s="314"/>
      <c r="E97" s="248"/>
      <c r="F97" s="248"/>
      <c r="G97" s="248"/>
      <c r="H97" s="248"/>
      <c r="I97" s="248"/>
      <c r="J97" s="248"/>
      <c r="K97" s="248"/>
    </row>
    <row r="98" spans="1:11" x14ac:dyDescent="0.25">
      <c r="A98" s="245"/>
      <c r="B98" s="1769"/>
      <c r="C98" s="272"/>
      <c r="D98" s="313" t="s">
        <v>91</v>
      </c>
      <c r="E98" s="248"/>
      <c r="F98" s="248"/>
      <c r="G98" s="248"/>
      <c r="H98" s="248"/>
      <c r="I98" s="248"/>
      <c r="J98" s="248"/>
      <c r="K98" s="248"/>
    </row>
    <row r="99" spans="1:11" ht="61.5" x14ac:dyDescent="0.25">
      <c r="A99" s="245"/>
      <c r="B99" s="1769"/>
      <c r="C99" s="272"/>
      <c r="D99" s="313" t="s">
        <v>302</v>
      </c>
      <c r="E99" s="248"/>
      <c r="F99" s="248"/>
      <c r="G99" s="248"/>
      <c r="H99" s="248"/>
      <c r="I99" s="248"/>
      <c r="J99" s="248"/>
      <c r="K99" s="248"/>
    </row>
    <row r="100" spans="1:11" ht="61.5" x14ac:dyDescent="0.25">
      <c r="A100" s="245"/>
      <c r="B100" s="1769"/>
      <c r="C100" s="272"/>
      <c r="D100" s="313" t="s">
        <v>303</v>
      </c>
      <c r="E100" s="248"/>
      <c r="F100" s="248"/>
      <c r="G100" s="248"/>
      <c r="H100" s="248"/>
      <c r="I100" s="248"/>
      <c r="J100" s="248"/>
      <c r="K100" s="248"/>
    </row>
    <row r="101" spans="1:11" ht="62.25" thickBot="1" x14ac:dyDescent="0.3">
      <c r="A101" s="245"/>
      <c r="B101" s="1770"/>
      <c r="C101" s="282"/>
      <c r="D101" s="275" t="s">
        <v>304</v>
      </c>
      <c r="E101" s="248"/>
      <c r="F101" s="248"/>
      <c r="G101" s="248"/>
      <c r="H101" s="248"/>
      <c r="I101" s="248"/>
      <c r="J101" s="248"/>
      <c r="K101" s="248"/>
    </row>
  </sheetData>
  <mergeCells count="29">
    <mergeCell ref="A1:P1"/>
    <mergeCell ref="A2:P2"/>
    <mergeCell ref="A3:P3"/>
    <mergeCell ref="A4:D4"/>
    <mergeCell ref="A5:P5"/>
    <mergeCell ref="D15:I15"/>
    <mergeCell ref="D20:I20"/>
    <mergeCell ref="D43:I43"/>
    <mergeCell ref="E21:E22"/>
    <mergeCell ref="B15:B20"/>
    <mergeCell ref="F21:F22"/>
    <mergeCell ref="G21:G22"/>
    <mergeCell ref="B71:D71"/>
    <mergeCell ref="B73:B84"/>
    <mergeCell ref="B86:B95"/>
    <mergeCell ref="B96:B101"/>
    <mergeCell ref="C21:C22"/>
    <mergeCell ref="D21:D22"/>
    <mergeCell ref="B56:B62"/>
    <mergeCell ref="B69:E69"/>
    <mergeCell ref="D44:I44"/>
    <mergeCell ref="B46:E46"/>
    <mergeCell ref="B47:B53"/>
    <mergeCell ref="B55:E55"/>
    <mergeCell ref="B10:D10"/>
    <mergeCell ref="F10:S10"/>
    <mergeCell ref="F11:S11"/>
    <mergeCell ref="E12:R12"/>
    <mergeCell ref="E13:R13"/>
  </mergeCells>
  <conditionalFormatting sqref="F10">
    <cfRule type="notContainsBlanks" dxfId="105" priority="4">
      <formula>LEN(TRIM(F10))&gt;0</formula>
    </cfRule>
  </conditionalFormatting>
  <conditionalFormatting sqref="F11:S11">
    <cfRule type="expression" dxfId="104" priority="2">
      <formula>E11="NO SE REPORTA"</formula>
    </cfRule>
    <cfRule type="expression" dxfId="103" priority="3">
      <formula>E10="NO APLICA"</formula>
    </cfRule>
  </conditionalFormatting>
  <conditionalFormatting sqref="E12:R12">
    <cfRule type="expression" dxfId="102"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7:H18 E23:E42" xr:uid="{00000000-0002-0000-1100-000000000000}">
      <formula1>0</formula1>
    </dataValidation>
    <dataValidation type="list" allowBlank="1" showInputMessage="1" showErrorMessage="1" sqref="E11" xr:uid="{00000000-0002-0000-1100-000001000000}">
      <formula1>REPORTE</formula1>
    </dataValidation>
    <dataValidation type="list" allowBlank="1" showInputMessage="1" showErrorMessage="1" sqref="E10" xr:uid="{00000000-0002-0000-1100-000002000000}">
      <formula1>SI</formula1>
    </dataValidation>
  </dataValidations>
  <hyperlinks>
    <hyperlink ref="D84" r:id="rId1" display="http://cambioclimatico.minambiente.gov.co/" xr:uid="{00000000-0004-0000-1100-000000000000}"/>
    <hyperlink ref="B9" location="'ANEXO 3'!A1" display="VOLVER AL INDICE" xr:uid="{00000000-0004-0000-1100-000001000000}"/>
    <hyperlink ref="E51" r:id="rId2" xr:uid="{00000000-0004-0000-1100-000002000000}"/>
  </hyperlinks>
  <pageMargins left="0.25" right="0.25" top="0.75" bottom="0.75" header="0.3" footer="0.3"/>
  <pageSetup paperSize="178" orientation="landscape" horizontalDpi="1200" verticalDpi="1200" r:id="rId3"/>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8"/>
  <dimension ref="A1:U99"/>
  <sheetViews>
    <sheetView showGridLines="0" topLeftCell="A6" zoomScale="80" zoomScaleNormal="80" workbookViewId="0">
      <selection activeCell="H17" sqref="H17"/>
    </sheetView>
  </sheetViews>
  <sheetFormatPr baseColWidth="10" defaultRowHeight="15" x14ac:dyDescent="0.25"/>
  <cols>
    <col min="1" max="1" width="1.85546875" customWidth="1"/>
    <col min="2" max="2" width="12.85546875" customWidth="1"/>
    <col min="3" max="3" width="6.28515625" style="87" customWidth="1"/>
    <col min="4" max="4" width="34.85546875" customWidth="1"/>
    <col min="5" max="5" width="12.140625" customWidth="1"/>
  </cols>
  <sheetData>
    <row r="1" spans="1:21" s="538" customFormat="1" ht="100.5" customHeight="1" thickBot="1" x14ac:dyDescent="0.3">
      <c r="A1" s="1733"/>
      <c r="B1" s="1734"/>
      <c r="C1" s="1734"/>
      <c r="D1" s="1734"/>
      <c r="E1" s="1734"/>
      <c r="F1" s="1734"/>
      <c r="G1" s="1734"/>
      <c r="H1" s="1734"/>
      <c r="I1" s="1734"/>
      <c r="J1" s="1734"/>
      <c r="K1" s="1734"/>
      <c r="L1" s="1734"/>
      <c r="M1" s="1734"/>
      <c r="N1" s="1734"/>
      <c r="O1" s="1734"/>
      <c r="P1" s="1735"/>
      <c r="Q1" s="412"/>
      <c r="R1" s="412"/>
    </row>
    <row r="2" spans="1:21" s="539" customFormat="1" ht="16.5" thickBot="1" x14ac:dyDescent="0.3">
      <c r="A2" s="1741" t="str">
        <f>'Datos Generales'!C5</f>
        <v>Corporación Autónoma Regional de La Guajira – CORPOGUAJIRA</v>
      </c>
      <c r="B2" s="1742"/>
      <c r="C2" s="1742"/>
      <c r="D2" s="1742"/>
      <c r="E2" s="1742"/>
      <c r="F2" s="1742"/>
      <c r="G2" s="1742"/>
      <c r="H2" s="1742"/>
      <c r="I2" s="1742"/>
      <c r="J2" s="1742"/>
      <c r="K2" s="1742"/>
      <c r="L2" s="1742"/>
      <c r="M2" s="1742"/>
      <c r="N2" s="1742"/>
      <c r="O2" s="1742"/>
      <c r="P2" s="1743"/>
      <c r="Q2" s="412"/>
      <c r="R2" s="412"/>
    </row>
    <row r="3" spans="1:21" s="539" customFormat="1" ht="16.5" thickBot="1" x14ac:dyDescent="0.3">
      <c r="A3" s="1736" t="s">
        <v>1347</v>
      </c>
      <c r="B3" s="1737"/>
      <c r="C3" s="1737"/>
      <c r="D3" s="1737"/>
      <c r="E3" s="1737"/>
      <c r="F3" s="1737"/>
      <c r="G3" s="1737"/>
      <c r="H3" s="1737"/>
      <c r="I3" s="1737"/>
      <c r="J3" s="1737"/>
      <c r="K3" s="1737"/>
      <c r="L3" s="1737"/>
      <c r="M3" s="1737"/>
      <c r="N3" s="1737"/>
      <c r="O3" s="1737"/>
      <c r="P3" s="1738"/>
      <c r="Q3" s="412"/>
      <c r="R3" s="412"/>
    </row>
    <row r="4" spans="1:21" s="539" customFormat="1" ht="16.5" thickBot="1" x14ac:dyDescent="0.3">
      <c r="A4" s="1739" t="s">
        <v>1346</v>
      </c>
      <c r="B4" s="1740"/>
      <c r="C4" s="1740"/>
      <c r="D4" s="1740"/>
      <c r="E4" s="579" t="str">
        <f>'Datos Generales'!C6</f>
        <v>2021-I</v>
      </c>
      <c r="F4" s="579"/>
      <c r="G4" s="579"/>
      <c r="H4" s="579"/>
      <c r="I4" s="579"/>
      <c r="J4" s="579"/>
      <c r="K4" s="579"/>
      <c r="L4" s="581"/>
      <c r="M4" s="581"/>
      <c r="N4" s="581"/>
      <c r="O4" s="581"/>
      <c r="P4" s="582"/>
      <c r="Q4" s="412"/>
      <c r="R4" s="412"/>
    </row>
    <row r="5" spans="1:21" s="245" customFormat="1" ht="16.5" customHeight="1" thickBot="1" x14ac:dyDescent="0.3">
      <c r="A5" s="1736" t="s">
        <v>314</v>
      </c>
      <c r="B5" s="1737"/>
      <c r="C5" s="1737"/>
      <c r="D5" s="1737"/>
      <c r="E5" s="1737"/>
      <c r="F5" s="1737"/>
      <c r="G5" s="1737"/>
      <c r="H5" s="1737"/>
      <c r="I5" s="1737"/>
      <c r="J5" s="1737"/>
      <c r="K5" s="1737"/>
      <c r="L5" s="1737"/>
      <c r="M5" s="1737"/>
      <c r="N5" s="1737"/>
      <c r="O5" s="1737"/>
      <c r="P5" s="1738"/>
    </row>
    <row r="6" spans="1:21" x14ac:dyDescent="0.25">
      <c r="A6" s="245"/>
      <c r="B6" s="249" t="s">
        <v>1</v>
      </c>
      <c r="C6" s="250"/>
      <c r="D6" s="248"/>
      <c r="E6" s="259"/>
      <c r="F6" s="248" t="s">
        <v>128</v>
      </c>
      <c r="G6" s="248"/>
      <c r="H6" s="248"/>
      <c r="I6" s="248"/>
      <c r="J6" s="248"/>
      <c r="K6" s="248"/>
    </row>
    <row r="7" spans="1:21" ht="15.75" thickBot="1" x14ac:dyDescent="0.3">
      <c r="A7" s="245"/>
      <c r="B7" s="251"/>
      <c r="C7" s="252"/>
      <c r="D7" s="248"/>
      <c r="E7" s="253"/>
      <c r="F7" s="248" t="s">
        <v>129</v>
      </c>
      <c r="G7" s="248"/>
      <c r="H7" s="248"/>
      <c r="I7" s="248"/>
      <c r="J7" s="248"/>
      <c r="K7" s="248"/>
    </row>
    <row r="8" spans="1:21" ht="15.75" thickBot="1" x14ac:dyDescent="0.3">
      <c r="A8" s="245"/>
      <c r="B8" s="261" t="s">
        <v>1185</v>
      </c>
      <c r="C8" s="262">
        <v>2021</v>
      </c>
      <c r="D8" s="257">
        <f>IF(E10="NO APLICA","NO APLICA",IF(E11="NO SE REPORTA","SIN INFORMACION",+E20))</f>
        <v>0</v>
      </c>
      <c r="E8" s="264"/>
      <c r="F8" s="248" t="s">
        <v>130</v>
      </c>
      <c r="G8" s="248"/>
      <c r="H8" s="248"/>
      <c r="I8" s="248"/>
      <c r="J8" s="248"/>
      <c r="K8" s="248"/>
    </row>
    <row r="9" spans="1:21" x14ac:dyDescent="0.25">
      <c r="A9" s="245"/>
      <c r="B9" s="493" t="s">
        <v>1186</v>
      </c>
      <c r="C9" s="265"/>
      <c r="D9" s="248"/>
      <c r="E9" s="248"/>
      <c r="F9" s="248"/>
      <c r="G9" s="248"/>
      <c r="H9" s="248"/>
      <c r="I9" s="248"/>
      <c r="J9" s="248"/>
      <c r="K9" s="248"/>
    </row>
    <row r="10" spans="1:21" s="412" customFormat="1" x14ac:dyDescent="0.25">
      <c r="A10" s="245"/>
      <c r="B10" s="1789" t="s">
        <v>1241</v>
      </c>
      <c r="C10" s="1789"/>
      <c r="D10" s="1789"/>
      <c r="E10" s="499" t="s">
        <v>1238</v>
      </c>
      <c r="F10" s="17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96"/>
      <c r="H10" s="1796"/>
      <c r="I10" s="1796"/>
      <c r="J10" s="1796"/>
      <c r="K10" s="1796"/>
      <c r="L10" s="1796"/>
      <c r="M10" s="1796"/>
      <c r="N10" s="1796"/>
      <c r="O10" s="1796"/>
      <c r="P10" s="1796"/>
      <c r="Q10" s="1796"/>
      <c r="R10" s="1796"/>
      <c r="S10" s="1796"/>
      <c r="T10" s="495"/>
      <c r="U10" s="495"/>
    </row>
    <row r="11" spans="1:21" s="412" customFormat="1" ht="14.45" customHeight="1" x14ac:dyDescent="0.25">
      <c r="A11" s="245"/>
      <c r="B11" s="496"/>
      <c r="C11" s="497"/>
      <c r="D11" s="498" t="str">
        <f>IF(E10="SI APLICA","¿El indicador no se reporta por limitaciones de información disponible? ","")</f>
        <v xml:space="preserve">¿El indicador no se reporta por limitaciones de información disponible? </v>
      </c>
      <c r="E11" s="500" t="s">
        <v>1240</v>
      </c>
      <c r="F11" s="1790"/>
      <c r="G11" s="1791"/>
      <c r="H11" s="1791"/>
      <c r="I11" s="1791"/>
      <c r="J11" s="1791"/>
      <c r="K11" s="1791"/>
      <c r="L11" s="1791"/>
      <c r="M11" s="1791"/>
      <c r="N11" s="1791"/>
      <c r="O11" s="1791"/>
      <c r="P11" s="1791"/>
      <c r="Q11" s="1791"/>
      <c r="R11" s="1791"/>
      <c r="S11" s="1791"/>
    </row>
    <row r="12" spans="1:21" s="412" customFormat="1" ht="23.45" customHeight="1" x14ac:dyDescent="0.25">
      <c r="A12" s="245"/>
      <c r="B12" s="493"/>
      <c r="C12" s="304"/>
      <c r="D12" s="498" t="str">
        <f>IF(E11="SI SE REPORTA","¿Qué programas o proyectos del Plan de Acción están asociados al indicador? ","")</f>
        <v xml:space="preserve">¿Qué programas o proyectos del Plan de Acción están asociados al indicador? </v>
      </c>
      <c r="E12" s="1799"/>
      <c r="F12" s="1799"/>
      <c r="G12" s="1799"/>
      <c r="H12" s="1799"/>
      <c r="I12" s="1799"/>
      <c r="J12" s="1799"/>
      <c r="K12" s="1799"/>
      <c r="L12" s="1799"/>
      <c r="M12" s="1799"/>
      <c r="N12" s="1799"/>
      <c r="O12" s="1799"/>
      <c r="P12" s="1799"/>
      <c r="Q12" s="1799"/>
      <c r="R12" s="1799"/>
    </row>
    <row r="13" spans="1:21" s="412" customFormat="1" ht="21.95" customHeight="1" x14ac:dyDescent="0.25">
      <c r="A13" s="245"/>
      <c r="B13" s="493"/>
      <c r="C13" s="304"/>
      <c r="D13" s="498" t="s">
        <v>1243</v>
      </c>
      <c r="E13" s="1792" t="s">
        <v>3057</v>
      </c>
      <c r="F13" s="1793"/>
      <c r="G13" s="1793"/>
      <c r="H13" s="1793"/>
      <c r="I13" s="1793"/>
      <c r="J13" s="1793"/>
      <c r="K13" s="1793"/>
      <c r="L13" s="1793"/>
      <c r="M13" s="1793"/>
      <c r="N13" s="1793"/>
      <c r="O13" s="1793"/>
      <c r="P13" s="1793"/>
      <c r="Q13" s="1793"/>
      <c r="R13" s="1794"/>
    </row>
    <row r="14" spans="1:21" s="412" customFormat="1" ht="6.95" customHeight="1" thickBot="1" x14ac:dyDescent="0.3">
      <c r="A14" s="245"/>
      <c r="B14" s="493"/>
      <c r="C14" s="265"/>
      <c r="D14" s="248"/>
      <c r="E14" s="248"/>
      <c r="F14" s="248"/>
      <c r="G14" s="248"/>
      <c r="H14" s="248"/>
      <c r="I14" s="248"/>
      <c r="J14" s="248"/>
      <c r="K14" s="248"/>
    </row>
    <row r="15" spans="1:21" ht="15.6" customHeight="1" thickTop="1" thickBot="1" x14ac:dyDescent="0.3">
      <c r="A15" s="245"/>
      <c r="B15" s="1861" t="s">
        <v>2</v>
      </c>
      <c r="C15" s="268"/>
      <c r="D15" s="1750" t="s">
        <v>336</v>
      </c>
      <c r="E15" s="1751"/>
      <c r="F15" s="1751"/>
      <c r="G15" s="1751"/>
      <c r="H15" s="1751"/>
      <c r="I15" s="1751"/>
      <c r="J15" s="1751"/>
      <c r="K15" s="1752"/>
    </row>
    <row r="16" spans="1:21" ht="15.75" thickBot="1" x14ac:dyDescent="0.3">
      <c r="A16" s="199"/>
      <c r="B16" s="1745"/>
      <c r="C16" s="279" t="s">
        <v>19</v>
      </c>
      <c r="D16" s="273" t="s">
        <v>1193</v>
      </c>
      <c r="E16" s="273" t="s">
        <v>20</v>
      </c>
      <c r="F16" s="273" t="s">
        <v>21</v>
      </c>
      <c r="G16" s="273" t="s">
        <v>22</v>
      </c>
      <c r="H16" s="273" t="s">
        <v>23</v>
      </c>
      <c r="I16" s="229"/>
      <c r="J16" s="199"/>
      <c r="K16" s="274"/>
    </row>
    <row r="17" spans="1:11" ht="24.75" thickBot="1" x14ac:dyDescent="0.3">
      <c r="A17" s="245"/>
      <c r="B17" s="1745"/>
      <c r="C17" s="282" t="s">
        <v>152</v>
      </c>
      <c r="D17" s="275" t="s">
        <v>337</v>
      </c>
      <c r="E17" s="978">
        <v>0</v>
      </c>
      <c r="F17" s="978">
        <v>0</v>
      </c>
      <c r="G17" s="1404">
        <v>0.66600000000000004</v>
      </c>
      <c r="H17" s="1404">
        <v>0.33400000000000002</v>
      </c>
      <c r="I17" s="200"/>
      <c r="J17" s="199"/>
      <c r="K17" s="274"/>
    </row>
    <row r="18" spans="1:11" ht="24.75" thickBot="1" x14ac:dyDescent="0.3">
      <c r="A18" s="245"/>
      <c r="B18" s="1745"/>
      <c r="C18" s="282" t="s">
        <v>154</v>
      </c>
      <c r="D18" s="275" t="s">
        <v>338</v>
      </c>
      <c r="E18" s="978">
        <v>0</v>
      </c>
      <c r="F18" s="978">
        <v>0</v>
      </c>
      <c r="G18" s="978"/>
      <c r="H18" s="978"/>
      <c r="I18" s="200"/>
      <c r="J18" s="199"/>
      <c r="K18" s="274"/>
    </row>
    <row r="19" spans="1:11" ht="24.75" thickBot="1" x14ac:dyDescent="0.3">
      <c r="A19" s="245"/>
      <c r="B19" s="1745"/>
      <c r="C19" s="282" t="s">
        <v>156</v>
      </c>
      <c r="D19" s="275" t="s">
        <v>339</v>
      </c>
      <c r="E19" s="196" t="str">
        <f>IFERROR(E18/E17,"N.A.")</f>
        <v>N.A.</v>
      </c>
      <c r="F19" s="196" t="str">
        <f>IFERROR(F18/F17,"N.A.")</f>
        <v>N.A.</v>
      </c>
      <c r="G19" s="196">
        <f>IFERROR(G18/G17,"N.A.")</f>
        <v>0</v>
      </c>
      <c r="H19" s="196">
        <f>IFERROR(H18/H17,"N.A.")</f>
        <v>0</v>
      </c>
      <c r="I19" s="196"/>
      <c r="J19" s="245"/>
      <c r="K19" s="274"/>
    </row>
    <row r="20" spans="1:11" x14ac:dyDescent="0.25">
      <c r="A20" s="245"/>
      <c r="B20" s="337"/>
      <c r="C20" s="276"/>
      <c r="D20" s="1862" t="s">
        <v>1192</v>
      </c>
      <c r="E20" s="1863"/>
      <c r="F20" s="1863"/>
      <c r="G20" s="1863"/>
      <c r="H20" s="1863"/>
      <c r="I20" s="1863"/>
      <c r="J20" s="1863"/>
      <c r="K20" s="1864"/>
    </row>
    <row r="21" spans="1:11" x14ac:dyDescent="0.25">
      <c r="A21" s="245"/>
      <c r="B21" s="337"/>
      <c r="C21" s="276"/>
      <c r="D21" s="1753" t="s">
        <v>246</v>
      </c>
      <c r="E21" s="1804"/>
      <c r="F21" s="1804"/>
      <c r="G21" s="1804"/>
      <c r="H21" s="1804"/>
      <c r="I21" s="1804"/>
      <c r="J21" s="1804"/>
      <c r="K21" s="1755"/>
    </row>
    <row r="22" spans="1:11" x14ac:dyDescent="0.25">
      <c r="A22" s="245"/>
      <c r="B22" s="337"/>
      <c r="C22" s="276"/>
      <c r="D22" s="1753" t="s">
        <v>333</v>
      </c>
      <c r="E22" s="1804"/>
      <c r="F22" s="1804"/>
      <c r="G22" s="1804"/>
      <c r="H22" s="1804"/>
      <c r="I22" s="1804"/>
      <c r="J22" s="1804"/>
      <c r="K22" s="1755"/>
    </row>
    <row r="23" spans="1:11" ht="15.75" thickBot="1" x14ac:dyDescent="0.3">
      <c r="A23" s="245"/>
      <c r="B23" s="337"/>
      <c r="C23" s="276"/>
      <c r="D23" s="1780" t="s">
        <v>340</v>
      </c>
      <c r="E23" s="1781"/>
      <c r="F23" s="1781"/>
      <c r="G23" s="1781"/>
      <c r="H23" s="1781"/>
      <c r="I23" s="1781"/>
      <c r="J23" s="1781"/>
      <c r="K23" s="1782"/>
    </row>
    <row r="24" spans="1:11" ht="36.75" thickBot="1" x14ac:dyDescent="0.3">
      <c r="A24" s="245"/>
      <c r="B24" s="337"/>
      <c r="C24" s="279" t="s">
        <v>19</v>
      </c>
      <c r="D24" s="273" t="s">
        <v>270</v>
      </c>
      <c r="E24" s="273" t="s">
        <v>341</v>
      </c>
      <c r="F24" s="273" t="s">
        <v>342</v>
      </c>
      <c r="G24" s="273" t="s">
        <v>343</v>
      </c>
      <c r="H24" s="273" t="s">
        <v>344</v>
      </c>
      <c r="I24" s="273" t="s">
        <v>274</v>
      </c>
      <c r="J24" s="273" t="s">
        <v>275</v>
      </c>
      <c r="K24" s="434" t="s">
        <v>55</v>
      </c>
    </row>
    <row r="25" spans="1:11" s="199" customFormat="1" ht="15.75" thickBot="1" x14ac:dyDescent="0.3">
      <c r="B25" s="227"/>
      <c r="C25" s="232">
        <v>1</v>
      </c>
      <c r="D25" s="31"/>
      <c r="E25" s="31"/>
      <c r="F25" s="218"/>
      <c r="G25" s="218"/>
      <c r="H25" s="218"/>
      <c r="I25" s="218"/>
      <c r="J25" s="218"/>
      <c r="K25" s="218"/>
    </row>
    <row r="26" spans="1:11" s="199" customFormat="1" ht="15.75" thickBot="1" x14ac:dyDescent="0.3">
      <c r="B26" s="227"/>
      <c r="C26" s="232">
        <v>2</v>
      </c>
      <c r="D26" s="31"/>
      <c r="E26" s="31"/>
      <c r="F26" s="218"/>
      <c r="G26" s="218"/>
      <c r="H26" s="218"/>
      <c r="I26" s="218"/>
      <c r="J26" s="218"/>
      <c r="K26" s="218"/>
    </row>
    <row r="27" spans="1:11" s="199" customFormat="1" ht="15.75" thickBot="1" x14ac:dyDescent="0.3">
      <c r="B27" s="227"/>
      <c r="C27" s="232">
        <v>3</v>
      </c>
      <c r="D27" s="31"/>
      <c r="E27" s="31"/>
      <c r="F27" s="218"/>
      <c r="G27" s="218"/>
      <c r="H27" s="218"/>
      <c r="I27" s="218"/>
      <c r="J27" s="218"/>
      <c r="K27" s="218"/>
    </row>
    <row r="28" spans="1:11" s="199" customFormat="1" ht="15.75" thickBot="1" x14ac:dyDescent="0.3">
      <c r="B28" s="227"/>
      <c r="C28" s="232">
        <v>4</v>
      </c>
      <c r="D28" s="31"/>
      <c r="E28" s="31"/>
      <c r="F28" s="218"/>
      <c r="G28" s="218"/>
      <c r="H28" s="218"/>
      <c r="I28" s="218"/>
      <c r="J28" s="218"/>
      <c r="K28" s="218"/>
    </row>
    <row r="29" spans="1:11" s="199" customFormat="1" ht="15.75" thickBot="1" x14ac:dyDescent="0.3">
      <c r="B29" s="227"/>
      <c r="C29" s="232">
        <v>5</v>
      </c>
      <c r="D29" s="31"/>
      <c r="E29" s="31"/>
      <c r="F29" s="218"/>
      <c r="G29" s="218"/>
      <c r="H29" s="218"/>
      <c r="I29" s="218"/>
      <c r="J29" s="218"/>
      <c r="K29" s="218"/>
    </row>
    <row r="30" spans="1:11" s="199" customFormat="1" ht="15.75" thickBot="1" x14ac:dyDescent="0.3">
      <c r="B30" s="227"/>
      <c r="C30" s="232">
        <v>6</v>
      </c>
      <c r="D30" s="31"/>
      <c r="E30" s="31"/>
      <c r="F30" s="218"/>
      <c r="G30" s="218"/>
      <c r="H30" s="218"/>
      <c r="I30" s="218"/>
      <c r="J30" s="218"/>
      <c r="K30" s="218"/>
    </row>
    <row r="31" spans="1:11" s="199" customFormat="1" ht="15.75" thickBot="1" x14ac:dyDescent="0.3">
      <c r="B31" s="227"/>
      <c r="C31" s="232">
        <v>7</v>
      </c>
      <c r="D31" s="31"/>
      <c r="E31" s="31"/>
      <c r="F31" s="218"/>
      <c r="G31" s="218"/>
      <c r="H31" s="218"/>
      <c r="I31" s="218"/>
      <c r="J31" s="218"/>
      <c r="K31" s="218"/>
    </row>
    <row r="32" spans="1:11" s="199" customFormat="1" ht="15.75" thickBot="1" x14ac:dyDescent="0.3">
      <c r="B32" s="227"/>
      <c r="C32" s="232">
        <v>8</v>
      </c>
      <c r="D32" s="31"/>
      <c r="E32" s="31"/>
      <c r="F32" s="218"/>
      <c r="G32" s="218"/>
      <c r="H32" s="218"/>
      <c r="I32" s="218"/>
      <c r="J32" s="218"/>
      <c r="K32" s="218"/>
    </row>
    <row r="33" spans="1:11" s="199" customFormat="1" ht="15.75" thickBot="1" x14ac:dyDescent="0.3">
      <c r="B33" s="227"/>
      <c r="C33" s="232">
        <v>9</v>
      </c>
      <c r="D33" s="31"/>
      <c r="E33" s="31"/>
      <c r="F33" s="218"/>
      <c r="G33" s="218"/>
      <c r="H33" s="218"/>
      <c r="I33" s="218"/>
      <c r="J33" s="218"/>
      <c r="K33" s="218"/>
    </row>
    <row r="34" spans="1:11" s="199" customFormat="1" ht="15.75" thickBot="1" x14ac:dyDescent="0.3">
      <c r="B34" s="227"/>
      <c r="C34" s="232">
        <v>10</v>
      </c>
      <c r="D34" s="31"/>
      <c r="E34" s="31"/>
      <c r="F34" s="218"/>
      <c r="G34" s="218"/>
      <c r="H34" s="218"/>
      <c r="I34" s="218"/>
      <c r="J34" s="218"/>
      <c r="K34" s="218"/>
    </row>
    <row r="35" spans="1:11" s="199" customFormat="1" ht="15.75" thickBot="1" x14ac:dyDescent="0.3">
      <c r="B35" s="227"/>
      <c r="C35" s="232">
        <v>11</v>
      </c>
      <c r="D35" s="31"/>
      <c r="E35" s="31"/>
      <c r="F35" s="218"/>
      <c r="G35" s="218"/>
      <c r="H35" s="218"/>
      <c r="I35" s="218"/>
      <c r="J35" s="218"/>
      <c r="K35" s="218"/>
    </row>
    <row r="36" spans="1:11" s="199" customFormat="1" ht="15.75" thickBot="1" x14ac:dyDescent="0.3">
      <c r="B36" s="227"/>
      <c r="C36" s="232">
        <v>12</v>
      </c>
      <c r="D36" s="31"/>
      <c r="E36" s="31"/>
      <c r="F36" s="218"/>
      <c r="G36" s="218"/>
      <c r="H36" s="218"/>
      <c r="I36" s="218"/>
      <c r="J36" s="218"/>
      <c r="K36" s="218"/>
    </row>
    <row r="37" spans="1:11" ht="15.75" thickBot="1" x14ac:dyDescent="0.3">
      <c r="A37" s="245"/>
      <c r="B37" s="285"/>
      <c r="C37" s="282"/>
      <c r="D37" s="275" t="s">
        <v>151</v>
      </c>
      <c r="E37" s="275"/>
      <c r="F37" s="351">
        <f>SUM(F25:F36)</f>
        <v>0</v>
      </c>
      <c r="G37" s="351">
        <f>SUM(G25:G36)</f>
        <v>0</v>
      </c>
      <c r="H37" s="351">
        <f>SUM(H25:H36)</f>
        <v>0</v>
      </c>
      <c r="I37" s="351">
        <f>SUM(I25:I36)</f>
        <v>0</v>
      </c>
      <c r="J37" s="351">
        <f>SUM(J25:J36)</f>
        <v>0</v>
      </c>
      <c r="K37" s="352"/>
    </row>
    <row r="38" spans="1:11" ht="24" customHeight="1" thickBot="1" x14ac:dyDescent="0.3">
      <c r="A38" s="245"/>
      <c r="B38" s="353" t="s">
        <v>34</v>
      </c>
      <c r="C38" s="354"/>
      <c r="D38" s="1777" t="s">
        <v>345</v>
      </c>
      <c r="E38" s="1778"/>
      <c r="F38" s="1778"/>
      <c r="G38" s="1778"/>
      <c r="H38" s="1778"/>
      <c r="I38" s="1778"/>
      <c r="J38" s="1778"/>
      <c r="K38" s="1779"/>
    </row>
    <row r="39" spans="1:11" ht="24" customHeight="1" thickBot="1" x14ac:dyDescent="0.3">
      <c r="A39" s="245"/>
      <c r="B39" s="353" t="s">
        <v>36</v>
      </c>
      <c r="C39" s="354"/>
      <c r="D39" s="1777" t="s">
        <v>346</v>
      </c>
      <c r="E39" s="1778"/>
      <c r="F39" s="1778"/>
      <c r="G39" s="1778"/>
      <c r="H39" s="1778"/>
      <c r="I39" s="1778"/>
      <c r="J39" s="1778"/>
      <c r="K39" s="1779"/>
    </row>
    <row r="40" spans="1:11" ht="15.75" thickBot="1" x14ac:dyDescent="0.3">
      <c r="A40" s="245"/>
      <c r="B40" s="249"/>
      <c r="C40" s="250"/>
      <c r="D40" s="248"/>
      <c r="E40" s="248"/>
      <c r="F40" s="248"/>
      <c r="G40" s="248"/>
      <c r="H40" s="248"/>
      <c r="I40" s="248"/>
      <c r="J40" s="248"/>
      <c r="K40" s="248"/>
    </row>
    <row r="41" spans="1:11" ht="24" customHeight="1" thickBot="1" x14ac:dyDescent="0.3">
      <c r="A41" s="245"/>
      <c r="B41" s="1765" t="s">
        <v>38</v>
      </c>
      <c r="C41" s="1766"/>
      <c r="D41" s="1766"/>
      <c r="E41" s="1767"/>
      <c r="F41" s="248"/>
      <c r="G41" s="248"/>
      <c r="H41" s="248"/>
      <c r="I41" s="248"/>
      <c r="J41" s="248"/>
      <c r="K41" s="248"/>
    </row>
    <row r="42" spans="1:11" ht="15.75" thickBot="1" x14ac:dyDescent="0.3">
      <c r="A42" s="245"/>
      <c r="B42" s="1768">
        <v>1</v>
      </c>
      <c r="C42" s="272"/>
      <c r="D42" s="289" t="s">
        <v>39</v>
      </c>
      <c r="E42" s="31" t="s">
        <v>2849</v>
      </c>
      <c r="F42" s="248"/>
      <c r="G42" s="248"/>
      <c r="H42" s="248"/>
      <c r="I42" s="248"/>
      <c r="J42" s="248"/>
      <c r="K42" s="248"/>
    </row>
    <row r="43" spans="1:11" ht="15.75" thickBot="1" x14ac:dyDescent="0.3">
      <c r="A43" s="245"/>
      <c r="B43" s="1769"/>
      <c r="C43" s="272"/>
      <c r="D43" s="275" t="s">
        <v>40</v>
      </c>
      <c r="E43" s="31" t="s">
        <v>3278</v>
      </c>
      <c r="F43" s="248"/>
      <c r="G43" s="248"/>
      <c r="H43" s="248"/>
      <c r="I43" s="248"/>
      <c r="J43" s="248"/>
      <c r="K43" s="248"/>
    </row>
    <row r="44" spans="1:11" ht="15.75" thickBot="1" x14ac:dyDescent="0.3">
      <c r="A44" s="245"/>
      <c r="B44" s="1769"/>
      <c r="C44" s="272"/>
      <c r="D44" s="275" t="s">
        <v>41</v>
      </c>
      <c r="E44" s="31" t="s">
        <v>3270</v>
      </c>
      <c r="F44" s="248"/>
      <c r="G44" s="248"/>
      <c r="H44" s="248"/>
      <c r="I44" s="248"/>
      <c r="J44" s="248"/>
      <c r="K44" s="248"/>
    </row>
    <row r="45" spans="1:11" ht="15.75" thickBot="1" x14ac:dyDescent="0.3">
      <c r="A45" s="245"/>
      <c r="B45" s="1769"/>
      <c r="C45" s="272"/>
      <c r="D45" s="275" t="s">
        <v>42</v>
      </c>
      <c r="E45" s="31" t="s">
        <v>3326</v>
      </c>
      <c r="F45" s="248"/>
      <c r="G45" s="248"/>
      <c r="H45" s="248"/>
      <c r="I45" s="248"/>
      <c r="J45" s="248"/>
      <c r="K45" s="248"/>
    </row>
    <row r="46" spans="1:11" ht="15.75" thickBot="1" x14ac:dyDescent="0.3">
      <c r="A46" s="245"/>
      <c r="B46" s="1769"/>
      <c r="C46" s="272"/>
      <c r="D46" s="275" t="s">
        <v>43</v>
      </c>
      <c r="E46" s="1219" t="s">
        <v>3271</v>
      </c>
      <c r="F46" s="248"/>
      <c r="G46" s="248"/>
      <c r="H46" s="248"/>
      <c r="I46" s="248"/>
      <c r="J46" s="248"/>
      <c r="K46" s="248"/>
    </row>
    <row r="47" spans="1:11" ht="15.75" thickBot="1" x14ac:dyDescent="0.3">
      <c r="A47" s="245"/>
      <c r="B47" s="1769"/>
      <c r="C47" s="272"/>
      <c r="D47" s="275" t="s">
        <v>44</v>
      </c>
      <c r="E47" s="31" t="s">
        <v>3327</v>
      </c>
      <c r="F47" s="248"/>
      <c r="G47" s="248"/>
      <c r="H47" s="248"/>
      <c r="I47" s="248"/>
      <c r="J47" s="248"/>
      <c r="K47" s="248"/>
    </row>
    <row r="48" spans="1:11" ht="15.75" thickBot="1" x14ac:dyDescent="0.3">
      <c r="A48" s="245"/>
      <c r="B48" s="1770"/>
      <c r="C48" s="282"/>
      <c r="D48" s="275" t="s">
        <v>45</v>
      </c>
      <c r="E48" s="31" t="s">
        <v>2852</v>
      </c>
      <c r="F48" s="248"/>
      <c r="G48" s="248"/>
      <c r="H48" s="248"/>
      <c r="I48" s="248"/>
      <c r="J48" s="248"/>
      <c r="K48" s="248"/>
    </row>
    <row r="49" spans="1:11" ht="15.75" thickBot="1" x14ac:dyDescent="0.3">
      <c r="A49" s="245"/>
      <c r="B49" s="249"/>
      <c r="C49" s="250"/>
      <c r="D49" s="248"/>
      <c r="E49" s="248"/>
      <c r="F49" s="248"/>
      <c r="G49" s="248"/>
      <c r="H49" s="248"/>
      <c r="I49" s="248"/>
      <c r="J49" s="248"/>
      <c r="K49" s="248"/>
    </row>
    <row r="50" spans="1:11" ht="15.75" thickBot="1" x14ac:dyDescent="0.3">
      <c r="A50" s="245"/>
      <c r="B50" s="1765" t="s">
        <v>46</v>
      </c>
      <c r="C50" s="1766"/>
      <c r="D50" s="1766"/>
      <c r="E50" s="1767"/>
      <c r="F50" s="248"/>
      <c r="G50" s="248"/>
      <c r="H50" s="248"/>
      <c r="I50" s="248"/>
      <c r="J50" s="248"/>
      <c r="K50" s="248"/>
    </row>
    <row r="51" spans="1:11" ht="15.75" thickBot="1" x14ac:dyDescent="0.3">
      <c r="A51" s="245"/>
      <c r="B51" s="1768">
        <v>1</v>
      </c>
      <c r="C51" s="272"/>
      <c r="D51" s="289" t="s">
        <v>39</v>
      </c>
      <c r="E51" s="444" t="s">
        <v>47</v>
      </c>
      <c r="F51" s="248"/>
      <c r="G51" s="248"/>
      <c r="H51" s="248"/>
      <c r="I51" s="248"/>
      <c r="J51" s="248"/>
      <c r="K51" s="248"/>
    </row>
    <row r="52" spans="1:11" ht="15.75" thickBot="1" x14ac:dyDescent="0.3">
      <c r="A52" s="245"/>
      <c r="B52" s="1769"/>
      <c r="C52" s="272"/>
      <c r="D52" s="275" t="s">
        <v>40</v>
      </c>
      <c r="E52" s="444" t="s">
        <v>160</v>
      </c>
      <c r="F52" s="248"/>
      <c r="G52" s="248"/>
      <c r="H52" s="248"/>
      <c r="I52" s="248"/>
      <c r="J52" s="248"/>
      <c r="K52" s="248"/>
    </row>
    <row r="53" spans="1:11" ht="15.75" thickBot="1" x14ac:dyDescent="0.3">
      <c r="A53" s="245"/>
      <c r="B53" s="1769"/>
      <c r="C53" s="272"/>
      <c r="D53" s="275" t="s">
        <v>41</v>
      </c>
      <c r="E53" s="315"/>
      <c r="F53" s="248"/>
      <c r="G53" s="248"/>
      <c r="H53" s="248"/>
      <c r="I53" s="248"/>
      <c r="J53" s="248"/>
      <c r="K53" s="248"/>
    </row>
    <row r="54" spans="1:11" ht="15.75" thickBot="1" x14ac:dyDescent="0.3">
      <c r="A54" s="245"/>
      <c r="B54" s="1769"/>
      <c r="C54" s="272"/>
      <c r="D54" s="275" t="s">
        <v>42</v>
      </c>
      <c r="E54" s="315"/>
      <c r="F54" s="248"/>
      <c r="G54" s="248"/>
      <c r="H54" s="248"/>
      <c r="I54" s="248"/>
      <c r="J54" s="248"/>
      <c r="K54" s="248"/>
    </row>
    <row r="55" spans="1:11" ht="15.75" thickBot="1" x14ac:dyDescent="0.3">
      <c r="A55" s="245"/>
      <c r="B55" s="1769"/>
      <c r="C55" s="272"/>
      <c r="D55" s="275" t="s">
        <v>43</v>
      </c>
      <c r="E55" s="315"/>
      <c r="F55" s="248"/>
      <c r="G55" s="248"/>
      <c r="H55" s="248"/>
      <c r="I55" s="248"/>
      <c r="J55" s="248"/>
      <c r="K55" s="248"/>
    </row>
    <row r="56" spans="1:11" ht="15.75" thickBot="1" x14ac:dyDescent="0.3">
      <c r="A56" s="245"/>
      <c r="B56" s="1769"/>
      <c r="C56" s="272"/>
      <c r="D56" s="275" t="s">
        <v>44</v>
      </c>
      <c r="E56" s="315"/>
      <c r="F56" s="248"/>
      <c r="G56" s="248"/>
      <c r="H56" s="248"/>
      <c r="I56" s="248"/>
      <c r="J56" s="248"/>
      <c r="K56" s="248"/>
    </row>
    <row r="57" spans="1:11" ht="15.75" thickBot="1" x14ac:dyDescent="0.3">
      <c r="A57" s="245"/>
      <c r="B57" s="1770"/>
      <c r="C57" s="282"/>
      <c r="D57" s="275" t="s">
        <v>45</v>
      </c>
      <c r="E57" s="315"/>
      <c r="F57" s="248"/>
      <c r="G57" s="248"/>
      <c r="H57" s="248"/>
      <c r="I57" s="248"/>
      <c r="J57" s="248"/>
      <c r="K57" s="248"/>
    </row>
    <row r="58" spans="1:11" ht="15.75" thickBot="1" x14ac:dyDescent="0.3">
      <c r="A58" s="245"/>
      <c r="B58" s="249"/>
      <c r="C58" s="250"/>
      <c r="D58" s="248"/>
      <c r="E58" s="248"/>
      <c r="F58" s="248"/>
      <c r="G58" s="248"/>
      <c r="H58" s="248"/>
      <c r="I58" s="248"/>
      <c r="J58" s="248"/>
      <c r="K58" s="248"/>
    </row>
    <row r="59" spans="1:11" ht="15" customHeight="1" thickBot="1" x14ac:dyDescent="0.3">
      <c r="A59" s="245"/>
      <c r="B59" s="291" t="s">
        <v>49</v>
      </c>
      <c r="C59" s="292"/>
      <c r="D59" s="292"/>
      <c r="E59" s="293"/>
      <c r="F59" s="245"/>
      <c r="G59" s="248"/>
      <c r="H59" s="248"/>
      <c r="I59" s="248"/>
      <c r="J59" s="248"/>
      <c r="K59" s="248"/>
    </row>
    <row r="60" spans="1:11" ht="24.75" thickBot="1" x14ac:dyDescent="0.3">
      <c r="A60" s="245"/>
      <c r="B60" s="285" t="s">
        <v>50</v>
      </c>
      <c r="C60" s="275" t="s">
        <v>51</v>
      </c>
      <c r="D60" s="275" t="s">
        <v>52</v>
      </c>
      <c r="E60" s="275" t="s">
        <v>53</v>
      </c>
      <c r="F60" s="248"/>
      <c r="G60" s="248"/>
      <c r="H60" s="248"/>
      <c r="I60" s="248"/>
      <c r="J60" s="248"/>
      <c r="K60" s="245"/>
    </row>
    <row r="61" spans="1:11" ht="72.75" thickBot="1" x14ac:dyDescent="0.3">
      <c r="A61" s="245"/>
      <c r="B61" s="295">
        <v>42401</v>
      </c>
      <c r="C61" s="275">
        <v>0.01</v>
      </c>
      <c r="D61" s="296" t="s">
        <v>347</v>
      </c>
      <c r="E61" s="275"/>
      <c r="F61" s="248"/>
      <c r="G61" s="248"/>
      <c r="H61" s="248"/>
      <c r="I61" s="248"/>
      <c r="J61" s="248"/>
      <c r="K61" s="245"/>
    </row>
    <row r="62" spans="1:11" ht="15.75" thickBot="1" x14ac:dyDescent="0.3">
      <c r="A62" s="245"/>
      <c r="B62" s="308"/>
      <c r="C62" s="309"/>
      <c r="D62" s="248"/>
      <c r="E62" s="248"/>
      <c r="F62" s="248"/>
      <c r="G62" s="248"/>
      <c r="H62" s="248"/>
      <c r="I62" s="248"/>
      <c r="J62" s="248"/>
      <c r="K62" s="248"/>
    </row>
    <row r="63" spans="1:11" ht="15.75" thickBot="1" x14ac:dyDescent="0.3">
      <c r="A63" s="245"/>
      <c r="B63" s="335" t="s">
        <v>55</v>
      </c>
      <c r="C63" s="298"/>
      <c r="D63" s="248"/>
      <c r="E63" s="248"/>
      <c r="F63" s="248"/>
      <c r="G63" s="248"/>
      <c r="H63" s="248"/>
      <c r="I63" s="248"/>
      <c r="J63" s="248"/>
      <c r="K63" s="248"/>
    </row>
    <row r="64" spans="1:11" x14ac:dyDescent="0.25">
      <c r="A64" s="245"/>
      <c r="B64" s="1819"/>
      <c r="C64" s="1820"/>
      <c r="D64" s="1820"/>
      <c r="E64" s="1820"/>
      <c r="F64" s="248"/>
      <c r="G64" s="248"/>
      <c r="H64" s="248"/>
      <c r="I64" s="248"/>
      <c r="J64" s="248"/>
      <c r="K64" s="248"/>
    </row>
    <row r="65" spans="1:11" x14ac:dyDescent="0.25">
      <c r="A65" s="245"/>
      <c r="B65" s="1819"/>
      <c r="C65" s="1820"/>
      <c r="D65" s="1820"/>
      <c r="E65" s="1820"/>
      <c r="F65" s="248"/>
      <c r="G65" s="248"/>
      <c r="H65" s="248"/>
      <c r="I65" s="248"/>
      <c r="J65" s="248"/>
      <c r="K65" s="248"/>
    </row>
    <row r="66" spans="1:11" ht="15.75" thickBot="1" x14ac:dyDescent="0.3">
      <c r="A66" s="245"/>
      <c r="B66" s="248"/>
      <c r="C66" s="265"/>
      <c r="D66" s="248"/>
      <c r="E66" s="248"/>
      <c r="F66" s="248"/>
      <c r="G66" s="248"/>
      <c r="H66" s="248"/>
      <c r="I66" s="248"/>
      <c r="J66" s="248"/>
      <c r="K66" s="248"/>
    </row>
    <row r="67" spans="1:11" ht="24.75" thickBot="1" x14ac:dyDescent="0.3">
      <c r="A67" s="245"/>
      <c r="B67" s="310" t="s">
        <v>56</v>
      </c>
      <c r="C67" s="311"/>
      <c r="D67" s="248"/>
      <c r="E67" s="248"/>
      <c r="F67" s="248"/>
      <c r="G67" s="248"/>
      <c r="H67" s="248"/>
      <c r="I67" s="248"/>
      <c r="J67" s="248"/>
      <c r="K67" s="248"/>
    </row>
    <row r="68" spans="1:11" ht="15.75" thickBot="1" x14ac:dyDescent="0.3">
      <c r="A68" s="245"/>
      <c r="B68" s="318"/>
      <c r="C68" s="304"/>
      <c r="D68" s="248"/>
      <c r="E68" s="248"/>
      <c r="F68" s="248"/>
      <c r="G68" s="248"/>
      <c r="H68" s="248"/>
      <c r="I68" s="248"/>
      <c r="J68" s="248"/>
      <c r="K68" s="248"/>
    </row>
    <row r="69" spans="1:11" ht="60.75" thickBot="1" x14ac:dyDescent="0.3">
      <c r="A69" s="245"/>
      <c r="B69" s="299" t="s">
        <v>57</v>
      </c>
      <c r="C69" s="279"/>
      <c r="D69" s="273" t="s">
        <v>315</v>
      </c>
      <c r="E69" s="248"/>
      <c r="F69" s="248"/>
      <c r="G69" s="248"/>
      <c r="H69" s="248"/>
      <c r="I69" s="248"/>
      <c r="J69" s="248"/>
      <c r="K69" s="248"/>
    </row>
    <row r="70" spans="1:11" x14ac:dyDescent="0.25">
      <c r="A70" s="245"/>
      <c r="B70" s="1768" t="s">
        <v>59</v>
      </c>
      <c r="C70" s="272"/>
      <c r="D70" s="312" t="s">
        <v>60</v>
      </c>
      <c r="E70" s="248"/>
      <c r="F70" s="248"/>
      <c r="G70" s="248"/>
      <c r="H70" s="248"/>
      <c r="I70" s="248"/>
      <c r="J70" s="248"/>
      <c r="K70" s="248"/>
    </row>
    <row r="71" spans="1:11" ht="72" x14ac:dyDescent="0.25">
      <c r="A71" s="245"/>
      <c r="B71" s="1769"/>
      <c r="C71" s="272"/>
      <c r="D71" s="313" t="s">
        <v>316</v>
      </c>
      <c r="E71" s="248"/>
      <c r="F71" s="248"/>
      <c r="G71" s="248"/>
      <c r="H71" s="248"/>
      <c r="I71" s="248"/>
      <c r="J71" s="248"/>
      <c r="K71" s="248"/>
    </row>
    <row r="72" spans="1:11" x14ac:dyDescent="0.25">
      <c r="A72" s="245"/>
      <c r="B72" s="1769"/>
      <c r="C72" s="272"/>
      <c r="D72" s="312" t="s">
        <v>317</v>
      </c>
      <c r="E72" s="248"/>
      <c r="F72" s="248"/>
      <c r="G72" s="248"/>
      <c r="H72" s="248"/>
      <c r="I72" s="248"/>
      <c r="J72" s="248"/>
      <c r="K72" s="248"/>
    </row>
    <row r="73" spans="1:11" x14ac:dyDescent="0.25">
      <c r="A73" s="245"/>
      <c r="B73" s="1769"/>
      <c r="C73" s="272"/>
      <c r="D73" s="313" t="s">
        <v>318</v>
      </c>
      <c r="E73" s="248"/>
      <c r="F73" s="248"/>
      <c r="G73" s="248"/>
      <c r="H73" s="248"/>
      <c r="I73" s="248"/>
      <c r="J73" s="248"/>
      <c r="K73" s="248"/>
    </row>
    <row r="74" spans="1:11" ht="60" x14ac:dyDescent="0.25">
      <c r="A74" s="245"/>
      <c r="B74" s="1769"/>
      <c r="C74" s="272"/>
      <c r="D74" s="313" t="s">
        <v>319</v>
      </c>
      <c r="E74" s="248"/>
      <c r="F74" s="248"/>
      <c r="G74" s="248"/>
      <c r="H74" s="248"/>
      <c r="I74" s="248"/>
      <c r="J74" s="248"/>
      <c r="K74" s="248"/>
    </row>
    <row r="75" spans="1:11" ht="252" x14ac:dyDescent="0.25">
      <c r="A75" s="245"/>
      <c r="B75" s="1769"/>
      <c r="C75" s="272"/>
      <c r="D75" s="313" t="s">
        <v>320</v>
      </c>
      <c r="E75" s="248"/>
      <c r="F75" s="248"/>
      <c r="G75" s="248"/>
      <c r="H75" s="248"/>
      <c r="I75" s="248"/>
      <c r="J75" s="248"/>
      <c r="K75" s="248"/>
    </row>
    <row r="76" spans="1:11" x14ac:dyDescent="0.25">
      <c r="A76" s="245"/>
      <c r="B76" s="1769"/>
      <c r="C76" s="272"/>
      <c r="D76" s="312" t="s">
        <v>288</v>
      </c>
      <c r="E76" s="248"/>
      <c r="F76" s="248"/>
      <c r="G76" s="248"/>
      <c r="H76" s="248"/>
      <c r="I76" s="248"/>
      <c r="J76" s="248"/>
      <c r="K76" s="248"/>
    </row>
    <row r="77" spans="1:11" ht="15.75" thickBot="1" x14ac:dyDescent="0.3">
      <c r="A77" s="245"/>
      <c r="B77" s="1770"/>
      <c r="C77" s="282"/>
      <c r="D77" s="275" t="s">
        <v>321</v>
      </c>
      <c r="E77" s="248"/>
      <c r="F77" s="248"/>
      <c r="G77" s="248"/>
      <c r="H77" s="248"/>
      <c r="I77" s="248"/>
      <c r="J77" s="248"/>
      <c r="K77" s="248"/>
    </row>
    <row r="78" spans="1:11" x14ac:dyDescent="0.25">
      <c r="A78" s="245"/>
      <c r="B78" s="1768" t="s">
        <v>72</v>
      </c>
      <c r="C78" s="349"/>
      <c r="D78" s="1768"/>
      <c r="E78" s="248"/>
      <c r="F78" s="248"/>
      <c r="G78" s="248"/>
      <c r="H78" s="248"/>
      <c r="I78" s="248"/>
      <c r="J78" s="248"/>
      <c r="K78" s="248"/>
    </row>
    <row r="79" spans="1:11" ht="15.75" thickBot="1" x14ac:dyDescent="0.3">
      <c r="A79" s="245"/>
      <c r="B79" s="1770"/>
      <c r="C79" s="355"/>
      <c r="D79" s="1770"/>
      <c r="E79" s="248"/>
      <c r="F79" s="248"/>
      <c r="G79" s="248"/>
      <c r="H79" s="248"/>
      <c r="I79" s="248"/>
      <c r="J79" s="248"/>
      <c r="K79" s="248"/>
    </row>
    <row r="80" spans="1:11" ht="180" x14ac:dyDescent="0.25">
      <c r="A80" s="245"/>
      <c r="B80" s="1768" t="s">
        <v>73</v>
      </c>
      <c r="C80" s="272"/>
      <c r="D80" s="313" t="s">
        <v>322</v>
      </c>
      <c r="E80" s="248"/>
      <c r="F80" s="248"/>
      <c r="G80" s="248"/>
      <c r="H80" s="248"/>
      <c r="I80" s="248"/>
      <c r="J80" s="248"/>
      <c r="K80" s="248"/>
    </row>
    <row r="81" spans="1:11" ht="120" x14ac:dyDescent="0.25">
      <c r="A81" s="245"/>
      <c r="B81" s="1769"/>
      <c r="C81" s="272"/>
      <c r="D81" s="313" t="s">
        <v>323</v>
      </c>
      <c r="E81" s="248"/>
      <c r="F81" s="248"/>
      <c r="G81" s="248"/>
      <c r="H81" s="248"/>
      <c r="I81" s="248"/>
      <c r="J81" s="248"/>
      <c r="K81" s="248"/>
    </row>
    <row r="82" spans="1:11" ht="120" x14ac:dyDescent="0.25">
      <c r="A82" s="245"/>
      <c r="B82" s="1769"/>
      <c r="C82" s="272"/>
      <c r="D82" s="313" t="s">
        <v>324</v>
      </c>
      <c r="E82" s="248"/>
      <c r="F82" s="248"/>
      <c r="G82" s="248"/>
      <c r="H82" s="248"/>
      <c r="I82" s="248"/>
      <c r="J82" s="248"/>
      <c r="K82" s="248"/>
    </row>
    <row r="83" spans="1:11" ht="84" x14ac:dyDescent="0.25">
      <c r="A83" s="245"/>
      <c r="B83" s="1769"/>
      <c r="C83" s="272"/>
      <c r="D83" s="313" t="s">
        <v>325</v>
      </c>
      <c r="E83" s="248"/>
      <c r="F83" s="248"/>
      <c r="G83" s="248"/>
      <c r="H83" s="248"/>
      <c r="I83" s="248"/>
      <c r="J83" s="248"/>
      <c r="K83" s="248"/>
    </row>
    <row r="84" spans="1:11" ht="72" x14ac:dyDescent="0.25">
      <c r="A84" s="245"/>
      <c r="B84" s="1769"/>
      <c r="C84" s="272"/>
      <c r="D84" s="313" t="s">
        <v>326</v>
      </c>
      <c r="E84" s="248"/>
      <c r="F84" s="248"/>
      <c r="G84" s="248"/>
      <c r="H84" s="248"/>
      <c r="I84" s="248"/>
      <c r="J84" s="248"/>
      <c r="K84" s="248"/>
    </row>
    <row r="85" spans="1:11" ht="192" x14ac:dyDescent="0.25">
      <c r="A85" s="245"/>
      <c r="B85" s="1769"/>
      <c r="C85" s="272"/>
      <c r="D85" s="313" t="s">
        <v>327</v>
      </c>
      <c r="E85" s="248"/>
      <c r="F85" s="248"/>
      <c r="G85" s="248"/>
      <c r="H85" s="248"/>
      <c r="I85" s="248"/>
      <c r="J85" s="248"/>
      <c r="K85" s="248"/>
    </row>
    <row r="86" spans="1:11" ht="108.75" thickBot="1" x14ac:dyDescent="0.3">
      <c r="A86" s="245"/>
      <c r="B86" s="1770"/>
      <c r="C86" s="282"/>
      <c r="D86" s="275" t="s">
        <v>328</v>
      </c>
      <c r="E86" s="248"/>
      <c r="F86" s="248"/>
      <c r="G86" s="248"/>
      <c r="H86" s="248"/>
      <c r="I86" s="248"/>
      <c r="J86" s="248"/>
      <c r="K86" s="248"/>
    </row>
    <row r="87" spans="1:11" ht="24" x14ac:dyDescent="0.25">
      <c r="A87" s="245"/>
      <c r="B87" s="1768" t="s">
        <v>90</v>
      </c>
      <c r="C87" s="272"/>
      <c r="D87" s="312" t="s">
        <v>329</v>
      </c>
      <c r="E87" s="248"/>
      <c r="F87" s="248"/>
      <c r="G87" s="248"/>
      <c r="H87" s="248"/>
      <c r="I87" s="248"/>
      <c r="J87" s="248"/>
      <c r="K87" s="248"/>
    </row>
    <row r="88" spans="1:11" x14ac:dyDescent="0.25">
      <c r="A88" s="245"/>
      <c r="B88" s="1769"/>
      <c r="C88" s="272"/>
      <c r="D88" s="314"/>
      <c r="E88" s="248"/>
      <c r="F88" s="248"/>
      <c r="G88" s="248"/>
      <c r="H88" s="248"/>
      <c r="I88" s="248"/>
      <c r="J88" s="248"/>
      <c r="K88" s="248"/>
    </row>
    <row r="89" spans="1:11" x14ac:dyDescent="0.25">
      <c r="A89" s="245"/>
      <c r="B89" s="1769"/>
      <c r="C89" s="272"/>
      <c r="D89" s="313" t="s">
        <v>91</v>
      </c>
      <c r="E89" s="248"/>
      <c r="F89" s="248"/>
      <c r="G89" s="248"/>
      <c r="H89" s="248"/>
      <c r="I89" s="248"/>
      <c r="J89" s="248"/>
      <c r="K89" s="248"/>
    </row>
    <row r="90" spans="1:11" ht="37.5" x14ac:dyDescent="0.25">
      <c r="A90" s="245"/>
      <c r="B90" s="1769"/>
      <c r="C90" s="272"/>
      <c r="D90" s="313" t="s">
        <v>330</v>
      </c>
      <c r="E90" s="248"/>
      <c r="F90" s="248"/>
      <c r="G90" s="248"/>
      <c r="H90" s="248"/>
      <c r="I90" s="248"/>
      <c r="J90" s="248"/>
      <c r="K90" s="248"/>
    </row>
    <row r="91" spans="1:11" ht="37.5" x14ac:dyDescent="0.25">
      <c r="A91" s="245"/>
      <c r="B91" s="1769"/>
      <c r="C91" s="272"/>
      <c r="D91" s="313" t="s">
        <v>331</v>
      </c>
      <c r="E91" s="248"/>
      <c r="F91" s="248"/>
      <c r="G91" s="248"/>
      <c r="H91" s="248"/>
      <c r="I91" s="248"/>
      <c r="J91" s="248"/>
      <c r="K91" s="248"/>
    </row>
    <row r="92" spans="1:11" ht="37.5" x14ac:dyDescent="0.25">
      <c r="A92" s="245"/>
      <c r="B92" s="1769"/>
      <c r="C92" s="272"/>
      <c r="D92" s="313" t="s">
        <v>332</v>
      </c>
      <c r="E92" s="248"/>
      <c r="F92" s="248"/>
      <c r="G92" s="248"/>
      <c r="H92" s="248"/>
      <c r="I92" s="248"/>
      <c r="J92" s="248"/>
      <c r="K92" s="248"/>
    </row>
    <row r="93" spans="1:11" ht="84" x14ac:dyDescent="0.25">
      <c r="A93" s="245"/>
      <c r="B93" s="1769"/>
      <c r="C93" s="272"/>
      <c r="D93" s="356" t="s">
        <v>235</v>
      </c>
      <c r="E93" s="248"/>
      <c r="F93" s="248"/>
      <c r="G93" s="248"/>
      <c r="H93" s="248"/>
      <c r="I93" s="248"/>
      <c r="J93" s="248"/>
      <c r="K93" s="248"/>
    </row>
    <row r="94" spans="1:11" x14ac:dyDescent="0.25">
      <c r="A94" s="245"/>
      <c r="B94" s="1769"/>
      <c r="C94" s="272"/>
      <c r="D94" s="312" t="s">
        <v>246</v>
      </c>
      <c r="E94" s="248"/>
      <c r="F94" s="248"/>
      <c r="G94" s="248"/>
      <c r="H94" s="248"/>
      <c r="I94" s="248"/>
      <c r="J94" s="248"/>
      <c r="K94" s="248"/>
    </row>
    <row r="95" spans="1:11" ht="36" x14ac:dyDescent="0.25">
      <c r="A95" s="245"/>
      <c r="B95" s="1769"/>
      <c r="C95" s="272"/>
      <c r="D95" s="312" t="s">
        <v>333</v>
      </c>
      <c r="E95" s="248"/>
      <c r="F95" s="248"/>
      <c r="G95" s="248"/>
      <c r="H95" s="248"/>
      <c r="I95" s="248"/>
      <c r="J95" s="248"/>
      <c r="K95" s="248"/>
    </row>
    <row r="96" spans="1:11" x14ac:dyDescent="0.25">
      <c r="A96" s="245"/>
      <c r="B96" s="1769"/>
      <c r="C96" s="272"/>
      <c r="D96" s="314"/>
      <c r="E96" s="248"/>
      <c r="F96" s="248"/>
      <c r="G96" s="248"/>
      <c r="H96" s="248"/>
      <c r="I96" s="248"/>
      <c r="J96" s="248"/>
      <c r="K96" s="248"/>
    </row>
    <row r="97" spans="1:11" x14ac:dyDescent="0.25">
      <c r="A97" s="245"/>
      <c r="B97" s="1769"/>
      <c r="C97" s="272"/>
      <c r="D97" s="313" t="s">
        <v>91</v>
      </c>
      <c r="E97" s="248"/>
      <c r="F97" s="248"/>
      <c r="G97" s="248"/>
      <c r="H97" s="248"/>
      <c r="I97" s="248"/>
      <c r="J97" s="248"/>
      <c r="K97" s="248"/>
    </row>
    <row r="98" spans="1:11" ht="37.5" x14ac:dyDescent="0.25">
      <c r="A98" s="245"/>
      <c r="B98" s="1769"/>
      <c r="C98" s="272"/>
      <c r="D98" s="313" t="s">
        <v>334</v>
      </c>
      <c r="E98" s="248"/>
      <c r="F98" s="248"/>
      <c r="G98" s="248"/>
      <c r="H98" s="248"/>
      <c r="I98" s="248"/>
      <c r="J98" s="248"/>
      <c r="K98" s="248"/>
    </row>
    <row r="99" spans="1:11" ht="62.25" thickBot="1" x14ac:dyDescent="0.3">
      <c r="A99" s="245"/>
      <c r="B99" s="1770"/>
      <c r="C99" s="282"/>
      <c r="D99" s="275" t="s">
        <v>335</v>
      </c>
      <c r="E99" s="248"/>
      <c r="F99" s="248"/>
      <c r="G99" s="248"/>
      <c r="H99" s="248"/>
      <c r="I99" s="248"/>
      <c r="J99" s="248"/>
      <c r="K99" s="248"/>
    </row>
  </sheetData>
  <mergeCells count="28">
    <mergeCell ref="A1:P1"/>
    <mergeCell ref="A2:P2"/>
    <mergeCell ref="A3:P3"/>
    <mergeCell ref="A4:D4"/>
    <mergeCell ref="A5:P5"/>
    <mergeCell ref="B64:E65"/>
    <mergeCell ref="D15:K15"/>
    <mergeCell ref="D20:K20"/>
    <mergeCell ref="D21:K21"/>
    <mergeCell ref="D22:K22"/>
    <mergeCell ref="B15:B19"/>
    <mergeCell ref="B51:B57"/>
    <mergeCell ref="D23:K23"/>
    <mergeCell ref="D38:K38"/>
    <mergeCell ref="D39:K39"/>
    <mergeCell ref="B41:E41"/>
    <mergeCell ref="B42:B48"/>
    <mergeCell ref="B50:E50"/>
    <mergeCell ref="B70:B77"/>
    <mergeCell ref="B78:B79"/>
    <mergeCell ref="D78:D79"/>
    <mergeCell ref="B80:B86"/>
    <mergeCell ref="B87:B99"/>
    <mergeCell ref="B10:D10"/>
    <mergeCell ref="F10:S10"/>
    <mergeCell ref="F11:S11"/>
    <mergeCell ref="E12:R12"/>
    <mergeCell ref="E13:R13"/>
  </mergeCells>
  <conditionalFormatting sqref="F10">
    <cfRule type="notContainsBlanks" dxfId="101" priority="4">
      <formula>LEN(TRIM(F10))&gt;0</formula>
    </cfRule>
  </conditionalFormatting>
  <conditionalFormatting sqref="F11:S11">
    <cfRule type="expression" dxfId="100" priority="2">
      <formula>E11="NO SE REPORTA"</formula>
    </cfRule>
    <cfRule type="expression" dxfId="99" priority="3">
      <formula>E10="NO APLICA"</formula>
    </cfRule>
  </conditionalFormatting>
  <conditionalFormatting sqref="E12:R12">
    <cfRule type="expression" dxfId="98" priority="1">
      <formula>E11="SI SE REPORTA"</formula>
    </cfRule>
  </conditionalFormatting>
  <dataValidations count="6">
    <dataValidation type="whole" operator="greaterThanOrEqual" allowBlank="1" showInputMessage="1" showErrorMessage="1" errorTitle="ERROR" error="Valor en PESOS (sin centavos)" sqref="G25:J36" xr:uid="{00000000-0002-0000-1200-000000000000}">
      <formula1>0</formula1>
    </dataValidation>
    <dataValidation type="whole" operator="greaterThanOrEqual" allowBlank="1" showInputMessage="1" showErrorMessage="1" errorTitle="ERROR" error="Valor en HECTAREAS (sin decimales)_x000a_" sqref="F25:F36 E17:F18 G18:H18" xr:uid="{00000000-0002-0000-1200-000001000000}">
      <formula1>0</formula1>
    </dataValidation>
    <dataValidation allowBlank="1" showInputMessage="1" showErrorMessage="1" promptTitle="OJO" prompt="NO TOCAR" sqref="F37:J37" xr:uid="{00000000-0002-0000-1200-000002000000}"/>
    <dataValidation allowBlank="1" showInputMessage="1" showErrorMessage="1" sqref="E19:H19" xr:uid="{00000000-0002-0000-1200-000003000000}"/>
    <dataValidation type="list" allowBlank="1" showInputMessage="1" showErrorMessage="1" sqref="E11" xr:uid="{00000000-0002-0000-1200-000004000000}">
      <formula1>REPORTE</formula1>
    </dataValidation>
    <dataValidation type="list" allowBlank="1" showInputMessage="1" showErrorMessage="1" sqref="E10" xr:uid="{00000000-0002-0000-1200-000005000000}">
      <formula1>SI</formula1>
    </dataValidation>
  </dataValidations>
  <hyperlinks>
    <hyperlink ref="B9" location="'ANEXO 3'!A1" display="VOLVER AL INDICE" xr:uid="{00000000-0004-0000-1200-000000000000}"/>
    <hyperlink ref="E46" r:id="rId1" xr:uid="{00000000-0004-0000-1200-000001000000}"/>
  </hyperlinks>
  <pageMargins left="0.25" right="0.25" top="0.75" bottom="0.75" header="0.3" footer="0.3"/>
  <pageSetup paperSize="178"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AF221"/>
  <sheetViews>
    <sheetView tabSelected="1" topLeftCell="A5" zoomScale="80" zoomScaleNormal="80" zoomScaleSheetLayoutView="75" workbookViewId="0">
      <pane xSplit="3" ySplit="5" topLeftCell="D10" activePane="bottomRight" state="frozen"/>
      <selection activeCell="A5" sqref="A5"/>
      <selection pane="topRight" activeCell="D5" sqref="D5"/>
      <selection pane="bottomLeft" activeCell="A10" sqref="A10"/>
      <selection pane="bottomRight" activeCell="J18" sqref="J18"/>
    </sheetView>
  </sheetViews>
  <sheetFormatPr baseColWidth="10" defaultRowHeight="12.75" x14ac:dyDescent="0.25"/>
  <cols>
    <col min="1" max="2" width="24.42578125" style="540" customWidth="1"/>
    <col min="3" max="3" width="8.7109375" style="540" customWidth="1"/>
    <col min="4" max="4" width="10" style="540" customWidth="1"/>
    <col min="5" max="5" width="11.42578125" style="540" customWidth="1"/>
    <col min="6" max="6" width="12.140625" style="540" customWidth="1"/>
    <col min="7" max="7" width="11.42578125" style="540" customWidth="1"/>
    <col min="8" max="8" width="16.140625" style="540" customWidth="1"/>
    <col min="9" max="9" width="10.5703125" style="540" customWidth="1"/>
    <col min="10" max="10" width="11.5703125" style="540" customWidth="1"/>
    <col min="11" max="11" width="16.140625" style="540" customWidth="1"/>
    <col min="12" max="12" width="14.140625" style="540" customWidth="1"/>
    <col min="13" max="13" width="12.85546875" style="540" customWidth="1"/>
    <col min="14" max="14" width="14" style="540" customWidth="1"/>
    <col min="15" max="15" width="17" style="540" customWidth="1"/>
    <col min="16" max="16" width="18.85546875" style="540" customWidth="1"/>
    <col min="17" max="17" width="16.85546875" style="540" customWidth="1"/>
    <col min="18" max="18" width="18.7109375" style="540" customWidth="1"/>
    <col min="19" max="19" width="14.5703125" style="540" customWidth="1"/>
    <col min="20" max="20" width="18.28515625" style="540" customWidth="1"/>
    <col min="21" max="21" width="16.28515625" style="540" customWidth="1"/>
    <col min="22" max="22" width="19.5703125" style="540" customWidth="1"/>
    <col min="23" max="24" width="13" style="540" customWidth="1"/>
    <col min="25" max="25" width="24.5703125" style="540" customWidth="1"/>
    <col min="26" max="26" width="19.140625" style="540" customWidth="1"/>
    <col min="27" max="27" width="15.140625" style="540" customWidth="1"/>
    <col min="28" max="28" width="25" style="540" customWidth="1"/>
    <col min="29" max="29" width="20.7109375" style="540" customWidth="1"/>
    <col min="30" max="30" width="32.5703125" style="540" customWidth="1"/>
    <col min="31" max="31" width="15.7109375" style="540" customWidth="1"/>
    <col min="32" max="16384" width="11.42578125" style="540"/>
  </cols>
  <sheetData>
    <row r="1" spans="1:31" ht="130.5" customHeight="1" thickBot="1" x14ac:dyDescent="0.3">
      <c r="A1" s="1560"/>
      <c r="B1" s="1561"/>
      <c r="C1" s="1561"/>
      <c r="D1" s="1561"/>
      <c r="E1" s="1561"/>
      <c r="F1" s="1561"/>
      <c r="G1" s="1561"/>
      <c r="H1" s="1561"/>
      <c r="I1" s="1561"/>
      <c r="J1" s="1561"/>
      <c r="K1" s="1561"/>
      <c r="L1" s="1561"/>
      <c r="M1" s="1561"/>
      <c r="N1" s="1561"/>
      <c r="O1" s="1561"/>
      <c r="P1" s="1561"/>
      <c r="Q1" s="1561"/>
      <c r="R1" s="1561"/>
      <c r="S1" s="1561"/>
      <c r="T1" s="1561"/>
      <c r="U1" s="1561"/>
      <c r="V1" s="1561"/>
      <c r="W1" s="1561"/>
      <c r="X1" s="1561"/>
      <c r="Y1" s="1561"/>
      <c r="Z1" s="1561"/>
      <c r="AA1" s="1561"/>
      <c r="AB1" s="1561"/>
      <c r="AC1" s="1561"/>
      <c r="AD1" s="1561"/>
      <c r="AE1" s="1562"/>
    </row>
    <row r="2" spans="1:31" s="541" customFormat="1" ht="27.75" customHeight="1" x14ac:dyDescent="0.25">
      <c r="A2" s="1554" t="str">
        <f>+'Datos Generales'!C5</f>
        <v>Corporación Autónoma Regional de La Guajira – CORPOGUAJIRA</v>
      </c>
      <c r="B2" s="1555"/>
      <c r="C2" s="1555"/>
      <c r="D2" s="1555"/>
      <c r="E2" s="1555"/>
      <c r="F2" s="1555"/>
      <c r="G2" s="1555"/>
      <c r="H2" s="1555"/>
      <c r="I2" s="1555"/>
      <c r="J2" s="1555"/>
      <c r="K2" s="1555"/>
      <c r="L2" s="1555"/>
      <c r="M2" s="1555"/>
      <c r="N2" s="1555"/>
      <c r="O2" s="1555"/>
      <c r="P2" s="1555"/>
      <c r="Q2" s="1555"/>
      <c r="R2" s="1555"/>
      <c r="S2" s="1555"/>
      <c r="T2" s="1555"/>
      <c r="U2" s="1555"/>
      <c r="V2" s="1555"/>
      <c r="W2" s="1555"/>
      <c r="X2" s="1555"/>
      <c r="Y2" s="1555"/>
      <c r="Z2" s="1555"/>
      <c r="AA2" s="1555"/>
      <c r="AB2" s="1555"/>
      <c r="AC2" s="1555"/>
      <c r="AD2" s="1555"/>
      <c r="AE2" s="1556"/>
    </row>
    <row r="3" spans="1:31" s="541" customFormat="1" ht="33.75" customHeight="1" thickBot="1" x14ac:dyDescent="0.3">
      <c r="A3" s="1557" t="s">
        <v>1345</v>
      </c>
      <c r="B3" s="1558"/>
      <c r="C3" s="1558"/>
      <c r="D3" s="1558"/>
      <c r="E3" s="1558"/>
      <c r="F3" s="1558"/>
      <c r="G3" s="1558"/>
      <c r="H3" s="1558"/>
      <c r="I3" s="1558"/>
      <c r="J3" s="1558"/>
      <c r="K3" s="1558"/>
      <c r="L3" s="1558"/>
      <c r="M3" s="1558"/>
      <c r="N3" s="1558"/>
      <c r="O3" s="1558"/>
      <c r="P3" s="1558"/>
      <c r="Q3" s="1558"/>
      <c r="R3" s="1558"/>
      <c r="S3" s="1558"/>
      <c r="T3" s="1558"/>
      <c r="U3" s="1558"/>
      <c r="V3" s="1558"/>
      <c r="W3" s="1558"/>
      <c r="X3" s="1558"/>
      <c r="Y3" s="1558"/>
      <c r="Z3" s="1558"/>
      <c r="AA3" s="1558"/>
      <c r="AB3" s="1558"/>
      <c r="AC3" s="1558"/>
      <c r="AD3" s="1558"/>
      <c r="AE3" s="1559"/>
    </row>
    <row r="4" spans="1:31" s="541" customFormat="1" ht="16.5" thickBot="1" x14ac:dyDescent="0.3">
      <c r="A4" s="578" t="s">
        <v>1346</v>
      </c>
      <c r="B4" s="579"/>
      <c r="C4" s="579" t="str">
        <f>'Datos Generales'!C6</f>
        <v>2021-I</v>
      </c>
      <c r="D4" s="579"/>
      <c r="E4" s="579"/>
      <c r="F4" s="579"/>
      <c r="G4" s="579"/>
      <c r="H4" s="579"/>
      <c r="I4" s="579"/>
      <c r="J4" s="579"/>
      <c r="K4" s="579"/>
      <c r="L4" s="579"/>
      <c r="M4" s="579"/>
      <c r="N4" s="579"/>
      <c r="O4" s="579"/>
      <c r="P4" s="579"/>
      <c r="Q4" s="579"/>
      <c r="R4" s="579"/>
      <c r="S4" s="579"/>
      <c r="T4" s="579"/>
      <c r="U4" s="579"/>
      <c r="V4" s="579"/>
      <c r="W4" s="579"/>
      <c r="X4" s="579"/>
      <c r="Y4" s="579"/>
      <c r="Z4" s="579"/>
      <c r="AA4" s="579"/>
      <c r="AB4" s="579"/>
      <c r="AC4" s="579"/>
      <c r="AD4" s="579"/>
      <c r="AE4" s="580"/>
    </row>
    <row r="5" spans="1:31" ht="53.25" customHeight="1" thickBot="1" x14ac:dyDescent="0.3">
      <c r="A5" s="1589" t="s">
        <v>1857</v>
      </c>
      <c r="B5" s="1592" t="s">
        <v>1248</v>
      </c>
      <c r="C5" s="1593"/>
      <c r="D5" s="1593"/>
      <c r="E5" s="1593"/>
      <c r="F5" s="1593"/>
      <c r="G5" s="1593"/>
      <c r="H5" s="1593"/>
      <c r="I5" s="1593"/>
      <c r="J5" s="1593"/>
      <c r="K5" s="1593"/>
      <c r="L5" s="1593"/>
      <c r="M5" s="1593"/>
      <c r="N5" s="1593"/>
      <c r="O5" s="1593"/>
      <c r="P5" s="1594"/>
      <c r="Q5" s="1579" t="s">
        <v>1249</v>
      </c>
      <c r="R5" s="1580"/>
      <c r="S5" s="1580"/>
      <c r="T5" s="1580"/>
      <c r="U5" s="1580"/>
      <c r="V5" s="1580"/>
      <c r="W5" s="1580"/>
      <c r="X5" s="1580"/>
      <c r="Y5" s="1580"/>
      <c r="Z5" s="1580"/>
      <c r="AA5" s="1580"/>
      <c r="AB5" s="1586" t="s">
        <v>1869</v>
      </c>
      <c r="AC5" s="1567" t="s">
        <v>1832</v>
      </c>
      <c r="AD5" s="1570" t="s">
        <v>1833</v>
      </c>
      <c r="AE5" s="1573" t="s">
        <v>1834</v>
      </c>
    </row>
    <row r="6" spans="1:31" s="775" customFormat="1" ht="102" customHeight="1" thickBot="1" x14ac:dyDescent="0.3">
      <c r="A6" s="1590"/>
      <c r="B6" s="1034"/>
      <c r="C6" s="1621" t="s">
        <v>1250</v>
      </c>
      <c r="D6" s="1582" t="s">
        <v>1251</v>
      </c>
      <c r="E6" s="1583"/>
      <c r="F6" s="1582" t="s">
        <v>2643</v>
      </c>
      <c r="G6" s="1583"/>
      <c r="H6" s="768" t="s">
        <v>2642</v>
      </c>
      <c r="I6" s="1582" t="s">
        <v>1252</v>
      </c>
      <c r="J6" s="1583"/>
      <c r="K6" s="1584" t="s">
        <v>1253</v>
      </c>
      <c r="L6" s="1584" t="s">
        <v>1254</v>
      </c>
      <c r="M6" s="1563" t="s">
        <v>1255</v>
      </c>
      <c r="N6" s="1563" t="s">
        <v>1256</v>
      </c>
      <c r="O6" s="1563" t="s">
        <v>1257</v>
      </c>
      <c r="P6" s="1563" t="s">
        <v>1258</v>
      </c>
      <c r="Q6" s="1565" t="s">
        <v>1259</v>
      </c>
      <c r="R6" s="1565" t="s">
        <v>1260</v>
      </c>
      <c r="S6" s="1565" t="s">
        <v>1261</v>
      </c>
      <c r="T6" s="1565" t="s">
        <v>1871</v>
      </c>
      <c r="U6" s="1565" t="s">
        <v>1878</v>
      </c>
      <c r="V6" s="1565" t="s">
        <v>1879</v>
      </c>
      <c r="W6" s="1565" t="s">
        <v>2640</v>
      </c>
      <c r="X6" s="1565" t="s">
        <v>2641</v>
      </c>
      <c r="Y6" s="1595" t="s">
        <v>1866</v>
      </c>
      <c r="Z6" s="1595" t="s">
        <v>1867</v>
      </c>
      <c r="AA6" s="774" t="s">
        <v>1868</v>
      </c>
      <c r="AB6" s="1587"/>
      <c r="AC6" s="1568"/>
      <c r="AD6" s="1571"/>
      <c r="AE6" s="1574"/>
    </row>
    <row r="7" spans="1:31" ht="17.25" customHeight="1" thickBot="1" x14ac:dyDescent="0.3">
      <c r="A7" s="1591"/>
      <c r="B7" s="1006" t="s">
        <v>2908</v>
      </c>
      <c r="C7" s="1585"/>
      <c r="D7" s="767">
        <v>2020</v>
      </c>
      <c r="E7" s="767">
        <v>2021</v>
      </c>
      <c r="F7" s="767">
        <v>2020</v>
      </c>
      <c r="G7" s="767">
        <v>2021</v>
      </c>
      <c r="H7" s="767">
        <v>2020</v>
      </c>
      <c r="I7" s="767">
        <v>2020</v>
      </c>
      <c r="J7" s="767">
        <v>2021</v>
      </c>
      <c r="K7" s="1585"/>
      <c r="L7" s="1585"/>
      <c r="M7" s="1564"/>
      <c r="N7" s="1564"/>
      <c r="O7" s="1564"/>
      <c r="P7" s="1564"/>
      <c r="Q7" s="1566"/>
      <c r="R7" s="1566"/>
      <c r="S7" s="1566"/>
      <c r="T7" s="1566"/>
      <c r="U7" s="1566"/>
      <c r="V7" s="1566"/>
      <c r="W7" s="1566"/>
      <c r="X7" s="1566"/>
      <c r="Y7" s="1596"/>
      <c r="Z7" s="1596"/>
      <c r="AA7" s="776"/>
      <c r="AB7" s="1588"/>
      <c r="AC7" s="1569"/>
      <c r="AD7" s="1572"/>
      <c r="AE7" s="1575"/>
    </row>
    <row r="8" spans="1:31" ht="13.5" thickBot="1" x14ac:dyDescent="0.3">
      <c r="A8" s="1597" t="s">
        <v>2644</v>
      </c>
      <c r="B8" s="1598"/>
      <c r="C8" s="1598"/>
      <c r="D8" s="1599"/>
      <c r="E8" s="785"/>
      <c r="F8" s="777"/>
      <c r="G8" s="777"/>
      <c r="H8" s="777"/>
      <c r="I8" s="1243">
        <f>(I9+I19+I32)/3</f>
        <v>0.95000000000000007</v>
      </c>
      <c r="J8" s="1243">
        <f>(J9+J19+J32)/3</f>
        <v>0.97438660305102875</v>
      </c>
      <c r="K8" s="543"/>
      <c r="L8" s="771"/>
      <c r="M8" s="769"/>
      <c r="N8" s="1163"/>
      <c r="O8" s="1322" t="e">
        <f ca="1">SUM(O9+O19+O32)/3</f>
        <v>#DIV/0!</v>
      </c>
      <c r="P8" s="772">
        <f>+P9+P19+P32</f>
        <v>0.18</v>
      </c>
      <c r="Q8" s="1324">
        <f>SUM(Q9+Q19+Q32)</f>
        <v>4241263454.48</v>
      </c>
      <c r="R8" s="1324">
        <f>SUM(R9+R19+R32)</f>
        <v>2804514881.1700001</v>
      </c>
      <c r="S8" s="726">
        <f>+R8/Q8</f>
        <v>0.66124514811915813</v>
      </c>
      <c r="T8" s="1324">
        <f>SUM(T9+T19+T32)</f>
        <v>1569565511.6799998</v>
      </c>
      <c r="U8" s="726">
        <f>+T8/R8</f>
        <v>0.55965668865525919</v>
      </c>
      <c r="V8" s="1324">
        <f>SUM(V9+V19+V32)</f>
        <v>1234949369.49</v>
      </c>
      <c r="W8" s="728"/>
      <c r="X8" s="766">
        <f>+W8/V8</f>
        <v>0</v>
      </c>
      <c r="Y8" s="1324">
        <f>SUM(Y9+Y20+Y32)</f>
        <v>3559123716.0900002</v>
      </c>
      <c r="Z8" s="1324">
        <f>SUM(Z9+Z20+Z32)</f>
        <v>1975872632.0900002</v>
      </c>
      <c r="AA8" s="766">
        <f>+Z8/Y8</f>
        <v>0.55515705260750647</v>
      </c>
      <c r="AB8" s="773"/>
      <c r="AC8" s="710"/>
      <c r="AD8" s="711"/>
      <c r="AE8" s="712"/>
    </row>
    <row r="9" spans="1:31" ht="13.5" customHeight="1" thickBot="1" x14ac:dyDescent="0.3">
      <c r="A9" s="1643" t="s">
        <v>2645</v>
      </c>
      <c r="B9" s="1644"/>
      <c r="C9" s="1644"/>
      <c r="D9" s="1050"/>
      <c r="E9" s="786"/>
      <c r="F9" s="778"/>
      <c r="H9" s="778"/>
      <c r="I9" s="1244">
        <v>0.96</v>
      </c>
      <c r="J9" s="1245">
        <f>+(J11+J12+J13+J14+J17+J18)/6</f>
        <v>0.9937480444472041</v>
      </c>
      <c r="K9" s="545"/>
      <c r="L9" s="715"/>
      <c r="M9" s="545"/>
      <c r="N9" s="1163"/>
      <c r="O9" s="1323">
        <f ca="1">SUM(O10:O18)/9</f>
        <v>0.63888888888888884</v>
      </c>
      <c r="P9" s="713">
        <v>0.05</v>
      </c>
      <c r="Q9" s="1325">
        <f>'informe Gastos'!AC54</f>
        <v>552840733.09000003</v>
      </c>
      <c r="R9" s="1325">
        <f>'informe Gastos'!AD54</f>
        <v>503109797.09000003</v>
      </c>
      <c r="S9" s="717">
        <f t="shared" ref="S9:S32" si="0">+R9/Q9</f>
        <v>0.91004473255427798</v>
      </c>
      <c r="T9" s="1325">
        <f>'informe Gastos'!AE54</f>
        <v>314313000</v>
      </c>
      <c r="U9" s="717">
        <f t="shared" ref="U9:U32" si="1">+T9/R9</f>
        <v>0.62474036844043679</v>
      </c>
      <c r="V9" s="729">
        <f t="shared" ref="V9:V35" si="2">+R9-T9</f>
        <v>188796797.09000003</v>
      </c>
      <c r="W9" s="729"/>
      <c r="X9" s="729"/>
      <c r="Y9" s="1338">
        <f>(375248252+378343721+413714000+436882000)+567223162.09+39848700+105000000-10000000</f>
        <v>2306259835.0900002</v>
      </c>
      <c r="Z9" s="547">
        <f>931610184+R9</f>
        <v>1434719981.0900002</v>
      </c>
      <c r="AA9" s="766">
        <f>+Z9/Y9</f>
        <v>0.62209815184766948</v>
      </c>
      <c r="AB9" s="947" t="s">
        <v>2803</v>
      </c>
      <c r="AC9" s="1347"/>
      <c r="AD9" s="948"/>
      <c r="AE9" s="949"/>
    </row>
    <row r="10" spans="1:31" ht="72" x14ac:dyDescent="0.25">
      <c r="A10" s="1247" t="s">
        <v>2646</v>
      </c>
      <c r="B10" s="1248" t="s">
        <v>2906</v>
      </c>
      <c r="C10" s="787" t="s">
        <v>2647</v>
      </c>
      <c r="D10" s="788">
        <v>0</v>
      </c>
      <c r="E10" s="809">
        <v>0</v>
      </c>
      <c r="F10" s="922" t="s">
        <v>2801</v>
      </c>
      <c r="G10" s="792" t="str">
        <f ca="1">'1POMCAS'!D8</f>
        <v>N.A.</v>
      </c>
      <c r="H10" s="1112"/>
      <c r="I10" s="1113" t="e">
        <f t="shared" ref="I10:I72" si="3">IF((F10+H10)/D10&gt;=100%,100%,(F10+H10)/D10)</f>
        <v>#VALUE!</v>
      </c>
      <c r="J10" s="1113" t="str">
        <f ca="1">'1POMCAS'!H100</f>
        <v>N.A.</v>
      </c>
      <c r="K10" s="545" t="s">
        <v>3442</v>
      </c>
      <c r="L10" s="716"/>
      <c r="M10" s="809">
        <v>1</v>
      </c>
      <c r="N10" s="1339">
        <f t="shared" ref="N10:N38" ca="1" si="4">SUM(E10:G10)</f>
        <v>0</v>
      </c>
      <c r="O10" s="770">
        <f t="shared" ref="O10:O38" ca="1" si="5">IF(N10/M10&gt;=100%,100%,N10/M10)</f>
        <v>0</v>
      </c>
      <c r="P10" s="716">
        <f>19%*$P$9</f>
        <v>9.5000000000000015E-3</v>
      </c>
      <c r="Q10" s="1327">
        <f>Q$9*P10/P$9</f>
        <v>105039739.28710002</v>
      </c>
      <c r="R10" s="1328">
        <f>R$9*P10/P$9</f>
        <v>95590861.447100013</v>
      </c>
      <c r="S10" s="717"/>
      <c r="T10" s="729"/>
      <c r="U10" s="717"/>
      <c r="V10" s="729"/>
      <c r="W10" s="729"/>
      <c r="X10" s="729"/>
      <c r="Y10" s="547"/>
      <c r="Z10" s="547"/>
      <c r="AA10" s="718"/>
      <c r="AB10" s="950" t="s">
        <v>2804</v>
      </c>
      <c r="AC10" s="1347" t="s">
        <v>1839</v>
      </c>
      <c r="AD10" s="951" t="s">
        <v>1149</v>
      </c>
      <c r="AE10" s="952" t="s">
        <v>2805</v>
      </c>
    </row>
    <row r="11" spans="1:31" ht="84.75" customHeight="1" x14ac:dyDescent="0.25">
      <c r="A11" s="789" t="s">
        <v>2648</v>
      </c>
      <c r="B11" s="1033" t="s">
        <v>2907</v>
      </c>
      <c r="C11" s="790" t="s">
        <v>2647</v>
      </c>
      <c r="D11" s="791">
        <v>0.25</v>
      </c>
      <c r="E11" s="792">
        <v>0.25</v>
      </c>
      <c r="F11" s="792">
        <v>0.25</v>
      </c>
      <c r="G11" s="792">
        <v>0.25</v>
      </c>
      <c r="H11" s="1112"/>
      <c r="I11" s="1113">
        <f t="shared" si="3"/>
        <v>1</v>
      </c>
      <c r="J11" s="1113">
        <f t="shared" ref="J11:J73" si="6">IF(G11/E11&gt;=100%,100%,G11/E11)</f>
        <v>1</v>
      </c>
      <c r="K11" s="1246" t="s">
        <v>3476</v>
      </c>
      <c r="L11" s="716"/>
      <c r="M11" s="792">
        <v>1</v>
      </c>
      <c r="N11" s="1339">
        <f t="shared" si="4"/>
        <v>0.75</v>
      </c>
      <c r="O11" s="770">
        <f t="shared" si="5"/>
        <v>0.75</v>
      </c>
      <c r="P11" s="716">
        <f>8%*$P$9</f>
        <v>4.0000000000000001E-3</v>
      </c>
      <c r="Q11" s="1327">
        <f t="shared" ref="Q11:Q18" si="7">Q$9*P11/P$9</f>
        <v>44227258.647199996</v>
      </c>
      <c r="R11" s="1328">
        <f t="shared" ref="R11:R18" si="8">R$9*P11/P$9</f>
        <v>40248783.767200001</v>
      </c>
      <c r="S11" s="717"/>
      <c r="T11" s="729"/>
      <c r="U11" s="717"/>
      <c r="V11" s="729"/>
      <c r="W11" s="729"/>
      <c r="X11" s="729"/>
      <c r="Y11" s="547"/>
      <c r="Z11" s="547"/>
      <c r="AA11" s="718"/>
      <c r="AB11" s="707"/>
      <c r="AC11" s="1347" t="s">
        <v>1839</v>
      </c>
      <c r="AD11" s="951" t="s">
        <v>1844</v>
      </c>
      <c r="AE11" s="953" t="s">
        <v>2805</v>
      </c>
    </row>
    <row r="12" spans="1:31" ht="123" customHeight="1" x14ac:dyDescent="0.25">
      <c r="A12" s="793" t="s">
        <v>2649</v>
      </c>
      <c r="B12" s="1035" t="s">
        <v>2909</v>
      </c>
      <c r="C12" s="790" t="s">
        <v>2647</v>
      </c>
      <c r="D12" s="791">
        <v>1</v>
      </c>
      <c r="E12" s="794">
        <v>1</v>
      </c>
      <c r="F12" s="794">
        <v>1</v>
      </c>
      <c r="G12" s="792">
        <f>'24POT'!D7</f>
        <v>1</v>
      </c>
      <c r="H12" s="1112"/>
      <c r="I12" s="1113">
        <f t="shared" si="3"/>
        <v>1</v>
      </c>
      <c r="J12" s="1113">
        <f t="shared" si="6"/>
        <v>1</v>
      </c>
      <c r="K12" s="1246" t="s">
        <v>3328</v>
      </c>
      <c r="L12" s="714"/>
      <c r="M12" s="792">
        <v>1</v>
      </c>
      <c r="N12" s="1339">
        <f t="shared" si="4"/>
        <v>3</v>
      </c>
      <c r="O12" s="770">
        <f t="shared" si="5"/>
        <v>1</v>
      </c>
      <c r="P12" s="716">
        <f>14%*$P$9</f>
        <v>7.000000000000001E-3</v>
      </c>
      <c r="Q12" s="1327">
        <f t="shared" si="7"/>
        <v>77397702.632600009</v>
      </c>
      <c r="R12" s="1328">
        <f t="shared" si="8"/>
        <v>70435371.592600003</v>
      </c>
      <c r="S12" s="717"/>
      <c r="T12" s="729"/>
      <c r="U12" s="717"/>
      <c r="V12" s="729"/>
      <c r="W12" s="729"/>
      <c r="X12" s="729"/>
      <c r="Y12" s="548"/>
      <c r="Z12" s="547"/>
      <c r="AA12" s="718"/>
      <c r="AB12" s="707"/>
      <c r="AC12" s="1347" t="s">
        <v>1839</v>
      </c>
      <c r="AD12" s="951" t="s">
        <v>965</v>
      </c>
      <c r="AE12" s="953" t="s">
        <v>2806</v>
      </c>
    </row>
    <row r="13" spans="1:31" ht="63" customHeight="1" x14ac:dyDescent="0.25">
      <c r="A13" s="795" t="s">
        <v>2650</v>
      </c>
      <c r="B13" s="1015" t="s">
        <v>2910</v>
      </c>
      <c r="C13" s="796" t="s">
        <v>2647</v>
      </c>
      <c r="D13" s="797">
        <v>1</v>
      </c>
      <c r="E13" s="794">
        <v>1</v>
      </c>
      <c r="F13" s="794">
        <v>1</v>
      </c>
      <c r="G13" s="1217">
        <f>1/1</f>
        <v>1</v>
      </c>
      <c r="H13" s="1112"/>
      <c r="I13" s="1113">
        <f t="shared" si="3"/>
        <v>1</v>
      </c>
      <c r="J13" s="1113">
        <f t="shared" si="6"/>
        <v>1</v>
      </c>
      <c r="K13" s="1246" t="s">
        <v>3330</v>
      </c>
      <c r="L13" s="714"/>
      <c r="M13" s="792">
        <v>1</v>
      </c>
      <c r="N13" s="1339">
        <f t="shared" si="4"/>
        <v>3</v>
      </c>
      <c r="O13" s="770">
        <f t="shared" si="5"/>
        <v>1</v>
      </c>
      <c r="P13" s="716">
        <f>9%*$P$9</f>
        <v>4.4999999999999997E-3</v>
      </c>
      <c r="Q13" s="1327">
        <f t="shared" si="7"/>
        <v>49755665.978100002</v>
      </c>
      <c r="R13" s="1328">
        <f t="shared" si="8"/>
        <v>45279881.738099992</v>
      </c>
      <c r="S13" s="717"/>
      <c r="T13" s="729"/>
      <c r="U13" s="717"/>
      <c r="V13" s="729"/>
      <c r="W13" s="729"/>
      <c r="X13" s="729"/>
      <c r="Y13" s="548"/>
      <c r="Z13" s="547"/>
      <c r="AA13" s="718"/>
      <c r="AB13" s="707"/>
      <c r="AC13" s="1347" t="s">
        <v>1839</v>
      </c>
      <c r="AD13" s="951" t="s">
        <v>965</v>
      </c>
      <c r="AE13" s="953" t="s">
        <v>2806</v>
      </c>
    </row>
    <row r="14" spans="1:31" ht="93" customHeight="1" x14ac:dyDescent="0.25">
      <c r="A14" s="1036" t="s">
        <v>2651</v>
      </c>
      <c r="B14" s="1036" t="s">
        <v>2911</v>
      </c>
      <c r="C14" s="790" t="s">
        <v>2647</v>
      </c>
      <c r="D14" s="791">
        <v>1</v>
      </c>
      <c r="E14" s="792">
        <v>1</v>
      </c>
      <c r="F14" s="792">
        <v>1</v>
      </c>
      <c r="G14" s="792">
        <f>464/464</f>
        <v>1</v>
      </c>
      <c r="H14" s="1112"/>
      <c r="I14" s="1113">
        <f t="shared" si="3"/>
        <v>1</v>
      </c>
      <c r="J14" s="792">
        <f t="shared" si="6"/>
        <v>1</v>
      </c>
      <c r="K14" s="1246" t="s">
        <v>3331</v>
      </c>
      <c r="L14" s="714"/>
      <c r="M14" s="792">
        <v>1</v>
      </c>
      <c r="N14" s="1339">
        <f t="shared" si="4"/>
        <v>3</v>
      </c>
      <c r="O14" s="770">
        <f t="shared" si="5"/>
        <v>1</v>
      </c>
      <c r="P14" s="716">
        <f>12%*$P$9</f>
        <v>6.0000000000000001E-3</v>
      </c>
      <c r="Q14" s="1327">
        <f t="shared" si="7"/>
        <v>66340887.970800005</v>
      </c>
      <c r="R14" s="1328">
        <f t="shared" si="8"/>
        <v>60373175.650799997</v>
      </c>
      <c r="S14" s="717"/>
      <c r="T14" s="729"/>
      <c r="U14" s="717"/>
      <c r="V14" s="729"/>
      <c r="W14" s="729"/>
      <c r="X14" s="729"/>
      <c r="Y14" s="548"/>
      <c r="Z14" s="547"/>
      <c r="AA14" s="718"/>
      <c r="AB14" s="707"/>
      <c r="AC14" s="1347" t="s">
        <v>1839</v>
      </c>
      <c r="AD14" s="951" t="s">
        <v>1844</v>
      </c>
      <c r="AE14" s="953" t="s">
        <v>2807</v>
      </c>
    </row>
    <row r="15" spans="1:31" ht="89.25" x14ac:dyDescent="0.25">
      <c r="A15" s="798" t="s">
        <v>2652</v>
      </c>
      <c r="B15" s="798" t="s">
        <v>2912</v>
      </c>
      <c r="C15" s="790" t="s">
        <v>2647</v>
      </c>
      <c r="D15" s="791">
        <v>0</v>
      </c>
      <c r="E15" s="792">
        <v>0</v>
      </c>
      <c r="F15" s="792">
        <v>0</v>
      </c>
      <c r="G15" s="1112">
        <v>0</v>
      </c>
      <c r="H15" s="1112"/>
      <c r="I15" s="1113" t="e">
        <f t="shared" si="3"/>
        <v>#DIV/0!</v>
      </c>
      <c r="J15" s="792">
        <v>0</v>
      </c>
      <c r="K15" s="1246" t="s">
        <v>3332</v>
      </c>
      <c r="L15" s="714"/>
      <c r="M15" s="792">
        <v>1</v>
      </c>
      <c r="N15" s="1339">
        <f t="shared" si="4"/>
        <v>0</v>
      </c>
      <c r="O15" s="770">
        <f t="shared" si="5"/>
        <v>0</v>
      </c>
      <c r="P15" s="716">
        <f>8%*$P$9</f>
        <v>4.0000000000000001E-3</v>
      </c>
      <c r="Q15" s="1327">
        <f t="shared" si="7"/>
        <v>44227258.647199996</v>
      </c>
      <c r="R15" s="1328">
        <f t="shared" si="8"/>
        <v>40248783.767200001</v>
      </c>
      <c r="S15" s="717"/>
      <c r="T15" s="729"/>
      <c r="U15" s="717"/>
      <c r="V15" s="729"/>
      <c r="W15" s="729"/>
      <c r="X15" s="729"/>
      <c r="Y15" s="548"/>
      <c r="Z15" s="547"/>
      <c r="AA15" s="547"/>
      <c r="AB15" s="707"/>
      <c r="AC15" s="1347" t="s">
        <v>1839</v>
      </c>
      <c r="AD15" s="951" t="s">
        <v>1844</v>
      </c>
      <c r="AE15" s="953" t="s">
        <v>2805</v>
      </c>
    </row>
    <row r="16" spans="1:31" ht="48" x14ac:dyDescent="0.25">
      <c r="A16" s="799" t="s">
        <v>2653</v>
      </c>
      <c r="B16" s="799" t="s">
        <v>2913</v>
      </c>
      <c r="C16" s="790" t="s">
        <v>2647</v>
      </c>
      <c r="D16" s="791">
        <v>0</v>
      </c>
      <c r="E16" s="792">
        <v>0</v>
      </c>
      <c r="F16" s="792" t="s">
        <v>2801</v>
      </c>
      <c r="G16" s="1112" t="str">
        <f>'10Paramos'!D8</f>
        <v>NO APLICA</v>
      </c>
      <c r="H16" s="1112"/>
      <c r="I16" s="1113" t="e">
        <f t="shared" si="3"/>
        <v>#VALUE!</v>
      </c>
      <c r="J16" s="801" t="e">
        <f t="shared" si="6"/>
        <v>#VALUE!</v>
      </c>
      <c r="K16" s="801" t="s">
        <v>3220</v>
      </c>
      <c r="L16" s="714"/>
      <c r="M16" s="801" t="s">
        <v>2802</v>
      </c>
      <c r="N16" s="1339">
        <f t="shared" si="4"/>
        <v>0</v>
      </c>
      <c r="O16" s="770">
        <v>0</v>
      </c>
      <c r="P16" s="716">
        <v>0</v>
      </c>
      <c r="Q16" s="1327">
        <f t="shared" si="7"/>
        <v>0</v>
      </c>
      <c r="R16" s="1328">
        <f t="shared" si="8"/>
        <v>0</v>
      </c>
      <c r="S16" s="548"/>
      <c r="T16" s="729"/>
      <c r="U16" s="548"/>
      <c r="V16" s="729"/>
      <c r="W16" s="729"/>
      <c r="X16" s="729"/>
      <c r="Y16" s="548"/>
      <c r="Z16" s="547"/>
      <c r="AA16" s="547"/>
      <c r="AB16" s="954" t="s">
        <v>2808</v>
      </c>
      <c r="AC16" s="1347" t="s">
        <v>1839</v>
      </c>
      <c r="AD16" s="951" t="s">
        <v>396</v>
      </c>
      <c r="AE16" s="955"/>
    </row>
    <row r="17" spans="1:32" ht="75.75" customHeight="1" x14ac:dyDescent="0.25">
      <c r="A17" s="1037" t="s">
        <v>2654</v>
      </c>
      <c r="B17" s="1016" t="s">
        <v>2914</v>
      </c>
      <c r="C17" s="790" t="s">
        <v>2655</v>
      </c>
      <c r="D17" s="800">
        <v>40000</v>
      </c>
      <c r="E17" s="801">
        <v>42122</v>
      </c>
      <c r="F17" s="801">
        <v>40000</v>
      </c>
      <c r="G17" s="1112">
        <v>42000</v>
      </c>
      <c r="H17" s="1112"/>
      <c r="I17" s="1113">
        <f t="shared" si="3"/>
        <v>1</v>
      </c>
      <c r="J17" s="1217">
        <f t="shared" si="6"/>
        <v>0.99710365129860878</v>
      </c>
      <c r="K17" s="1246" t="s">
        <v>3333</v>
      </c>
      <c r="L17" s="714"/>
      <c r="M17" s="801">
        <v>99096</v>
      </c>
      <c r="N17" s="1344">
        <f t="shared" si="4"/>
        <v>124122</v>
      </c>
      <c r="O17" s="770">
        <f t="shared" si="5"/>
        <v>1</v>
      </c>
      <c r="P17" s="716">
        <f>24%*$P$9</f>
        <v>1.2E-2</v>
      </c>
      <c r="Q17" s="1327">
        <f t="shared" si="7"/>
        <v>132681775.94160001</v>
      </c>
      <c r="R17" s="1328">
        <f t="shared" si="8"/>
        <v>120746351.30159999</v>
      </c>
      <c r="S17" s="1160"/>
      <c r="T17" s="729"/>
      <c r="U17" s="548"/>
      <c r="V17" s="729"/>
      <c r="W17" s="729"/>
      <c r="X17" s="729"/>
      <c r="Y17" s="548"/>
      <c r="Z17" s="547"/>
      <c r="AA17" s="547"/>
      <c r="AB17" s="707"/>
      <c r="AC17" s="1347" t="s">
        <v>1839</v>
      </c>
      <c r="AD17" s="951" t="s">
        <v>348</v>
      </c>
      <c r="AE17" s="953" t="s">
        <v>2809</v>
      </c>
    </row>
    <row r="18" spans="1:32" ht="51.75" customHeight="1" thickBot="1" x14ac:dyDescent="0.3">
      <c r="A18" s="802" t="s">
        <v>2656</v>
      </c>
      <c r="B18" s="1045" t="s">
        <v>1067</v>
      </c>
      <c r="C18" s="803" t="s">
        <v>2647</v>
      </c>
      <c r="D18" s="804">
        <v>1</v>
      </c>
      <c r="E18" s="805">
        <v>1</v>
      </c>
      <c r="F18" s="805">
        <v>0.79</v>
      </c>
      <c r="G18" s="805">
        <f>'26SIAC'!D8</f>
        <v>0.96538461538461529</v>
      </c>
      <c r="H18" s="1114"/>
      <c r="I18" s="1012">
        <f t="shared" si="3"/>
        <v>0.79</v>
      </c>
      <c r="J18" s="2061">
        <f t="shared" si="6"/>
        <v>0.96538461538461529</v>
      </c>
      <c r="K18" s="1246" t="s">
        <v>3477</v>
      </c>
      <c r="L18" s="545"/>
      <c r="M18" s="805">
        <v>1</v>
      </c>
      <c r="N18" s="1339">
        <f t="shared" si="4"/>
        <v>2.7553846153846155</v>
      </c>
      <c r="O18" s="770">
        <f t="shared" si="5"/>
        <v>1</v>
      </c>
      <c r="P18" s="716">
        <f>6%*$P$9</f>
        <v>3.0000000000000001E-3</v>
      </c>
      <c r="Q18" s="1327">
        <f t="shared" si="7"/>
        <v>33170443.985400002</v>
      </c>
      <c r="R18" s="1328">
        <f t="shared" si="8"/>
        <v>30186587.825399999</v>
      </c>
      <c r="S18" s="1160"/>
      <c r="T18" s="729"/>
      <c r="U18" s="548"/>
      <c r="V18" s="729"/>
      <c r="W18" s="729"/>
      <c r="X18" s="729"/>
      <c r="Y18" s="548"/>
      <c r="Z18" s="547"/>
      <c r="AA18" s="547"/>
      <c r="AB18" s="708"/>
      <c r="AC18" s="1347" t="s">
        <v>1839</v>
      </c>
      <c r="AD18" s="951" t="s">
        <v>1067</v>
      </c>
      <c r="AE18" s="956"/>
    </row>
    <row r="19" spans="1:32" ht="13.5" customHeight="1" thickBot="1" x14ac:dyDescent="0.3">
      <c r="A19" s="1607" t="s">
        <v>2657</v>
      </c>
      <c r="B19" s="1608"/>
      <c r="C19" s="1295"/>
      <c r="D19" s="1296"/>
      <c r="E19" s="915"/>
      <c r="F19" s="1044">
        <v>0.89</v>
      </c>
      <c r="G19" s="1297"/>
      <c r="H19" s="1297"/>
      <c r="I19" s="1250">
        <v>0.89</v>
      </c>
      <c r="J19" s="1188">
        <f>+(J20+J21+J23+J24+J25+J26+J27+J28+J30+J31)/10</f>
        <v>0.92941176470588238</v>
      </c>
      <c r="K19" s="1246"/>
      <c r="L19" s="545"/>
      <c r="M19" s="806"/>
      <c r="N19" s="1339">
        <f t="shared" si="4"/>
        <v>0.89</v>
      </c>
      <c r="O19" s="770" t="e">
        <f t="shared" si="5"/>
        <v>#DIV/0!</v>
      </c>
      <c r="P19" s="718">
        <v>0.08</v>
      </c>
      <c r="Q19" s="1325">
        <f>'informe Gastos'!AC57</f>
        <v>3255782208.3899999</v>
      </c>
      <c r="R19" s="1325">
        <f>'informe Gastos'!AD57</f>
        <v>1957597640.0799999</v>
      </c>
      <c r="S19" s="1334">
        <f t="shared" si="0"/>
        <v>0.60126799484171933</v>
      </c>
      <c r="T19" s="1325">
        <f>'informe Gastos'!AE57</f>
        <v>964145067.67999995</v>
      </c>
      <c r="U19" s="1160">
        <f t="shared" si="1"/>
        <v>0.4925144207062892</v>
      </c>
      <c r="V19" s="729">
        <f t="shared" si="2"/>
        <v>993452572.39999998</v>
      </c>
      <c r="W19" s="729"/>
      <c r="X19" s="729"/>
      <c r="Y19" s="548">
        <f>(1685158056+245183192+305109000+322195000)-39848700+4028421981.4+1408415700-10000000+163516000</f>
        <v>8108150229.3999996</v>
      </c>
      <c r="Z19" s="547">
        <f>5184194334+R19</f>
        <v>7141791974.0799999</v>
      </c>
      <c r="AA19" s="766">
        <f>+Z19/Y19</f>
        <v>0.88081643433097689</v>
      </c>
      <c r="AB19" s="957"/>
      <c r="AC19" s="1347"/>
      <c r="AD19" s="951"/>
      <c r="AE19" s="958"/>
    </row>
    <row r="20" spans="1:32" ht="83.25" customHeight="1" x14ac:dyDescent="0.25">
      <c r="A20" s="1046" t="s">
        <v>2658</v>
      </c>
      <c r="B20" s="1047" t="s">
        <v>2915</v>
      </c>
      <c r="C20" s="1048" t="s">
        <v>2647</v>
      </c>
      <c r="D20" s="808">
        <v>0.25</v>
      </c>
      <c r="E20" s="809">
        <v>0.5</v>
      </c>
      <c r="F20" s="809">
        <v>1</v>
      </c>
      <c r="G20" s="904">
        <f>+'7Clima'!D8</f>
        <v>1</v>
      </c>
      <c r="H20" s="1115"/>
      <c r="I20" s="1013">
        <f t="shared" si="3"/>
        <v>1</v>
      </c>
      <c r="J20" s="809">
        <f t="shared" si="6"/>
        <v>1</v>
      </c>
      <c r="K20" s="1249" t="s">
        <v>3478</v>
      </c>
      <c r="L20" s="549"/>
      <c r="M20" s="918">
        <v>1</v>
      </c>
      <c r="N20" s="1339">
        <f t="shared" si="4"/>
        <v>2.5</v>
      </c>
      <c r="O20" s="770">
        <f t="shared" si="5"/>
        <v>1</v>
      </c>
      <c r="P20" s="716">
        <f>10%*$P$19</f>
        <v>8.0000000000000002E-3</v>
      </c>
      <c r="Q20" s="1327">
        <f>Q$19*P20/P$19</f>
        <v>325578220.83899999</v>
      </c>
      <c r="R20" s="1328">
        <f>R$19*P20/P$19</f>
        <v>195759764.00799999</v>
      </c>
      <c r="S20" s="1329"/>
      <c r="T20" s="730"/>
      <c r="U20" s="551"/>
      <c r="V20" s="730"/>
      <c r="W20" s="730"/>
      <c r="X20" s="730"/>
      <c r="Y20" s="548"/>
      <c r="Z20" s="550"/>
      <c r="AA20" s="550"/>
      <c r="AB20" s="773"/>
      <c r="AC20" s="1348" t="s">
        <v>1840</v>
      </c>
      <c r="AD20" s="951" t="s">
        <v>280</v>
      </c>
      <c r="AE20" s="952" t="s">
        <v>2810</v>
      </c>
    </row>
    <row r="21" spans="1:32" ht="66" customHeight="1" x14ac:dyDescent="0.25">
      <c r="A21" s="810" t="s">
        <v>2659</v>
      </c>
      <c r="B21" s="1017" t="s">
        <v>2916</v>
      </c>
      <c r="C21" s="1049" t="s">
        <v>2660</v>
      </c>
      <c r="D21" s="812">
        <v>0</v>
      </c>
      <c r="E21" s="801">
        <v>1</v>
      </c>
      <c r="F21" s="801">
        <v>0</v>
      </c>
      <c r="G21" s="1114">
        <v>1</v>
      </c>
      <c r="H21" s="1114"/>
      <c r="I21" s="1113" t="e">
        <f t="shared" si="3"/>
        <v>#DIV/0!</v>
      </c>
      <c r="J21" s="792">
        <f t="shared" si="6"/>
        <v>1</v>
      </c>
      <c r="K21" s="1249" t="s">
        <v>3479</v>
      </c>
      <c r="L21" s="549"/>
      <c r="M21" s="919">
        <v>1</v>
      </c>
      <c r="N21" s="1339">
        <f t="shared" si="4"/>
        <v>2</v>
      </c>
      <c r="O21" s="770">
        <f t="shared" si="5"/>
        <v>1</v>
      </c>
      <c r="P21" s="716">
        <f>3%*$P$19</f>
        <v>2.3999999999999998E-3</v>
      </c>
      <c r="Q21" s="1327">
        <f t="shared" ref="Q21:Q31" si="9">Q$19*P21/P$19</f>
        <v>97673466.251699984</v>
      </c>
      <c r="R21" s="1328">
        <f t="shared" ref="R21:R31" si="10">R$19*P21/P$19</f>
        <v>58727929.202399999</v>
      </c>
      <c r="S21" s="1329"/>
      <c r="T21" s="730"/>
      <c r="U21" s="551"/>
      <c r="V21" s="730"/>
      <c r="W21" s="730"/>
      <c r="X21" s="730"/>
      <c r="Y21" s="551"/>
      <c r="Z21" s="550"/>
      <c r="AA21" s="550"/>
      <c r="AB21" s="707"/>
      <c r="AC21" s="1348" t="s">
        <v>1840</v>
      </c>
      <c r="AD21" s="951" t="s">
        <v>1844</v>
      </c>
      <c r="AE21" s="953" t="s">
        <v>2810</v>
      </c>
    </row>
    <row r="22" spans="1:32" ht="37.5" customHeight="1" x14ac:dyDescent="0.25">
      <c r="A22" s="813" t="s">
        <v>2661</v>
      </c>
      <c r="B22" s="827" t="s">
        <v>2917</v>
      </c>
      <c r="C22" s="814" t="s">
        <v>2647</v>
      </c>
      <c r="D22" s="815">
        <v>0</v>
      </c>
      <c r="E22" s="792">
        <v>0</v>
      </c>
      <c r="F22" s="792">
        <v>0</v>
      </c>
      <c r="G22" s="1114">
        <v>0</v>
      </c>
      <c r="H22" s="1114"/>
      <c r="I22" s="1113" t="e">
        <f t="shared" si="3"/>
        <v>#DIV/0!</v>
      </c>
      <c r="J22" s="801" t="e">
        <f t="shared" si="6"/>
        <v>#DIV/0!</v>
      </c>
      <c r="K22" s="549" t="s">
        <v>3336</v>
      </c>
      <c r="L22" s="549"/>
      <c r="M22" s="920">
        <v>0.4</v>
      </c>
      <c r="N22" s="1339">
        <f t="shared" si="4"/>
        <v>0</v>
      </c>
      <c r="O22" s="770">
        <f t="shared" si="5"/>
        <v>0</v>
      </c>
      <c r="P22" s="716">
        <f t="shared" ref="P22:P24" si="11">10%*$P$19</f>
        <v>8.0000000000000002E-3</v>
      </c>
      <c r="Q22" s="1327">
        <f t="shared" si="9"/>
        <v>325578220.83899999</v>
      </c>
      <c r="R22" s="1328">
        <f t="shared" si="10"/>
        <v>195759764.00799999</v>
      </c>
      <c r="S22" s="1329"/>
      <c r="T22" s="730"/>
      <c r="U22" s="551"/>
      <c r="V22" s="730"/>
      <c r="W22" s="730"/>
      <c r="X22" s="730"/>
      <c r="Y22" s="551"/>
      <c r="Z22" s="550"/>
      <c r="AA22" s="550"/>
      <c r="AB22" s="707"/>
      <c r="AC22" s="1348" t="s">
        <v>1840</v>
      </c>
      <c r="AD22" s="951" t="s">
        <v>1844</v>
      </c>
      <c r="AE22" s="953" t="s">
        <v>2810</v>
      </c>
    </row>
    <row r="23" spans="1:32" ht="87.75" customHeight="1" x14ac:dyDescent="0.25">
      <c r="A23" s="816" t="s">
        <v>2662</v>
      </c>
      <c r="B23" s="1038" t="s">
        <v>2918</v>
      </c>
      <c r="C23" s="811" t="s">
        <v>2660</v>
      </c>
      <c r="D23" s="817">
        <v>1</v>
      </c>
      <c r="E23" s="801">
        <v>1</v>
      </c>
      <c r="F23" s="801">
        <v>1</v>
      </c>
      <c r="G23" s="1114">
        <v>1</v>
      </c>
      <c r="H23" s="1114"/>
      <c r="I23" s="1113">
        <f t="shared" si="3"/>
        <v>1</v>
      </c>
      <c r="J23" s="792">
        <f t="shared" si="6"/>
        <v>1</v>
      </c>
      <c r="K23" s="1249" t="s">
        <v>3480</v>
      </c>
      <c r="L23" s="549"/>
      <c r="M23" s="919">
        <v>5</v>
      </c>
      <c r="N23" s="1339">
        <f t="shared" si="4"/>
        <v>3</v>
      </c>
      <c r="O23" s="770">
        <f t="shared" si="5"/>
        <v>0.6</v>
      </c>
      <c r="P23" s="716">
        <f>7%*$P$19</f>
        <v>5.6000000000000008E-3</v>
      </c>
      <c r="Q23" s="1327">
        <f t="shared" si="9"/>
        <v>227904754.58730003</v>
      </c>
      <c r="R23" s="1328">
        <f t="shared" si="10"/>
        <v>137031834.80560002</v>
      </c>
      <c r="S23" s="1329"/>
      <c r="T23" s="730"/>
      <c r="U23" s="551"/>
      <c r="V23" s="730"/>
      <c r="W23" s="730"/>
      <c r="X23" s="730"/>
      <c r="Y23" s="551"/>
      <c r="Z23" s="550"/>
      <c r="AA23" s="550"/>
      <c r="AB23" s="707"/>
      <c r="AC23" s="1348" t="s">
        <v>1840</v>
      </c>
      <c r="AD23" s="951" t="s">
        <v>1844</v>
      </c>
      <c r="AE23" s="953" t="s">
        <v>2810</v>
      </c>
      <c r="AF23" s="540" t="s">
        <v>3312</v>
      </c>
    </row>
    <row r="24" spans="1:32" ht="153.75" thickBot="1" x14ac:dyDescent="0.3">
      <c r="A24" s="818" t="s">
        <v>2663</v>
      </c>
      <c r="B24" s="1018" t="s">
        <v>2919</v>
      </c>
      <c r="C24" s="811" t="s">
        <v>2660</v>
      </c>
      <c r="D24" s="817">
        <v>0</v>
      </c>
      <c r="E24" s="801">
        <v>1</v>
      </c>
      <c r="F24" s="801">
        <v>0</v>
      </c>
      <c r="G24" s="1116">
        <v>1</v>
      </c>
      <c r="H24" s="1116"/>
      <c r="I24" s="1113" t="e">
        <f t="shared" si="3"/>
        <v>#DIV/0!</v>
      </c>
      <c r="J24" s="792">
        <f t="shared" si="6"/>
        <v>1</v>
      </c>
      <c r="K24" s="1251" t="s">
        <v>3221</v>
      </c>
      <c r="L24" s="552"/>
      <c r="M24" s="919">
        <v>4</v>
      </c>
      <c r="N24" s="1339">
        <f t="shared" si="4"/>
        <v>2</v>
      </c>
      <c r="O24" s="770">
        <f t="shared" si="5"/>
        <v>0.5</v>
      </c>
      <c r="P24" s="716">
        <f t="shared" si="11"/>
        <v>8.0000000000000002E-3</v>
      </c>
      <c r="Q24" s="1327">
        <f t="shared" si="9"/>
        <v>325578220.83899999</v>
      </c>
      <c r="R24" s="1328">
        <f t="shared" si="10"/>
        <v>195759764.00799999</v>
      </c>
      <c r="S24" s="1330"/>
      <c r="T24" s="731"/>
      <c r="U24" s="554"/>
      <c r="V24" s="731"/>
      <c r="W24" s="731"/>
      <c r="X24" s="731"/>
      <c r="Y24" s="554"/>
      <c r="Z24" s="553"/>
      <c r="AA24" s="553"/>
      <c r="AB24" s="707"/>
      <c r="AC24" s="1348" t="s">
        <v>1840</v>
      </c>
      <c r="AD24" s="951" t="s">
        <v>1844</v>
      </c>
      <c r="AE24" s="953" t="s">
        <v>2810</v>
      </c>
    </row>
    <row r="25" spans="1:32" ht="140.25" x14ac:dyDescent="0.25">
      <c r="A25" s="970" t="s">
        <v>2664</v>
      </c>
      <c r="B25" s="1019" t="s">
        <v>2920</v>
      </c>
      <c r="C25" s="811" t="s">
        <v>2660</v>
      </c>
      <c r="D25" s="817">
        <v>1</v>
      </c>
      <c r="E25" s="801">
        <v>1</v>
      </c>
      <c r="F25" s="801">
        <v>1</v>
      </c>
      <c r="G25" s="1117">
        <v>1</v>
      </c>
      <c r="H25" s="1117"/>
      <c r="I25" s="1113">
        <f t="shared" si="3"/>
        <v>1</v>
      </c>
      <c r="J25" s="792">
        <f t="shared" si="6"/>
        <v>1</v>
      </c>
      <c r="K25" s="1252" t="s">
        <v>3337</v>
      </c>
      <c r="L25" s="542"/>
      <c r="M25" s="919">
        <v>4</v>
      </c>
      <c r="N25" s="1339">
        <f t="shared" si="4"/>
        <v>3</v>
      </c>
      <c r="O25" s="1340">
        <f t="shared" si="5"/>
        <v>0.75</v>
      </c>
      <c r="P25" s="716">
        <f>8%*$P$19</f>
        <v>6.4000000000000003E-3</v>
      </c>
      <c r="Q25" s="1327">
        <f t="shared" si="9"/>
        <v>260462576.67120001</v>
      </c>
      <c r="R25" s="1328">
        <f t="shared" si="10"/>
        <v>156607811.20640001</v>
      </c>
      <c r="S25" s="1331"/>
      <c r="T25" s="732"/>
      <c r="U25" s="544"/>
      <c r="V25" s="732"/>
      <c r="W25" s="732"/>
      <c r="X25" s="732"/>
      <c r="Y25" s="544"/>
      <c r="Z25" s="555"/>
      <c r="AA25" s="555"/>
      <c r="AB25" s="959" t="s">
        <v>2811</v>
      </c>
      <c r="AC25" s="1348" t="s">
        <v>1840</v>
      </c>
      <c r="AD25" s="951" t="s">
        <v>1844</v>
      </c>
      <c r="AE25" s="953" t="s">
        <v>2810</v>
      </c>
    </row>
    <row r="26" spans="1:32" ht="229.5" x14ac:dyDescent="0.25">
      <c r="A26" s="819" t="s">
        <v>2665</v>
      </c>
      <c r="B26" s="1039" t="s">
        <v>2921</v>
      </c>
      <c r="C26" s="811" t="s">
        <v>2660</v>
      </c>
      <c r="D26" s="817">
        <v>2</v>
      </c>
      <c r="E26" s="801">
        <v>4</v>
      </c>
      <c r="F26" s="801">
        <v>2</v>
      </c>
      <c r="G26" s="1112">
        <v>4</v>
      </c>
      <c r="H26" s="1112"/>
      <c r="I26" s="1113">
        <f t="shared" si="3"/>
        <v>1</v>
      </c>
      <c r="J26" s="792">
        <f t="shared" si="6"/>
        <v>1</v>
      </c>
      <c r="K26" s="1246" t="s">
        <v>3338</v>
      </c>
      <c r="L26" s="545"/>
      <c r="M26" s="919">
        <v>14</v>
      </c>
      <c r="N26" s="1339">
        <f t="shared" si="4"/>
        <v>10</v>
      </c>
      <c r="O26" s="1341">
        <f t="shared" si="5"/>
        <v>0.7142857142857143</v>
      </c>
      <c r="P26" s="716">
        <f>5%*$P$19</f>
        <v>4.0000000000000001E-3</v>
      </c>
      <c r="Q26" s="1327">
        <f t="shared" si="9"/>
        <v>162789110.41949999</v>
      </c>
      <c r="R26" s="1328">
        <f t="shared" si="10"/>
        <v>97879882.003999993</v>
      </c>
      <c r="S26" s="718"/>
      <c r="T26" s="733"/>
      <c r="U26" s="547"/>
      <c r="V26" s="733"/>
      <c r="W26" s="733"/>
      <c r="X26" s="733"/>
      <c r="Y26" s="547"/>
      <c r="Z26" s="547"/>
      <c r="AA26" s="547"/>
      <c r="AB26" s="707"/>
      <c r="AC26" s="1348" t="s">
        <v>1840</v>
      </c>
      <c r="AD26" s="951" t="s">
        <v>1844</v>
      </c>
      <c r="AE26" s="953" t="s">
        <v>2810</v>
      </c>
    </row>
    <row r="27" spans="1:32" ht="94.5" customHeight="1" x14ac:dyDescent="0.25">
      <c r="A27" s="818" t="s">
        <v>2666</v>
      </c>
      <c r="B27" s="1018" t="s">
        <v>2922</v>
      </c>
      <c r="C27" s="811" t="s">
        <v>2660</v>
      </c>
      <c r="D27" s="817">
        <v>4</v>
      </c>
      <c r="E27" s="801">
        <v>4</v>
      </c>
      <c r="F27" s="801">
        <v>4</v>
      </c>
      <c r="G27" s="1112">
        <v>4</v>
      </c>
      <c r="H27" s="1112"/>
      <c r="I27" s="1113">
        <f t="shared" si="3"/>
        <v>1</v>
      </c>
      <c r="J27" s="792">
        <f t="shared" si="6"/>
        <v>1</v>
      </c>
      <c r="K27" s="1246" t="s">
        <v>3339</v>
      </c>
      <c r="L27" s="545"/>
      <c r="M27" s="919">
        <v>16</v>
      </c>
      <c r="N27" s="1339">
        <f t="shared" si="4"/>
        <v>12</v>
      </c>
      <c r="O27" s="1341">
        <f t="shared" si="5"/>
        <v>0.75</v>
      </c>
      <c r="P27" s="716">
        <f>8%*$P$19</f>
        <v>6.4000000000000003E-3</v>
      </c>
      <c r="Q27" s="1327">
        <f t="shared" si="9"/>
        <v>260462576.67120001</v>
      </c>
      <c r="R27" s="1328">
        <f t="shared" si="10"/>
        <v>156607811.20640001</v>
      </c>
      <c r="S27" s="718"/>
      <c r="T27" s="733"/>
      <c r="U27" s="547"/>
      <c r="V27" s="733"/>
      <c r="W27" s="733"/>
      <c r="X27" s="733"/>
      <c r="Y27" s="547"/>
      <c r="Z27" s="547"/>
      <c r="AA27" s="547"/>
      <c r="AB27" s="707"/>
      <c r="AC27" s="1348" t="s">
        <v>1840</v>
      </c>
      <c r="AD27" s="951" t="s">
        <v>1844</v>
      </c>
      <c r="AE27" s="953" t="s">
        <v>2806</v>
      </c>
    </row>
    <row r="28" spans="1:32" ht="72" customHeight="1" x14ac:dyDescent="0.25">
      <c r="A28" s="820" t="s">
        <v>2667</v>
      </c>
      <c r="B28" s="1038" t="s">
        <v>2923</v>
      </c>
      <c r="C28" s="807" t="s">
        <v>2647</v>
      </c>
      <c r="D28" s="815">
        <v>0.25</v>
      </c>
      <c r="E28" s="792">
        <v>0.5</v>
      </c>
      <c r="F28" s="792">
        <v>0.25</v>
      </c>
      <c r="G28" s="792">
        <f>12/16</f>
        <v>0.75</v>
      </c>
      <c r="H28" s="1112"/>
      <c r="I28" s="1113">
        <f t="shared" si="3"/>
        <v>1</v>
      </c>
      <c r="J28" s="792">
        <f t="shared" si="6"/>
        <v>1</v>
      </c>
      <c r="K28" s="1246" t="s">
        <v>3340</v>
      </c>
      <c r="L28" s="545"/>
      <c r="M28" s="920">
        <v>1</v>
      </c>
      <c r="N28" s="1339">
        <f t="shared" si="4"/>
        <v>1.5</v>
      </c>
      <c r="O28" s="1341">
        <f t="shared" si="5"/>
        <v>1</v>
      </c>
      <c r="P28" s="716">
        <f>8%*$P$19</f>
        <v>6.4000000000000003E-3</v>
      </c>
      <c r="Q28" s="1327">
        <f t="shared" si="9"/>
        <v>260462576.67120001</v>
      </c>
      <c r="R28" s="1328">
        <f t="shared" si="10"/>
        <v>156607811.20640001</v>
      </c>
      <c r="S28" s="718"/>
      <c r="T28" s="733"/>
      <c r="U28" s="547"/>
      <c r="V28" s="733"/>
      <c r="W28" s="733"/>
      <c r="X28" s="733"/>
      <c r="Y28" s="547"/>
      <c r="Z28" s="547"/>
      <c r="AA28" s="547"/>
      <c r="AB28" s="707"/>
      <c r="AC28" s="1348" t="s">
        <v>1840</v>
      </c>
      <c r="AD28" s="951" t="s">
        <v>1844</v>
      </c>
      <c r="AE28" s="953" t="s">
        <v>2806</v>
      </c>
    </row>
    <row r="29" spans="1:32" ht="75.75" customHeight="1" x14ac:dyDescent="0.25">
      <c r="A29" s="816" t="s">
        <v>2668</v>
      </c>
      <c r="B29" s="1038" t="s">
        <v>2924</v>
      </c>
      <c r="C29" s="811" t="s">
        <v>2660</v>
      </c>
      <c r="D29" s="817">
        <v>0</v>
      </c>
      <c r="E29" s="801">
        <v>0</v>
      </c>
      <c r="F29" s="801">
        <v>0</v>
      </c>
      <c r="G29" s="1112">
        <v>0</v>
      </c>
      <c r="H29" s="1112"/>
      <c r="I29" s="1113" t="e">
        <f t="shared" si="3"/>
        <v>#DIV/0!</v>
      </c>
      <c r="J29" s="801" t="e">
        <f t="shared" si="6"/>
        <v>#DIV/0!</v>
      </c>
      <c r="K29" s="1246" t="s">
        <v>3222</v>
      </c>
      <c r="L29" s="545"/>
      <c r="M29" s="919">
        <v>1</v>
      </c>
      <c r="N29" s="1339">
        <f t="shared" si="4"/>
        <v>0</v>
      </c>
      <c r="O29" s="1341">
        <f t="shared" si="5"/>
        <v>0</v>
      </c>
      <c r="P29" s="716">
        <f>6%*$P$19</f>
        <v>4.7999999999999996E-3</v>
      </c>
      <c r="Q29" s="1327">
        <f t="shared" si="9"/>
        <v>195346932.50339997</v>
      </c>
      <c r="R29" s="1328">
        <f t="shared" si="10"/>
        <v>117455858.4048</v>
      </c>
      <c r="S29" s="718"/>
      <c r="T29" s="733"/>
      <c r="U29" s="547"/>
      <c r="V29" s="733"/>
      <c r="W29" s="733"/>
      <c r="X29" s="733"/>
      <c r="Y29" s="547"/>
      <c r="Z29" s="547"/>
      <c r="AA29" s="547"/>
      <c r="AB29" s="707"/>
      <c r="AC29" s="1348" t="s">
        <v>1840</v>
      </c>
      <c r="AD29" s="951" t="s">
        <v>1844</v>
      </c>
      <c r="AE29" s="953" t="s">
        <v>2806</v>
      </c>
    </row>
    <row r="30" spans="1:32" ht="70.5" customHeight="1" x14ac:dyDescent="0.25">
      <c r="A30" s="820" t="s">
        <v>2669</v>
      </c>
      <c r="B30" s="1038" t="s">
        <v>3481</v>
      </c>
      <c r="C30" s="807" t="s">
        <v>2647</v>
      </c>
      <c r="D30" s="821">
        <v>0.2</v>
      </c>
      <c r="E30" s="792">
        <v>0.2</v>
      </c>
      <c r="F30" s="792">
        <v>0.2</v>
      </c>
      <c r="G30" s="792">
        <v>1</v>
      </c>
      <c r="H30" s="1112"/>
      <c r="I30" s="1113">
        <f t="shared" si="3"/>
        <v>1</v>
      </c>
      <c r="J30" s="792">
        <f t="shared" si="6"/>
        <v>1</v>
      </c>
      <c r="K30" s="1246" t="s">
        <v>3341</v>
      </c>
      <c r="L30" s="545"/>
      <c r="M30" s="920">
        <v>1</v>
      </c>
      <c r="N30" s="1339">
        <f t="shared" si="4"/>
        <v>1.4</v>
      </c>
      <c r="O30" s="1341">
        <f t="shared" si="5"/>
        <v>1</v>
      </c>
      <c r="P30" s="716">
        <f>8%*$P$19</f>
        <v>6.4000000000000003E-3</v>
      </c>
      <c r="Q30" s="1327">
        <f t="shared" si="9"/>
        <v>260462576.67120001</v>
      </c>
      <c r="R30" s="1328">
        <f t="shared" si="10"/>
        <v>156607811.20640001</v>
      </c>
      <c r="S30" s="718"/>
      <c r="T30" s="733"/>
      <c r="U30" s="547"/>
      <c r="V30" s="733"/>
      <c r="W30" s="733"/>
      <c r="X30" s="733"/>
      <c r="Y30" s="547"/>
      <c r="Z30" s="547"/>
      <c r="AA30" s="547"/>
      <c r="AB30" s="707"/>
      <c r="AC30" s="1348" t="s">
        <v>1840</v>
      </c>
      <c r="AD30" s="951" t="s">
        <v>1844</v>
      </c>
      <c r="AE30" s="953" t="s">
        <v>2810</v>
      </c>
    </row>
    <row r="31" spans="1:32" ht="83.25" customHeight="1" thickBot="1" x14ac:dyDescent="0.3">
      <c r="A31" s="822" t="s">
        <v>2670</v>
      </c>
      <c r="B31" s="1040" t="s">
        <v>994</v>
      </c>
      <c r="C31" s="823" t="s">
        <v>2647</v>
      </c>
      <c r="D31" s="824">
        <v>0.25</v>
      </c>
      <c r="E31" s="805">
        <v>0.5</v>
      </c>
      <c r="F31" s="805">
        <v>0.04</v>
      </c>
      <c r="G31" s="1162">
        <f>'25Redes'!D8</f>
        <v>0.14705882352941177</v>
      </c>
      <c r="H31" s="1114"/>
      <c r="I31" s="1012">
        <f t="shared" si="3"/>
        <v>0.16</v>
      </c>
      <c r="J31" s="1423">
        <f t="shared" si="6"/>
        <v>0.29411764705882354</v>
      </c>
      <c r="K31" s="1246" t="s">
        <v>3342</v>
      </c>
      <c r="L31" s="545"/>
      <c r="M31" s="921">
        <v>1</v>
      </c>
      <c r="N31" s="1339">
        <f t="shared" si="4"/>
        <v>0.68705882352941183</v>
      </c>
      <c r="O31" s="1341">
        <f t="shared" si="5"/>
        <v>0.68705882352941183</v>
      </c>
      <c r="P31" s="716">
        <f>17%*$P$19</f>
        <v>1.3600000000000001E-2</v>
      </c>
      <c r="Q31" s="1327">
        <f t="shared" si="9"/>
        <v>553482975.42630005</v>
      </c>
      <c r="R31" s="1328">
        <f t="shared" si="10"/>
        <v>332791598.8136</v>
      </c>
      <c r="S31" s="718"/>
      <c r="T31" s="733"/>
      <c r="U31" s="547"/>
      <c r="V31" s="733"/>
      <c r="W31" s="733"/>
      <c r="X31" s="733"/>
      <c r="Y31" s="547"/>
      <c r="Z31" s="547"/>
      <c r="AA31" s="547"/>
      <c r="AB31" s="708"/>
      <c r="AC31" s="1348" t="s">
        <v>1840</v>
      </c>
      <c r="AD31" s="951" t="s">
        <v>994</v>
      </c>
      <c r="AE31" s="960" t="s">
        <v>2806</v>
      </c>
    </row>
    <row r="32" spans="1:32" ht="14.25" thickBot="1" x14ac:dyDescent="0.3">
      <c r="A32" s="1605" t="s">
        <v>2831</v>
      </c>
      <c r="B32" s="1606"/>
      <c r="C32" s="1298"/>
      <c r="D32" s="1299"/>
      <c r="E32" s="915"/>
      <c r="F32" s="1256">
        <v>1</v>
      </c>
      <c r="G32" s="1297"/>
      <c r="H32" s="1297"/>
      <c r="I32" s="1250">
        <v>1</v>
      </c>
      <c r="J32" s="1255">
        <f>+(J33+J34+J35+J36+J37)/5</f>
        <v>1</v>
      </c>
      <c r="K32" s="545"/>
      <c r="L32" s="545"/>
      <c r="M32" s="806"/>
      <c r="N32" s="1341"/>
      <c r="O32" s="1341"/>
      <c r="P32" s="718">
        <v>0.05</v>
      </c>
      <c r="Q32" s="1325">
        <f>'informe Gastos'!AC60</f>
        <v>432640513</v>
      </c>
      <c r="R32" s="1325">
        <f>'informe Gastos'!AD60</f>
        <v>343807444</v>
      </c>
      <c r="S32" s="1335">
        <f t="shared" si="0"/>
        <v>0.79467232880245775</v>
      </c>
      <c r="T32" s="1325">
        <f>'informe Gastos'!AE60</f>
        <v>291107444</v>
      </c>
      <c r="U32" s="718">
        <f t="shared" si="1"/>
        <v>0.84671652426466948</v>
      </c>
      <c r="V32" s="733">
        <f t="shared" si="2"/>
        <v>52700000</v>
      </c>
      <c r="W32" s="733"/>
      <c r="X32" s="733"/>
      <c r="Y32" s="547">
        <f>(251082368+332640513+276819000+292322000)-20000000+120000000</f>
        <v>1252863881</v>
      </c>
      <c r="Z32" s="547">
        <f>197345207+R32</f>
        <v>541152651</v>
      </c>
      <c r="AA32" s="766">
        <f>+Z32/Y32</f>
        <v>0.43193251813442612</v>
      </c>
      <c r="AB32" s="957"/>
      <c r="AC32" s="1347"/>
      <c r="AD32" s="951"/>
      <c r="AE32" s="958"/>
    </row>
    <row r="33" spans="1:31" ht="76.5" x14ac:dyDescent="0.25">
      <c r="A33" s="1051" t="s">
        <v>2671</v>
      </c>
      <c r="B33" s="1020" t="s">
        <v>2925</v>
      </c>
      <c r="C33" s="825" t="s">
        <v>2647</v>
      </c>
      <c r="D33" s="826">
        <v>1</v>
      </c>
      <c r="E33" s="1236">
        <v>1</v>
      </c>
      <c r="F33" s="1236">
        <v>1</v>
      </c>
      <c r="G33" s="903">
        <f>26/26</f>
        <v>1</v>
      </c>
      <c r="H33" s="1300"/>
      <c r="I33" s="1013">
        <f t="shared" si="3"/>
        <v>1</v>
      </c>
      <c r="J33" s="809">
        <f t="shared" si="6"/>
        <v>1</v>
      </c>
      <c r="K33" s="1246" t="s">
        <v>3343</v>
      </c>
      <c r="L33" s="545"/>
      <c r="M33" s="918">
        <v>1</v>
      </c>
      <c r="N33" s="1339">
        <f t="shared" si="4"/>
        <v>3</v>
      </c>
      <c r="O33" s="1341">
        <f t="shared" si="5"/>
        <v>1</v>
      </c>
      <c r="P33" s="716">
        <f>25%*$P$32</f>
        <v>1.2500000000000001E-2</v>
      </c>
      <c r="Q33" s="1327">
        <f>Q$32*P33/P$32</f>
        <v>108160128.25</v>
      </c>
      <c r="R33" s="1328">
        <f>R$32*P33/P$32</f>
        <v>85951860.999999985</v>
      </c>
      <c r="S33" s="718"/>
      <c r="T33" s="733"/>
      <c r="U33" s="547"/>
      <c r="V33" s="733">
        <f t="shared" si="2"/>
        <v>85951860.999999985</v>
      </c>
      <c r="W33" s="733"/>
      <c r="X33" s="733"/>
      <c r="Y33" s="547"/>
      <c r="Z33" s="547"/>
      <c r="AA33" s="547"/>
      <c r="AB33" s="773"/>
      <c r="AC33" s="1347" t="s">
        <v>1838</v>
      </c>
      <c r="AD33" s="951" t="s">
        <v>1844</v>
      </c>
      <c r="AE33" s="952" t="s">
        <v>2812</v>
      </c>
    </row>
    <row r="34" spans="1:31" ht="102.75" customHeight="1" x14ac:dyDescent="0.25">
      <c r="A34" s="827" t="s">
        <v>2672</v>
      </c>
      <c r="B34" s="827" t="s">
        <v>2926</v>
      </c>
      <c r="C34" s="828" t="s">
        <v>2660</v>
      </c>
      <c r="D34" s="829">
        <v>5</v>
      </c>
      <c r="E34" s="1042">
        <v>7</v>
      </c>
      <c r="F34" s="1042">
        <v>7</v>
      </c>
      <c r="G34" s="1253">
        <v>9</v>
      </c>
      <c r="H34" s="1112"/>
      <c r="I34" s="1113">
        <f t="shared" si="3"/>
        <v>1</v>
      </c>
      <c r="J34" s="792">
        <f t="shared" si="6"/>
        <v>1</v>
      </c>
      <c r="K34" s="1246" t="s">
        <v>3344</v>
      </c>
      <c r="L34" s="545"/>
      <c r="M34" s="801">
        <v>30</v>
      </c>
      <c r="N34" s="1339">
        <f t="shared" si="4"/>
        <v>23</v>
      </c>
      <c r="O34" s="1341">
        <f t="shared" si="5"/>
        <v>0.76666666666666672</v>
      </c>
      <c r="P34" s="716">
        <f>24%*$P$32</f>
        <v>1.2E-2</v>
      </c>
      <c r="Q34" s="1327">
        <f t="shared" ref="Q34:Q38" si="12">Q$32*P34/P$32</f>
        <v>103833723.12</v>
      </c>
      <c r="R34" s="1328">
        <f t="shared" ref="R34:R38" si="13">R$32*P34/P$32</f>
        <v>82513786.560000002</v>
      </c>
      <c r="S34" s="718"/>
      <c r="T34" s="733"/>
      <c r="U34" s="547"/>
      <c r="V34" s="733">
        <f t="shared" si="2"/>
        <v>82513786.560000002</v>
      </c>
      <c r="W34" s="733"/>
      <c r="X34" s="733"/>
      <c r="Y34" s="547"/>
      <c r="Z34" s="547"/>
      <c r="AA34" s="547"/>
      <c r="AB34" s="707"/>
      <c r="AC34" s="1347" t="s">
        <v>1838</v>
      </c>
      <c r="AD34" s="951" t="s">
        <v>1844</v>
      </c>
      <c r="AE34" s="952" t="s">
        <v>2812</v>
      </c>
    </row>
    <row r="35" spans="1:31" ht="84" customHeight="1" x14ac:dyDescent="0.25">
      <c r="A35" s="830" t="s">
        <v>2673</v>
      </c>
      <c r="B35" s="830" t="s">
        <v>2927</v>
      </c>
      <c r="C35" s="831" t="s">
        <v>2647</v>
      </c>
      <c r="D35" s="1041">
        <v>1</v>
      </c>
      <c r="E35" s="1237">
        <v>1</v>
      </c>
      <c r="F35" s="1237">
        <v>1</v>
      </c>
      <c r="G35" s="832">
        <f>12/12</f>
        <v>1</v>
      </c>
      <c r="H35" s="1112"/>
      <c r="I35" s="1113">
        <f t="shared" si="3"/>
        <v>1</v>
      </c>
      <c r="J35" s="792">
        <f t="shared" si="6"/>
        <v>1</v>
      </c>
      <c r="K35" s="1246" t="s">
        <v>3345</v>
      </c>
      <c r="L35" s="545"/>
      <c r="M35" s="792">
        <v>1</v>
      </c>
      <c r="N35" s="1339">
        <f t="shared" si="4"/>
        <v>3</v>
      </c>
      <c r="O35" s="1341">
        <f t="shared" si="5"/>
        <v>1</v>
      </c>
      <c r="P35" s="716">
        <f>45%*$P$32</f>
        <v>2.2500000000000003E-2</v>
      </c>
      <c r="Q35" s="1327">
        <f t="shared" si="12"/>
        <v>194688230.84999999</v>
      </c>
      <c r="R35" s="1328">
        <f t="shared" si="13"/>
        <v>154713349.80000001</v>
      </c>
      <c r="S35" s="718"/>
      <c r="T35" s="733"/>
      <c r="U35" s="547"/>
      <c r="V35" s="733">
        <f t="shared" si="2"/>
        <v>154713349.80000001</v>
      </c>
      <c r="W35" s="733"/>
      <c r="X35" s="733"/>
      <c r="Y35" s="547"/>
      <c r="Z35" s="547"/>
      <c r="AA35" s="547"/>
      <c r="AB35" s="707"/>
      <c r="AC35" s="1347" t="s">
        <v>1838</v>
      </c>
      <c r="AD35" s="951" t="s">
        <v>1844</v>
      </c>
      <c r="AE35" s="952" t="s">
        <v>2812</v>
      </c>
    </row>
    <row r="36" spans="1:31" ht="114.75" x14ac:dyDescent="0.25">
      <c r="A36" s="833" t="s">
        <v>2674</v>
      </c>
      <c r="B36" s="833" t="s">
        <v>2928</v>
      </c>
      <c r="C36" s="828" t="s">
        <v>2660</v>
      </c>
      <c r="D36" s="829">
        <v>0</v>
      </c>
      <c r="E36" s="1042">
        <v>30</v>
      </c>
      <c r="F36" s="1042">
        <v>0</v>
      </c>
      <c r="G36" s="1253">
        <v>44</v>
      </c>
      <c r="H36" s="1112"/>
      <c r="I36" s="1113" t="e">
        <f t="shared" si="3"/>
        <v>#DIV/0!</v>
      </c>
      <c r="J36" s="792">
        <f t="shared" si="6"/>
        <v>1</v>
      </c>
      <c r="K36" s="1246" t="s">
        <v>3346</v>
      </c>
      <c r="L36" s="545"/>
      <c r="M36" s="801">
        <v>80</v>
      </c>
      <c r="N36" s="1339">
        <f t="shared" si="4"/>
        <v>74</v>
      </c>
      <c r="O36" s="1341">
        <f t="shared" si="5"/>
        <v>0.92500000000000004</v>
      </c>
      <c r="P36" s="716">
        <f>3%*$P$32</f>
        <v>1.5E-3</v>
      </c>
      <c r="Q36" s="1327">
        <f t="shared" si="12"/>
        <v>12979215.390000001</v>
      </c>
      <c r="R36" s="1328">
        <f t="shared" si="13"/>
        <v>10314223.32</v>
      </c>
      <c r="S36" s="718"/>
      <c r="T36" s="733"/>
      <c r="U36" s="547"/>
      <c r="V36" s="733">
        <f>+R36-T36</f>
        <v>10314223.32</v>
      </c>
      <c r="W36" s="733"/>
      <c r="X36" s="733"/>
      <c r="Y36" s="547"/>
      <c r="Z36" s="547"/>
      <c r="AA36" s="547"/>
      <c r="AB36" s="707"/>
      <c r="AC36" s="1347" t="s">
        <v>1838</v>
      </c>
      <c r="AD36" s="951" t="s">
        <v>1844</v>
      </c>
      <c r="AE36" s="952" t="s">
        <v>2812</v>
      </c>
    </row>
    <row r="37" spans="1:31" ht="140.25" x14ac:dyDescent="0.25">
      <c r="A37" s="835" t="s">
        <v>2675</v>
      </c>
      <c r="B37" s="970" t="s">
        <v>2929</v>
      </c>
      <c r="C37" s="831" t="s">
        <v>2647</v>
      </c>
      <c r="D37" s="1041">
        <v>0.75</v>
      </c>
      <c r="E37" s="1237">
        <v>0.85</v>
      </c>
      <c r="F37" s="1237">
        <v>0.78</v>
      </c>
      <c r="G37" s="898">
        <v>0.88</v>
      </c>
      <c r="H37" s="1114"/>
      <c r="I37" s="1113">
        <f t="shared" si="3"/>
        <v>1</v>
      </c>
      <c r="J37" s="792">
        <f t="shared" si="6"/>
        <v>1</v>
      </c>
      <c r="K37" s="1249" t="s">
        <v>3347</v>
      </c>
      <c r="L37" s="549"/>
      <c r="M37" s="792">
        <v>0.95</v>
      </c>
      <c r="N37" s="1339">
        <f t="shared" si="4"/>
        <v>2.5099999999999998</v>
      </c>
      <c r="O37" s="1341">
        <f t="shared" si="5"/>
        <v>1</v>
      </c>
      <c r="P37" s="716">
        <f>3%*$P$32</f>
        <v>1.5E-3</v>
      </c>
      <c r="Q37" s="1327">
        <f t="shared" si="12"/>
        <v>12979215.390000001</v>
      </c>
      <c r="R37" s="1328">
        <f t="shared" si="13"/>
        <v>10314223.32</v>
      </c>
      <c r="S37" s="1185"/>
      <c r="T37" s="734"/>
      <c r="U37" s="550"/>
      <c r="V37" s="734">
        <f>+R37-T37</f>
        <v>10314223.32</v>
      </c>
      <c r="W37" s="734"/>
      <c r="X37" s="734"/>
      <c r="Y37" s="550"/>
      <c r="Z37" s="550"/>
      <c r="AA37" s="550"/>
      <c r="AB37" s="707"/>
      <c r="AC37" s="1347" t="s">
        <v>1838</v>
      </c>
      <c r="AD37" s="951" t="s">
        <v>1844</v>
      </c>
      <c r="AE37" s="952" t="s">
        <v>2812</v>
      </c>
    </row>
    <row r="38" spans="1:31" ht="79.5" thickBot="1" x14ac:dyDescent="0.3">
      <c r="A38" s="836" t="s">
        <v>2676</v>
      </c>
      <c r="B38" s="1052" t="s">
        <v>2930</v>
      </c>
      <c r="C38" s="837" t="s">
        <v>2660</v>
      </c>
      <c r="D38" s="838">
        <v>1</v>
      </c>
      <c r="E38" s="839">
        <v>0</v>
      </c>
      <c r="F38" s="1042">
        <v>1</v>
      </c>
      <c r="G38" s="1254">
        <v>0</v>
      </c>
      <c r="H38" s="1114"/>
      <c r="I38" s="1113">
        <f t="shared" si="3"/>
        <v>1</v>
      </c>
      <c r="J38" s="801" t="e">
        <f t="shared" si="6"/>
        <v>#DIV/0!</v>
      </c>
      <c r="K38" s="549" t="s">
        <v>3348</v>
      </c>
      <c r="L38" s="549"/>
      <c r="M38" s="867">
        <v>2</v>
      </c>
      <c r="N38" s="1339">
        <f t="shared" si="4"/>
        <v>1</v>
      </c>
      <c r="O38" s="1341">
        <f t="shared" si="5"/>
        <v>0.5</v>
      </c>
      <c r="P38" s="716">
        <f>0%*$P$32</f>
        <v>0</v>
      </c>
      <c r="Q38" s="1327">
        <f t="shared" si="12"/>
        <v>0</v>
      </c>
      <c r="R38" s="1328">
        <f t="shared" si="13"/>
        <v>0</v>
      </c>
      <c r="S38" s="1185"/>
      <c r="T38" s="734"/>
      <c r="U38" s="550"/>
      <c r="V38" s="734">
        <f>+R38-T38</f>
        <v>0</v>
      </c>
      <c r="W38" s="734"/>
      <c r="X38" s="734"/>
      <c r="Y38" s="550"/>
      <c r="Z38" s="550"/>
      <c r="AA38" s="550"/>
      <c r="AB38" s="961" t="s">
        <v>2811</v>
      </c>
      <c r="AC38" s="1347" t="s">
        <v>1838</v>
      </c>
      <c r="AD38" s="951" t="s">
        <v>1844</v>
      </c>
      <c r="AE38" s="952" t="s">
        <v>2812</v>
      </c>
    </row>
    <row r="39" spans="1:31" ht="13.5" thickBot="1" x14ac:dyDescent="0.3">
      <c r="A39" s="1612" t="s">
        <v>2677</v>
      </c>
      <c r="B39" s="1613"/>
      <c r="C39" s="785"/>
      <c r="D39" s="785"/>
      <c r="E39" s="785"/>
      <c r="F39" s="781"/>
      <c r="G39" s="779"/>
      <c r="H39" s="779"/>
      <c r="I39" s="1188">
        <f>SUM(I40+I56)/2</f>
        <v>0.89999999999999991</v>
      </c>
      <c r="J39" s="1188">
        <f>SUM(J40+J56)/2</f>
        <v>1</v>
      </c>
      <c r="K39" s="549"/>
      <c r="L39" s="549"/>
      <c r="M39" s="806"/>
      <c r="N39" s="1342"/>
      <c r="O39" s="549"/>
      <c r="P39" s="1185">
        <f>P40+P56</f>
        <v>0.14000000000000001</v>
      </c>
      <c r="Q39" s="1324">
        <f>SUM(Q40+Q56)</f>
        <v>21322216793.260002</v>
      </c>
      <c r="R39" s="1324">
        <f>SUM(R40+R56)</f>
        <v>20332435701.299999</v>
      </c>
      <c r="S39" s="1336">
        <f>+R39/Q39</f>
        <v>0.95357982232537497</v>
      </c>
      <c r="T39" s="1324">
        <f>SUM(T40+T56)</f>
        <v>7432704865.75</v>
      </c>
      <c r="U39" s="1185">
        <f>+T39/R39</f>
        <v>0.36555900015829257</v>
      </c>
      <c r="V39" s="734">
        <f>+R39-T39</f>
        <v>12899730835.549999</v>
      </c>
      <c r="W39" s="734"/>
      <c r="X39" s="734"/>
      <c r="Y39" s="1324">
        <f>SUM(Y40+Y56)</f>
        <v>38719384901.610001</v>
      </c>
      <c r="Z39" s="1324">
        <f>SUM(Z40+Z56)</f>
        <v>34332015422.799999</v>
      </c>
      <c r="AA39" s="766">
        <f>+Z39/Y39</f>
        <v>0.88668803778885519</v>
      </c>
      <c r="AB39" s="957"/>
      <c r="AC39" s="1347"/>
      <c r="AD39" s="951"/>
      <c r="AE39" s="958"/>
    </row>
    <row r="40" spans="1:31" ht="21.75" customHeight="1" thickBot="1" x14ac:dyDescent="0.3">
      <c r="A40" s="1600" t="s">
        <v>2832</v>
      </c>
      <c r="B40" s="1601"/>
      <c r="C40" s="1601"/>
      <c r="D40" s="1601"/>
      <c r="E40" s="1602"/>
      <c r="F40" s="780"/>
      <c r="G40" s="780"/>
      <c r="H40" s="780"/>
      <c r="I40" s="1244">
        <v>0.83</v>
      </c>
      <c r="J40" s="1245">
        <f>+(J41+J42+J43+J52+J53)/5</f>
        <v>1</v>
      </c>
      <c r="K40" s="552"/>
      <c r="L40" s="552"/>
      <c r="M40" s="881"/>
      <c r="N40" s="1343"/>
      <c r="O40" s="552"/>
      <c r="P40" s="1332">
        <v>0.09</v>
      </c>
      <c r="Q40" s="1325">
        <f>'informe Gastos'!AC64</f>
        <v>20189142208.260002</v>
      </c>
      <c r="R40" s="1325">
        <f>'informe Gastos'!AD64</f>
        <v>19769911427.959999</v>
      </c>
      <c r="S40" s="1332">
        <f>+R40/Q40</f>
        <v>0.97923483940152334</v>
      </c>
      <c r="T40" s="1325">
        <f>'informe Gastos'!AE64</f>
        <v>6985454379.5</v>
      </c>
      <c r="U40" s="1332">
        <f>+T40/R40</f>
        <v>0.35333766693667018</v>
      </c>
      <c r="V40" s="735">
        <f>+R40-T40</f>
        <v>12784457048.459999</v>
      </c>
      <c r="W40" s="735"/>
      <c r="X40" s="735"/>
      <c r="Y40" s="553">
        <f>(785073867+2060869177+865545000+914015000)+29724810600+201290000+606537137.61+248800000</f>
        <v>35406940781.610001</v>
      </c>
      <c r="Z40" s="553">
        <f>27167159130+R40-13565697955</f>
        <v>33371372602.959999</v>
      </c>
      <c r="AA40" s="766">
        <f>+Z40/Y40</f>
        <v>0.94250934608540782</v>
      </c>
      <c r="AB40" s="962"/>
      <c r="AC40" s="1347"/>
      <c r="AD40" s="951"/>
      <c r="AE40" s="963"/>
    </row>
    <row r="41" spans="1:31" ht="62.25" customHeight="1" x14ac:dyDescent="0.25">
      <c r="A41" s="840" t="s">
        <v>2678</v>
      </c>
      <c r="B41" s="1021" t="s">
        <v>2931</v>
      </c>
      <c r="C41" s="841" t="s">
        <v>2660</v>
      </c>
      <c r="D41" s="842">
        <v>3000</v>
      </c>
      <c r="E41" s="843">
        <v>6000</v>
      </c>
      <c r="F41" s="843">
        <v>3064</v>
      </c>
      <c r="G41" s="1257">
        <v>6018</v>
      </c>
      <c r="H41" s="1258"/>
      <c r="I41" s="1259">
        <f t="shared" si="3"/>
        <v>1</v>
      </c>
      <c r="J41" s="1260">
        <f t="shared" si="6"/>
        <v>1</v>
      </c>
      <c r="K41" s="781" t="s">
        <v>3349</v>
      </c>
      <c r="L41" s="781"/>
      <c r="M41" s="922">
        <v>15000</v>
      </c>
      <c r="N41" s="1344">
        <f t="shared" ref="N41:N104" si="14">SUM(E41:G41)</f>
        <v>15082</v>
      </c>
      <c r="O41" s="1341">
        <f t="shared" ref="O41:O104" si="15">IF(N41/M41&gt;=100%,100%,N41/M41)</f>
        <v>1</v>
      </c>
      <c r="P41" s="716">
        <f>15%*$P$40</f>
        <v>1.35E-2</v>
      </c>
      <c r="Q41" s="1327">
        <f>Q$40*P41/P$40</f>
        <v>3028371331.2390003</v>
      </c>
      <c r="R41" s="1328">
        <f>R$40*P41/P$40</f>
        <v>2965486714.1939998</v>
      </c>
      <c r="S41" s="783"/>
      <c r="T41" s="784"/>
      <c r="U41" s="783"/>
      <c r="V41" s="784"/>
      <c r="W41" s="784"/>
      <c r="X41" s="784"/>
      <c r="Y41" s="783"/>
      <c r="Z41" s="783"/>
      <c r="AA41" s="783"/>
      <c r="AB41" s="773"/>
      <c r="AC41" s="1347" t="s">
        <v>1837</v>
      </c>
      <c r="AD41" s="951" t="s">
        <v>1844</v>
      </c>
      <c r="AE41" s="1614" t="s">
        <v>3311</v>
      </c>
    </row>
    <row r="42" spans="1:31" ht="56.25" customHeight="1" x14ac:dyDescent="0.25">
      <c r="A42" s="844" t="s">
        <v>2679</v>
      </c>
      <c r="B42" s="844" t="s">
        <v>2932</v>
      </c>
      <c r="C42" s="837" t="s">
        <v>2660</v>
      </c>
      <c r="D42" s="845">
        <v>1</v>
      </c>
      <c r="E42" s="1056">
        <v>1</v>
      </c>
      <c r="F42" s="846">
        <v>1</v>
      </c>
      <c r="G42" s="1261">
        <v>1</v>
      </c>
      <c r="H42" s="1261"/>
      <c r="I42" s="1259">
        <f t="shared" si="3"/>
        <v>1</v>
      </c>
      <c r="J42" s="792">
        <f t="shared" si="6"/>
        <v>1</v>
      </c>
      <c r="K42" s="781" t="s">
        <v>3350</v>
      </c>
      <c r="L42" s="781"/>
      <c r="M42" s="801">
        <v>3</v>
      </c>
      <c r="N42" s="1344">
        <f t="shared" si="14"/>
        <v>3</v>
      </c>
      <c r="O42" s="1341">
        <f t="shared" si="15"/>
        <v>1</v>
      </c>
      <c r="P42" s="716">
        <v>0</v>
      </c>
      <c r="Q42" s="1327">
        <f t="shared" ref="Q42:Q55" si="16">Q$40*P42/P$40</f>
        <v>0</v>
      </c>
      <c r="R42" s="1328">
        <f t="shared" ref="R42:R49" si="17">R$40*P42/P$40</f>
        <v>0</v>
      </c>
      <c r="S42" s="783"/>
      <c r="T42" s="784"/>
      <c r="U42" s="783"/>
      <c r="V42" s="784"/>
      <c r="W42" s="784"/>
      <c r="X42" s="784"/>
      <c r="Y42" s="783"/>
      <c r="Z42" s="783"/>
      <c r="AA42" s="783"/>
      <c r="AB42" s="964" t="s">
        <v>2811</v>
      </c>
      <c r="AC42" s="1347" t="s">
        <v>1837</v>
      </c>
      <c r="AD42" s="951" t="s">
        <v>1844</v>
      </c>
      <c r="AE42" s="1615"/>
    </row>
    <row r="43" spans="1:31" ht="64.5" customHeight="1" x14ac:dyDescent="0.25">
      <c r="A43" s="844" t="s">
        <v>2680</v>
      </c>
      <c r="B43" s="844" t="s">
        <v>2680</v>
      </c>
      <c r="C43" s="837" t="s">
        <v>2660</v>
      </c>
      <c r="D43" s="845">
        <v>1</v>
      </c>
      <c r="E43" s="1056">
        <v>1</v>
      </c>
      <c r="F43" s="846">
        <v>1</v>
      </c>
      <c r="G43" s="1261">
        <v>1</v>
      </c>
      <c r="H43" s="1261"/>
      <c r="I43" s="1259">
        <f t="shared" si="3"/>
        <v>1</v>
      </c>
      <c r="J43" s="792">
        <f t="shared" si="6"/>
        <v>1</v>
      </c>
      <c r="K43" s="1091" t="s">
        <v>3351</v>
      </c>
      <c r="L43" s="1090"/>
      <c r="M43" s="801">
        <v>1</v>
      </c>
      <c r="N43" s="1344">
        <f t="shared" si="14"/>
        <v>3</v>
      </c>
      <c r="O43" s="1341">
        <f t="shared" si="15"/>
        <v>1</v>
      </c>
      <c r="P43" s="716">
        <v>0</v>
      </c>
      <c r="Q43" s="1327">
        <f t="shared" si="16"/>
        <v>0</v>
      </c>
      <c r="R43" s="1328">
        <f t="shared" si="17"/>
        <v>0</v>
      </c>
      <c r="S43" s="783"/>
      <c r="T43" s="784"/>
      <c r="U43" s="783"/>
      <c r="V43" s="784"/>
      <c r="W43" s="784"/>
      <c r="X43" s="784"/>
      <c r="Y43" s="783"/>
      <c r="Z43" s="783"/>
      <c r="AA43" s="783"/>
      <c r="AB43" s="964" t="s">
        <v>2811</v>
      </c>
      <c r="AC43" s="1347" t="s">
        <v>1837</v>
      </c>
      <c r="AD43" s="951" t="s">
        <v>1844</v>
      </c>
      <c r="AE43" s="1615"/>
    </row>
    <row r="44" spans="1:31" ht="101.25" x14ac:dyDescent="0.25">
      <c r="A44" s="844" t="s">
        <v>2681</v>
      </c>
      <c r="B44" s="1053" t="s">
        <v>2933</v>
      </c>
      <c r="C44" s="837" t="s">
        <v>2660</v>
      </c>
      <c r="D44" s="845">
        <v>1</v>
      </c>
      <c r="E44" s="1056">
        <v>0</v>
      </c>
      <c r="F44" s="846">
        <v>1</v>
      </c>
      <c r="G44" s="1261">
        <v>0</v>
      </c>
      <c r="H44" s="1261"/>
      <c r="I44" s="1259">
        <f t="shared" si="3"/>
        <v>1</v>
      </c>
      <c r="J44" s="801" t="e">
        <f t="shared" si="6"/>
        <v>#DIV/0!</v>
      </c>
      <c r="K44" s="1091"/>
      <c r="L44" s="1090"/>
      <c r="M44" s="801">
        <v>1</v>
      </c>
      <c r="N44" s="1344">
        <f t="shared" si="14"/>
        <v>1</v>
      </c>
      <c r="O44" s="1341">
        <f t="shared" si="15"/>
        <v>1</v>
      </c>
      <c r="P44" s="716">
        <v>0</v>
      </c>
      <c r="Q44" s="1327">
        <f t="shared" si="16"/>
        <v>0</v>
      </c>
      <c r="R44" s="1328">
        <f t="shared" si="17"/>
        <v>0</v>
      </c>
      <c r="S44" s="783"/>
      <c r="T44" s="784"/>
      <c r="U44" s="783"/>
      <c r="V44" s="784"/>
      <c r="W44" s="784"/>
      <c r="X44" s="784"/>
      <c r="Y44" s="783"/>
      <c r="Z44" s="783"/>
      <c r="AA44" s="783"/>
      <c r="AB44" s="707"/>
      <c r="AC44" s="1347" t="s">
        <v>1837</v>
      </c>
      <c r="AD44" s="951" t="s">
        <v>1844</v>
      </c>
      <c r="AE44" s="1616"/>
    </row>
    <row r="45" spans="1:31" ht="37.5" customHeight="1" x14ac:dyDescent="0.25">
      <c r="A45" s="847" t="s">
        <v>2682</v>
      </c>
      <c r="B45" s="1023" t="s">
        <v>2934</v>
      </c>
      <c r="C45" s="848" t="s">
        <v>2647</v>
      </c>
      <c r="D45" s="849">
        <v>0</v>
      </c>
      <c r="E45" s="1262">
        <v>0</v>
      </c>
      <c r="F45" s="850">
        <v>0</v>
      </c>
      <c r="G45" s="1237">
        <f ca="1">'1POMCAS'!H98</f>
        <v>0</v>
      </c>
      <c r="H45" s="1261"/>
      <c r="I45" s="1259" t="e">
        <f t="shared" si="3"/>
        <v>#DIV/0!</v>
      </c>
      <c r="J45" s="792" t="e">
        <f t="shared" ca="1" si="6"/>
        <v>#DIV/0!</v>
      </c>
      <c r="K45" s="1264" t="s">
        <v>3352</v>
      </c>
      <c r="L45" s="1090"/>
      <c r="M45" s="792">
        <v>0.1666</v>
      </c>
      <c r="N45" s="1339">
        <f t="shared" ca="1" si="14"/>
        <v>0</v>
      </c>
      <c r="O45" s="1341">
        <f t="shared" ca="1" si="15"/>
        <v>0</v>
      </c>
      <c r="P45" s="716">
        <f t="shared" ref="P45:P49" si="18">15%*$P$40</f>
        <v>1.35E-2</v>
      </c>
      <c r="Q45" s="1327">
        <f t="shared" si="16"/>
        <v>3028371331.2390003</v>
      </c>
      <c r="R45" s="1328">
        <f t="shared" si="17"/>
        <v>2965486714.1939998</v>
      </c>
      <c r="S45" s="783"/>
      <c r="T45" s="784"/>
      <c r="U45" s="783"/>
      <c r="V45" s="784"/>
      <c r="W45" s="784"/>
      <c r="X45" s="784"/>
      <c r="Y45" s="783"/>
      <c r="Z45" s="783"/>
      <c r="AA45" s="783"/>
      <c r="AB45" s="965" t="s">
        <v>2813</v>
      </c>
      <c r="AC45" s="1347" t="s">
        <v>1837</v>
      </c>
      <c r="AD45" s="951" t="s">
        <v>1149</v>
      </c>
      <c r="AE45" s="955" t="s">
        <v>2814</v>
      </c>
    </row>
    <row r="46" spans="1:31" ht="26.25" customHeight="1" x14ac:dyDescent="0.25">
      <c r="A46" s="847" t="s">
        <v>2683</v>
      </c>
      <c r="B46" s="1023" t="s">
        <v>2935</v>
      </c>
      <c r="C46" s="848" t="s">
        <v>2647</v>
      </c>
      <c r="D46" s="849">
        <v>0</v>
      </c>
      <c r="E46" s="1054">
        <v>0</v>
      </c>
      <c r="F46" s="850">
        <v>0</v>
      </c>
      <c r="G46" s="1237">
        <f>'6POMCASejec'!D8</f>
        <v>0.5</v>
      </c>
      <c r="H46" s="1261"/>
      <c r="I46" s="1259" t="e">
        <f t="shared" si="3"/>
        <v>#DIV/0!</v>
      </c>
      <c r="J46" s="801" t="e">
        <f t="shared" si="6"/>
        <v>#DIV/0!</v>
      </c>
      <c r="K46" s="1264" t="s">
        <v>3353</v>
      </c>
      <c r="L46" s="1090"/>
      <c r="M46" s="792">
        <v>1</v>
      </c>
      <c r="N46" s="1339">
        <f t="shared" si="14"/>
        <v>0.5</v>
      </c>
      <c r="O46" s="1341">
        <f t="shared" si="15"/>
        <v>0.5</v>
      </c>
      <c r="P46" s="716">
        <f>5%*$P$40</f>
        <v>4.4999999999999997E-3</v>
      </c>
      <c r="Q46" s="1327">
        <f t="shared" si="16"/>
        <v>1009457110.413</v>
      </c>
      <c r="R46" s="1328">
        <f t="shared" si="17"/>
        <v>988495571.398</v>
      </c>
      <c r="S46" s="783"/>
      <c r="T46" s="784"/>
      <c r="U46" s="783"/>
      <c r="V46" s="784"/>
      <c r="W46" s="784"/>
      <c r="X46" s="784"/>
      <c r="Y46" s="783"/>
      <c r="Z46" s="783"/>
      <c r="AA46" s="783"/>
      <c r="AB46" s="966" t="s">
        <v>2815</v>
      </c>
      <c r="AC46" s="1347" t="s">
        <v>1837</v>
      </c>
      <c r="AD46" s="951" t="s">
        <v>220</v>
      </c>
      <c r="AE46" s="955" t="s">
        <v>2814</v>
      </c>
    </row>
    <row r="47" spans="1:31" ht="27.75" customHeight="1" x14ac:dyDescent="0.25">
      <c r="A47" s="844" t="s">
        <v>2683</v>
      </c>
      <c r="B47" s="1022" t="s">
        <v>2935</v>
      </c>
      <c r="C47" s="848" t="s">
        <v>2647</v>
      </c>
      <c r="D47" s="849">
        <v>0</v>
      </c>
      <c r="E47" s="1054">
        <v>0</v>
      </c>
      <c r="F47" s="850">
        <v>0</v>
      </c>
      <c r="G47" s="1266">
        <v>0</v>
      </c>
      <c r="H47" s="1261"/>
      <c r="I47" s="1259" t="e">
        <f t="shared" si="3"/>
        <v>#DIV/0!</v>
      </c>
      <c r="J47" s="801" t="e">
        <f t="shared" si="6"/>
        <v>#DIV/0!</v>
      </c>
      <c r="K47" s="1264"/>
      <c r="L47" s="1090"/>
      <c r="M47" s="792">
        <v>0.1</v>
      </c>
      <c r="N47" s="1339">
        <f t="shared" si="14"/>
        <v>0</v>
      </c>
      <c r="O47" s="1341">
        <f t="shared" si="15"/>
        <v>0</v>
      </c>
      <c r="P47" s="716">
        <v>0</v>
      </c>
      <c r="Q47" s="1327">
        <f t="shared" si="16"/>
        <v>0</v>
      </c>
      <c r="R47" s="1328">
        <f t="shared" si="17"/>
        <v>0</v>
      </c>
      <c r="S47" s="783"/>
      <c r="T47" s="784"/>
      <c r="U47" s="783"/>
      <c r="V47" s="784"/>
      <c r="W47" s="784"/>
      <c r="X47" s="784"/>
      <c r="Y47" s="783"/>
      <c r="Z47" s="783"/>
      <c r="AA47" s="783"/>
      <c r="AB47" s="966" t="s">
        <v>2816</v>
      </c>
      <c r="AC47" s="1347" t="s">
        <v>1837</v>
      </c>
      <c r="AD47" s="951" t="s">
        <v>220</v>
      </c>
      <c r="AE47" s="955" t="s">
        <v>2814</v>
      </c>
    </row>
    <row r="48" spans="1:31" ht="56.25" customHeight="1" x14ac:dyDescent="0.25">
      <c r="A48" s="847" t="s">
        <v>2684</v>
      </c>
      <c r="B48" s="1023" t="s">
        <v>2936</v>
      </c>
      <c r="C48" s="848" t="s">
        <v>2647</v>
      </c>
      <c r="D48" s="849">
        <v>0</v>
      </c>
      <c r="E48" s="1262">
        <v>0</v>
      </c>
      <c r="F48" s="850">
        <f>'[2]2PORH'!E9</f>
        <v>0</v>
      </c>
      <c r="G48" s="1261">
        <f>'2PORH'!F23</f>
        <v>0</v>
      </c>
      <c r="H48" s="1261"/>
      <c r="I48" s="1259" t="e">
        <f t="shared" si="3"/>
        <v>#DIV/0!</v>
      </c>
      <c r="J48" s="801" t="e">
        <f t="shared" si="6"/>
        <v>#DIV/0!</v>
      </c>
      <c r="K48" s="1264" t="s">
        <v>3354</v>
      </c>
      <c r="L48" s="1090"/>
      <c r="M48" s="792">
        <v>0.3332</v>
      </c>
      <c r="N48" s="1339">
        <f t="shared" si="14"/>
        <v>0</v>
      </c>
      <c r="O48" s="1341">
        <f t="shared" si="15"/>
        <v>0</v>
      </c>
      <c r="P48" s="716">
        <f>20%*$P$40</f>
        <v>1.7999999999999999E-2</v>
      </c>
      <c r="Q48" s="1327">
        <f t="shared" si="16"/>
        <v>4037828441.652</v>
      </c>
      <c r="R48" s="1328">
        <f t="shared" si="17"/>
        <v>3953982285.592</v>
      </c>
      <c r="S48" s="783"/>
      <c r="T48" s="784"/>
      <c r="U48" s="783"/>
      <c r="V48" s="784"/>
      <c r="W48" s="784"/>
      <c r="X48" s="784"/>
      <c r="Y48" s="783"/>
      <c r="Z48" s="783"/>
      <c r="AA48" s="783"/>
      <c r="AB48" s="967" t="s">
        <v>2817</v>
      </c>
      <c r="AC48" s="1347" t="s">
        <v>1837</v>
      </c>
      <c r="AD48" s="951" t="s">
        <v>131</v>
      </c>
      <c r="AE48" s="955" t="s">
        <v>2814</v>
      </c>
    </row>
    <row r="49" spans="1:31" ht="78" customHeight="1" x14ac:dyDescent="0.25">
      <c r="A49" s="1603" t="s">
        <v>2685</v>
      </c>
      <c r="B49" s="1023" t="s">
        <v>183</v>
      </c>
      <c r="C49" s="848" t="s">
        <v>2647</v>
      </c>
      <c r="D49" s="849">
        <v>0</v>
      </c>
      <c r="E49" s="1054">
        <v>0</v>
      </c>
      <c r="F49" s="1054">
        <v>0</v>
      </c>
      <c r="G49" s="1261" t="str">
        <f>'4UsoAguas'!D8</f>
        <v>N.A.</v>
      </c>
      <c r="H49" s="1261"/>
      <c r="I49" s="1259" t="e">
        <f t="shared" si="3"/>
        <v>#DIV/0!</v>
      </c>
      <c r="J49" s="792" t="e">
        <f t="shared" si="6"/>
        <v>#VALUE!</v>
      </c>
      <c r="K49" s="1264" t="s">
        <v>3223</v>
      </c>
      <c r="L49" s="1090"/>
      <c r="M49" s="792">
        <v>8.3299999999999999E-2</v>
      </c>
      <c r="N49" s="1339">
        <f t="shared" si="14"/>
        <v>0</v>
      </c>
      <c r="O49" s="1341">
        <f t="shared" si="15"/>
        <v>0</v>
      </c>
      <c r="P49" s="716">
        <f t="shared" si="18"/>
        <v>1.35E-2</v>
      </c>
      <c r="Q49" s="1327">
        <f t="shared" si="16"/>
        <v>3028371331.2390003</v>
      </c>
      <c r="R49" s="1328">
        <f t="shared" si="17"/>
        <v>2965486714.1939998</v>
      </c>
      <c r="S49" s="783"/>
      <c r="T49" s="784"/>
      <c r="U49" s="783"/>
      <c r="V49" s="784"/>
      <c r="W49" s="784"/>
      <c r="X49" s="784"/>
      <c r="Y49" s="783"/>
      <c r="Z49" s="783"/>
      <c r="AA49" s="783"/>
      <c r="AB49" s="967" t="s">
        <v>2818</v>
      </c>
      <c r="AC49" s="1347" t="s">
        <v>1837</v>
      </c>
      <c r="AD49" s="951" t="s">
        <v>183</v>
      </c>
      <c r="AE49" s="955" t="s">
        <v>2814</v>
      </c>
    </row>
    <row r="50" spans="1:31" ht="144.75" customHeight="1" x14ac:dyDescent="0.25">
      <c r="A50" s="1604"/>
      <c r="B50" s="844" t="s">
        <v>2937</v>
      </c>
      <c r="C50" s="837" t="s">
        <v>2660</v>
      </c>
      <c r="D50" s="845">
        <v>0</v>
      </c>
      <c r="E50" s="1132">
        <v>0</v>
      </c>
      <c r="F50" s="1055">
        <f>'[2]4UsoAguas'!E9</f>
        <v>0</v>
      </c>
      <c r="G50" s="1267">
        <v>0</v>
      </c>
      <c r="H50" s="1261"/>
      <c r="I50" s="1259" t="e">
        <f t="shared" si="3"/>
        <v>#DIV/0!</v>
      </c>
      <c r="J50" s="801" t="e">
        <f>IF(G50/E50&gt;=100%,100%,G50/E50)</f>
        <v>#DIV/0!</v>
      </c>
      <c r="K50" s="781" t="s">
        <v>3355</v>
      </c>
      <c r="L50" s="781"/>
      <c r="M50" s="801">
        <v>4</v>
      </c>
      <c r="N50" s="1339">
        <f t="shared" si="14"/>
        <v>0</v>
      </c>
      <c r="O50" s="1341">
        <f t="shared" si="15"/>
        <v>0</v>
      </c>
      <c r="P50" s="716">
        <v>0</v>
      </c>
      <c r="Q50" s="1327">
        <f t="shared" si="16"/>
        <v>0</v>
      </c>
      <c r="R50" s="1328">
        <f>R$40*P50/P$40</f>
        <v>0</v>
      </c>
      <c r="S50" s="783"/>
      <c r="T50" s="784"/>
      <c r="U50" s="783"/>
      <c r="V50" s="784"/>
      <c r="W50" s="784"/>
      <c r="X50" s="784"/>
      <c r="Y50" s="783"/>
      <c r="Z50" s="783"/>
      <c r="AA50" s="783"/>
      <c r="AB50" s="967" t="s">
        <v>2819</v>
      </c>
      <c r="AC50" s="1347" t="s">
        <v>1837</v>
      </c>
      <c r="AD50" s="951" t="s">
        <v>183</v>
      </c>
      <c r="AE50" s="955" t="s">
        <v>2814</v>
      </c>
    </row>
    <row r="51" spans="1:31" ht="33.75" x14ac:dyDescent="0.25">
      <c r="A51" s="844" t="s">
        <v>2686</v>
      </c>
      <c r="B51" s="1022" t="s">
        <v>2938</v>
      </c>
      <c r="C51" s="848" t="s">
        <v>2647</v>
      </c>
      <c r="D51" s="845">
        <v>0</v>
      </c>
      <c r="E51" s="1056">
        <v>0</v>
      </c>
      <c r="F51" s="1056">
        <v>0</v>
      </c>
      <c r="G51" s="1261">
        <v>0</v>
      </c>
      <c r="H51" s="1261"/>
      <c r="I51" s="1259" t="e">
        <f t="shared" si="3"/>
        <v>#DIV/0!</v>
      </c>
      <c r="J51" s="801" t="e">
        <f t="shared" si="6"/>
        <v>#DIV/0!</v>
      </c>
      <c r="K51" s="781"/>
      <c r="L51" s="781"/>
      <c r="M51" s="792">
        <v>0.1</v>
      </c>
      <c r="N51" s="1339">
        <f t="shared" si="14"/>
        <v>0</v>
      </c>
      <c r="O51" s="1341">
        <f t="shared" si="15"/>
        <v>0</v>
      </c>
      <c r="P51" s="716">
        <f>5%*$P$40</f>
        <v>4.4999999999999997E-3</v>
      </c>
      <c r="Q51" s="1327">
        <f t="shared" si="16"/>
        <v>1009457110.413</v>
      </c>
      <c r="R51" s="1328">
        <f t="shared" ref="R51:R55" si="19">R$40*P51/P$40</f>
        <v>988495571.398</v>
      </c>
      <c r="S51" s="783"/>
      <c r="T51" s="784"/>
      <c r="U51" s="783"/>
      <c r="V51" s="784"/>
      <c r="W51" s="784"/>
      <c r="X51" s="784"/>
      <c r="Y51" s="783"/>
      <c r="Z51" s="783"/>
      <c r="AA51" s="783"/>
      <c r="AB51" s="968" t="s">
        <v>2820</v>
      </c>
      <c r="AC51" s="1347" t="s">
        <v>1837</v>
      </c>
      <c r="AD51" s="951" t="s">
        <v>1844</v>
      </c>
      <c r="AE51" s="955" t="s">
        <v>2814</v>
      </c>
    </row>
    <row r="52" spans="1:31" ht="123" customHeight="1" x14ac:dyDescent="0.25">
      <c r="A52" s="851" t="s">
        <v>2687</v>
      </c>
      <c r="B52" s="1024" t="s">
        <v>2939</v>
      </c>
      <c r="C52" s="837" t="s">
        <v>2660</v>
      </c>
      <c r="D52" s="845">
        <v>5</v>
      </c>
      <c r="E52" s="1056">
        <v>2</v>
      </c>
      <c r="F52" s="1056">
        <v>0</v>
      </c>
      <c r="G52" s="1301">
        <v>2</v>
      </c>
      <c r="H52" s="1115"/>
      <c r="I52" s="1113">
        <f t="shared" si="3"/>
        <v>0</v>
      </c>
      <c r="J52" s="792">
        <f t="shared" si="6"/>
        <v>1</v>
      </c>
      <c r="K52" s="781" t="s">
        <v>3356</v>
      </c>
      <c r="L52" s="781"/>
      <c r="M52" s="801">
        <v>5</v>
      </c>
      <c r="N52" s="1339">
        <f t="shared" si="14"/>
        <v>4</v>
      </c>
      <c r="O52" s="1341">
        <f t="shared" si="15"/>
        <v>0.8</v>
      </c>
      <c r="P52" s="716">
        <v>0</v>
      </c>
      <c r="Q52" s="1327">
        <f t="shared" si="16"/>
        <v>0</v>
      </c>
      <c r="R52" s="1328">
        <f t="shared" si="19"/>
        <v>0</v>
      </c>
      <c r="S52" s="783"/>
      <c r="T52" s="784"/>
      <c r="U52" s="783"/>
      <c r="V52" s="784"/>
      <c r="W52" s="784"/>
      <c r="X52" s="784"/>
      <c r="Y52" s="783"/>
      <c r="Z52" s="783"/>
      <c r="AA52" s="783"/>
      <c r="AB52" s="969" t="s">
        <v>2821</v>
      </c>
      <c r="AC52" s="1347" t="s">
        <v>1837</v>
      </c>
      <c r="AD52" s="951" t="s">
        <v>1844</v>
      </c>
      <c r="AE52" s="955" t="s">
        <v>2814</v>
      </c>
    </row>
    <row r="53" spans="1:31" ht="123" customHeight="1" x14ac:dyDescent="0.25">
      <c r="A53" s="852" t="s">
        <v>2688</v>
      </c>
      <c r="B53" s="844" t="s">
        <v>2940</v>
      </c>
      <c r="C53" s="837" t="s">
        <v>2689</v>
      </c>
      <c r="D53" s="845">
        <v>3</v>
      </c>
      <c r="E53" s="801">
        <v>5</v>
      </c>
      <c r="F53" s="801">
        <v>3.24</v>
      </c>
      <c r="G53" s="1302">
        <v>6.2</v>
      </c>
      <c r="H53" s="1261"/>
      <c r="I53" s="1259">
        <f t="shared" si="3"/>
        <v>1</v>
      </c>
      <c r="J53" s="1260">
        <f t="shared" si="6"/>
        <v>1</v>
      </c>
      <c r="K53" s="781" t="s">
        <v>3357</v>
      </c>
      <c r="L53" s="781"/>
      <c r="M53" s="801">
        <v>15</v>
      </c>
      <c r="N53" s="1339">
        <f t="shared" si="14"/>
        <v>14.440000000000001</v>
      </c>
      <c r="O53" s="1341">
        <f t="shared" si="15"/>
        <v>0.96266666666666678</v>
      </c>
      <c r="P53" s="716">
        <f>10%*$P$40</f>
        <v>8.9999999999999993E-3</v>
      </c>
      <c r="Q53" s="1327">
        <f t="shared" si="16"/>
        <v>2018914220.826</v>
      </c>
      <c r="R53" s="1328">
        <f t="shared" si="19"/>
        <v>1976991142.796</v>
      </c>
      <c r="S53" s="783"/>
      <c r="T53" s="784"/>
      <c r="U53" s="783"/>
      <c r="V53" s="784"/>
      <c r="W53" s="784"/>
      <c r="X53" s="784"/>
      <c r="Y53" s="783"/>
      <c r="Z53" s="783"/>
      <c r="AA53" s="783"/>
      <c r="AB53" s="967" t="s">
        <v>2822</v>
      </c>
      <c r="AC53" s="1347" t="s">
        <v>1837</v>
      </c>
      <c r="AD53" s="951" t="s">
        <v>1844</v>
      </c>
      <c r="AE53" s="955" t="s">
        <v>2814</v>
      </c>
    </row>
    <row r="54" spans="1:31" ht="93" customHeight="1" x14ac:dyDescent="0.25">
      <c r="A54" s="852" t="s">
        <v>2690</v>
      </c>
      <c r="B54" s="844" t="s">
        <v>2942</v>
      </c>
      <c r="C54" s="837" t="s">
        <v>2660</v>
      </c>
      <c r="D54" s="845">
        <v>0</v>
      </c>
      <c r="E54" s="801">
        <v>0</v>
      </c>
      <c r="F54" s="801">
        <v>0</v>
      </c>
      <c r="G54" s="1115">
        <v>0</v>
      </c>
      <c r="H54" s="1115"/>
      <c r="I54" s="1113" t="e">
        <f t="shared" si="3"/>
        <v>#DIV/0!</v>
      </c>
      <c r="J54" s="801" t="e">
        <f t="shared" si="6"/>
        <v>#DIV/0!</v>
      </c>
      <c r="K54" s="781" t="s">
        <v>3358</v>
      </c>
      <c r="L54" s="781"/>
      <c r="M54" s="801">
        <v>2</v>
      </c>
      <c r="N54" s="1339">
        <f t="shared" si="14"/>
        <v>0</v>
      </c>
      <c r="O54" s="1341">
        <f t="shared" si="15"/>
        <v>0</v>
      </c>
      <c r="P54" s="716">
        <v>0</v>
      </c>
      <c r="Q54" s="1327">
        <f t="shared" si="16"/>
        <v>0</v>
      </c>
      <c r="R54" s="1328">
        <f t="shared" si="19"/>
        <v>0</v>
      </c>
      <c r="S54" s="783"/>
      <c r="T54" s="784"/>
      <c r="U54" s="783"/>
      <c r="V54" s="784"/>
      <c r="W54" s="784"/>
      <c r="X54" s="784"/>
      <c r="Y54" s="783"/>
      <c r="Z54" s="783"/>
      <c r="AA54" s="783"/>
      <c r="AB54" s="707"/>
      <c r="AC54" s="1347" t="s">
        <v>1837</v>
      </c>
      <c r="AD54" s="951" t="s">
        <v>1844</v>
      </c>
      <c r="AE54" s="955" t="s">
        <v>2814</v>
      </c>
    </row>
    <row r="55" spans="1:31" ht="106.5" customHeight="1" thickBot="1" x14ac:dyDescent="0.3">
      <c r="A55" s="853" t="s">
        <v>2691</v>
      </c>
      <c r="B55" s="1025" t="s">
        <v>2941</v>
      </c>
      <c r="C55" s="837" t="s">
        <v>2660</v>
      </c>
      <c r="D55" s="1086">
        <v>0</v>
      </c>
      <c r="E55" s="867">
        <v>0</v>
      </c>
      <c r="F55" s="867">
        <v>0</v>
      </c>
      <c r="G55" s="1087">
        <v>0</v>
      </c>
      <c r="H55" s="1087"/>
      <c r="I55" s="1088" t="e">
        <f t="shared" si="3"/>
        <v>#DIV/0!</v>
      </c>
      <c r="J55" s="549" t="e">
        <f t="shared" si="6"/>
        <v>#DIV/0!</v>
      </c>
      <c r="K55" s="781" t="s">
        <v>3359</v>
      </c>
      <c r="L55" s="781"/>
      <c r="M55" s="801">
        <v>1</v>
      </c>
      <c r="N55" s="1339">
        <f t="shared" si="14"/>
        <v>0</v>
      </c>
      <c r="O55" s="1341">
        <f t="shared" si="15"/>
        <v>0</v>
      </c>
      <c r="P55" s="716">
        <f>15%*$P$40</f>
        <v>1.35E-2</v>
      </c>
      <c r="Q55" s="1327">
        <f t="shared" si="16"/>
        <v>3028371331.2390003</v>
      </c>
      <c r="R55" s="1328">
        <f t="shared" si="19"/>
        <v>2965486714.1939998</v>
      </c>
      <c r="S55" s="783"/>
      <c r="T55" s="784"/>
      <c r="U55" s="783"/>
      <c r="V55" s="784"/>
      <c r="W55" s="784"/>
      <c r="X55" s="784"/>
      <c r="Y55" s="783"/>
      <c r="Z55" s="783"/>
      <c r="AA55" s="783"/>
      <c r="AB55" s="707"/>
      <c r="AC55" s="1347" t="s">
        <v>1837</v>
      </c>
      <c r="AD55" s="951" t="s">
        <v>1844</v>
      </c>
      <c r="AE55" s="955" t="s">
        <v>2814</v>
      </c>
    </row>
    <row r="56" spans="1:31" ht="15.75" customHeight="1" thickBot="1" x14ac:dyDescent="0.3">
      <c r="A56" s="1623" t="s">
        <v>2833</v>
      </c>
      <c r="B56" s="1624"/>
      <c r="C56" s="1625"/>
      <c r="D56" s="806"/>
      <c r="E56" s="806"/>
      <c r="F56" s="1044">
        <v>0.97</v>
      </c>
      <c r="G56" s="1043"/>
      <c r="H56" s="1011"/>
      <c r="I56" s="1268">
        <v>0.97</v>
      </c>
      <c r="J56" s="1188">
        <f>+(J57+J58+J59+J60+J61+J64+J65)/7</f>
        <v>1</v>
      </c>
      <c r="K56" s="781"/>
      <c r="L56" s="781"/>
      <c r="M56" s="545"/>
      <c r="N56" s="1339">
        <f t="shared" si="14"/>
        <v>0.97</v>
      </c>
      <c r="O56" s="1341" t="e">
        <f t="shared" si="15"/>
        <v>#DIV/0!</v>
      </c>
      <c r="P56" s="1184">
        <v>0.05</v>
      </c>
      <c r="Q56" s="1325">
        <f>'informe Gastos'!AC67</f>
        <v>1133074585</v>
      </c>
      <c r="R56" s="1325">
        <f>'informe Gastos'!AD67</f>
        <v>562524273.34000003</v>
      </c>
      <c r="S56" s="1332">
        <f>+R56/Q56</f>
        <v>0.49645829214323084</v>
      </c>
      <c r="T56" s="1325">
        <f>'informe Gastos'!AE67</f>
        <v>447250486.25</v>
      </c>
      <c r="U56" s="1332">
        <f>+T56/R56</f>
        <v>0.79507766588353701</v>
      </c>
      <c r="V56" s="729">
        <f t="shared" ref="V56" si="20">+R56-T56</f>
        <v>115273787.09000003</v>
      </c>
      <c r="W56" s="784"/>
      <c r="X56" s="784"/>
      <c r="Y56" s="783">
        <f>(560392535+481547356+617834000+652433000)+348710000+651527229</f>
        <v>3312444120</v>
      </c>
      <c r="Z56" s="783">
        <f>398118546.5+R56</f>
        <v>960642819.84000003</v>
      </c>
      <c r="AA56" s="766">
        <f>+Z56/Y56</f>
        <v>0.29001027188346956</v>
      </c>
      <c r="AB56" s="707"/>
      <c r="AC56" s="1347"/>
      <c r="AD56" s="951"/>
      <c r="AE56" s="955" t="s">
        <v>2814</v>
      </c>
    </row>
    <row r="57" spans="1:31" ht="63.75" customHeight="1" x14ac:dyDescent="0.25">
      <c r="A57" s="854" t="s">
        <v>2692</v>
      </c>
      <c r="B57" s="859" t="s">
        <v>2943</v>
      </c>
      <c r="C57" s="855" t="s">
        <v>2660</v>
      </c>
      <c r="D57" s="1089">
        <v>38</v>
      </c>
      <c r="E57" s="922">
        <v>43</v>
      </c>
      <c r="F57" s="922">
        <v>38</v>
      </c>
      <c r="G57" s="1218">
        <v>43</v>
      </c>
      <c r="H57" s="1103"/>
      <c r="I57" s="1269">
        <f t="shared" si="3"/>
        <v>1</v>
      </c>
      <c r="J57" s="809">
        <f t="shared" si="6"/>
        <v>1</v>
      </c>
      <c r="K57" s="781" t="s">
        <v>3360</v>
      </c>
      <c r="L57" s="781"/>
      <c r="M57" s="801">
        <v>51</v>
      </c>
      <c r="N57" s="1339">
        <f t="shared" si="14"/>
        <v>124</v>
      </c>
      <c r="O57" s="1341">
        <f t="shared" si="15"/>
        <v>1</v>
      </c>
      <c r="P57" s="716">
        <f>3%*$P$56</f>
        <v>1.5E-3</v>
      </c>
      <c r="Q57" s="1327">
        <f>Q$56*P57/P$56</f>
        <v>33992237.549999997</v>
      </c>
      <c r="R57" s="1328">
        <f>R$56*P57/P$56</f>
        <v>16875728.200200003</v>
      </c>
      <c r="S57" s="783"/>
      <c r="T57" s="784"/>
      <c r="U57" s="783"/>
      <c r="V57" s="784"/>
      <c r="W57" s="784"/>
      <c r="X57" s="784"/>
      <c r="Y57" s="783"/>
      <c r="Z57" s="783"/>
      <c r="AA57" s="783"/>
      <c r="AB57" s="707"/>
      <c r="AC57" s="1347" t="s">
        <v>1837</v>
      </c>
      <c r="AD57" s="951" t="s">
        <v>1844</v>
      </c>
      <c r="AE57" s="955" t="s">
        <v>2814</v>
      </c>
    </row>
    <row r="58" spans="1:31" ht="74.25" customHeight="1" x14ac:dyDescent="0.25">
      <c r="A58" s="1626" t="s">
        <v>2693</v>
      </c>
      <c r="B58" s="1061" t="s">
        <v>2944</v>
      </c>
      <c r="C58" s="1060" t="s">
        <v>2660</v>
      </c>
      <c r="D58" s="857">
        <v>14</v>
      </c>
      <c r="E58" s="801">
        <v>30</v>
      </c>
      <c r="F58" s="801">
        <v>14</v>
      </c>
      <c r="G58" s="1115">
        <v>30</v>
      </c>
      <c r="H58" s="782"/>
      <c r="I58" s="1113">
        <f t="shared" si="3"/>
        <v>1</v>
      </c>
      <c r="J58" s="792">
        <f t="shared" si="6"/>
        <v>1</v>
      </c>
      <c r="K58" s="781" t="s">
        <v>3224</v>
      </c>
      <c r="L58" s="781"/>
      <c r="M58" s="801">
        <v>33</v>
      </c>
      <c r="N58" s="1339">
        <f t="shared" si="14"/>
        <v>74</v>
      </c>
      <c r="O58" s="1341">
        <f t="shared" si="15"/>
        <v>1</v>
      </c>
      <c r="P58" s="1609">
        <f>43%*$P$56</f>
        <v>2.1500000000000002E-2</v>
      </c>
      <c r="Q58" s="1551">
        <f t="shared" ref="Q58:Q65" si="21">Q$56*P58/P$56</f>
        <v>487222071.55000001</v>
      </c>
      <c r="R58" s="1551">
        <f t="shared" ref="R58:R65" si="22">R$56*P58/P$56</f>
        <v>241885437.53620002</v>
      </c>
      <c r="S58" s="783"/>
      <c r="T58" s="784"/>
      <c r="U58" s="783"/>
      <c r="V58" s="784"/>
      <c r="W58" s="784"/>
      <c r="X58" s="784"/>
      <c r="Y58" s="783"/>
      <c r="Z58" s="783"/>
      <c r="AA58" s="783"/>
      <c r="AB58" s="707"/>
      <c r="AC58" s="1347" t="s">
        <v>1837</v>
      </c>
      <c r="AD58" s="951" t="s">
        <v>1844</v>
      </c>
      <c r="AE58" s="955" t="s">
        <v>2814</v>
      </c>
    </row>
    <row r="59" spans="1:31" ht="48" x14ac:dyDescent="0.25">
      <c r="A59" s="1627"/>
      <c r="B59" s="1061" t="s">
        <v>2945</v>
      </c>
      <c r="C59" s="1060" t="s">
        <v>2660</v>
      </c>
      <c r="D59" s="857">
        <v>12</v>
      </c>
      <c r="E59" s="801">
        <v>23</v>
      </c>
      <c r="F59" s="801">
        <v>12</v>
      </c>
      <c r="G59" s="1261">
        <v>23</v>
      </c>
      <c r="H59" s="1057"/>
      <c r="I59" s="1259">
        <f t="shared" si="3"/>
        <v>1</v>
      </c>
      <c r="J59" s="792">
        <f t="shared" si="6"/>
        <v>1</v>
      </c>
      <c r="K59" s="781" t="s">
        <v>3225</v>
      </c>
      <c r="L59" s="781"/>
      <c r="M59" s="801">
        <v>23</v>
      </c>
      <c r="N59" s="1339">
        <f t="shared" si="14"/>
        <v>58</v>
      </c>
      <c r="O59" s="1341">
        <f t="shared" si="15"/>
        <v>1</v>
      </c>
      <c r="P59" s="1610"/>
      <c r="Q59" s="1553"/>
      <c r="R59" s="1553"/>
      <c r="S59" s="783"/>
      <c r="T59" s="784"/>
      <c r="U59" s="783"/>
      <c r="V59" s="784"/>
      <c r="W59" s="784"/>
      <c r="X59" s="784"/>
      <c r="Y59" s="783"/>
      <c r="Z59" s="783"/>
      <c r="AA59" s="783"/>
      <c r="AB59" s="707"/>
      <c r="AC59" s="1347" t="s">
        <v>1837</v>
      </c>
      <c r="AD59" s="951" t="s">
        <v>1844</v>
      </c>
      <c r="AE59" s="955" t="s">
        <v>2814</v>
      </c>
    </row>
    <row r="60" spans="1:31" ht="60" x14ac:dyDescent="0.25">
      <c r="A60" s="1627"/>
      <c r="B60" s="1061" t="s">
        <v>2946</v>
      </c>
      <c r="C60" s="1060" t="s">
        <v>2660</v>
      </c>
      <c r="D60" s="857">
        <v>19</v>
      </c>
      <c r="E60" s="801">
        <v>19</v>
      </c>
      <c r="F60" s="801">
        <v>19</v>
      </c>
      <c r="G60" s="1261">
        <v>19</v>
      </c>
      <c r="H60" s="1057"/>
      <c r="I60" s="1259">
        <f t="shared" si="3"/>
        <v>1</v>
      </c>
      <c r="J60" s="792">
        <f t="shared" si="6"/>
        <v>1</v>
      </c>
      <c r="K60" s="1091" t="s">
        <v>3225</v>
      </c>
      <c r="L60" s="1090"/>
      <c r="M60" s="801">
        <v>19</v>
      </c>
      <c r="N60" s="1339">
        <f t="shared" si="14"/>
        <v>57</v>
      </c>
      <c r="O60" s="1341">
        <f t="shared" si="15"/>
        <v>1</v>
      </c>
      <c r="P60" s="1610"/>
      <c r="Q60" s="1553"/>
      <c r="R60" s="1553"/>
      <c r="S60" s="783"/>
      <c r="T60" s="784"/>
      <c r="U60" s="783"/>
      <c r="V60" s="784"/>
      <c r="W60" s="784"/>
      <c r="X60" s="784"/>
      <c r="Y60" s="783"/>
      <c r="Z60" s="783"/>
      <c r="AA60" s="783"/>
      <c r="AB60" s="707"/>
      <c r="AC60" s="1347" t="s">
        <v>1837</v>
      </c>
      <c r="AD60" s="951" t="s">
        <v>1844</v>
      </c>
      <c r="AE60" s="955" t="s">
        <v>2814</v>
      </c>
    </row>
    <row r="61" spans="1:31" ht="48" x14ac:dyDescent="0.25">
      <c r="A61" s="1627"/>
      <c r="B61" s="1061" t="s">
        <v>2947</v>
      </c>
      <c r="C61" s="1060" t="s">
        <v>2660</v>
      </c>
      <c r="D61" s="857">
        <v>10</v>
      </c>
      <c r="E61" s="801">
        <v>24</v>
      </c>
      <c r="F61" s="801">
        <v>10</v>
      </c>
      <c r="G61" s="1261">
        <v>24</v>
      </c>
      <c r="H61" s="1057"/>
      <c r="I61" s="1259">
        <f t="shared" si="3"/>
        <v>1</v>
      </c>
      <c r="J61" s="792">
        <f t="shared" si="6"/>
        <v>1</v>
      </c>
      <c r="K61" s="1091" t="s">
        <v>3225</v>
      </c>
      <c r="L61" s="1090"/>
      <c r="M61" s="801">
        <v>28</v>
      </c>
      <c r="N61" s="1339">
        <f t="shared" si="14"/>
        <v>58</v>
      </c>
      <c r="O61" s="1341">
        <f t="shared" si="15"/>
        <v>1</v>
      </c>
      <c r="P61" s="1610"/>
      <c r="Q61" s="1553"/>
      <c r="R61" s="1553"/>
      <c r="S61" s="783"/>
      <c r="T61" s="784"/>
      <c r="U61" s="783"/>
      <c r="V61" s="784"/>
      <c r="W61" s="784"/>
      <c r="X61" s="784"/>
      <c r="Y61" s="783"/>
      <c r="Z61" s="783"/>
      <c r="AA61" s="783"/>
      <c r="AB61" s="707"/>
      <c r="AC61" s="1347" t="s">
        <v>1837</v>
      </c>
      <c r="AD61" s="951" t="s">
        <v>1844</v>
      </c>
      <c r="AE61" s="955" t="s">
        <v>2814</v>
      </c>
    </row>
    <row r="62" spans="1:31" ht="48" x14ac:dyDescent="0.25">
      <c r="A62" s="1628"/>
      <c r="B62" s="1061" t="s">
        <v>2948</v>
      </c>
      <c r="C62" s="1060" t="s">
        <v>2647</v>
      </c>
      <c r="D62" s="857"/>
      <c r="E62" s="801"/>
      <c r="F62" s="801"/>
      <c r="G62" s="1261"/>
      <c r="H62" s="1057"/>
      <c r="I62" s="1259" t="e">
        <f t="shared" si="3"/>
        <v>#DIV/0!</v>
      </c>
      <c r="J62" s="801" t="e">
        <f t="shared" si="6"/>
        <v>#DIV/0!</v>
      </c>
      <c r="K62" s="1091"/>
      <c r="L62" s="1090"/>
      <c r="M62" s="545"/>
      <c r="N62" s="1339">
        <f t="shared" si="14"/>
        <v>0</v>
      </c>
      <c r="O62" s="1341" t="e">
        <f t="shared" si="15"/>
        <v>#DIV/0!</v>
      </c>
      <c r="P62" s="1610"/>
      <c r="Q62" s="1552"/>
      <c r="R62" s="1552"/>
      <c r="S62" s="783"/>
      <c r="T62" s="784"/>
      <c r="U62" s="783"/>
      <c r="V62" s="784"/>
      <c r="W62" s="784"/>
      <c r="X62" s="784"/>
      <c r="Y62" s="783"/>
      <c r="Z62" s="783"/>
      <c r="AA62" s="783"/>
      <c r="AB62" s="970" t="s">
        <v>2823</v>
      </c>
      <c r="AC62" s="1347" t="s">
        <v>1837</v>
      </c>
      <c r="AD62" s="951" t="s">
        <v>1844</v>
      </c>
      <c r="AE62" s="955" t="s">
        <v>2814</v>
      </c>
    </row>
    <row r="63" spans="1:31" ht="96" x14ac:dyDescent="0.25">
      <c r="A63" s="1058" t="s">
        <v>2694</v>
      </c>
      <c r="B63" s="1061" t="s">
        <v>2949</v>
      </c>
      <c r="C63" s="1060" t="s">
        <v>2660</v>
      </c>
      <c r="D63" s="857">
        <v>1</v>
      </c>
      <c r="E63" s="801">
        <v>0</v>
      </c>
      <c r="F63" s="801">
        <v>1</v>
      </c>
      <c r="G63" s="1057">
        <v>0</v>
      </c>
      <c r="H63" s="1057"/>
      <c r="I63" s="1259">
        <f t="shared" si="3"/>
        <v>1</v>
      </c>
      <c r="J63" s="545" t="e">
        <f t="shared" si="6"/>
        <v>#DIV/0!</v>
      </c>
      <c r="K63" s="1091"/>
      <c r="L63" s="1090"/>
      <c r="M63" s="801">
        <v>1</v>
      </c>
      <c r="N63" s="1339">
        <f t="shared" si="14"/>
        <v>1</v>
      </c>
      <c r="O63" s="1341">
        <f t="shared" si="15"/>
        <v>1</v>
      </c>
      <c r="P63" s="716">
        <f>2%*$P$56</f>
        <v>1E-3</v>
      </c>
      <c r="Q63" s="1327">
        <f t="shared" si="21"/>
        <v>22661491.699999999</v>
      </c>
      <c r="R63" s="1328">
        <f t="shared" si="22"/>
        <v>11250485.466800001</v>
      </c>
      <c r="S63" s="783"/>
      <c r="T63" s="784"/>
      <c r="U63" s="783"/>
      <c r="V63" s="784"/>
      <c r="W63" s="784"/>
      <c r="X63" s="784"/>
      <c r="Y63" s="783"/>
      <c r="Z63" s="783"/>
      <c r="AA63" s="783"/>
      <c r="AB63" s="965" t="s">
        <v>2824</v>
      </c>
      <c r="AC63" s="1347" t="s">
        <v>1837</v>
      </c>
      <c r="AD63" s="951" t="s">
        <v>1844</v>
      </c>
      <c r="AE63" s="955" t="s">
        <v>2814</v>
      </c>
    </row>
    <row r="64" spans="1:31" ht="48" x14ac:dyDescent="0.25">
      <c r="A64" s="1059" t="s">
        <v>2695</v>
      </c>
      <c r="B64" s="1061" t="s">
        <v>2950</v>
      </c>
      <c r="C64" s="1060" t="s">
        <v>2660</v>
      </c>
      <c r="D64" s="858">
        <v>25</v>
      </c>
      <c r="E64" s="801">
        <v>43</v>
      </c>
      <c r="F64" s="801">
        <v>19</v>
      </c>
      <c r="G64" s="1261">
        <v>43</v>
      </c>
      <c r="H64" s="1261"/>
      <c r="I64" s="1235">
        <f t="shared" si="3"/>
        <v>0.76</v>
      </c>
      <c r="J64" s="832">
        <f t="shared" si="6"/>
        <v>1</v>
      </c>
      <c r="K64" s="1091" t="s">
        <v>3226</v>
      </c>
      <c r="L64" s="1090"/>
      <c r="M64" s="801">
        <v>51</v>
      </c>
      <c r="N64" s="1339">
        <f t="shared" si="14"/>
        <v>105</v>
      </c>
      <c r="O64" s="1341">
        <f t="shared" si="15"/>
        <v>1</v>
      </c>
      <c r="P64" s="716">
        <f>33%*$P$56</f>
        <v>1.6500000000000001E-2</v>
      </c>
      <c r="Q64" s="1327">
        <f t="shared" si="21"/>
        <v>373914613.04999995</v>
      </c>
      <c r="R64" s="1328">
        <f t="shared" si="22"/>
        <v>185633010.2022</v>
      </c>
      <c r="S64" s="783"/>
      <c r="T64" s="784"/>
      <c r="U64" s="783"/>
      <c r="V64" s="784"/>
      <c r="W64" s="784"/>
      <c r="X64" s="784"/>
      <c r="Y64" s="783"/>
      <c r="Z64" s="783"/>
      <c r="AA64" s="783"/>
      <c r="AB64" s="707"/>
      <c r="AC64" s="1347" t="s">
        <v>1837</v>
      </c>
      <c r="AD64" s="951" t="s">
        <v>1844</v>
      </c>
      <c r="AE64" s="955" t="s">
        <v>2814</v>
      </c>
    </row>
    <row r="65" spans="1:31" ht="52.5" customHeight="1" thickBot="1" x14ac:dyDescent="0.3">
      <c r="A65" s="859" t="s">
        <v>2696</v>
      </c>
      <c r="B65" s="859" t="s">
        <v>2951</v>
      </c>
      <c r="C65" s="856" t="s">
        <v>2660</v>
      </c>
      <c r="D65" s="860">
        <v>11</v>
      </c>
      <c r="E65" s="801">
        <v>11</v>
      </c>
      <c r="F65" s="801">
        <v>11</v>
      </c>
      <c r="G65" s="1115">
        <v>11</v>
      </c>
      <c r="H65" s="1115"/>
      <c r="I65" s="1013">
        <f t="shared" si="3"/>
        <v>1</v>
      </c>
      <c r="J65" s="792">
        <f t="shared" si="6"/>
        <v>1</v>
      </c>
      <c r="K65" s="1091" t="s">
        <v>3361</v>
      </c>
      <c r="L65" s="1090"/>
      <c r="M65" s="801">
        <v>15</v>
      </c>
      <c r="N65" s="1339">
        <f t="shared" si="14"/>
        <v>33</v>
      </c>
      <c r="O65" s="1341">
        <f t="shared" si="15"/>
        <v>1</v>
      </c>
      <c r="P65" s="716">
        <f>19%*$P$56</f>
        <v>9.5000000000000015E-3</v>
      </c>
      <c r="Q65" s="1327">
        <f t="shared" si="21"/>
        <v>215284171.15000001</v>
      </c>
      <c r="R65" s="1328">
        <f t="shared" si="22"/>
        <v>106879611.93460003</v>
      </c>
      <c r="S65" s="783"/>
      <c r="T65" s="784"/>
      <c r="U65" s="783"/>
      <c r="V65" s="784"/>
      <c r="W65" s="784"/>
      <c r="X65" s="784"/>
      <c r="Y65" s="783"/>
      <c r="Z65" s="783"/>
      <c r="AA65" s="783"/>
      <c r="AB65" s="971" t="s">
        <v>2825</v>
      </c>
      <c r="AC65" s="1347" t="s">
        <v>1837</v>
      </c>
      <c r="AD65" s="951" t="s">
        <v>1844</v>
      </c>
      <c r="AE65" s="955" t="s">
        <v>2814</v>
      </c>
    </row>
    <row r="66" spans="1:31" ht="13.5" thickBot="1" x14ac:dyDescent="0.3">
      <c r="A66" s="1629" t="s">
        <v>2697</v>
      </c>
      <c r="B66" s="1630"/>
      <c r="C66" s="1631"/>
      <c r="D66" s="861"/>
      <c r="E66" s="545"/>
      <c r="F66" s="792">
        <v>0.97</v>
      </c>
      <c r="G66" s="1261"/>
      <c r="H66" s="1261"/>
      <c r="I66" s="1189">
        <f>SUM(I67+I75+I90+I105)/4</f>
        <v>0.97250000000000003</v>
      </c>
      <c r="J66" s="1189">
        <f>SUM(J67+J75+J90+J105)/4</f>
        <v>0.91553181832476638</v>
      </c>
      <c r="K66" s="781"/>
      <c r="L66" s="781"/>
      <c r="M66" s="545"/>
      <c r="N66" s="1345">
        <f t="shared" si="14"/>
        <v>0.97</v>
      </c>
      <c r="O66" s="1341" t="e">
        <f t="shared" si="15"/>
        <v>#DIV/0!</v>
      </c>
      <c r="P66" s="1184">
        <f>+P67+P75+P90+P105</f>
        <v>0.29000000000000004</v>
      </c>
      <c r="Q66" s="1326">
        <f>+Q67+Q75+Q90+Q105</f>
        <v>22157096949.720001</v>
      </c>
      <c r="R66" s="1326">
        <f>+R67+R75+R90+R105</f>
        <v>12431216160.66</v>
      </c>
      <c r="S66" s="1336">
        <f>+R66/Q66</f>
        <v>0.56104895821278122</v>
      </c>
      <c r="T66" s="1326">
        <f>+T67+T75+T90+T105</f>
        <v>7025988989.46</v>
      </c>
      <c r="U66" s="1332">
        <f>+T66/R66</f>
        <v>0.56518918975076171</v>
      </c>
      <c r="V66" s="729">
        <f t="shared" ref="V66:V67" si="23">+R66-T66</f>
        <v>5405227171.1999998</v>
      </c>
      <c r="W66" s="784"/>
      <c r="X66" s="784"/>
      <c r="Y66" s="1326">
        <f>+Y67+Y75+Y90+Y105</f>
        <v>34770706388.220001</v>
      </c>
      <c r="Z66" s="1326">
        <f>+Z67+Z75+Z90+Z105</f>
        <v>30150462233.66</v>
      </c>
      <c r="AA66" s="766">
        <f>+Z66/Y66</f>
        <v>0.8671225110305697</v>
      </c>
      <c r="AB66" s="707"/>
      <c r="AC66" s="1347"/>
      <c r="AD66" s="951" t="s">
        <v>1844</v>
      </c>
      <c r="AE66" s="955"/>
    </row>
    <row r="67" spans="1:31" ht="13.5" thickBot="1" x14ac:dyDescent="0.3">
      <c r="A67" s="1062" t="s">
        <v>2834</v>
      </c>
      <c r="B67" s="1065"/>
      <c r="C67" s="862"/>
      <c r="D67" s="781"/>
      <c r="E67" s="549"/>
      <c r="F67" s="805">
        <v>1</v>
      </c>
      <c r="G67" s="1261"/>
      <c r="H67" s="1261"/>
      <c r="I67" s="1270">
        <v>1</v>
      </c>
      <c r="J67" s="1245">
        <f>+(J68+J69+J70+J71+J73+J74)/6</f>
        <v>0.85440157885462076</v>
      </c>
      <c r="K67" s="1091"/>
      <c r="L67" s="1090"/>
      <c r="M67" s="549"/>
      <c r="N67" s="1345">
        <f t="shared" si="14"/>
        <v>1</v>
      </c>
      <c r="O67" s="1341" t="e">
        <f t="shared" si="15"/>
        <v>#DIV/0!</v>
      </c>
      <c r="P67" s="1184">
        <v>0.09</v>
      </c>
      <c r="Q67" s="1325">
        <f>'informe Gastos'!AC71</f>
        <v>13317499724.5</v>
      </c>
      <c r="R67" s="1325">
        <f>'informe Gastos'!AD71</f>
        <v>6688734810</v>
      </c>
      <c r="S67" s="1332">
        <f>+R67/Q67</f>
        <v>0.50225154483726675</v>
      </c>
      <c r="T67" s="1325">
        <f>'informe Gastos'!AE71</f>
        <v>2993519018</v>
      </c>
      <c r="U67" s="1332">
        <f>+T67/R67</f>
        <v>0.44754637506700612</v>
      </c>
      <c r="V67" s="729">
        <f t="shared" si="23"/>
        <v>3695215792</v>
      </c>
      <c r="W67" s="784"/>
      <c r="X67" s="784"/>
      <c r="Y67" s="783">
        <f>(513020043+527559284+520612346.04+549766409.78)+17158268648+25552946+100000000+350000000-12000000+280000000+105000000+60000000</f>
        <v>20177779676.82</v>
      </c>
      <c r="Z67" s="783">
        <f>17677048504+R67-2951321857</f>
        <v>21414461457</v>
      </c>
      <c r="AA67" s="766">
        <f>+Z67/Y67</f>
        <v>1.0612892895049639</v>
      </c>
      <c r="AB67" s="708"/>
      <c r="AC67" s="1347"/>
      <c r="AD67" s="951"/>
      <c r="AE67" s="955"/>
    </row>
    <row r="68" spans="1:31" ht="63" customHeight="1" thickBot="1" x14ac:dyDescent="0.3">
      <c r="A68" s="1063" t="s">
        <v>2698</v>
      </c>
      <c r="B68" s="1064" t="s">
        <v>2952</v>
      </c>
      <c r="C68" s="1060" t="s">
        <v>2647</v>
      </c>
      <c r="D68" s="863">
        <v>0.25</v>
      </c>
      <c r="E68" s="805">
        <v>0.5</v>
      </c>
      <c r="F68" s="805">
        <v>0.5</v>
      </c>
      <c r="G68" s="1237">
        <f>'6POMCASejec'!D8</f>
        <v>0.5</v>
      </c>
      <c r="H68" s="1261"/>
      <c r="I68" s="1259">
        <f t="shared" si="3"/>
        <v>1</v>
      </c>
      <c r="J68" s="792">
        <f t="shared" si="6"/>
        <v>1</v>
      </c>
      <c r="K68" s="781" t="s">
        <v>3364</v>
      </c>
      <c r="L68" s="781"/>
      <c r="M68" s="923">
        <v>1</v>
      </c>
      <c r="N68" s="1339">
        <f t="shared" si="14"/>
        <v>1.5</v>
      </c>
      <c r="O68" s="1341">
        <f t="shared" si="15"/>
        <v>1</v>
      </c>
      <c r="P68" s="716">
        <f>15%*$P$67</f>
        <v>1.35E-2</v>
      </c>
      <c r="Q68" s="1327">
        <f>Q$67*P68/P$67</f>
        <v>1997624958.6750002</v>
      </c>
      <c r="R68" s="1328">
        <f>R$67*P68/P$67</f>
        <v>1003310221.5000001</v>
      </c>
      <c r="S68" s="783"/>
      <c r="T68" s="784"/>
      <c r="U68" s="783"/>
      <c r="V68" s="784"/>
      <c r="W68" s="784"/>
      <c r="X68" s="784"/>
      <c r="Y68" s="783"/>
      <c r="Z68" s="783"/>
      <c r="AA68" s="783"/>
      <c r="AB68" s="708"/>
      <c r="AC68" s="1347" t="s">
        <v>1837</v>
      </c>
      <c r="AD68" s="951" t="s">
        <v>220</v>
      </c>
      <c r="AE68" s="1544" t="s">
        <v>3304</v>
      </c>
    </row>
    <row r="69" spans="1:31" ht="121.5" customHeight="1" thickBot="1" x14ac:dyDescent="0.3">
      <c r="A69" s="1063" t="s">
        <v>2699</v>
      </c>
      <c r="B69" s="1063" t="s">
        <v>348</v>
      </c>
      <c r="C69" s="1060" t="s">
        <v>2647</v>
      </c>
      <c r="D69" s="864">
        <v>0</v>
      </c>
      <c r="E69" s="805">
        <v>0.93</v>
      </c>
      <c r="F69" s="805">
        <v>0</v>
      </c>
      <c r="G69" s="1303">
        <f>+'9RUNAP'!D9</f>
        <v>0.49956081000878377</v>
      </c>
      <c r="H69" s="1261"/>
      <c r="I69" s="1259" t="e">
        <f t="shared" si="3"/>
        <v>#DIV/0!</v>
      </c>
      <c r="J69" s="1424">
        <f t="shared" si="6"/>
        <v>0.53716216129976746</v>
      </c>
      <c r="K69" s="781" t="s">
        <v>3366</v>
      </c>
      <c r="L69" s="781"/>
      <c r="M69" s="924">
        <v>1</v>
      </c>
      <c r="N69" s="1339">
        <f t="shared" si="14"/>
        <v>1.4295608100087838</v>
      </c>
      <c r="O69" s="1341">
        <f t="shared" si="15"/>
        <v>1</v>
      </c>
      <c r="P69" s="716">
        <f>30%*$P$67</f>
        <v>2.7E-2</v>
      </c>
      <c r="Q69" s="1327">
        <f t="shared" ref="Q69:Q74" si="24">Q$67*P69/P$67</f>
        <v>3995249917.3500004</v>
      </c>
      <c r="R69" s="1328">
        <f t="shared" ref="R69:R74" si="25">R$67*P69/P$67</f>
        <v>2006620443.0000002</v>
      </c>
      <c r="S69" s="783"/>
      <c r="T69" s="784"/>
      <c r="U69" s="783"/>
      <c r="V69" s="784"/>
      <c r="W69" s="784"/>
      <c r="X69" s="784"/>
      <c r="Y69" s="783"/>
      <c r="Z69" s="783"/>
      <c r="AA69" s="783"/>
      <c r="AB69" s="708"/>
      <c r="AC69" s="1347" t="s">
        <v>1836</v>
      </c>
      <c r="AD69" s="951" t="s">
        <v>348</v>
      </c>
      <c r="AE69" s="1545"/>
    </row>
    <row r="70" spans="1:31" ht="36" customHeight="1" x14ac:dyDescent="0.25">
      <c r="A70" s="1063" t="s">
        <v>2700</v>
      </c>
      <c r="B70" s="1063" t="s">
        <v>449</v>
      </c>
      <c r="C70" s="1060" t="s">
        <v>2647</v>
      </c>
      <c r="D70" s="864">
        <v>0.16600000000000001</v>
      </c>
      <c r="E70" s="805">
        <v>0.5</v>
      </c>
      <c r="F70" s="805">
        <v>0.5</v>
      </c>
      <c r="G70" s="1237">
        <f>'12PlanesAP'!D8</f>
        <v>0.83333333333333337</v>
      </c>
      <c r="H70" s="1261"/>
      <c r="I70" s="1259">
        <f t="shared" si="3"/>
        <v>1</v>
      </c>
      <c r="J70" s="792">
        <f t="shared" si="6"/>
        <v>1</v>
      </c>
      <c r="K70" s="781" t="s">
        <v>3367</v>
      </c>
      <c r="L70" s="781"/>
      <c r="M70" s="925">
        <v>1</v>
      </c>
      <c r="N70" s="1339">
        <f t="shared" si="14"/>
        <v>1.8333333333333335</v>
      </c>
      <c r="O70" s="1341">
        <f t="shared" si="15"/>
        <v>1</v>
      </c>
      <c r="P70" s="716">
        <f>40%*$P$67</f>
        <v>3.5999999999999997E-2</v>
      </c>
      <c r="Q70" s="1327">
        <f t="shared" si="24"/>
        <v>5326999889.8000002</v>
      </c>
      <c r="R70" s="1328">
        <f t="shared" si="25"/>
        <v>2675493924</v>
      </c>
      <c r="S70" s="783"/>
      <c r="T70" s="784"/>
      <c r="U70" s="783"/>
      <c r="V70" s="784"/>
      <c r="W70" s="784"/>
      <c r="X70" s="784"/>
      <c r="Y70" s="783"/>
      <c r="Z70" s="783"/>
      <c r="AA70" s="783"/>
      <c r="AB70" s="708"/>
      <c r="AC70" s="1347" t="s">
        <v>1836</v>
      </c>
      <c r="AD70" s="951" t="s">
        <v>449</v>
      </c>
      <c r="AE70" s="1545"/>
    </row>
    <row r="71" spans="1:31" ht="54" customHeight="1" thickBot="1" x14ac:dyDescent="0.3">
      <c r="A71" s="1067" t="s">
        <v>2701</v>
      </c>
      <c r="B71" s="967" t="s">
        <v>2953</v>
      </c>
      <c r="C71" s="1060" t="s">
        <v>2647</v>
      </c>
      <c r="D71" s="864">
        <v>0</v>
      </c>
      <c r="E71" s="805">
        <v>0.93</v>
      </c>
      <c r="F71" s="805">
        <v>0</v>
      </c>
      <c r="G71" s="1427">
        <v>0.54800000000000004</v>
      </c>
      <c r="H71" s="1261"/>
      <c r="I71" s="1259" t="e">
        <f t="shared" si="3"/>
        <v>#DIV/0!</v>
      </c>
      <c r="J71" s="1424">
        <f t="shared" si="6"/>
        <v>0.58924731182795698</v>
      </c>
      <c r="K71" s="781" t="s">
        <v>3538</v>
      </c>
      <c r="L71" s="781"/>
      <c r="M71" s="926">
        <v>1</v>
      </c>
      <c r="N71" s="1339">
        <f t="shared" si="14"/>
        <v>1.4780000000000002</v>
      </c>
      <c r="O71" s="1341">
        <f t="shared" si="15"/>
        <v>1</v>
      </c>
      <c r="P71" s="716">
        <v>0</v>
      </c>
      <c r="Q71" s="1327">
        <f t="shared" si="24"/>
        <v>0</v>
      </c>
      <c r="R71" s="1328">
        <f t="shared" si="25"/>
        <v>0</v>
      </c>
      <c r="S71" s="783"/>
      <c r="T71" s="784"/>
      <c r="U71" s="783"/>
      <c r="V71" s="784"/>
      <c r="W71" s="784"/>
      <c r="X71" s="784"/>
      <c r="Y71" s="783"/>
      <c r="Z71" s="783"/>
      <c r="AA71" s="783"/>
      <c r="AB71" s="708"/>
      <c r="AC71" s="1347" t="s">
        <v>1836</v>
      </c>
      <c r="AD71" s="951" t="s">
        <v>1114</v>
      </c>
      <c r="AE71" s="1545"/>
    </row>
    <row r="72" spans="1:31" ht="39" thickBot="1" x14ac:dyDescent="0.3">
      <c r="A72" s="967" t="s">
        <v>2702</v>
      </c>
      <c r="B72" s="1026" t="s">
        <v>2954</v>
      </c>
      <c r="C72" s="1060" t="s">
        <v>2647</v>
      </c>
      <c r="D72" s="865">
        <v>0</v>
      </c>
      <c r="E72" s="805">
        <v>0</v>
      </c>
      <c r="F72" s="805">
        <v>0</v>
      </c>
      <c r="G72" s="1261">
        <v>0</v>
      </c>
      <c r="H72" s="1261"/>
      <c r="I72" s="1259" t="e">
        <f t="shared" si="3"/>
        <v>#DIV/0!</v>
      </c>
      <c r="J72" s="792" t="e">
        <f t="shared" si="6"/>
        <v>#DIV/0!</v>
      </c>
      <c r="K72" s="781"/>
      <c r="L72" s="781"/>
      <c r="M72" s="926">
        <v>0.2</v>
      </c>
      <c r="N72" s="1339">
        <f t="shared" si="14"/>
        <v>0</v>
      </c>
      <c r="O72" s="1341">
        <f t="shared" si="15"/>
        <v>0</v>
      </c>
      <c r="P72" s="716">
        <v>0</v>
      </c>
      <c r="Q72" s="1327">
        <f t="shared" si="24"/>
        <v>0</v>
      </c>
      <c r="R72" s="1328">
        <f t="shared" si="25"/>
        <v>0</v>
      </c>
      <c r="S72" s="783"/>
      <c r="T72" s="784"/>
      <c r="U72" s="783"/>
      <c r="V72" s="784"/>
      <c r="W72" s="784"/>
      <c r="X72" s="784"/>
      <c r="Y72" s="783"/>
      <c r="Z72" s="783"/>
      <c r="AA72" s="783"/>
      <c r="AB72" s="708"/>
      <c r="AC72" s="1347" t="s">
        <v>1836</v>
      </c>
      <c r="AD72" s="951" t="s">
        <v>1844</v>
      </c>
      <c r="AE72" s="1545"/>
    </row>
    <row r="73" spans="1:31" ht="100.5" customHeight="1" thickBot="1" x14ac:dyDescent="0.3">
      <c r="A73" s="885" t="s">
        <v>2703</v>
      </c>
      <c r="B73" s="885" t="s">
        <v>2955</v>
      </c>
      <c r="C73" s="1060" t="s">
        <v>2660</v>
      </c>
      <c r="D73" s="866">
        <v>1</v>
      </c>
      <c r="E73" s="867">
        <v>1</v>
      </c>
      <c r="F73" s="867">
        <v>1</v>
      </c>
      <c r="G73" s="1261">
        <v>1</v>
      </c>
      <c r="H73" s="1261"/>
      <c r="I73" s="1259">
        <f t="shared" ref="I73:I135" si="26">IF((F73+H73)/D73&gt;=100%,100%,(F73+H73)/D73)</f>
        <v>1</v>
      </c>
      <c r="J73" s="792">
        <f t="shared" si="6"/>
        <v>1</v>
      </c>
      <c r="K73" s="781" t="s">
        <v>3368</v>
      </c>
      <c r="L73" s="781"/>
      <c r="M73" s="927">
        <v>4</v>
      </c>
      <c r="N73" s="1339">
        <f t="shared" si="14"/>
        <v>3</v>
      </c>
      <c r="O73" s="1341">
        <f t="shared" si="15"/>
        <v>0.75</v>
      </c>
      <c r="P73" s="716">
        <f>10%*$P$67</f>
        <v>8.9999999999999993E-3</v>
      </c>
      <c r="Q73" s="1327">
        <f t="shared" si="24"/>
        <v>1331749972.45</v>
      </c>
      <c r="R73" s="1328">
        <f t="shared" si="25"/>
        <v>668873481</v>
      </c>
      <c r="S73" s="783"/>
      <c r="T73" s="784"/>
      <c r="U73" s="783"/>
      <c r="V73" s="784"/>
      <c r="W73" s="784"/>
      <c r="X73" s="784"/>
      <c r="Y73" s="783"/>
      <c r="Z73" s="783"/>
      <c r="AA73" s="783"/>
      <c r="AB73" s="708"/>
      <c r="AC73" s="1347" t="s">
        <v>1836</v>
      </c>
      <c r="AD73" s="951" t="s">
        <v>1844</v>
      </c>
      <c r="AE73" s="1545"/>
    </row>
    <row r="74" spans="1:31" ht="90" customHeight="1" thickBot="1" x14ac:dyDescent="0.3">
      <c r="A74" s="1066" t="s">
        <v>2704</v>
      </c>
      <c r="B74" s="1066" t="s">
        <v>2956</v>
      </c>
      <c r="C74" s="856" t="s">
        <v>2660</v>
      </c>
      <c r="D74" s="866">
        <v>1</v>
      </c>
      <c r="E74" s="867">
        <v>1</v>
      </c>
      <c r="F74" s="867">
        <v>1</v>
      </c>
      <c r="G74" s="1261">
        <v>1</v>
      </c>
      <c r="H74" s="1261"/>
      <c r="I74" s="1259">
        <f t="shared" si="26"/>
        <v>1</v>
      </c>
      <c r="J74" s="792">
        <f t="shared" ref="J74:J136" si="27">IF(G74/E74&gt;=100%,100%,G74/E74)</f>
        <v>1</v>
      </c>
      <c r="K74" s="781" t="s">
        <v>3369</v>
      </c>
      <c r="L74" s="781"/>
      <c r="M74" s="927">
        <v>3</v>
      </c>
      <c r="N74" s="1339">
        <f t="shared" si="14"/>
        <v>3</v>
      </c>
      <c r="O74" s="1341">
        <f t="shared" si="15"/>
        <v>1</v>
      </c>
      <c r="P74" s="716">
        <f>5%*$P$67</f>
        <v>4.4999999999999997E-3</v>
      </c>
      <c r="Q74" s="1327">
        <f t="shared" si="24"/>
        <v>665874986.22500002</v>
      </c>
      <c r="R74" s="1328">
        <f t="shared" si="25"/>
        <v>334436740.5</v>
      </c>
      <c r="S74" s="783"/>
      <c r="T74" s="784"/>
      <c r="U74" s="783"/>
      <c r="V74" s="784"/>
      <c r="W74" s="784"/>
      <c r="X74" s="784"/>
      <c r="Y74" s="783"/>
      <c r="Z74" s="783"/>
      <c r="AA74" s="783"/>
      <c r="AB74" s="708"/>
      <c r="AC74" s="1347" t="s">
        <v>1836</v>
      </c>
      <c r="AD74" s="951" t="s">
        <v>1844</v>
      </c>
      <c r="AE74" s="1645"/>
    </row>
    <row r="75" spans="1:31" ht="15.75" customHeight="1" thickBot="1" x14ac:dyDescent="0.3">
      <c r="A75" s="1637" t="s">
        <v>2835</v>
      </c>
      <c r="B75" s="1638"/>
      <c r="C75" s="839"/>
      <c r="D75" s="867"/>
      <c r="E75" s="867"/>
      <c r="F75" s="867"/>
      <c r="G75" s="1261"/>
      <c r="H75" s="1261"/>
      <c r="I75" s="1270">
        <v>1</v>
      </c>
      <c r="J75" s="1245">
        <f>+(J76+J82+J83+J84+J86+J87+J88+J89)/8</f>
        <v>0.86328125</v>
      </c>
      <c r="K75" s="781"/>
      <c r="L75" s="781"/>
      <c r="M75" s="781"/>
      <c r="N75" s="1339">
        <f t="shared" si="14"/>
        <v>0</v>
      </c>
      <c r="O75" s="1341" t="e">
        <f t="shared" si="15"/>
        <v>#DIV/0!</v>
      </c>
      <c r="P75" s="1184">
        <v>0.05</v>
      </c>
      <c r="Q75" s="1325">
        <f>'informe Gastos'!AC72</f>
        <v>502559284</v>
      </c>
      <c r="R75" s="1325">
        <f>'informe Gastos'!AD72</f>
        <v>419730896</v>
      </c>
      <c r="S75" s="1332">
        <f>+R75/Q75</f>
        <v>0.8351868314107197</v>
      </c>
      <c r="T75" s="1325">
        <f>'informe Gastos'!AE72</f>
        <v>375688744</v>
      </c>
      <c r="U75" s="1332">
        <f>+T75/R75</f>
        <v>0.89507050250596754</v>
      </c>
      <c r="V75" s="729">
        <f t="shared" ref="V75" si="28">+R75-T75</f>
        <v>44042152</v>
      </c>
      <c r="W75" s="784"/>
      <c r="X75" s="784"/>
      <c r="Y75" s="783">
        <f>(356854479+512559284+438424653.96+462976590.22)-10000000+730317457</f>
        <v>2491132464.1800003</v>
      </c>
      <c r="Z75" s="783">
        <f>123414653+R75</f>
        <v>543145549</v>
      </c>
      <c r="AA75" s="766">
        <f>+Z75/Y75</f>
        <v>0.21803158074084425</v>
      </c>
      <c r="AB75" s="708"/>
      <c r="AC75" s="1347"/>
      <c r="AD75" s="951"/>
      <c r="AE75" s="955"/>
    </row>
    <row r="76" spans="1:31" ht="136.5" customHeight="1" thickBot="1" x14ac:dyDescent="0.3">
      <c r="A76" s="1068" t="s">
        <v>2705</v>
      </c>
      <c r="B76" s="1064" t="s">
        <v>2957</v>
      </c>
      <c r="C76" s="1060" t="s">
        <v>2647</v>
      </c>
      <c r="D76" s="805">
        <v>0.2</v>
      </c>
      <c r="E76" s="805">
        <v>0.4</v>
      </c>
      <c r="F76" s="805">
        <v>0.2</v>
      </c>
      <c r="G76" s="1237">
        <f>+'16MIZC'!D8</f>
        <v>0.36249999999999999</v>
      </c>
      <c r="H76" s="1261"/>
      <c r="I76" s="1259">
        <f t="shared" si="26"/>
        <v>1</v>
      </c>
      <c r="J76" s="1424">
        <f t="shared" si="27"/>
        <v>0.90624999999999989</v>
      </c>
      <c r="K76" s="781" t="s">
        <v>3382</v>
      </c>
      <c r="L76" s="781"/>
      <c r="M76" s="928">
        <v>0.8</v>
      </c>
      <c r="N76" s="1339">
        <f t="shared" si="14"/>
        <v>0.96250000000000013</v>
      </c>
      <c r="O76" s="1341">
        <f t="shared" si="15"/>
        <v>1</v>
      </c>
      <c r="P76" s="716">
        <f>20%*$P$75</f>
        <v>1.0000000000000002E-2</v>
      </c>
      <c r="Q76" s="1327">
        <f>Q$75*P76/P$75</f>
        <v>100511856.80000001</v>
      </c>
      <c r="R76" s="1328">
        <f>R$75*P76/P$75</f>
        <v>83946179.200000018</v>
      </c>
      <c r="S76" s="783"/>
      <c r="T76" s="784"/>
      <c r="U76" s="783"/>
      <c r="V76" s="784"/>
      <c r="W76" s="784"/>
      <c r="X76" s="784"/>
      <c r="Y76" s="783"/>
      <c r="Z76" s="783"/>
      <c r="AA76" s="783"/>
      <c r="AB76" s="708"/>
      <c r="AC76" s="1347" t="s">
        <v>1841</v>
      </c>
      <c r="AD76" s="951" t="s">
        <v>585</v>
      </c>
      <c r="AE76" s="1541" t="s">
        <v>3305</v>
      </c>
    </row>
    <row r="77" spans="1:31" ht="123" customHeight="1" thickBot="1" x14ac:dyDescent="0.3">
      <c r="A77" s="1027" t="s">
        <v>2706</v>
      </c>
      <c r="B77" s="1070" t="s">
        <v>2958</v>
      </c>
      <c r="C77" s="1060" t="s">
        <v>2647</v>
      </c>
      <c r="D77" s="805">
        <v>0</v>
      </c>
      <c r="E77" s="805">
        <v>0</v>
      </c>
      <c r="F77" s="805">
        <v>0</v>
      </c>
      <c r="G77" s="1237">
        <v>0</v>
      </c>
      <c r="H77" s="1261"/>
      <c r="I77" s="1259" t="e">
        <f t="shared" si="26"/>
        <v>#DIV/0!</v>
      </c>
      <c r="J77" s="792" t="e">
        <f t="shared" si="27"/>
        <v>#DIV/0!</v>
      </c>
      <c r="K77" s="781" t="s">
        <v>3383</v>
      </c>
      <c r="L77" s="781"/>
      <c r="M77" s="929">
        <v>1</v>
      </c>
      <c r="N77" s="1339">
        <f t="shared" si="14"/>
        <v>0</v>
      </c>
      <c r="O77" s="1341">
        <f t="shared" si="15"/>
        <v>0</v>
      </c>
      <c r="P77" s="716">
        <v>0</v>
      </c>
      <c r="Q77" s="1327">
        <f t="shared" ref="Q77:Q89" si="29">Q$75*P77/P$75</f>
        <v>0</v>
      </c>
      <c r="R77" s="1328">
        <f>R$75*P77/P$75</f>
        <v>0</v>
      </c>
      <c r="S77" s="783"/>
      <c r="T77" s="784"/>
      <c r="U77" s="783"/>
      <c r="V77" s="784"/>
      <c r="W77" s="784"/>
      <c r="X77" s="784"/>
      <c r="Y77" s="783"/>
      <c r="Z77" s="783"/>
      <c r="AA77" s="783"/>
      <c r="AB77" s="708"/>
      <c r="AC77" s="1347" t="s">
        <v>1841</v>
      </c>
      <c r="AD77" s="951" t="s">
        <v>1844</v>
      </c>
      <c r="AE77" s="1542"/>
    </row>
    <row r="78" spans="1:31" ht="118.5" customHeight="1" thickBot="1" x14ac:dyDescent="0.3">
      <c r="A78" s="1069" t="s">
        <v>2707</v>
      </c>
      <c r="B78" s="1070" t="s">
        <v>2959</v>
      </c>
      <c r="C78" s="1060" t="s">
        <v>2647</v>
      </c>
      <c r="D78" s="805">
        <v>0</v>
      </c>
      <c r="E78" s="805">
        <v>0</v>
      </c>
      <c r="F78" s="805">
        <v>0</v>
      </c>
      <c r="G78" s="1237">
        <f>+'9RUNAP'!D9</f>
        <v>0.49956081000878377</v>
      </c>
      <c r="H78" s="1261"/>
      <c r="I78" s="1259" t="e">
        <f t="shared" si="26"/>
        <v>#DIV/0!</v>
      </c>
      <c r="J78" s="792" t="e">
        <f t="shared" si="27"/>
        <v>#DIV/0!</v>
      </c>
      <c r="K78" s="781" t="s">
        <v>3384</v>
      </c>
      <c r="L78" s="781"/>
      <c r="M78" s="906">
        <v>1</v>
      </c>
      <c r="N78" s="1339">
        <f t="shared" si="14"/>
        <v>0.49956081000878377</v>
      </c>
      <c r="O78" s="1341">
        <f t="shared" si="15"/>
        <v>0.49956081000878377</v>
      </c>
      <c r="P78" s="716">
        <f>5%*$P$75</f>
        <v>2.5000000000000005E-3</v>
      </c>
      <c r="Q78" s="1327">
        <f t="shared" si="29"/>
        <v>25127964.200000003</v>
      </c>
      <c r="R78" s="1328">
        <f t="shared" ref="R78:R89" si="30">R$75*P78/P$75</f>
        <v>20986544.800000004</v>
      </c>
      <c r="S78" s="783"/>
      <c r="T78" s="784"/>
      <c r="U78" s="783"/>
      <c r="V78" s="784"/>
      <c r="W78" s="784"/>
      <c r="X78" s="784"/>
      <c r="Y78" s="783"/>
      <c r="Z78" s="783"/>
      <c r="AA78" s="783"/>
      <c r="AB78" s="708"/>
      <c r="AC78" s="1347" t="s">
        <v>1841</v>
      </c>
      <c r="AD78" s="951" t="s">
        <v>348</v>
      </c>
      <c r="AE78" s="1542"/>
    </row>
    <row r="79" spans="1:31" ht="132" customHeight="1" thickBot="1" x14ac:dyDescent="0.3">
      <c r="A79" s="868" t="s">
        <v>2708</v>
      </c>
      <c r="B79" s="859" t="s">
        <v>2960</v>
      </c>
      <c r="C79" s="856" t="s">
        <v>2647</v>
      </c>
      <c r="D79" s="805">
        <v>0</v>
      </c>
      <c r="E79" s="805">
        <v>0</v>
      </c>
      <c r="F79" s="805">
        <v>0</v>
      </c>
      <c r="G79" s="1261">
        <v>0</v>
      </c>
      <c r="H79" s="1261"/>
      <c r="I79" s="1259" t="e">
        <f t="shared" si="26"/>
        <v>#DIV/0!</v>
      </c>
      <c r="J79" s="792" t="e">
        <f t="shared" si="27"/>
        <v>#DIV/0!</v>
      </c>
      <c r="K79" s="781" t="s">
        <v>3385</v>
      </c>
      <c r="L79" s="781"/>
      <c r="M79" s="906">
        <v>1</v>
      </c>
      <c r="N79" s="1339">
        <f t="shared" si="14"/>
        <v>0</v>
      </c>
      <c r="O79" s="1341">
        <f t="shared" si="15"/>
        <v>0</v>
      </c>
      <c r="P79" s="716">
        <f>3%*$P$75</f>
        <v>1.5E-3</v>
      </c>
      <c r="Q79" s="1327">
        <f t="shared" si="29"/>
        <v>15076778.52</v>
      </c>
      <c r="R79" s="1328">
        <f t="shared" si="30"/>
        <v>12591926.880000001</v>
      </c>
      <c r="S79" s="783"/>
      <c r="T79" s="784"/>
      <c r="U79" s="783"/>
      <c r="V79" s="784"/>
      <c r="W79" s="784"/>
      <c r="X79" s="784"/>
      <c r="Y79" s="783"/>
      <c r="Z79" s="783"/>
      <c r="AA79" s="783"/>
      <c r="AB79" s="708"/>
      <c r="AC79" s="1347" t="s">
        <v>1841</v>
      </c>
      <c r="AD79" s="951" t="s">
        <v>1844</v>
      </c>
      <c r="AE79" s="1542"/>
    </row>
    <row r="80" spans="1:31" ht="93" customHeight="1" thickBot="1" x14ac:dyDescent="0.3">
      <c r="A80" s="1028" t="s">
        <v>2709</v>
      </c>
      <c r="B80" s="1061" t="s">
        <v>2961</v>
      </c>
      <c r="C80" s="1060" t="s">
        <v>2647</v>
      </c>
      <c r="D80" s="805">
        <v>0</v>
      </c>
      <c r="E80" s="805">
        <v>0</v>
      </c>
      <c r="F80" s="805">
        <v>0</v>
      </c>
      <c r="G80" s="1261">
        <v>0</v>
      </c>
      <c r="H80" s="1261"/>
      <c r="I80" s="1259" t="e">
        <f t="shared" si="26"/>
        <v>#DIV/0!</v>
      </c>
      <c r="J80" s="792" t="e">
        <f t="shared" si="27"/>
        <v>#DIV/0!</v>
      </c>
      <c r="K80" s="781" t="s">
        <v>3386</v>
      </c>
      <c r="L80" s="781"/>
      <c r="M80" s="906">
        <v>1</v>
      </c>
      <c r="N80" s="1339">
        <f t="shared" si="14"/>
        <v>0</v>
      </c>
      <c r="O80" s="1341">
        <f t="shared" si="15"/>
        <v>0</v>
      </c>
      <c r="P80" s="716">
        <v>0</v>
      </c>
      <c r="Q80" s="1327">
        <f t="shared" si="29"/>
        <v>0</v>
      </c>
      <c r="R80" s="1328">
        <f t="shared" si="30"/>
        <v>0</v>
      </c>
      <c r="S80" s="783"/>
      <c r="T80" s="784"/>
      <c r="U80" s="783"/>
      <c r="V80" s="784"/>
      <c r="W80" s="784"/>
      <c r="X80" s="784"/>
      <c r="Y80" s="783"/>
      <c r="Z80" s="783"/>
      <c r="AA80" s="783"/>
      <c r="AB80" s="708"/>
      <c r="AC80" s="1347" t="s">
        <v>1841</v>
      </c>
      <c r="AD80" s="951" t="s">
        <v>1844</v>
      </c>
      <c r="AE80" s="1542"/>
    </row>
    <row r="81" spans="1:31" ht="88.5" customHeight="1" thickBot="1" x14ac:dyDescent="0.3">
      <c r="A81" s="1071" t="s">
        <v>2710</v>
      </c>
      <c r="B81" s="1061" t="s">
        <v>2962</v>
      </c>
      <c r="C81" s="1060" t="s">
        <v>2660</v>
      </c>
      <c r="D81" s="867">
        <v>0</v>
      </c>
      <c r="E81" s="869">
        <v>0</v>
      </c>
      <c r="F81" s="869">
        <v>0</v>
      </c>
      <c r="G81" s="1261">
        <v>0</v>
      </c>
      <c r="H81" s="1261"/>
      <c r="I81" s="1259" t="e">
        <f t="shared" si="26"/>
        <v>#DIV/0!</v>
      </c>
      <c r="J81" s="792" t="e">
        <f t="shared" si="27"/>
        <v>#DIV/0!</v>
      </c>
      <c r="K81" s="781" t="s">
        <v>3387</v>
      </c>
      <c r="L81" s="781"/>
      <c r="M81" s="907">
        <v>2</v>
      </c>
      <c r="N81" s="1339">
        <f t="shared" si="14"/>
        <v>0</v>
      </c>
      <c r="O81" s="1341">
        <f t="shared" si="15"/>
        <v>0</v>
      </c>
      <c r="P81" s="716">
        <f>3%*$P$75</f>
        <v>1.5E-3</v>
      </c>
      <c r="Q81" s="1327">
        <f t="shared" si="29"/>
        <v>15076778.52</v>
      </c>
      <c r="R81" s="1328">
        <f t="shared" si="30"/>
        <v>12591926.880000001</v>
      </c>
      <c r="S81" s="783"/>
      <c r="T81" s="784"/>
      <c r="U81" s="783"/>
      <c r="V81" s="784"/>
      <c r="W81" s="784"/>
      <c r="X81" s="784"/>
      <c r="Y81" s="783"/>
      <c r="Z81" s="783"/>
      <c r="AA81" s="783"/>
      <c r="AB81" s="708"/>
      <c r="AC81" s="1347" t="s">
        <v>1841</v>
      </c>
      <c r="AD81" s="951" t="s">
        <v>1844</v>
      </c>
      <c r="AE81" s="1542"/>
    </row>
    <row r="82" spans="1:31" ht="81" customHeight="1" thickBot="1" x14ac:dyDescent="0.3">
      <c r="A82" s="1028" t="s">
        <v>2711</v>
      </c>
      <c r="B82" s="1061" t="s">
        <v>2963</v>
      </c>
      <c r="C82" s="1060" t="s">
        <v>2647</v>
      </c>
      <c r="D82" s="805">
        <v>0</v>
      </c>
      <c r="E82" s="805">
        <v>0.3</v>
      </c>
      <c r="F82" s="805">
        <v>0</v>
      </c>
      <c r="G82" s="1237">
        <v>0.3</v>
      </c>
      <c r="H82" s="1261"/>
      <c r="I82" s="1259" t="e">
        <f t="shared" si="26"/>
        <v>#DIV/0!</v>
      </c>
      <c r="J82" s="792">
        <f t="shared" si="27"/>
        <v>1</v>
      </c>
      <c r="K82" s="781" t="s">
        <v>3388</v>
      </c>
      <c r="L82" s="781"/>
      <c r="M82" s="906">
        <v>1</v>
      </c>
      <c r="N82" s="1339">
        <f t="shared" si="14"/>
        <v>0.6</v>
      </c>
      <c r="O82" s="1341">
        <f t="shared" si="15"/>
        <v>0.6</v>
      </c>
      <c r="P82" s="716">
        <f>12%*$P$75</f>
        <v>6.0000000000000001E-3</v>
      </c>
      <c r="Q82" s="1327">
        <f t="shared" si="29"/>
        <v>60307114.079999998</v>
      </c>
      <c r="R82" s="1328">
        <f t="shared" si="30"/>
        <v>50367707.520000003</v>
      </c>
      <c r="S82" s="783"/>
      <c r="T82" s="784"/>
      <c r="U82" s="783"/>
      <c r="V82" s="784"/>
      <c r="W82" s="784"/>
      <c r="X82" s="784"/>
      <c r="Y82" s="783"/>
      <c r="Z82" s="783"/>
      <c r="AA82" s="783"/>
      <c r="AB82" s="708"/>
      <c r="AC82" s="1347" t="s">
        <v>1841</v>
      </c>
      <c r="AD82" s="951" t="s">
        <v>1844</v>
      </c>
      <c r="AE82" s="1542"/>
    </row>
    <row r="83" spans="1:31" ht="84" customHeight="1" thickBot="1" x14ac:dyDescent="0.3">
      <c r="A83" s="1071" t="s">
        <v>625</v>
      </c>
      <c r="B83" s="1061" t="s">
        <v>2964</v>
      </c>
      <c r="C83" s="1060" t="s">
        <v>2660</v>
      </c>
      <c r="D83" s="867">
        <v>0</v>
      </c>
      <c r="E83" s="867">
        <v>1</v>
      </c>
      <c r="F83" s="867">
        <v>0</v>
      </c>
      <c r="G83" s="1261">
        <v>1</v>
      </c>
      <c r="H83" s="1261"/>
      <c r="I83" s="1259" t="e">
        <f t="shared" si="26"/>
        <v>#DIV/0!</v>
      </c>
      <c r="J83" s="792">
        <f t="shared" si="27"/>
        <v>1</v>
      </c>
      <c r="K83" s="781" t="s">
        <v>3389</v>
      </c>
      <c r="L83" s="781"/>
      <c r="M83" s="907">
        <v>3</v>
      </c>
      <c r="N83" s="1339">
        <f t="shared" si="14"/>
        <v>2</v>
      </c>
      <c r="O83" s="1341">
        <f t="shared" si="15"/>
        <v>0.66666666666666663</v>
      </c>
      <c r="P83" s="716">
        <f t="shared" ref="P83" si="31">20%*$P$75</f>
        <v>1.0000000000000002E-2</v>
      </c>
      <c r="Q83" s="1327">
        <f t="shared" si="29"/>
        <v>100511856.80000001</v>
      </c>
      <c r="R83" s="1328">
        <f t="shared" si="30"/>
        <v>83946179.200000018</v>
      </c>
      <c r="S83" s="783"/>
      <c r="T83" s="784"/>
      <c r="U83" s="783"/>
      <c r="V83" s="784"/>
      <c r="W83" s="784"/>
      <c r="X83" s="784"/>
      <c r="Y83" s="783"/>
      <c r="Z83" s="783"/>
      <c r="AA83" s="783"/>
      <c r="AB83" s="708"/>
      <c r="AC83" s="1347" t="s">
        <v>1841</v>
      </c>
      <c r="AD83" s="951" t="s">
        <v>1844</v>
      </c>
      <c r="AE83" s="1542"/>
    </row>
    <row r="84" spans="1:31" ht="72" x14ac:dyDescent="0.25">
      <c r="A84" s="1027" t="s">
        <v>626</v>
      </c>
      <c r="B84" s="1070" t="s">
        <v>2965</v>
      </c>
      <c r="C84" s="1060" t="s">
        <v>2660</v>
      </c>
      <c r="D84" s="867">
        <v>0</v>
      </c>
      <c r="E84" s="867">
        <v>2</v>
      </c>
      <c r="F84" s="867">
        <v>0</v>
      </c>
      <c r="G84" s="1261">
        <v>2</v>
      </c>
      <c r="H84" s="1261"/>
      <c r="I84" s="1259" t="e">
        <f t="shared" si="26"/>
        <v>#DIV/0!</v>
      </c>
      <c r="J84" s="792">
        <f t="shared" si="27"/>
        <v>1</v>
      </c>
      <c r="K84" s="781" t="s">
        <v>3390</v>
      </c>
      <c r="L84" s="781"/>
      <c r="M84" s="907"/>
      <c r="N84" s="1339">
        <f t="shared" si="14"/>
        <v>4</v>
      </c>
      <c r="O84" s="1341" t="e">
        <f t="shared" si="15"/>
        <v>#DIV/0!</v>
      </c>
      <c r="P84" s="716">
        <f>5%*$P$75</f>
        <v>2.5000000000000005E-3</v>
      </c>
      <c r="Q84" s="1327">
        <f t="shared" si="29"/>
        <v>25127964.200000003</v>
      </c>
      <c r="R84" s="1328">
        <f t="shared" si="30"/>
        <v>20986544.800000004</v>
      </c>
      <c r="S84" s="783"/>
      <c r="T84" s="784"/>
      <c r="U84" s="783"/>
      <c r="V84" s="784"/>
      <c r="W84" s="784"/>
      <c r="X84" s="784"/>
      <c r="Y84" s="783"/>
      <c r="Z84" s="783"/>
      <c r="AA84" s="783"/>
      <c r="AB84" s="708"/>
      <c r="AC84" s="1347" t="s">
        <v>1841</v>
      </c>
      <c r="AD84" s="951" t="s">
        <v>1844</v>
      </c>
      <c r="AE84" s="1542"/>
    </row>
    <row r="85" spans="1:31" ht="94.5" customHeight="1" thickBot="1" x14ac:dyDescent="0.3">
      <c r="A85" s="1028" t="s">
        <v>2712</v>
      </c>
      <c r="B85" s="1061" t="s">
        <v>2966</v>
      </c>
      <c r="C85" s="1060" t="s">
        <v>2689</v>
      </c>
      <c r="D85" s="867">
        <v>0</v>
      </c>
      <c r="E85" s="867">
        <v>0</v>
      </c>
      <c r="F85" s="867">
        <v>0</v>
      </c>
      <c r="G85" s="1261">
        <v>0</v>
      </c>
      <c r="H85" s="1261"/>
      <c r="I85" s="1259" t="e">
        <f t="shared" si="26"/>
        <v>#DIV/0!</v>
      </c>
      <c r="J85" s="792" t="e">
        <f t="shared" si="27"/>
        <v>#DIV/0!</v>
      </c>
      <c r="K85" s="781" t="s">
        <v>3391</v>
      </c>
      <c r="L85" s="781"/>
      <c r="M85" s="907">
        <v>2</v>
      </c>
      <c r="N85" s="1339">
        <f t="shared" si="14"/>
        <v>0</v>
      </c>
      <c r="O85" s="1341">
        <f t="shared" si="15"/>
        <v>0</v>
      </c>
      <c r="P85" s="716">
        <f>2%*$P$75</f>
        <v>1E-3</v>
      </c>
      <c r="Q85" s="1327">
        <f t="shared" si="29"/>
        <v>10051185.68</v>
      </c>
      <c r="R85" s="1328">
        <f t="shared" si="30"/>
        <v>8394617.9199999999</v>
      </c>
      <c r="S85" s="783"/>
      <c r="T85" s="784"/>
      <c r="U85" s="783"/>
      <c r="V85" s="784"/>
      <c r="W85" s="784"/>
      <c r="X85" s="784"/>
      <c r="Y85" s="783"/>
      <c r="Z85" s="783"/>
      <c r="AA85" s="783"/>
      <c r="AB85" s="708"/>
      <c r="AC85" s="1347" t="s">
        <v>1841</v>
      </c>
      <c r="AD85" s="951" t="s">
        <v>1844</v>
      </c>
      <c r="AE85" s="1542"/>
    </row>
    <row r="86" spans="1:31" ht="102" customHeight="1" thickBot="1" x14ac:dyDescent="0.3">
      <c r="A86" s="1072" t="s">
        <v>2713</v>
      </c>
      <c r="B86" s="1070" t="s">
        <v>2967</v>
      </c>
      <c r="C86" s="1060" t="s">
        <v>2647</v>
      </c>
      <c r="D86" s="805">
        <v>0</v>
      </c>
      <c r="E86" s="805">
        <v>1</v>
      </c>
      <c r="F86" s="805">
        <v>0</v>
      </c>
      <c r="G86" s="1534">
        <f>+'13Amenaz'!Q23</f>
        <v>1</v>
      </c>
      <c r="H86" s="1261"/>
      <c r="I86" s="1259" t="e">
        <f t="shared" si="26"/>
        <v>#DIV/0!</v>
      </c>
      <c r="J86" s="792">
        <f t="shared" si="27"/>
        <v>1</v>
      </c>
      <c r="K86" s="781" t="s">
        <v>3392</v>
      </c>
      <c r="L86" s="781"/>
      <c r="M86" s="906">
        <v>1</v>
      </c>
      <c r="N86" s="1339">
        <f t="shared" si="14"/>
        <v>2</v>
      </c>
      <c r="O86" s="1341">
        <f t="shared" si="15"/>
        <v>1</v>
      </c>
      <c r="P86" s="716">
        <f>10%*$P$75</f>
        <v>5.000000000000001E-3</v>
      </c>
      <c r="Q86" s="1327">
        <f t="shared" si="29"/>
        <v>50255928.400000006</v>
      </c>
      <c r="R86" s="1328">
        <f t="shared" si="30"/>
        <v>41973089.600000009</v>
      </c>
      <c r="S86" s="783"/>
      <c r="T86" s="784"/>
      <c r="U86" s="783"/>
      <c r="V86" s="784"/>
      <c r="W86" s="784"/>
      <c r="X86" s="784"/>
      <c r="Y86" s="783"/>
      <c r="Z86" s="783"/>
      <c r="AA86" s="783"/>
      <c r="AB86" s="708"/>
      <c r="AC86" s="1347" t="s">
        <v>1841</v>
      </c>
      <c r="AD86" s="951" t="s">
        <v>480</v>
      </c>
      <c r="AE86" s="1542"/>
    </row>
    <row r="87" spans="1:31" ht="72" customHeight="1" thickBot="1" x14ac:dyDescent="0.3">
      <c r="A87" s="1027" t="s">
        <v>2714</v>
      </c>
      <c r="B87" s="1073" t="s">
        <v>2968</v>
      </c>
      <c r="C87" s="1060" t="s">
        <v>2647</v>
      </c>
      <c r="D87" s="805">
        <v>0</v>
      </c>
      <c r="E87" s="805">
        <v>1</v>
      </c>
      <c r="F87" s="805">
        <v>0</v>
      </c>
      <c r="G87" s="1237">
        <f>+'14Invasor'!D8</f>
        <v>1</v>
      </c>
      <c r="H87" s="1261"/>
      <c r="I87" s="1259" t="e">
        <f t="shared" si="26"/>
        <v>#DIV/0!</v>
      </c>
      <c r="J87" s="792">
        <f t="shared" si="27"/>
        <v>1</v>
      </c>
      <c r="K87" s="781" t="s">
        <v>3398</v>
      </c>
      <c r="L87" s="781"/>
      <c r="M87" s="906">
        <v>1</v>
      </c>
      <c r="N87" s="1339">
        <f t="shared" si="14"/>
        <v>2</v>
      </c>
      <c r="O87" s="1341">
        <f t="shared" si="15"/>
        <v>1</v>
      </c>
      <c r="P87" s="716">
        <f>8%*$P$75</f>
        <v>4.0000000000000001E-3</v>
      </c>
      <c r="Q87" s="1327">
        <f t="shared" si="29"/>
        <v>40204742.719999999</v>
      </c>
      <c r="R87" s="1328">
        <f t="shared" si="30"/>
        <v>33578471.68</v>
      </c>
      <c r="S87" s="783"/>
      <c r="T87" s="784"/>
      <c r="U87" s="783"/>
      <c r="V87" s="784"/>
      <c r="W87" s="784"/>
      <c r="X87" s="784"/>
      <c r="Y87" s="783"/>
      <c r="Z87" s="783"/>
      <c r="AA87" s="783"/>
      <c r="AB87" s="708"/>
      <c r="AC87" s="1347" t="s">
        <v>1841</v>
      </c>
      <c r="AD87" s="951" t="s">
        <v>526</v>
      </c>
      <c r="AE87" s="1542"/>
    </row>
    <row r="88" spans="1:31" ht="92.25" customHeight="1" thickBot="1" x14ac:dyDescent="0.3">
      <c r="A88" s="1071" t="s">
        <v>2715</v>
      </c>
      <c r="B88" s="1061" t="s">
        <v>2969</v>
      </c>
      <c r="C88" s="1060" t="s">
        <v>2660</v>
      </c>
      <c r="D88" s="867">
        <v>0</v>
      </c>
      <c r="E88" s="867">
        <v>1</v>
      </c>
      <c r="F88" s="867">
        <v>0</v>
      </c>
      <c r="G88" s="1261">
        <v>1</v>
      </c>
      <c r="H88" s="1261"/>
      <c r="I88" s="1259" t="e">
        <f t="shared" si="26"/>
        <v>#DIV/0!</v>
      </c>
      <c r="J88" s="792">
        <f t="shared" si="27"/>
        <v>1</v>
      </c>
      <c r="K88" s="781" t="s">
        <v>3399</v>
      </c>
      <c r="L88" s="781"/>
      <c r="M88" s="907">
        <v>1</v>
      </c>
      <c r="N88" s="1339">
        <f t="shared" si="14"/>
        <v>2</v>
      </c>
      <c r="O88" s="1341">
        <f t="shared" si="15"/>
        <v>1</v>
      </c>
      <c r="P88" s="716">
        <f>12%*$P$75</f>
        <v>6.0000000000000001E-3</v>
      </c>
      <c r="Q88" s="1327">
        <f t="shared" si="29"/>
        <v>60307114.079999998</v>
      </c>
      <c r="R88" s="1328">
        <f t="shared" si="30"/>
        <v>50367707.520000003</v>
      </c>
      <c r="S88" s="783"/>
      <c r="T88" s="784"/>
      <c r="U88" s="783"/>
      <c r="V88" s="784"/>
      <c r="W88" s="784"/>
      <c r="X88" s="784"/>
      <c r="Y88" s="783"/>
      <c r="Z88" s="783"/>
      <c r="AA88" s="783"/>
      <c r="AB88" s="708"/>
      <c r="AC88" s="1347" t="s">
        <v>1841</v>
      </c>
      <c r="AD88" s="951" t="s">
        <v>1844</v>
      </c>
      <c r="AE88" s="1542"/>
    </row>
    <row r="89" spans="1:31" ht="72.75" thickBot="1" x14ac:dyDescent="0.3">
      <c r="A89" s="870" t="s">
        <v>2716</v>
      </c>
      <c r="B89" s="1028" t="s">
        <v>2970</v>
      </c>
      <c r="C89" s="856" t="s">
        <v>2660</v>
      </c>
      <c r="D89" s="867">
        <v>0</v>
      </c>
      <c r="E89" s="867">
        <v>1</v>
      </c>
      <c r="F89" s="867">
        <v>0</v>
      </c>
      <c r="G89" s="1261">
        <v>0</v>
      </c>
      <c r="H89" s="1261"/>
      <c r="I89" s="1259" t="e">
        <f t="shared" si="26"/>
        <v>#DIV/0!</v>
      </c>
      <c r="J89" s="1424">
        <f t="shared" si="27"/>
        <v>0</v>
      </c>
      <c r="K89" s="781"/>
      <c r="L89" s="781"/>
      <c r="M89" s="930">
        <v>3</v>
      </c>
      <c r="N89" s="1339">
        <f t="shared" si="14"/>
        <v>1</v>
      </c>
      <c r="O89" s="1341">
        <f t="shared" si="15"/>
        <v>0.33333333333333331</v>
      </c>
      <c r="P89" s="716">
        <v>0</v>
      </c>
      <c r="Q89" s="1327">
        <f t="shared" si="29"/>
        <v>0</v>
      </c>
      <c r="R89" s="1328">
        <f t="shared" si="30"/>
        <v>0</v>
      </c>
      <c r="S89" s="783"/>
      <c r="T89" s="784"/>
      <c r="U89" s="783"/>
      <c r="V89" s="784"/>
      <c r="W89" s="784"/>
      <c r="X89" s="784"/>
      <c r="Y89" s="783"/>
      <c r="Z89" s="783"/>
      <c r="AA89" s="783"/>
      <c r="AB89" s="708"/>
      <c r="AC89" s="1347" t="s">
        <v>1841</v>
      </c>
      <c r="AD89" s="951" t="s">
        <v>1844</v>
      </c>
      <c r="AE89" s="1543"/>
    </row>
    <row r="90" spans="1:31" ht="13.5" customHeight="1" thickBot="1" x14ac:dyDescent="0.3">
      <c r="A90" s="1639" t="s">
        <v>2836</v>
      </c>
      <c r="B90" s="1640"/>
      <c r="C90" s="1304"/>
      <c r="D90" s="867"/>
      <c r="E90" s="867"/>
      <c r="F90" s="867"/>
      <c r="G90" s="1261"/>
      <c r="H90" s="1261"/>
      <c r="I90" s="1270">
        <v>0.89</v>
      </c>
      <c r="J90" s="792">
        <f>+(J91+J92+J94+J95+J96+J97+J98+J100+J102+J103+J104)/11</f>
        <v>0.94444444444444453</v>
      </c>
      <c r="K90" s="781"/>
      <c r="L90" s="781"/>
      <c r="M90" s="781"/>
      <c r="N90" s="1339">
        <f t="shared" si="14"/>
        <v>0</v>
      </c>
      <c r="O90" s="1341" t="e">
        <f t="shared" si="15"/>
        <v>#DIV/0!</v>
      </c>
      <c r="P90" s="1163">
        <v>0.08</v>
      </c>
      <c r="Q90" s="1325">
        <f>'informe Gastos'!AC75</f>
        <v>8114472959.2200003</v>
      </c>
      <c r="R90" s="1325">
        <f>'informe Gastos'!AD75</f>
        <v>5167310574.6599998</v>
      </c>
      <c r="S90" s="1332">
        <f>+R90/Q90</f>
        <v>0.63680174924838306</v>
      </c>
      <c r="T90" s="1325">
        <f>'informe Gastos'!AE75</f>
        <v>3501341347.46</v>
      </c>
      <c r="U90" s="1332">
        <f>+T90/R90</f>
        <v>0.67759452366386597</v>
      </c>
      <c r="V90" s="729">
        <f t="shared" ref="V90" si="32">+R90-T90</f>
        <v>1665969227.1999998</v>
      </c>
      <c r="W90" s="784"/>
      <c r="X90" s="784"/>
      <c r="Y90" s="783">
        <f>(717344018+707861412+790873000+835162000)+6486065420.22-22000000+552138668</f>
        <v>10067444518.220001</v>
      </c>
      <c r="Z90" s="783">
        <f>2178137354+R90</f>
        <v>7345447928.6599998</v>
      </c>
      <c r="AA90" s="766">
        <f>+Z90/Y90</f>
        <v>0.7296238797607727</v>
      </c>
      <c r="AB90" s="708"/>
      <c r="AC90" s="1347"/>
      <c r="AD90" s="951"/>
      <c r="AE90" s="955"/>
    </row>
    <row r="91" spans="1:31" ht="87" customHeight="1" x14ac:dyDescent="0.25">
      <c r="A91" s="1079" t="s">
        <v>2717</v>
      </c>
      <c r="B91" s="1075" t="s">
        <v>2971</v>
      </c>
      <c r="C91" s="871" t="s">
        <v>2647</v>
      </c>
      <c r="D91" s="805">
        <v>0.25</v>
      </c>
      <c r="E91" s="805">
        <v>0.5</v>
      </c>
      <c r="F91" s="805">
        <f>'[2]13Amenaz'!E9</f>
        <v>0</v>
      </c>
      <c r="G91" s="1237">
        <f>'13Amenaz'!Q24</f>
        <v>0.625</v>
      </c>
      <c r="H91" s="1261"/>
      <c r="I91" s="1259">
        <f t="shared" si="26"/>
        <v>0</v>
      </c>
      <c r="J91" s="792">
        <f t="shared" si="27"/>
        <v>1</v>
      </c>
      <c r="K91" s="1263" t="s">
        <v>3401</v>
      </c>
      <c r="L91" s="781"/>
      <c r="M91" s="931">
        <v>1</v>
      </c>
      <c r="N91" s="1339">
        <f t="shared" si="14"/>
        <v>1.125</v>
      </c>
      <c r="O91" s="1341">
        <f t="shared" si="15"/>
        <v>1</v>
      </c>
      <c r="P91" s="716">
        <f>10%*$P$90</f>
        <v>8.0000000000000002E-3</v>
      </c>
      <c r="Q91" s="1327">
        <f>Q$90*P91/P$90</f>
        <v>811447295.92200005</v>
      </c>
      <c r="R91" s="1328">
        <f>R$90*P91/P$90</f>
        <v>516731057.46600002</v>
      </c>
      <c r="S91" s="783"/>
      <c r="T91" s="784"/>
      <c r="U91" s="783"/>
      <c r="V91" s="784"/>
      <c r="W91" s="784"/>
      <c r="X91" s="784"/>
      <c r="Y91" s="783"/>
      <c r="Z91" s="783"/>
      <c r="AA91" s="783"/>
      <c r="AB91" s="708"/>
      <c r="AC91" s="1347" t="s">
        <v>1836</v>
      </c>
      <c r="AD91" s="951" t="s">
        <v>480</v>
      </c>
      <c r="AE91" s="1544" t="s">
        <v>3306</v>
      </c>
    </row>
    <row r="92" spans="1:31" ht="60.75" customHeight="1" x14ac:dyDescent="0.25">
      <c r="A92" s="1080" t="s">
        <v>2718</v>
      </c>
      <c r="B92" s="1076" t="s">
        <v>2972</v>
      </c>
      <c r="C92" s="856" t="s">
        <v>2647</v>
      </c>
      <c r="D92" s="805">
        <v>0.5</v>
      </c>
      <c r="E92" s="805">
        <v>0.75</v>
      </c>
      <c r="F92" s="805">
        <f>'[2]14Invasor'!E9</f>
        <v>0</v>
      </c>
      <c r="G92" s="1237">
        <f>'14Invasor'!D8</f>
        <v>1</v>
      </c>
      <c r="H92" s="1261"/>
      <c r="I92" s="1259">
        <f t="shared" si="26"/>
        <v>0</v>
      </c>
      <c r="J92" s="792">
        <f t="shared" si="27"/>
        <v>1</v>
      </c>
      <c r="K92" s="1263" t="s">
        <v>3402</v>
      </c>
      <c r="L92" s="781"/>
      <c r="M92" s="931">
        <v>1</v>
      </c>
      <c r="N92" s="1339">
        <f t="shared" si="14"/>
        <v>1.75</v>
      </c>
      <c r="O92" s="1341">
        <f t="shared" si="15"/>
        <v>1</v>
      </c>
      <c r="P92" s="716">
        <f t="shared" ref="P92:P102" si="33">10%*$P$90</f>
        <v>8.0000000000000002E-3</v>
      </c>
      <c r="Q92" s="1327">
        <f t="shared" ref="Q92:Q104" si="34">Q$90*P92/P$90</f>
        <v>811447295.92200005</v>
      </c>
      <c r="R92" s="1328">
        <f t="shared" ref="R92:R104" si="35">R$90*P92/P$90</f>
        <v>516731057.46600002</v>
      </c>
      <c r="S92" s="783"/>
      <c r="T92" s="784"/>
      <c r="U92" s="783"/>
      <c r="V92" s="784"/>
      <c r="W92" s="784"/>
      <c r="X92" s="784"/>
      <c r="Y92" s="783"/>
      <c r="Z92" s="783"/>
      <c r="AA92" s="783"/>
      <c r="AB92" s="708"/>
      <c r="AC92" s="1347" t="s">
        <v>1836</v>
      </c>
      <c r="AD92" s="951" t="s">
        <v>526</v>
      </c>
      <c r="AE92" s="1545"/>
    </row>
    <row r="93" spans="1:31" ht="94.5" customHeight="1" x14ac:dyDescent="0.25">
      <c r="A93" s="895" t="s">
        <v>2719</v>
      </c>
      <c r="B93" s="1077" t="s">
        <v>2973</v>
      </c>
      <c r="C93" s="1060" t="s">
        <v>2647</v>
      </c>
      <c r="D93" s="805">
        <v>0</v>
      </c>
      <c r="E93" s="805">
        <v>0</v>
      </c>
      <c r="F93" s="805">
        <f>'[2]11Forest'!E9</f>
        <v>0</v>
      </c>
      <c r="G93" s="1261" t="str">
        <f>'11Forest'!D8</f>
        <v>NO APLICA</v>
      </c>
      <c r="H93" s="1261"/>
      <c r="I93" s="1259" t="e">
        <f t="shared" si="26"/>
        <v>#DIV/0!</v>
      </c>
      <c r="J93" s="792" t="e">
        <f t="shared" si="27"/>
        <v>#VALUE!</v>
      </c>
      <c r="K93" s="1263"/>
      <c r="L93" s="781"/>
      <c r="M93" s="931">
        <v>1</v>
      </c>
      <c r="N93" s="1339">
        <f t="shared" si="14"/>
        <v>0</v>
      </c>
      <c r="O93" s="1341">
        <f t="shared" si="15"/>
        <v>0</v>
      </c>
      <c r="P93" s="716">
        <v>0</v>
      </c>
      <c r="Q93" s="1327">
        <f t="shared" si="34"/>
        <v>0</v>
      </c>
      <c r="R93" s="1328">
        <f t="shared" si="35"/>
        <v>0</v>
      </c>
      <c r="S93" s="783"/>
      <c r="T93" s="784"/>
      <c r="U93" s="783"/>
      <c r="V93" s="784"/>
      <c r="W93" s="784"/>
      <c r="X93" s="784"/>
      <c r="Y93" s="783"/>
      <c r="Z93" s="783"/>
      <c r="AA93" s="783"/>
      <c r="AB93" s="708"/>
      <c r="AC93" s="1347" t="s">
        <v>1836</v>
      </c>
      <c r="AD93" s="951" t="s">
        <v>1844</v>
      </c>
      <c r="AE93" s="1545"/>
    </row>
    <row r="94" spans="1:31" ht="27" customHeight="1" x14ac:dyDescent="0.25">
      <c r="A94" s="912" t="s">
        <v>2720</v>
      </c>
      <c r="B94" s="1078" t="s">
        <v>2974</v>
      </c>
      <c r="C94" s="856" t="s">
        <v>2647</v>
      </c>
      <c r="D94" s="805">
        <v>0.25</v>
      </c>
      <c r="E94" s="805">
        <v>0.25</v>
      </c>
      <c r="F94" s="805">
        <v>0.25</v>
      </c>
      <c r="G94" s="1237">
        <v>0.25</v>
      </c>
      <c r="H94" s="1261"/>
      <c r="I94" s="1259">
        <f t="shared" si="26"/>
        <v>1</v>
      </c>
      <c r="J94" s="792">
        <f t="shared" si="27"/>
        <v>1</v>
      </c>
      <c r="K94" s="1263" t="s">
        <v>3403</v>
      </c>
      <c r="L94" s="781"/>
      <c r="M94" s="931">
        <v>1</v>
      </c>
      <c r="N94" s="1339">
        <f t="shared" si="14"/>
        <v>0.75</v>
      </c>
      <c r="O94" s="1341">
        <f t="shared" si="15"/>
        <v>0.75</v>
      </c>
      <c r="P94" s="716">
        <f t="shared" si="33"/>
        <v>8.0000000000000002E-3</v>
      </c>
      <c r="Q94" s="1327">
        <f t="shared" si="34"/>
        <v>811447295.92200005</v>
      </c>
      <c r="R94" s="1328">
        <f t="shared" si="35"/>
        <v>516731057.46600002</v>
      </c>
      <c r="S94" s="783"/>
      <c r="T94" s="784"/>
      <c r="U94" s="783"/>
      <c r="V94" s="784"/>
      <c r="W94" s="784"/>
      <c r="X94" s="784"/>
      <c r="Y94" s="783"/>
      <c r="Z94" s="783"/>
      <c r="AA94" s="783"/>
      <c r="AB94" s="708"/>
      <c r="AC94" s="1347" t="s">
        <v>1836</v>
      </c>
      <c r="AD94" s="951" t="s">
        <v>1844</v>
      </c>
      <c r="AE94" s="1545"/>
    </row>
    <row r="95" spans="1:31" ht="75" customHeight="1" x14ac:dyDescent="0.25">
      <c r="A95" s="1081" t="s">
        <v>2721</v>
      </c>
      <c r="B95" s="1078" t="s">
        <v>2975</v>
      </c>
      <c r="C95" s="856" t="s">
        <v>2647</v>
      </c>
      <c r="D95" s="805">
        <v>0</v>
      </c>
      <c r="E95" s="805">
        <v>0.05</v>
      </c>
      <c r="F95" s="805">
        <v>0</v>
      </c>
      <c r="G95" s="1430">
        <v>0.61799999999999999</v>
      </c>
      <c r="H95" s="1261"/>
      <c r="I95" s="1259" t="e">
        <f t="shared" si="26"/>
        <v>#DIV/0!</v>
      </c>
      <c r="J95" s="792">
        <f t="shared" si="27"/>
        <v>1</v>
      </c>
      <c r="K95" s="1263" t="s">
        <v>3539</v>
      </c>
      <c r="L95" s="781"/>
      <c r="M95" s="931">
        <v>0.1</v>
      </c>
      <c r="N95" s="1339">
        <f t="shared" si="14"/>
        <v>0.66800000000000004</v>
      </c>
      <c r="O95" s="1341">
        <f t="shared" si="15"/>
        <v>1</v>
      </c>
      <c r="P95" s="716">
        <f t="shared" si="33"/>
        <v>8.0000000000000002E-3</v>
      </c>
      <c r="Q95" s="1327">
        <f t="shared" si="34"/>
        <v>811447295.92200005</v>
      </c>
      <c r="R95" s="1328">
        <f t="shared" si="35"/>
        <v>516731057.46600002</v>
      </c>
      <c r="S95" s="783"/>
      <c r="T95" s="784"/>
      <c r="U95" s="783"/>
      <c r="V95" s="784"/>
      <c r="W95" s="784"/>
      <c r="X95" s="784"/>
      <c r="Y95" s="783"/>
      <c r="Z95" s="783"/>
      <c r="AA95" s="783"/>
      <c r="AB95" s="708"/>
      <c r="AC95" s="1347" t="s">
        <v>1836</v>
      </c>
      <c r="AD95" s="951" t="s">
        <v>1844</v>
      </c>
      <c r="AE95" s="1545"/>
    </row>
    <row r="96" spans="1:31" ht="82.5" customHeight="1" x14ac:dyDescent="0.25">
      <c r="A96" s="872" t="s">
        <v>2722</v>
      </c>
      <c r="B96" s="1082" t="s">
        <v>2976</v>
      </c>
      <c r="C96" s="1060" t="s">
        <v>2660</v>
      </c>
      <c r="D96" s="867">
        <v>1</v>
      </c>
      <c r="E96" s="867">
        <v>1</v>
      </c>
      <c r="F96" s="867">
        <v>1</v>
      </c>
      <c r="G96" s="1261">
        <v>1</v>
      </c>
      <c r="H96" s="1261"/>
      <c r="I96" s="1259">
        <f t="shared" si="26"/>
        <v>1</v>
      </c>
      <c r="J96" s="792">
        <f t="shared" si="27"/>
        <v>1</v>
      </c>
      <c r="K96" s="781" t="s">
        <v>3404</v>
      </c>
      <c r="L96" s="781"/>
      <c r="M96" s="932">
        <v>2</v>
      </c>
      <c r="N96" s="1339">
        <f t="shared" si="14"/>
        <v>3</v>
      </c>
      <c r="O96" s="1341">
        <f t="shared" si="15"/>
        <v>1</v>
      </c>
      <c r="P96" s="716">
        <f t="shared" si="33"/>
        <v>8.0000000000000002E-3</v>
      </c>
      <c r="Q96" s="1327">
        <f t="shared" si="34"/>
        <v>811447295.92200005</v>
      </c>
      <c r="R96" s="1328">
        <f t="shared" si="35"/>
        <v>516731057.46600002</v>
      </c>
      <c r="S96" s="783"/>
      <c r="T96" s="784"/>
      <c r="U96" s="783"/>
      <c r="V96" s="784"/>
      <c r="W96" s="784"/>
      <c r="X96" s="784"/>
      <c r="Y96" s="783"/>
      <c r="Z96" s="783"/>
      <c r="AA96" s="783"/>
      <c r="AB96" s="708"/>
      <c r="AC96" s="1347" t="s">
        <v>1836</v>
      </c>
      <c r="AD96" s="951" t="s">
        <v>1844</v>
      </c>
      <c r="AE96" s="1545"/>
    </row>
    <row r="97" spans="1:31" ht="62.25" customHeight="1" x14ac:dyDescent="0.25">
      <c r="A97" s="873" t="s">
        <v>2723</v>
      </c>
      <c r="B97" s="1082" t="s">
        <v>2977</v>
      </c>
      <c r="C97" s="1060" t="s">
        <v>2660</v>
      </c>
      <c r="D97" s="874">
        <v>36</v>
      </c>
      <c r="E97" s="867">
        <v>36</v>
      </c>
      <c r="F97" s="867">
        <v>5</v>
      </c>
      <c r="G97" s="1261">
        <v>14</v>
      </c>
      <c r="H97" s="1261"/>
      <c r="I97" s="1259">
        <f t="shared" si="26"/>
        <v>0.1388888888888889</v>
      </c>
      <c r="J97" s="1424">
        <f t="shared" si="27"/>
        <v>0.3888888888888889</v>
      </c>
      <c r="K97" s="781" t="s">
        <v>3405</v>
      </c>
      <c r="L97" s="781"/>
      <c r="M97" s="877">
        <v>51</v>
      </c>
      <c r="N97" s="1339">
        <f t="shared" si="14"/>
        <v>55</v>
      </c>
      <c r="O97" s="1341">
        <f t="shared" si="15"/>
        <v>1</v>
      </c>
      <c r="P97" s="716">
        <f t="shared" si="33"/>
        <v>8.0000000000000002E-3</v>
      </c>
      <c r="Q97" s="1327">
        <f t="shared" si="34"/>
        <v>811447295.92200005</v>
      </c>
      <c r="R97" s="1328">
        <f t="shared" si="35"/>
        <v>516731057.46600002</v>
      </c>
      <c r="S97" s="783"/>
      <c r="T97" s="784"/>
      <c r="U97" s="783"/>
      <c r="V97" s="784"/>
      <c r="W97" s="784"/>
      <c r="X97" s="784"/>
      <c r="Y97" s="783"/>
      <c r="Z97" s="783"/>
      <c r="AA97" s="783"/>
      <c r="AB97" s="708"/>
      <c r="AC97" s="1347" t="s">
        <v>1836</v>
      </c>
      <c r="AD97" s="951" t="s">
        <v>1844</v>
      </c>
      <c r="AE97" s="1545"/>
    </row>
    <row r="98" spans="1:31" ht="38.25" customHeight="1" x14ac:dyDescent="0.25">
      <c r="A98" s="1632" t="s">
        <v>2724</v>
      </c>
      <c r="B98" s="1074" t="s">
        <v>557</v>
      </c>
      <c r="C98" s="1060" t="s">
        <v>2647</v>
      </c>
      <c r="D98" s="805">
        <v>0.45</v>
      </c>
      <c r="E98" s="805">
        <v>0.48</v>
      </c>
      <c r="F98" s="805">
        <v>0.63</v>
      </c>
      <c r="G98" s="1237">
        <f>'15Restaura'!D8</f>
        <v>1.0738396624472575</v>
      </c>
      <c r="H98" s="1261"/>
      <c r="I98" s="1259">
        <f t="shared" si="26"/>
        <v>1</v>
      </c>
      <c r="J98" s="792">
        <f t="shared" si="27"/>
        <v>1</v>
      </c>
      <c r="K98" s="1403" t="s">
        <v>3406</v>
      </c>
      <c r="L98" s="781"/>
      <c r="M98" s="931">
        <v>1</v>
      </c>
      <c r="N98" s="1339">
        <f t="shared" si="14"/>
        <v>2.1838396624472574</v>
      </c>
      <c r="O98" s="1341">
        <f t="shared" si="15"/>
        <v>1</v>
      </c>
      <c r="P98" s="1538">
        <f t="shared" si="33"/>
        <v>8.0000000000000002E-3</v>
      </c>
      <c r="Q98" s="1551">
        <f t="shared" si="34"/>
        <v>811447295.92200005</v>
      </c>
      <c r="R98" s="1551">
        <f t="shared" si="35"/>
        <v>516731057.46600002</v>
      </c>
      <c r="S98" s="783"/>
      <c r="T98" s="784"/>
      <c r="U98" s="783"/>
      <c r="V98" s="784"/>
      <c r="W98" s="784"/>
      <c r="X98" s="784"/>
      <c r="Y98" s="783"/>
      <c r="Z98" s="783"/>
      <c r="AA98" s="783"/>
      <c r="AB98" s="708"/>
      <c r="AC98" s="1347" t="s">
        <v>1836</v>
      </c>
      <c r="AD98" s="951" t="s">
        <v>557</v>
      </c>
      <c r="AE98" s="1545"/>
    </row>
    <row r="99" spans="1:31" ht="38.25" x14ac:dyDescent="0.25">
      <c r="A99" s="1633"/>
      <c r="B99" s="1392" t="s">
        <v>2978</v>
      </c>
      <c r="C99" s="1083" t="s">
        <v>2725</v>
      </c>
      <c r="D99" s="867">
        <v>150</v>
      </c>
      <c r="E99" s="867">
        <v>0</v>
      </c>
      <c r="F99" s="867">
        <v>150</v>
      </c>
      <c r="G99" s="1261">
        <v>0</v>
      </c>
      <c r="H99" s="1261"/>
      <c r="I99" s="1259">
        <f t="shared" si="26"/>
        <v>1</v>
      </c>
      <c r="J99" s="792" t="e">
        <f t="shared" si="27"/>
        <v>#DIV/0!</v>
      </c>
      <c r="K99" s="1403"/>
      <c r="L99" s="781"/>
      <c r="M99" s="877">
        <v>600</v>
      </c>
      <c r="N99" s="1339">
        <f t="shared" si="14"/>
        <v>150</v>
      </c>
      <c r="O99" s="1341">
        <f t="shared" si="15"/>
        <v>0.25</v>
      </c>
      <c r="P99" s="1540"/>
      <c r="Q99" s="1553"/>
      <c r="R99" s="1553"/>
      <c r="S99" s="783"/>
      <c r="T99" s="784"/>
      <c r="U99" s="783"/>
      <c r="V99" s="784"/>
      <c r="W99" s="784"/>
      <c r="X99" s="784"/>
      <c r="Y99" s="783"/>
      <c r="Z99" s="783"/>
      <c r="AA99" s="783"/>
      <c r="AB99" s="708"/>
      <c r="AC99" s="1347" t="s">
        <v>1836</v>
      </c>
      <c r="AD99" s="951" t="s">
        <v>1844</v>
      </c>
      <c r="AE99" s="1545"/>
    </row>
    <row r="100" spans="1:31" ht="60" customHeight="1" x14ac:dyDescent="0.25">
      <c r="A100" s="1634"/>
      <c r="B100" s="1392" t="s">
        <v>2979</v>
      </c>
      <c r="C100" s="1060" t="s">
        <v>2660</v>
      </c>
      <c r="D100" s="867">
        <v>260</v>
      </c>
      <c r="E100" s="867">
        <v>29</v>
      </c>
      <c r="F100" s="867">
        <v>260</v>
      </c>
      <c r="G100" s="1261">
        <v>32</v>
      </c>
      <c r="H100" s="1261"/>
      <c r="I100" s="1259">
        <f t="shared" si="26"/>
        <v>1</v>
      </c>
      <c r="J100" s="792">
        <f t="shared" si="27"/>
        <v>1</v>
      </c>
      <c r="K100" s="1403" t="s">
        <v>3407</v>
      </c>
      <c r="L100" s="781"/>
      <c r="M100" s="877">
        <v>592</v>
      </c>
      <c r="N100" s="1339">
        <f t="shared" si="14"/>
        <v>321</v>
      </c>
      <c r="O100" s="1341">
        <f t="shared" si="15"/>
        <v>0.54222972972972971</v>
      </c>
      <c r="P100" s="1539"/>
      <c r="Q100" s="1552"/>
      <c r="R100" s="1552"/>
      <c r="S100" s="783"/>
      <c r="T100" s="784"/>
      <c r="U100" s="783"/>
      <c r="V100" s="784"/>
      <c r="W100" s="784"/>
      <c r="X100" s="784"/>
      <c r="Y100" s="783"/>
      <c r="Z100" s="783"/>
      <c r="AA100" s="783"/>
      <c r="AB100" s="708"/>
      <c r="AC100" s="1347" t="s">
        <v>1836</v>
      </c>
      <c r="AD100" s="951" t="s">
        <v>1844</v>
      </c>
      <c r="AE100" s="1545"/>
    </row>
    <row r="101" spans="1:31" ht="113.25" customHeight="1" x14ac:dyDescent="0.25">
      <c r="A101" s="1082" t="s">
        <v>2726</v>
      </c>
      <c r="B101" s="1076" t="s">
        <v>329</v>
      </c>
      <c r="C101" s="856" t="s">
        <v>2647</v>
      </c>
      <c r="D101" s="805">
        <v>0</v>
      </c>
      <c r="E101" s="805">
        <v>0</v>
      </c>
      <c r="F101" s="867">
        <v>0</v>
      </c>
      <c r="G101" s="1261">
        <f>+'8Suelo'!D8</f>
        <v>0</v>
      </c>
      <c r="H101" s="1261"/>
      <c r="I101" s="1259" t="e">
        <f t="shared" si="26"/>
        <v>#DIV/0!</v>
      </c>
      <c r="J101" s="792" t="e">
        <f t="shared" si="27"/>
        <v>#DIV/0!</v>
      </c>
      <c r="K101" s="781" t="s">
        <v>3408</v>
      </c>
      <c r="L101" s="781"/>
      <c r="M101" s="931">
        <v>1</v>
      </c>
      <c r="N101" s="1339">
        <f t="shared" si="14"/>
        <v>0</v>
      </c>
      <c r="O101" s="1341">
        <f t="shared" si="15"/>
        <v>0</v>
      </c>
      <c r="P101" s="716">
        <f t="shared" si="33"/>
        <v>8.0000000000000002E-3</v>
      </c>
      <c r="Q101" s="1327">
        <f t="shared" si="34"/>
        <v>811447295.92200005</v>
      </c>
      <c r="R101" s="1328">
        <f t="shared" si="35"/>
        <v>516731057.46600002</v>
      </c>
      <c r="S101" s="783"/>
      <c r="T101" s="784"/>
      <c r="U101" s="783"/>
      <c r="V101" s="784"/>
      <c r="W101" s="784"/>
      <c r="X101" s="784"/>
      <c r="Y101" s="783"/>
      <c r="Z101" s="783"/>
      <c r="AA101" s="783"/>
      <c r="AB101" s="708"/>
      <c r="AC101" s="1347" t="s">
        <v>1836</v>
      </c>
      <c r="AD101" s="951" t="s">
        <v>314</v>
      </c>
      <c r="AE101" s="1545"/>
    </row>
    <row r="102" spans="1:31" ht="46.5" customHeight="1" x14ac:dyDescent="0.25">
      <c r="A102" s="1622" t="s">
        <v>2727</v>
      </c>
      <c r="B102" s="1078" t="s">
        <v>2980</v>
      </c>
      <c r="C102" s="875" t="s">
        <v>2725</v>
      </c>
      <c r="D102" s="867">
        <v>0</v>
      </c>
      <c r="E102" s="867">
        <v>33</v>
      </c>
      <c r="F102" s="867">
        <v>0</v>
      </c>
      <c r="G102" s="1261">
        <v>39</v>
      </c>
      <c r="H102" s="1261"/>
      <c r="I102" s="1259" t="e">
        <f t="shared" si="26"/>
        <v>#DIV/0!</v>
      </c>
      <c r="J102" s="792">
        <f t="shared" si="27"/>
        <v>1</v>
      </c>
      <c r="K102" s="781" t="s">
        <v>3409</v>
      </c>
      <c r="L102" s="781"/>
      <c r="M102" s="877">
        <v>100</v>
      </c>
      <c r="N102" s="1339">
        <f t="shared" si="14"/>
        <v>72</v>
      </c>
      <c r="O102" s="1341">
        <f t="shared" si="15"/>
        <v>0.72</v>
      </c>
      <c r="P102" s="1538">
        <f t="shared" si="33"/>
        <v>8.0000000000000002E-3</v>
      </c>
      <c r="Q102" s="1551">
        <f t="shared" si="34"/>
        <v>811447295.92200005</v>
      </c>
      <c r="R102" s="1551">
        <f t="shared" si="35"/>
        <v>516731057.46600002</v>
      </c>
      <c r="S102" s="783"/>
      <c r="T102" s="784"/>
      <c r="U102" s="783"/>
      <c r="V102" s="784"/>
      <c r="W102" s="784"/>
      <c r="X102" s="784"/>
      <c r="Y102" s="783"/>
      <c r="Z102" s="783"/>
      <c r="AA102" s="783"/>
      <c r="AB102" s="708"/>
      <c r="AC102" s="1347" t="s">
        <v>1836</v>
      </c>
      <c r="AD102" s="951" t="s">
        <v>1844</v>
      </c>
      <c r="AE102" s="1545"/>
    </row>
    <row r="103" spans="1:31" ht="34.5" customHeight="1" x14ac:dyDescent="0.25">
      <c r="A103" s="1622"/>
      <c r="B103" s="1084" t="s">
        <v>2981</v>
      </c>
      <c r="C103" s="1060" t="s">
        <v>2660</v>
      </c>
      <c r="D103" s="867">
        <v>0</v>
      </c>
      <c r="E103" s="867">
        <v>1</v>
      </c>
      <c r="F103" s="867">
        <v>0</v>
      </c>
      <c r="G103" s="1261">
        <v>1</v>
      </c>
      <c r="H103" s="1261"/>
      <c r="I103" s="1259" t="e">
        <f t="shared" si="26"/>
        <v>#DIV/0!</v>
      </c>
      <c r="J103" s="792">
        <f t="shared" si="27"/>
        <v>1</v>
      </c>
      <c r="K103" s="781"/>
      <c r="L103" s="781"/>
      <c r="M103" s="877">
        <v>3</v>
      </c>
      <c r="N103" s="1339">
        <f t="shared" si="14"/>
        <v>2</v>
      </c>
      <c r="O103" s="1341">
        <f t="shared" si="15"/>
        <v>0.66666666666666663</v>
      </c>
      <c r="P103" s="1539"/>
      <c r="Q103" s="1552"/>
      <c r="R103" s="1552"/>
      <c r="S103" s="783"/>
      <c r="T103" s="784"/>
      <c r="U103" s="783"/>
      <c r="V103" s="784"/>
      <c r="W103" s="784"/>
      <c r="X103" s="784"/>
      <c r="Y103" s="783"/>
      <c r="Z103" s="783"/>
      <c r="AA103" s="783"/>
      <c r="AB103" s="708"/>
      <c r="AC103" s="1347" t="s">
        <v>1836</v>
      </c>
      <c r="AD103" s="951" t="s">
        <v>1844</v>
      </c>
      <c r="AE103" s="1545"/>
    </row>
    <row r="104" spans="1:31" ht="115.5" thickBot="1" x14ac:dyDescent="0.3">
      <c r="A104" s="1085" t="s">
        <v>2728</v>
      </c>
      <c r="B104" s="1078" t="s">
        <v>2982</v>
      </c>
      <c r="C104" s="856" t="s">
        <v>2660</v>
      </c>
      <c r="D104" s="867">
        <v>0</v>
      </c>
      <c r="E104" s="867">
        <v>1</v>
      </c>
      <c r="F104" s="867">
        <v>0</v>
      </c>
      <c r="G104" s="1533">
        <v>1</v>
      </c>
      <c r="H104" s="1305"/>
      <c r="I104" s="1306" t="e">
        <f t="shared" si="26"/>
        <v>#DIV/0!</v>
      </c>
      <c r="J104" s="805">
        <f t="shared" si="27"/>
        <v>1</v>
      </c>
      <c r="K104" s="781" t="s">
        <v>3410</v>
      </c>
      <c r="L104" s="781"/>
      <c r="M104" s="933">
        <v>1</v>
      </c>
      <c r="N104" s="1339">
        <f t="shared" si="14"/>
        <v>2</v>
      </c>
      <c r="O104" s="1341">
        <f t="shared" si="15"/>
        <v>1</v>
      </c>
      <c r="P104" s="716">
        <f>10%*$P$90</f>
        <v>8.0000000000000002E-3</v>
      </c>
      <c r="Q104" s="1327">
        <f t="shared" si="34"/>
        <v>811447295.92200005</v>
      </c>
      <c r="R104" s="1328">
        <f t="shared" si="35"/>
        <v>516731057.46600002</v>
      </c>
      <c r="S104" s="783"/>
      <c r="T104" s="784"/>
      <c r="U104" s="783"/>
      <c r="V104" s="784"/>
      <c r="W104" s="784"/>
      <c r="X104" s="784"/>
      <c r="Y104" s="783"/>
      <c r="Z104" s="783"/>
      <c r="AA104" s="783"/>
      <c r="AB104" s="708"/>
      <c r="AC104" s="1347" t="s">
        <v>1836</v>
      </c>
      <c r="AD104" s="951" t="s">
        <v>1844</v>
      </c>
      <c r="AE104" s="1546"/>
    </row>
    <row r="105" spans="1:31" ht="15.75" customHeight="1" thickBot="1" x14ac:dyDescent="0.3">
      <c r="A105" s="1639" t="s">
        <v>2837</v>
      </c>
      <c r="B105" s="1650"/>
      <c r="C105" s="915"/>
      <c r="D105" s="915"/>
      <c r="E105" s="915"/>
      <c r="F105" s="915"/>
      <c r="G105" s="1307"/>
      <c r="H105" s="1297"/>
      <c r="I105" s="1250">
        <v>1</v>
      </c>
      <c r="J105" s="1271">
        <f>+(J106+J109+J110+J111+J112)/5</f>
        <v>1</v>
      </c>
      <c r="K105" s="781"/>
      <c r="L105" s="781"/>
      <c r="M105" s="934"/>
      <c r="N105" s="1339">
        <f t="shared" ref="N105:N168" si="36">SUM(E105:G105)</f>
        <v>0</v>
      </c>
      <c r="O105" s="1341" t="e">
        <f t="shared" ref="O105:O168" si="37">IF(N105/M105&gt;=100%,100%,N105/M105)</f>
        <v>#DIV/0!</v>
      </c>
      <c r="P105" s="1184">
        <v>7.0000000000000007E-2</v>
      </c>
      <c r="Q105" s="1325">
        <f>'informe Gastos'!AC78</f>
        <v>222564982</v>
      </c>
      <c r="R105" s="1325">
        <f>'informe Gastos'!AD78</f>
        <v>155439880</v>
      </c>
      <c r="S105" s="1332">
        <f>+R105/Q105</f>
        <v>0.69840223112906419</v>
      </c>
      <c r="T105" s="1325">
        <f>'informe Gastos'!AE78</f>
        <v>155439880</v>
      </c>
      <c r="U105" s="1332">
        <f>+T105/R105</f>
        <v>1</v>
      </c>
      <c r="V105" s="729">
        <f t="shared" ref="V105" si="38">+R105-T105</f>
        <v>0</v>
      </c>
      <c r="W105" s="784"/>
      <c r="X105" s="784"/>
      <c r="Y105" s="783">
        <f>(218062198+152865650+240415000+253878000)+1099429549-10000000+79699332</f>
        <v>2034349729</v>
      </c>
      <c r="Z105" s="783">
        <f>691967419+R105</f>
        <v>847407299</v>
      </c>
      <c r="AA105" s="766">
        <f>+Z105/Y105</f>
        <v>0.416549468815546</v>
      </c>
      <c r="AB105" s="957"/>
      <c r="AC105" s="1347"/>
      <c r="AD105" s="951"/>
      <c r="AE105" s="958"/>
    </row>
    <row r="106" spans="1:31" ht="53.25" customHeight="1" x14ac:dyDescent="0.25">
      <c r="A106" s="872" t="s">
        <v>2729</v>
      </c>
      <c r="B106" s="1651" t="s">
        <v>2983</v>
      </c>
      <c r="C106" s="1641" t="s">
        <v>2647</v>
      </c>
      <c r="D106" s="1635">
        <v>0.2</v>
      </c>
      <c r="E106" s="1635">
        <v>0.25</v>
      </c>
      <c r="F106" s="1635">
        <v>0.25</v>
      </c>
      <c r="G106" s="1635">
        <f>+'20Negoc'!D8</f>
        <v>0.99900000000000011</v>
      </c>
      <c r="H106" s="1648"/>
      <c r="I106" s="1617">
        <f t="shared" si="26"/>
        <v>1</v>
      </c>
      <c r="J106" s="1635">
        <f t="shared" si="27"/>
        <v>1</v>
      </c>
      <c r="K106" s="1090" t="s">
        <v>3411</v>
      </c>
      <c r="L106" s="781"/>
      <c r="M106" s="1619">
        <v>1</v>
      </c>
      <c r="N106" s="1339">
        <f t="shared" si="36"/>
        <v>1.4990000000000001</v>
      </c>
      <c r="O106" s="1341">
        <f t="shared" si="37"/>
        <v>1</v>
      </c>
      <c r="P106" s="716">
        <f>20%*$P$105</f>
        <v>1.4000000000000002E-2</v>
      </c>
      <c r="Q106" s="1327">
        <f>Q$105*P106/P$105</f>
        <v>44512996.400000006</v>
      </c>
      <c r="R106" s="1328">
        <f>R$105*P106/P$105</f>
        <v>31087976</v>
      </c>
      <c r="S106" s="783"/>
      <c r="T106" s="784"/>
      <c r="U106" s="783"/>
      <c r="V106" s="784"/>
      <c r="W106" s="784"/>
      <c r="X106" s="784"/>
      <c r="Y106" s="783"/>
      <c r="Z106" s="783"/>
      <c r="AA106" s="783"/>
      <c r="AB106" s="972"/>
      <c r="AC106" s="1347" t="s">
        <v>1835</v>
      </c>
      <c r="AD106" s="951" t="s">
        <v>1844</v>
      </c>
      <c r="AE106" s="1547" t="s">
        <v>3307</v>
      </c>
    </row>
    <row r="107" spans="1:31" ht="78" customHeight="1" x14ac:dyDescent="0.25">
      <c r="A107" s="876" t="s">
        <v>2730</v>
      </c>
      <c r="B107" s="1652"/>
      <c r="C107" s="1642"/>
      <c r="D107" s="1636"/>
      <c r="E107" s="1636"/>
      <c r="F107" s="1636"/>
      <c r="G107" s="1636"/>
      <c r="H107" s="1648"/>
      <c r="I107" s="1618"/>
      <c r="J107" s="1636"/>
      <c r="K107" s="1090" t="s">
        <v>3412</v>
      </c>
      <c r="L107" s="781"/>
      <c r="M107" s="1619"/>
      <c r="N107" s="1339">
        <f t="shared" si="36"/>
        <v>0</v>
      </c>
      <c r="O107" s="1341" t="e">
        <f t="shared" si="37"/>
        <v>#DIV/0!</v>
      </c>
      <c r="P107" s="716">
        <f>15%*$P$105</f>
        <v>1.0500000000000001E-2</v>
      </c>
      <c r="Q107" s="1327">
        <f t="shared" ref="Q107:Q111" si="39">Q$105*P107/P$105</f>
        <v>33384747.300000001</v>
      </c>
      <c r="R107" s="1328">
        <f t="shared" ref="R107:R111" si="40">R$105*P107/P$105</f>
        <v>23315981.999999996</v>
      </c>
      <c r="S107" s="783"/>
      <c r="T107" s="784"/>
      <c r="U107" s="783"/>
      <c r="V107" s="784"/>
      <c r="W107" s="784"/>
      <c r="X107" s="784"/>
      <c r="Y107" s="783"/>
      <c r="Z107" s="783"/>
      <c r="AA107" s="783"/>
      <c r="AB107" s="708"/>
      <c r="AC107" s="1347" t="s">
        <v>1835</v>
      </c>
      <c r="AD107" s="951" t="s">
        <v>1844</v>
      </c>
      <c r="AE107" s="1545"/>
    </row>
    <row r="108" spans="1:31" ht="59.25" customHeight="1" x14ac:dyDescent="0.25">
      <c r="A108" s="876" t="s">
        <v>2731</v>
      </c>
      <c r="B108" s="1653"/>
      <c r="C108" s="1642"/>
      <c r="D108" s="1636"/>
      <c r="E108" s="1636"/>
      <c r="F108" s="1636"/>
      <c r="G108" s="1636"/>
      <c r="H108" s="1649"/>
      <c r="I108" s="1618"/>
      <c r="J108" s="1636"/>
      <c r="K108" s="1090" t="s">
        <v>3413</v>
      </c>
      <c r="L108" s="781"/>
      <c r="M108" s="1620"/>
      <c r="N108" s="1339">
        <f t="shared" si="36"/>
        <v>0</v>
      </c>
      <c r="O108" s="1341" t="e">
        <f t="shared" si="37"/>
        <v>#DIV/0!</v>
      </c>
      <c r="P108" s="716">
        <f>30%*$P$105</f>
        <v>2.1000000000000001E-2</v>
      </c>
      <c r="Q108" s="1327">
        <f t="shared" si="39"/>
        <v>66769494.600000001</v>
      </c>
      <c r="R108" s="1328">
        <f t="shared" si="40"/>
        <v>46631963.999999993</v>
      </c>
      <c r="S108" s="783"/>
      <c r="T108" s="784"/>
      <c r="U108" s="783"/>
      <c r="V108" s="784"/>
      <c r="W108" s="784"/>
      <c r="X108" s="784"/>
      <c r="Y108" s="783"/>
      <c r="Z108" s="783"/>
      <c r="AA108" s="783"/>
      <c r="AB108" s="708"/>
      <c r="AC108" s="1347" t="s">
        <v>1835</v>
      </c>
      <c r="AD108" s="951" t="s">
        <v>1844</v>
      </c>
      <c r="AE108" s="1545"/>
    </row>
    <row r="109" spans="1:31" ht="80.25" customHeight="1" x14ac:dyDescent="0.25">
      <c r="A109" s="1666" t="s">
        <v>2732</v>
      </c>
      <c r="B109" s="1014" t="s">
        <v>2984</v>
      </c>
      <c r="C109" s="878" t="s">
        <v>2733</v>
      </c>
      <c r="D109" s="1042">
        <v>130</v>
      </c>
      <c r="E109" s="1042">
        <v>63</v>
      </c>
      <c r="F109" s="1042">
        <v>130</v>
      </c>
      <c r="G109" s="1261">
        <v>63</v>
      </c>
      <c r="H109" s="1261"/>
      <c r="I109" s="1235">
        <f t="shared" si="26"/>
        <v>1</v>
      </c>
      <c r="J109" s="1237">
        <f t="shared" si="27"/>
        <v>1</v>
      </c>
      <c r="K109" s="1090" t="s">
        <v>3414</v>
      </c>
      <c r="L109" s="781"/>
      <c r="M109" s="877">
        <v>340</v>
      </c>
      <c r="N109" s="1339">
        <f t="shared" si="36"/>
        <v>256</v>
      </c>
      <c r="O109" s="1341">
        <f t="shared" si="37"/>
        <v>0.75294117647058822</v>
      </c>
      <c r="P109" s="1538">
        <f>15%*$P$105</f>
        <v>1.0500000000000001E-2</v>
      </c>
      <c r="Q109" s="1551">
        <f t="shared" si="39"/>
        <v>33384747.300000001</v>
      </c>
      <c r="R109" s="1551">
        <f t="shared" si="40"/>
        <v>23315981.999999996</v>
      </c>
      <c r="S109" s="783"/>
      <c r="T109" s="784"/>
      <c r="U109" s="783"/>
      <c r="V109" s="784"/>
      <c r="W109" s="784"/>
      <c r="X109" s="784"/>
      <c r="Y109" s="783"/>
      <c r="Z109" s="783"/>
      <c r="AA109" s="783"/>
      <c r="AB109" s="708"/>
      <c r="AC109" s="1347" t="s">
        <v>1835</v>
      </c>
      <c r="AD109" s="951" t="s">
        <v>1844</v>
      </c>
      <c r="AE109" s="1545"/>
    </row>
    <row r="110" spans="1:31" ht="47.25" customHeight="1" x14ac:dyDescent="0.25">
      <c r="A110" s="1671"/>
      <c r="B110" s="1014" t="s">
        <v>2985</v>
      </c>
      <c r="C110" s="878" t="s">
        <v>2660</v>
      </c>
      <c r="D110" s="1042">
        <v>0</v>
      </c>
      <c r="E110" s="1042">
        <v>1</v>
      </c>
      <c r="F110" s="1042">
        <v>0</v>
      </c>
      <c r="G110" s="1261">
        <v>1</v>
      </c>
      <c r="H110" s="1261"/>
      <c r="I110" s="1235" t="e">
        <f t="shared" si="26"/>
        <v>#DIV/0!</v>
      </c>
      <c r="J110" s="1237">
        <f t="shared" si="27"/>
        <v>1</v>
      </c>
      <c r="K110" s="1090" t="s">
        <v>3415</v>
      </c>
      <c r="L110" s="781"/>
      <c r="M110" s="877">
        <v>3</v>
      </c>
      <c r="N110" s="1339">
        <f t="shared" si="36"/>
        <v>2</v>
      </c>
      <c r="O110" s="1341">
        <f t="shared" si="37"/>
        <v>0.66666666666666663</v>
      </c>
      <c r="P110" s="1539"/>
      <c r="Q110" s="1552"/>
      <c r="R110" s="1552"/>
      <c r="S110" s="783"/>
      <c r="T110" s="784"/>
      <c r="U110" s="783"/>
      <c r="V110" s="784"/>
      <c r="W110" s="784"/>
      <c r="X110" s="784"/>
      <c r="Y110" s="783"/>
      <c r="Z110" s="783"/>
      <c r="AA110" s="783"/>
      <c r="AB110" s="708"/>
      <c r="AC110" s="1347" t="s">
        <v>1835</v>
      </c>
      <c r="AD110" s="951" t="s">
        <v>1844</v>
      </c>
      <c r="AE110" s="1545"/>
    </row>
    <row r="111" spans="1:31" ht="128.25" customHeight="1" x14ac:dyDescent="0.25">
      <c r="A111" s="1665" t="s">
        <v>2734</v>
      </c>
      <c r="B111" s="1008" t="s">
        <v>2986</v>
      </c>
      <c r="C111" s="878" t="s">
        <v>2660</v>
      </c>
      <c r="D111" s="1042">
        <v>9</v>
      </c>
      <c r="E111" s="1042">
        <v>22</v>
      </c>
      <c r="F111" s="1042">
        <v>9</v>
      </c>
      <c r="G111" s="1261">
        <v>26</v>
      </c>
      <c r="H111" s="1261"/>
      <c r="I111" s="1235">
        <f t="shared" si="26"/>
        <v>1</v>
      </c>
      <c r="J111" s="1237">
        <f t="shared" si="27"/>
        <v>1</v>
      </c>
      <c r="K111" s="1405" t="s">
        <v>3416</v>
      </c>
      <c r="L111" s="781"/>
      <c r="M111" s="877">
        <v>50</v>
      </c>
      <c r="N111" s="1339">
        <f t="shared" si="36"/>
        <v>57</v>
      </c>
      <c r="O111" s="1341">
        <f t="shared" si="37"/>
        <v>1</v>
      </c>
      <c r="P111" s="1538">
        <f>20%*$P$105</f>
        <v>1.4000000000000002E-2</v>
      </c>
      <c r="Q111" s="1551">
        <f t="shared" si="39"/>
        <v>44512996.400000006</v>
      </c>
      <c r="R111" s="1551">
        <f t="shared" si="40"/>
        <v>31087976</v>
      </c>
      <c r="S111" s="783"/>
      <c r="T111" s="784"/>
      <c r="U111" s="783"/>
      <c r="V111" s="784"/>
      <c r="W111" s="784"/>
      <c r="X111" s="784"/>
      <c r="Y111" s="783"/>
      <c r="Z111" s="783"/>
      <c r="AA111" s="783"/>
      <c r="AB111" s="708"/>
      <c r="AC111" s="1347" t="s">
        <v>1835</v>
      </c>
      <c r="AD111" s="951" t="s">
        <v>1844</v>
      </c>
      <c r="AE111" s="1545"/>
    </row>
    <row r="112" spans="1:31" ht="139.5" customHeight="1" thickBot="1" x14ac:dyDescent="0.3">
      <c r="A112" s="1666"/>
      <c r="B112" s="1009" t="s">
        <v>2987</v>
      </c>
      <c r="C112" s="878" t="s">
        <v>2647</v>
      </c>
      <c r="D112" s="1042">
        <v>18</v>
      </c>
      <c r="E112" s="1042">
        <v>44</v>
      </c>
      <c r="F112" s="1042">
        <v>18</v>
      </c>
      <c r="G112" s="1261">
        <v>74</v>
      </c>
      <c r="H112" s="1261"/>
      <c r="I112" s="1235">
        <f t="shared" si="26"/>
        <v>1</v>
      </c>
      <c r="J112" s="1237">
        <f t="shared" si="27"/>
        <v>1</v>
      </c>
      <c r="K112" s="1405" t="s">
        <v>3417</v>
      </c>
      <c r="L112" s="781"/>
      <c r="M112" s="935">
        <v>1</v>
      </c>
      <c r="N112" s="1339">
        <f t="shared" si="36"/>
        <v>136</v>
      </c>
      <c r="O112" s="1341">
        <f t="shared" si="37"/>
        <v>1</v>
      </c>
      <c r="P112" s="1539"/>
      <c r="Q112" s="1552"/>
      <c r="R112" s="1552"/>
      <c r="S112" s="783"/>
      <c r="T112" s="784"/>
      <c r="U112" s="783"/>
      <c r="V112" s="784"/>
      <c r="W112" s="784"/>
      <c r="X112" s="784"/>
      <c r="Y112" s="783"/>
      <c r="Z112" s="783"/>
      <c r="AA112" s="783"/>
      <c r="AB112" s="708"/>
      <c r="AC112" s="1347" t="s">
        <v>1835</v>
      </c>
      <c r="AD112" s="951" t="s">
        <v>1844</v>
      </c>
      <c r="AE112" s="1546"/>
    </row>
    <row r="113" spans="1:31" ht="15.75" customHeight="1" thickBot="1" x14ac:dyDescent="0.3">
      <c r="A113" s="1629" t="s">
        <v>2735</v>
      </c>
      <c r="B113" s="1630"/>
      <c r="C113" s="1042"/>
      <c r="D113" s="1042"/>
      <c r="E113" s="1042"/>
      <c r="F113" s="1042"/>
      <c r="G113" s="1261"/>
      <c r="H113" s="1261"/>
      <c r="I113" s="1188">
        <f>SUM(I114+I131)/2</f>
        <v>1</v>
      </c>
      <c r="J113" s="1188">
        <f>SUM(J114+J131)/2</f>
        <v>1</v>
      </c>
      <c r="K113" s="1090"/>
      <c r="L113" s="781"/>
      <c r="M113" s="934"/>
      <c r="N113" s="1339">
        <f t="shared" si="36"/>
        <v>0</v>
      </c>
      <c r="O113" s="1341" t="e">
        <f t="shared" si="37"/>
        <v>#DIV/0!</v>
      </c>
      <c r="P113" s="1184">
        <f>+P114+P131</f>
        <v>0.12000000000000001</v>
      </c>
      <c r="Q113" s="1326">
        <f>+Q114+Q131</f>
        <v>1507894488.5</v>
      </c>
      <c r="R113" s="1326">
        <f>+R114+R131</f>
        <v>598519692.98000002</v>
      </c>
      <c r="S113" s="1337">
        <f>+R113/Q113</f>
        <v>0.39692412005258154</v>
      </c>
      <c r="T113" s="1326">
        <f>+T114+T131</f>
        <v>435064946.24000001</v>
      </c>
      <c r="U113" s="1332">
        <f>+T113/R113</f>
        <v>0.72690163973357858</v>
      </c>
      <c r="V113" s="729">
        <f t="shared" ref="V113:V114" si="41">+R113-T113</f>
        <v>163454746.74000001</v>
      </c>
      <c r="W113" s="784"/>
      <c r="X113" s="784"/>
      <c r="Y113" s="1326">
        <f>+Y114+Y131</f>
        <v>4458057890.5</v>
      </c>
      <c r="Z113" s="1326">
        <f>+Z114+Z131</f>
        <v>1472850207.48</v>
      </c>
      <c r="AA113" s="766">
        <f>+Z113/Y113</f>
        <v>0.33037933639637201</v>
      </c>
      <c r="AB113" s="957"/>
      <c r="AC113" s="1347"/>
      <c r="AD113" s="951"/>
      <c r="AE113" s="958"/>
    </row>
    <row r="114" spans="1:31" ht="15.75" customHeight="1" thickBot="1" x14ac:dyDescent="0.3">
      <c r="A114" s="1639" t="s">
        <v>2838</v>
      </c>
      <c r="B114" s="1640"/>
      <c r="C114" s="1042"/>
      <c r="D114" s="1042"/>
      <c r="E114" s="1042"/>
      <c r="F114" s="1042"/>
      <c r="G114" s="1261"/>
      <c r="H114" s="1261"/>
      <c r="I114" s="1308">
        <v>1</v>
      </c>
      <c r="J114" s="1237">
        <f>+(J115+J116+J117+J118+J119+J120+J122+J123+J124+J125+J126+J127+J128+J130)/14</f>
        <v>1</v>
      </c>
      <c r="K114" s="1090"/>
      <c r="L114" s="781"/>
      <c r="M114" s="936"/>
      <c r="N114" s="1339">
        <f t="shared" si="36"/>
        <v>0</v>
      </c>
      <c r="O114" s="1341" t="e">
        <f t="shared" si="37"/>
        <v>#DIV/0!</v>
      </c>
      <c r="P114" s="1184">
        <v>7.0000000000000007E-2</v>
      </c>
      <c r="Q114" s="1325">
        <f>'informe Gastos'!AC82</f>
        <v>641806063</v>
      </c>
      <c r="R114" s="1325">
        <f>'informe Gastos'!AD82</f>
        <v>320857356</v>
      </c>
      <c r="S114" s="1332">
        <f>+R114/Q114</f>
        <v>0.4999288328630202</v>
      </c>
      <c r="T114" s="1325">
        <f>'informe Gastos'!AE82</f>
        <v>257581645</v>
      </c>
      <c r="U114" s="1332">
        <f>+T114/R114</f>
        <v>0.80279177080795994</v>
      </c>
      <c r="V114" s="729">
        <f t="shared" si="41"/>
        <v>63275711</v>
      </c>
      <c r="W114" s="784"/>
      <c r="X114" s="784"/>
      <c r="Y114" s="783">
        <f>(489297299+649504484+539452000+569661200)+43642421-51000000</f>
        <v>2240557404</v>
      </c>
      <c r="Z114" s="783">
        <f>318879090+R114</f>
        <v>639736446</v>
      </c>
      <c r="AA114" s="766">
        <f>+Z114/Y114</f>
        <v>0.28552557718802368</v>
      </c>
      <c r="AB114" s="962"/>
      <c r="AC114" s="1347"/>
      <c r="AD114" s="951"/>
      <c r="AE114" s="963"/>
    </row>
    <row r="115" spans="1:31" ht="99.75" customHeight="1" x14ac:dyDescent="0.25">
      <c r="A115" s="882" t="s">
        <v>2736</v>
      </c>
      <c r="B115" s="882" t="s">
        <v>2988</v>
      </c>
      <c r="C115" s="883" t="s">
        <v>2660</v>
      </c>
      <c r="D115" s="886">
        <v>1</v>
      </c>
      <c r="E115" s="1042">
        <v>4</v>
      </c>
      <c r="F115" s="1042">
        <v>1</v>
      </c>
      <c r="G115" s="1261">
        <v>5</v>
      </c>
      <c r="H115" s="1261"/>
      <c r="I115" s="1235">
        <f t="shared" si="26"/>
        <v>1</v>
      </c>
      <c r="J115" s="1237">
        <f t="shared" si="27"/>
        <v>1</v>
      </c>
      <c r="K115" s="1090" t="s">
        <v>3418</v>
      </c>
      <c r="L115" s="781"/>
      <c r="M115" s="937">
        <v>15</v>
      </c>
      <c r="N115" s="1339">
        <f t="shared" si="36"/>
        <v>10</v>
      </c>
      <c r="O115" s="1341">
        <f t="shared" si="37"/>
        <v>0.66666666666666663</v>
      </c>
      <c r="P115" s="716">
        <f>10%*$P$114</f>
        <v>7.000000000000001E-3</v>
      </c>
      <c r="Q115" s="1327">
        <f>Q$114*P115/P$114</f>
        <v>64180606.300000004</v>
      </c>
      <c r="R115" s="1328">
        <f>R$114*P115/P$114</f>
        <v>32085735.600000005</v>
      </c>
      <c r="S115" s="783"/>
      <c r="T115" s="784"/>
      <c r="U115" s="783"/>
      <c r="V115" s="784"/>
      <c r="W115" s="784"/>
      <c r="X115" s="784"/>
      <c r="Y115" s="783"/>
      <c r="Z115" s="783"/>
      <c r="AA115" s="783"/>
      <c r="AB115" s="972"/>
      <c r="AC115" s="1347" t="s">
        <v>1835</v>
      </c>
      <c r="AD115" s="951" t="s">
        <v>700</v>
      </c>
      <c r="AE115" s="1548" t="s">
        <v>3308</v>
      </c>
    </row>
    <row r="116" spans="1:31" ht="66" customHeight="1" x14ac:dyDescent="0.25">
      <c r="A116" s="885" t="s">
        <v>2737</v>
      </c>
      <c r="B116" s="885" t="s">
        <v>2989</v>
      </c>
      <c r="C116" s="878" t="s">
        <v>2660</v>
      </c>
      <c r="D116" s="886">
        <v>0</v>
      </c>
      <c r="E116" s="1042">
        <v>2</v>
      </c>
      <c r="F116" s="1042">
        <v>0</v>
      </c>
      <c r="G116" s="1261">
        <v>2</v>
      </c>
      <c r="H116" s="1261"/>
      <c r="I116" s="1235" t="e">
        <f t="shared" si="26"/>
        <v>#DIV/0!</v>
      </c>
      <c r="J116" s="1237">
        <f t="shared" si="27"/>
        <v>1</v>
      </c>
      <c r="K116" s="1090" t="s">
        <v>3419</v>
      </c>
      <c r="L116" s="781"/>
      <c r="M116" s="889">
        <v>3</v>
      </c>
      <c r="N116" s="1339">
        <f t="shared" si="36"/>
        <v>4</v>
      </c>
      <c r="O116" s="1341">
        <f t="shared" si="37"/>
        <v>1</v>
      </c>
      <c r="P116" s="716">
        <f>3%*$P$114</f>
        <v>2.1000000000000003E-3</v>
      </c>
      <c r="Q116" s="1327">
        <f t="shared" ref="Q116:Q130" si="42">Q$114*P116/P$114</f>
        <v>19254181.890000001</v>
      </c>
      <c r="R116" s="1328">
        <f t="shared" ref="R116:R142" si="43">R$114*P116/P$114</f>
        <v>9625720.6799999997</v>
      </c>
      <c r="S116" s="783"/>
      <c r="T116" s="784"/>
      <c r="U116" s="783"/>
      <c r="V116" s="784"/>
      <c r="W116" s="784"/>
      <c r="X116" s="784"/>
      <c r="Y116" s="783"/>
      <c r="Z116" s="783"/>
      <c r="AA116" s="783"/>
      <c r="AB116" s="708"/>
      <c r="AC116" s="1347" t="s">
        <v>1835</v>
      </c>
      <c r="AD116" s="951" t="s">
        <v>700</v>
      </c>
      <c r="AE116" s="1549"/>
    </row>
    <row r="117" spans="1:31" ht="96.75" customHeight="1" x14ac:dyDescent="0.25">
      <c r="A117" s="885" t="s">
        <v>2738</v>
      </c>
      <c r="B117" s="885" t="s">
        <v>2990</v>
      </c>
      <c r="C117" s="878" t="s">
        <v>2660</v>
      </c>
      <c r="D117" s="886">
        <v>0</v>
      </c>
      <c r="E117" s="1042">
        <v>3</v>
      </c>
      <c r="F117" s="1042">
        <v>0</v>
      </c>
      <c r="G117" s="1261">
        <v>3</v>
      </c>
      <c r="H117" s="1261"/>
      <c r="I117" s="1235" t="e">
        <f t="shared" si="26"/>
        <v>#DIV/0!</v>
      </c>
      <c r="J117" s="1237">
        <f t="shared" si="27"/>
        <v>1</v>
      </c>
      <c r="K117" s="1090" t="s">
        <v>3420</v>
      </c>
      <c r="L117" s="781"/>
      <c r="M117" s="889">
        <v>6</v>
      </c>
      <c r="N117" s="1339">
        <f t="shared" si="36"/>
        <v>6</v>
      </c>
      <c r="O117" s="1341">
        <f t="shared" si="37"/>
        <v>1</v>
      </c>
      <c r="P117" s="716">
        <f>5%*$P$114</f>
        <v>3.5000000000000005E-3</v>
      </c>
      <c r="Q117" s="1327">
        <f t="shared" si="42"/>
        <v>32090303.150000002</v>
      </c>
      <c r="R117" s="1328">
        <f t="shared" si="43"/>
        <v>16042867.800000003</v>
      </c>
      <c r="S117" s="783"/>
      <c r="T117" s="784"/>
      <c r="U117" s="783"/>
      <c r="V117" s="784"/>
      <c r="W117" s="784"/>
      <c r="X117" s="784"/>
      <c r="Y117" s="783"/>
      <c r="Z117" s="783"/>
      <c r="AA117" s="783"/>
      <c r="AB117" s="708"/>
      <c r="AC117" s="1347" t="s">
        <v>1835</v>
      </c>
      <c r="AD117" s="951" t="s">
        <v>700</v>
      </c>
      <c r="AE117" s="1549"/>
    </row>
    <row r="118" spans="1:31" ht="70.5" customHeight="1" x14ac:dyDescent="0.25">
      <c r="A118" s="887" t="s">
        <v>2739</v>
      </c>
      <c r="B118" s="887" t="s">
        <v>2991</v>
      </c>
      <c r="C118" s="878" t="s">
        <v>2660</v>
      </c>
      <c r="D118" s="888">
        <v>3</v>
      </c>
      <c r="E118" s="1042">
        <v>5</v>
      </c>
      <c r="F118" s="1042">
        <v>3</v>
      </c>
      <c r="G118" s="1261">
        <v>5</v>
      </c>
      <c r="H118" s="1261"/>
      <c r="I118" s="1235">
        <f t="shared" si="26"/>
        <v>1</v>
      </c>
      <c r="J118" s="1237">
        <f t="shared" si="27"/>
        <v>1</v>
      </c>
      <c r="K118" s="1091" t="s">
        <v>3421</v>
      </c>
      <c r="L118" s="1090"/>
      <c r="M118" s="889">
        <v>15</v>
      </c>
      <c r="N118" s="1339">
        <f t="shared" si="36"/>
        <v>13</v>
      </c>
      <c r="O118" s="1341">
        <f t="shared" si="37"/>
        <v>0.8666666666666667</v>
      </c>
      <c r="P118" s="716">
        <f>8%*$P$114</f>
        <v>5.6000000000000008E-3</v>
      </c>
      <c r="Q118" s="1327">
        <f t="shared" si="42"/>
        <v>51344485.040000007</v>
      </c>
      <c r="R118" s="1328">
        <f t="shared" si="43"/>
        <v>25668588.480000004</v>
      </c>
      <c r="S118" s="783"/>
      <c r="T118" s="784"/>
      <c r="U118" s="783"/>
      <c r="V118" s="784"/>
      <c r="W118" s="784"/>
      <c r="X118" s="784"/>
      <c r="Y118" s="783"/>
      <c r="Z118" s="783"/>
      <c r="AA118" s="783"/>
      <c r="AB118" s="708"/>
      <c r="AC118" s="1347" t="s">
        <v>1835</v>
      </c>
      <c r="AD118" s="951" t="s">
        <v>700</v>
      </c>
      <c r="AE118" s="1549"/>
    </row>
    <row r="119" spans="1:31" ht="76.5" customHeight="1" x14ac:dyDescent="0.25">
      <c r="A119" s="887" t="s">
        <v>2740</v>
      </c>
      <c r="B119" s="887" t="s">
        <v>2992</v>
      </c>
      <c r="C119" s="878" t="s">
        <v>2660</v>
      </c>
      <c r="D119" s="886">
        <v>3</v>
      </c>
      <c r="E119" s="1042">
        <v>5</v>
      </c>
      <c r="F119" s="1042">
        <v>3</v>
      </c>
      <c r="G119" s="1261">
        <v>9</v>
      </c>
      <c r="H119" s="1261"/>
      <c r="I119" s="1235">
        <f t="shared" si="26"/>
        <v>1</v>
      </c>
      <c r="J119" s="1237">
        <f t="shared" si="27"/>
        <v>1</v>
      </c>
      <c r="K119" s="1091" t="s">
        <v>3422</v>
      </c>
      <c r="L119" s="1090"/>
      <c r="M119" s="888">
        <v>13</v>
      </c>
      <c r="N119" s="1339">
        <f t="shared" si="36"/>
        <v>17</v>
      </c>
      <c r="O119" s="1341">
        <f t="shared" si="37"/>
        <v>1</v>
      </c>
      <c r="P119" s="716">
        <f>8%*$P$114</f>
        <v>5.6000000000000008E-3</v>
      </c>
      <c r="Q119" s="1327">
        <f t="shared" si="42"/>
        <v>51344485.040000007</v>
      </c>
      <c r="R119" s="1328">
        <f t="shared" si="43"/>
        <v>25668588.480000004</v>
      </c>
      <c r="S119" s="783"/>
      <c r="T119" s="784"/>
      <c r="U119" s="783"/>
      <c r="V119" s="784"/>
      <c r="W119" s="784"/>
      <c r="X119" s="784"/>
      <c r="Y119" s="783"/>
      <c r="Z119" s="783"/>
      <c r="AA119" s="783"/>
      <c r="AB119" s="708"/>
      <c r="AC119" s="1347" t="s">
        <v>1835</v>
      </c>
      <c r="AD119" s="951" t="s">
        <v>700</v>
      </c>
      <c r="AE119" s="1549"/>
    </row>
    <row r="120" spans="1:31" ht="81" customHeight="1" x14ac:dyDescent="0.25">
      <c r="A120" s="885" t="s">
        <v>2741</v>
      </c>
      <c r="B120" s="885" t="s">
        <v>2993</v>
      </c>
      <c r="C120" s="878" t="s">
        <v>2660</v>
      </c>
      <c r="D120" s="889">
        <v>2</v>
      </c>
      <c r="E120" s="1042">
        <v>2</v>
      </c>
      <c r="F120" s="1042">
        <v>2</v>
      </c>
      <c r="G120" s="1261">
        <v>2</v>
      </c>
      <c r="H120" s="1261"/>
      <c r="I120" s="1235">
        <f t="shared" si="26"/>
        <v>1</v>
      </c>
      <c r="J120" s="1237">
        <f t="shared" si="27"/>
        <v>1</v>
      </c>
      <c r="K120" s="1091" t="s">
        <v>3426</v>
      </c>
      <c r="L120" s="1090"/>
      <c r="M120" s="888">
        <v>8</v>
      </c>
      <c r="N120" s="1339">
        <f t="shared" si="36"/>
        <v>6</v>
      </c>
      <c r="O120" s="1341">
        <f t="shared" si="37"/>
        <v>0.75</v>
      </c>
      <c r="P120" s="716">
        <f>8%*$P$114</f>
        <v>5.6000000000000008E-3</v>
      </c>
      <c r="Q120" s="1327">
        <f t="shared" si="42"/>
        <v>51344485.040000007</v>
      </c>
      <c r="R120" s="1328">
        <f t="shared" si="43"/>
        <v>25668588.480000004</v>
      </c>
      <c r="S120" s="783"/>
      <c r="T120" s="784"/>
      <c r="U120" s="783"/>
      <c r="V120" s="784"/>
      <c r="W120" s="784"/>
      <c r="X120" s="784"/>
      <c r="Y120" s="783"/>
      <c r="Z120" s="783"/>
      <c r="AA120" s="783"/>
      <c r="AB120" s="708"/>
      <c r="AC120" s="1347" t="s">
        <v>1835</v>
      </c>
      <c r="AD120" s="951" t="s">
        <v>700</v>
      </c>
      <c r="AE120" s="1549"/>
    </row>
    <row r="121" spans="1:31" ht="67.5" x14ac:dyDescent="0.25">
      <c r="A121" s="887" t="s">
        <v>2742</v>
      </c>
      <c r="B121" s="887" t="s">
        <v>2994</v>
      </c>
      <c r="C121" s="878" t="s">
        <v>2660</v>
      </c>
      <c r="D121" s="886">
        <v>0</v>
      </c>
      <c r="E121" s="1042">
        <v>0</v>
      </c>
      <c r="F121" s="1042">
        <v>0</v>
      </c>
      <c r="G121" s="1261">
        <v>0</v>
      </c>
      <c r="H121" s="1261"/>
      <c r="I121" s="1235" t="e">
        <f t="shared" si="26"/>
        <v>#DIV/0!</v>
      </c>
      <c r="J121" s="1237" t="e">
        <f t="shared" si="27"/>
        <v>#DIV/0!</v>
      </c>
      <c r="K121" s="1090" t="s">
        <v>3261</v>
      </c>
      <c r="L121" s="781"/>
      <c r="M121" s="888">
        <v>1</v>
      </c>
      <c r="N121" s="1339">
        <f t="shared" si="36"/>
        <v>0</v>
      </c>
      <c r="O121" s="1341">
        <f t="shared" si="37"/>
        <v>0</v>
      </c>
      <c r="P121" s="716">
        <f>0%*$P$114</f>
        <v>0</v>
      </c>
      <c r="Q121" s="1327">
        <f t="shared" si="42"/>
        <v>0</v>
      </c>
      <c r="R121" s="1328">
        <f t="shared" si="43"/>
        <v>0</v>
      </c>
      <c r="S121" s="783"/>
      <c r="T121" s="784"/>
      <c r="U121" s="783"/>
      <c r="V121" s="784"/>
      <c r="W121" s="784"/>
      <c r="X121" s="784"/>
      <c r="Y121" s="783"/>
      <c r="Z121" s="783"/>
      <c r="AA121" s="783"/>
      <c r="AB121" s="708"/>
      <c r="AC121" s="1347" t="s">
        <v>1835</v>
      </c>
      <c r="AD121" s="951" t="s">
        <v>700</v>
      </c>
      <c r="AE121" s="1549"/>
    </row>
    <row r="122" spans="1:31" ht="102" customHeight="1" x14ac:dyDescent="0.25">
      <c r="A122" s="887" t="s">
        <v>2743</v>
      </c>
      <c r="B122" s="887" t="s">
        <v>2995</v>
      </c>
      <c r="C122" s="878" t="s">
        <v>2660</v>
      </c>
      <c r="D122" s="888">
        <v>0</v>
      </c>
      <c r="E122" s="1042">
        <v>1</v>
      </c>
      <c r="F122" s="1042">
        <v>0</v>
      </c>
      <c r="G122" s="1261">
        <v>1</v>
      </c>
      <c r="H122" s="1261"/>
      <c r="I122" s="1235" t="e">
        <f t="shared" si="26"/>
        <v>#DIV/0!</v>
      </c>
      <c r="J122" s="1237">
        <f t="shared" si="27"/>
        <v>1</v>
      </c>
      <c r="K122" s="1090" t="s">
        <v>3424</v>
      </c>
      <c r="L122" s="781"/>
      <c r="M122" s="888">
        <v>1</v>
      </c>
      <c r="N122" s="1339">
        <f t="shared" si="36"/>
        <v>2</v>
      </c>
      <c r="O122" s="1341">
        <f t="shared" si="37"/>
        <v>1</v>
      </c>
      <c r="P122" s="716">
        <f>8%*$P$114</f>
        <v>5.6000000000000008E-3</v>
      </c>
      <c r="Q122" s="1327">
        <f t="shared" si="42"/>
        <v>51344485.040000007</v>
      </c>
      <c r="R122" s="1328">
        <f t="shared" si="43"/>
        <v>25668588.480000004</v>
      </c>
      <c r="S122" s="783"/>
      <c r="T122" s="784"/>
      <c r="U122" s="783"/>
      <c r="V122" s="784"/>
      <c r="W122" s="784"/>
      <c r="X122" s="784"/>
      <c r="Y122" s="783"/>
      <c r="Z122" s="783"/>
      <c r="AA122" s="783"/>
      <c r="AB122" s="708"/>
      <c r="AC122" s="1347" t="s">
        <v>1835</v>
      </c>
      <c r="AD122" s="951" t="s">
        <v>700</v>
      </c>
      <c r="AE122" s="1549"/>
    </row>
    <row r="123" spans="1:31" ht="114.75" customHeight="1" x14ac:dyDescent="0.25">
      <c r="A123" s="887" t="s">
        <v>2744</v>
      </c>
      <c r="B123" s="887" t="s">
        <v>2996</v>
      </c>
      <c r="C123" s="878" t="s">
        <v>2660</v>
      </c>
      <c r="D123" s="886">
        <v>3</v>
      </c>
      <c r="E123" s="1042">
        <v>5</v>
      </c>
      <c r="F123" s="1042">
        <v>3</v>
      </c>
      <c r="G123" s="1261">
        <v>5</v>
      </c>
      <c r="H123" s="1261"/>
      <c r="I123" s="1235">
        <f t="shared" si="26"/>
        <v>1</v>
      </c>
      <c r="J123" s="1237">
        <f t="shared" si="27"/>
        <v>1</v>
      </c>
      <c r="K123" s="1090" t="s">
        <v>3425</v>
      </c>
      <c r="L123" s="781"/>
      <c r="M123" s="888">
        <v>16</v>
      </c>
      <c r="N123" s="1339">
        <f t="shared" si="36"/>
        <v>13</v>
      </c>
      <c r="O123" s="1341">
        <f t="shared" si="37"/>
        <v>0.8125</v>
      </c>
      <c r="P123" s="716">
        <f>8%*$P$114</f>
        <v>5.6000000000000008E-3</v>
      </c>
      <c r="Q123" s="1327">
        <f t="shared" si="42"/>
        <v>51344485.040000007</v>
      </c>
      <c r="R123" s="1328">
        <f t="shared" si="43"/>
        <v>25668588.480000004</v>
      </c>
      <c r="S123" s="783"/>
      <c r="T123" s="784"/>
      <c r="U123" s="783"/>
      <c r="V123" s="784"/>
      <c r="W123" s="784"/>
      <c r="X123" s="784"/>
      <c r="Y123" s="783"/>
      <c r="Z123" s="783"/>
      <c r="AA123" s="783"/>
      <c r="AB123" s="708"/>
      <c r="AC123" s="1347" t="s">
        <v>1835</v>
      </c>
      <c r="AD123" s="951" t="s">
        <v>700</v>
      </c>
      <c r="AE123" s="1549"/>
    </row>
    <row r="124" spans="1:31" ht="114" customHeight="1" x14ac:dyDescent="0.25">
      <c r="A124" s="887" t="s">
        <v>2745</v>
      </c>
      <c r="B124" s="887" t="s">
        <v>2997</v>
      </c>
      <c r="C124" s="878" t="s">
        <v>2660</v>
      </c>
      <c r="D124" s="886">
        <v>3</v>
      </c>
      <c r="E124" s="1042">
        <v>5</v>
      </c>
      <c r="F124" s="1042">
        <v>3</v>
      </c>
      <c r="G124" s="1261">
        <v>5</v>
      </c>
      <c r="H124" s="1261"/>
      <c r="I124" s="1235">
        <f t="shared" si="26"/>
        <v>1</v>
      </c>
      <c r="J124" s="1237">
        <f t="shared" si="27"/>
        <v>1</v>
      </c>
      <c r="K124" s="1090" t="s">
        <v>3427</v>
      </c>
      <c r="L124" s="781"/>
      <c r="M124" s="888">
        <v>15</v>
      </c>
      <c r="N124" s="1339">
        <f t="shared" si="36"/>
        <v>13</v>
      </c>
      <c r="O124" s="1341">
        <f t="shared" si="37"/>
        <v>0.8666666666666667</v>
      </c>
      <c r="P124" s="716">
        <f>8%*$P$114</f>
        <v>5.6000000000000008E-3</v>
      </c>
      <c r="Q124" s="1327">
        <f t="shared" si="42"/>
        <v>51344485.040000007</v>
      </c>
      <c r="R124" s="1328">
        <f t="shared" si="43"/>
        <v>25668588.480000004</v>
      </c>
      <c r="S124" s="783"/>
      <c r="T124" s="784"/>
      <c r="U124" s="783"/>
      <c r="V124" s="784"/>
      <c r="W124" s="784"/>
      <c r="X124" s="784"/>
      <c r="Y124" s="783"/>
      <c r="Z124" s="783"/>
      <c r="AA124" s="783"/>
      <c r="AB124" s="708"/>
      <c r="AC124" s="1347" t="s">
        <v>1835</v>
      </c>
      <c r="AD124" s="951" t="s">
        <v>700</v>
      </c>
      <c r="AE124" s="1549"/>
    </row>
    <row r="125" spans="1:31" ht="89.25" customHeight="1" x14ac:dyDescent="0.25">
      <c r="A125" s="887" t="s">
        <v>2746</v>
      </c>
      <c r="B125" s="887" t="s">
        <v>2998</v>
      </c>
      <c r="C125" s="878" t="s">
        <v>2660</v>
      </c>
      <c r="D125" s="890">
        <v>1</v>
      </c>
      <c r="E125" s="1042">
        <v>2</v>
      </c>
      <c r="F125" s="1042">
        <v>1</v>
      </c>
      <c r="G125" s="1261">
        <v>8</v>
      </c>
      <c r="H125" s="1261"/>
      <c r="I125" s="1235">
        <f t="shared" si="26"/>
        <v>1</v>
      </c>
      <c r="J125" s="1237">
        <f t="shared" si="27"/>
        <v>1</v>
      </c>
      <c r="K125" s="1090" t="s">
        <v>3423</v>
      </c>
      <c r="L125" s="781"/>
      <c r="M125" s="888">
        <v>6</v>
      </c>
      <c r="N125" s="1339">
        <f t="shared" si="36"/>
        <v>11</v>
      </c>
      <c r="O125" s="1341">
        <f t="shared" si="37"/>
        <v>1</v>
      </c>
      <c r="P125" s="716">
        <f>5%*$P$114</f>
        <v>3.5000000000000005E-3</v>
      </c>
      <c r="Q125" s="1327">
        <f t="shared" si="42"/>
        <v>32090303.150000002</v>
      </c>
      <c r="R125" s="1328">
        <f t="shared" si="43"/>
        <v>16042867.800000003</v>
      </c>
      <c r="S125" s="783"/>
      <c r="T125" s="784"/>
      <c r="U125" s="783"/>
      <c r="V125" s="784"/>
      <c r="W125" s="784"/>
      <c r="X125" s="784"/>
      <c r="Y125" s="783"/>
      <c r="Z125" s="783"/>
      <c r="AA125" s="783"/>
      <c r="AB125" s="708"/>
      <c r="AC125" s="1347" t="s">
        <v>1835</v>
      </c>
      <c r="AD125" s="951" t="s">
        <v>700</v>
      </c>
      <c r="AE125" s="1549"/>
    </row>
    <row r="126" spans="1:31" ht="81.75" customHeight="1" x14ac:dyDescent="0.25">
      <c r="A126" s="887" t="s">
        <v>2747</v>
      </c>
      <c r="B126" s="887" t="s">
        <v>2999</v>
      </c>
      <c r="C126" s="878" t="s">
        <v>2660</v>
      </c>
      <c r="D126" s="890">
        <v>2</v>
      </c>
      <c r="E126" s="1042">
        <v>3</v>
      </c>
      <c r="F126" s="1042">
        <v>2</v>
      </c>
      <c r="G126" s="1261">
        <v>3</v>
      </c>
      <c r="H126" s="1261"/>
      <c r="I126" s="1235">
        <f t="shared" si="26"/>
        <v>1</v>
      </c>
      <c r="J126" s="1237">
        <f t="shared" si="27"/>
        <v>1</v>
      </c>
      <c r="K126" s="1090" t="s">
        <v>3428</v>
      </c>
      <c r="L126" s="781"/>
      <c r="M126" s="888">
        <v>10</v>
      </c>
      <c r="N126" s="1339">
        <f t="shared" si="36"/>
        <v>8</v>
      </c>
      <c r="O126" s="1341">
        <f t="shared" si="37"/>
        <v>0.8</v>
      </c>
      <c r="P126" s="716">
        <f>4%*$P$114</f>
        <v>2.8000000000000004E-3</v>
      </c>
      <c r="Q126" s="1327">
        <f t="shared" si="42"/>
        <v>25672242.520000003</v>
      </c>
      <c r="R126" s="1328">
        <f t="shared" si="43"/>
        <v>12834294.240000002</v>
      </c>
      <c r="S126" s="783"/>
      <c r="T126" s="784"/>
      <c r="U126" s="783"/>
      <c r="V126" s="784"/>
      <c r="W126" s="784"/>
      <c r="X126" s="784"/>
      <c r="Y126" s="783"/>
      <c r="Z126" s="783"/>
      <c r="AA126" s="783"/>
      <c r="AB126" s="708"/>
      <c r="AC126" s="1347" t="s">
        <v>1835</v>
      </c>
      <c r="AD126" s="951" t="s">
        <v>700</v>
      </c>
      <c r="AE126" s="1549"/>
    </row>
    <row r="127" spans="1:31" ht="36.75" customHeight="1" x14ac:dyDescent="0.25">
      <c r="A127" s="887" t="s">
        <v>2748</v>
      </c>
      <c r="B127" s="887" t="s">
        <v>3000</v>
      </c>
      <c r="C127" s="878" t="s">
        <v>2660</v>
      </c>
      <c r="D127" s="1092">
        <v>0</v>
      </c>
      <c r="E127" s="884">
        <v>1</v>
      </c>
      <c r="F127" s="884">
        <v>0</v>
      </c>
      <c r="G127" s="1261">
        <v>1</v>
      </c>
      <c r="H127" s="1261"/>
      <c r="I127" s="1269" t="e">
        <f t="shared" si="26"/>
        <v>#DIV/0!</v>
      </c>
      <c r="J127" s="809">
        <f t="shared" si="27"/>
        <v>1</v>
      </c>
      <c r="K127" s="781" t="s">
        <v>3429</v>
      </c>
      <c r="L127" s="781"/>
      <c r="M127" s="888">
        <v>3</v>
      </c>
      <c r="N127" s="1339">
        <f t="shared" si="36"/>
        <v>2</v>
      </c>
      <c r="O127" s="1341">
        <f t="shared" si="37"/>
        <v>0.66666666666666663</v>
      </c>
      <c r="P127" s="716">
        <f t="shared" ref="P127" si="44">10%*$P$114</f>
        <v>7.000000000000001E-3</v>
      </c>
      <c r="Q127" s="1327">
        <f t="shared" si="42"/>
        <v>64180606.300000004</v>
      </c>
      <c r="R127" s="1328">
        <f t="shared" si="43"/>
        <v>32085735.600000005</v>
      </c>
      <c r="S127" s="783"/>
      <c r="T127" s="784"/>
      <c r="U127" s="783"/>
      <c r="V127" s="784"/>
      <c r="W127" s="784"/>
      <c r="X127" s="784"/>
      <c r="Y127" s="783"/>
      <c r="Z127" s="783"/>
      <c r="AA127" s="783"/>
      <c r="AB127" s="708"/>
      <c r="AC127" s="1347" t="s">
        <v>1835</v>
      </c>
      <c r="AD127" s="951" t="s">
        <v>700</v>
      </c>
      <c r="AE127" s="1549"/>
    </row>
    <row r="128" spans="1:31" ht="88.5" customHeight="1" x14ac:dyDescent="0.25">
      <c r="A128" s="887" t="s">
        <v>2749</v>
      </c>
      <c r="B128" s="887" t="s">
        <v>3001</v>
      </c>
      <c r="C128" s="878" t="s">
        <v>2660</v>
      </c>
      <c r="D128" s="890">
        <v>0</v>
      </c>
      <c r="E128" s="867">
        <v>1</v>
      </c>
      <c r="F128" s="867">
        <v>0</v>
      </c>
      <c r="G128" s="1261">
        <v>1</v>
      </c>
      <c r="H128" s="1261"/>
      <c r="I128" s="1259" t="e">
        <f t="shared" si="26"/>
        <v>#DIV/0!</v>
      </c>
      <c r="J128" s="792">
        <f t="shared" si="27"/>
        <v>1</v>
      </c>
      <c r="K128" s="781" t="s">
        <v>3262</v>
      </c>
      <c r="L128" s="781"/>
      <c r="M128" s="888">
        <v>1</v>
      </c>
      <c r="N128" s="1339">
        <f t="shared" si="36"/>
        <v>2</v>
      </c>
      <c r="O128" s="1341">
        <f t="shared" si="37"/>
        <v>1</v>
      </c>
      <c r="P128" s="716">
        <f>5%*$P$114</f>
        <v>3.5000000000000005E-3</v>
      </c>
      <c r="Q128" s="1327">
        <f t="shared" si="42"/>
        <v>32090303.150000002</v>
      </c>
      <c r="R128" s="1328">
        <f t="shared" si="43"/>
        <v>16042867.800000003</v>
      </c>
      <c r="S128" s="783"/>
      <c r="T128" s="784"/>
      <c r="U128" s="783"/>
      <c r="V128" s="784"/>
      <c r="W128" s="784"/>
      <c r="X128" s="784"/>
      <c r="Y128" s="783"/>
      <c r="Z128" s="783"/>
      <c r="AA128" s="783"/>
      <c r="AB128" s="708"/>
      <c r="AC128" s="1347" t="s">
        <v>1835</v>
      </c>
      <c r="AD128" s="951" t="s">
        <v>700</v>
      </c>
      <c r="AE128" s="1549"/>
    </row>
    <row r="129" spans="1:31" ht="67.5" x14ac:dyDescent="0.25">
      <c r="A129" s="887" t="s">
        <v>2750</v>
      </c>
      <c r="B129" s="887" t="s">
        <v>3002</v>
      </c>
      <c r="C129" s="878" t="s">
        <v>2660</v>
      </c>
      <c r="D129" s="890">
        <v>0</v>
      </c>
      <c r="E129" s="867">
        <v>0</v>
      </c>
      <c r="F129" s="867">
        <v>0</v>
      </c>
      <c r="G129" s="1261">
        <v>0</v>
      </c>
      <c r="H129" s="1261"/>
      <c r="I129" s="1259" t="e">
        <f t="shared" si="26"/>
        <v>#DIV/0!</v>
      </c>
      <c r="J129" s="792" t="e">
        <f t="shared" si="27"/>
        <v>#DIV/0!</v>
      </c>
      <c r="K129" s="781"/>
      <c r="L129" s="781"/>
      <c r="M129" s="888">
        <v>1</v>
      </c>
      <c r="N129" s="1339">
        <f t="shared" si="36"/>
        <v>0</v>
      </c>
      <c r="O129" s="1341">
        <f t="shared" si="37"/>
        <v>0</v>
      </c>
      <c r="P129" s="716">
        <f>0%*$P$114</f>
        <v>0</v>
      </c>
      <c r="Q129" s="1327">
        <f t="shared" si="42"/>
        <v>0</v>
      </c>
      <c r="R129" s="1328">
        <f t="shared" si="43"/>
        <v>0</v>
      </c>
      <c r="S129" s="783"/>
      <c r="T129" s="784"/>
      <c r="U129" s="783"/>
      <c r="V129" s="784"/>
      <c r="W129" s="784"/>
      <c r="X129" s="784"/>
      <c r="Y129" s="783"/>
      <c r="Z129" s="783"/>
      <c r="AA129" s="783"/>
      <c r="AB129" s="708"/>
      <c r="AC129" s="1347" t="s">
        <v>1835</v>
      </c>
      <c r="AD129" s="951" t="s">
        <v>700</v>
      </c>
      <c r="AE129" s="1549"/>
    </row>
    <row r="130" spans="1:31" ht="57" thickBot="1" x14ac:dyDescent="0.3">
      <c r="A130" s="891" t="s">
        <v>2751</v>
      </c>
      <c r="B130" s="1031" t="s">
        <v>700</v>
      </c>
      <c r="C130" s="879" t="s">
        <v>2647</v>
      </c>
      <c r="D130" s="892">
        <v>0.2</v>
      </c>
      <c r="E130" s="805">
        <v>0.5</v>
      </c>
      <c r="F130" s="805">
        <f>'[2]19GAU'!E9</f>
        <v>0</v>
      </c>
      <c r="G130" s="904">
        <f>'19GAU'!D8</f>
        <v>0.58350000000000002</v>
      </c>
      <c r="H130" s="1115"/>
      <c r="I130" s="1113">
        <f t="shared" si="26"/>
        <v>0</v>
      </c>
      <c r="J130" s="792">
        <f t="shared" si="27"/>
        <v>1</v>
      </c>
      <c r="K130" s="781"/>
      <c r="L130" s="781"/>
      <c r="M130" s="938">
        <v>1</v>
      </c>
      <c r="N130" s="1339">
        <f t="shared" si="36"/>
        <v>1.0834999999999999</v>
      </c>
      <c r="O130" s="1341">
        <f t="shared" si="37"/>
        <v>1</v>
      </c>
      <c r="P130" s="716">
        <f>10%*$P$114</f>
        <v>7.000000000000001E-3</v>
      </c>
      <c r="Q130" s="1327">
        <f t="shared" si="42"/>
        <v>64180606.300000004</v>
      </c>
      <c r="R130" s="1328">
        <f t="shared" si="43"/>
        <v>32085735.600000005</v>
      </c>
      <c r="S130" s="783"/>
      <c r="T130" s="784"/>
      <c r="U130" s="783"/>
      <c r="V130" s="784"/>
      <c r="W130" s="784"/>
      <c r="X130" s="784"/>
      <c r="Y130" s="783"/>
      <c r="Z130" s="783"/>
      <c r="AA130" s="783"/>
      <c r="AB130" s="708"/>
      <c r="AC130" s="1347" t="s">
        <v>1835</v>
      </c>
      <c r="AD130" s="951" t="s">
        <v>700</v>
      </c>
      <c r="AE130" s="1549"/>
    </row>
    <row r="131" spans="1:31" ht="13.5" customHeight="1" thickBot="1" x14ac:dyDescent="0.3">
      <c r="A131" s="1639" t="s">
        <v>2839</v>
      </c>
      <c r="B131" s="1650"/>
      <c r="C131" s="915"/>
      <c r="D131" s="915"/>
      <c r="E131" s="915"/>
      <c r="F131" s="915"/>
      <c r="G131" s="1297"/>
      <c r="H131" s="1307"/>
      <c r="I131" s="1244">
        <v>1</v>
      </c>
      <c r="J131" s="792">
        <f>+(J132+J133+J134+J135+J136+J138+J139+J140+J141+J142)/10</f>
        <v>1</v>
      </c>
      <c r="K131" s="781"/>
      <c r="L131" s="781"/>
      <c r="M131" s="880"/>
      <c r="N131" s="1339">
        <f t="shared" si="36"/>
        <v>0</v>
      </c>
      <c r="O131" s="1341" t="e">
        <f t="shared" si="37"/>
        <v>#DIV/0!</v>
      </c>
      <c r="P131" s="1184">
        <v>0.05</v>
      </c>
      <c r="Q131" s="1325">
        <f>'informe Gastos'!AC85</f>
        <v>866088425.5</v>
      </c>
      <c r="R131" s="1325">
        <f>'informe Gastos'!AD85</f>
        <v>277662336.98000002</v>
      </c>
      <c r="S131" s="1332">
        <f>+R131/Q131</f>
        <v>0.32059352002043356</v>
      </c>
      <c r="T131" s="1325">
        <f>'informe Gastos'!AE85</f>
        <v>177483301.24000001</v>
      </c>
      <c r="U131" s="1332">
        <f>+T131/R131</f>
        <v>0.63920552989073243</v>
      </c>
      <c r="V131" s="729">
        <f t="shared" ref="V131" si="45">+R131-T131</f>
        <v>100179035.74000001</v>
      </c>
      <c r="W131" s="784"/>
      <c r="X131" s="784"/>
      <c r="Y131" s="783">
        <f>(232775601+170163515+256636000+271007600)+497917770.5+100000000-11000000+700000000</f>
        <v>2217500486.5</v>
      </c>
      <c r="Z131" s="783">
        <f>555451424.5+R131</f>
        <v>833113761.48000002</v>
      </c>
      <c r="AA131" s="766">
        <f>+Z131/Y131</f>
        <v>0.37569947179355445</v>
      </c>
      <c r="AB131" s="957"/>
      <c r="AC131" s="1347"/>
      <c r="AD131" s="951"/>
      <c r="AE131" s="1549"/>
    </row>
    <row r="132" spans="1:31" ht="89.25" customHeight="1" x14ac:dyDescent="0.25">
      <c r="A132" s="893" t="s">
        <v>2752</v>
      </c>
      <c r="B132" s="893" t="s">
        <v>3003</v>
      </c>
      <c r="C132" s="883" t="s">
        <v>2660</v>
      </c>
      <c r="D132" s="884">
        <v>2</v>
      </c>
      <c r="E132" s="884">
        <v>2</v>
      </c>
      <c r="F132" s="884">
        <v>2</v>
      </c>
      <c r="G132" s="1115">
        <v>2</v>
      </c>
      <c r="H132" s="1115"/>
      <c r="I132" s="1113">
        <f t="shared" si="26"/>
        <v>1</v>
      </c>
      <c r="J132" s="792">
        <f t="shared" si="27"/>
        <v>1</v>
      </c>
      <c r="K132" s="781" t="s">
        <v>3435</v>
      </c>
      <c r="L132" s="781"/>
      <c r="M132" s="939">
        <v>2</v>
      </c>
      <c r="N132" s="1339">
        <f t="shared" si="36"/>
        <v>6</v>
      </c>
      <c r="O132" s="1341">
        <f t="shared" si="37"/>
        <v>1</v>
      </c>
      <c r="P132" s="716">
        <f>12%*$P$131</f>
        <v>6.0000000000000001E-3</v>
      </c>
      <c r="Q132" s="1327">
        <f>Q$131*P132/P$131</f>
        <v>103930611.06</v>
      </c>
      <c r="R132" s="1328">
        <f t="shared" si="43"/>
        <v>27502059.085714281</v>
      </c>
      <c r="S132" s="783"/>
      <c r="T132" s="784"/>
      <c r="U132" s="783"/>
      <c r="V132" s="784"/>
      <c r="W132" s="784"/>
      <c r="X132" s="784"/>
      <c r="Y132" s="783"/>
      <c r="Z132" s="783"/>
      <c r="AA132" s="783"/>
      <c r="AB132" s="972"/>
      <c r="AC132" s="1347" t="s">
        <v>1835</v>
      </c>
      <c r="AD132" s="951" t="s">
        <v>652</v>
      </c>
      <c r="AE132" s="1549"/>
    </row>
    <row r="133" spans="1:31" ht="58.5" customHeight="1" x14ac:dyDescent="0.25">
      <c r="A133" s="887" t="s">
        <v>2753</v>
      </c>
      <c r="B133" s="887" t="s">
        <v>3004</v>
      </c>
      <c r="C133" s="878" t="s">
        <v>2660</v>
      </c>
      <c r="D133" s="867">
        <v>1</v>
      </c>
      <c r="E133" s="867">
        <v>1</v>
      </c>
      <c r="F133" s="867">
        <v>1</v>
      </c>
      <c r="G133" s="1261">
        <v>1</v>
      </c>
      <c r="H133" s="1261"/>
      <c r="I133" s="1259">
        <f t="shared" si="26"/>
        <v>1</v>
      </c>
      <c r="J133" s="792">
        <f t="shared" si="27"/>
        <v>1</v>
      </c>
      <c r="K133" s="781" t="s">
        <v>3431</v>
      </c>
      <c r="L133" s="781"/>
      <c r="M133" s="907">
        <v>1</v>
      </c>
      <c r="N133" s="1339">
        <f t="shared" si="36"/>
        <v>3</v>
      </c>
      <c r="O133" s="1341">
        <f t="shared" si="37"/>
        <v>1</v>
      </c>
      <c r="P133" s="716">
        <f>10%*$P$131</f>
        <v>5.000000000000001E-3</v>
      </c>
      <c r="Q133" s="1327">
        <f t="shared" ref="Q133:Q142" si="46">Q$131*P133/P$131</f>
        <v>86608842.549999997</v>
      </c>
      <c r="R133" s="1328">
        <f t="shared" si="43"/>
        <v>22918382.571428575</v>
      </c>
      <c r="S133" s="783"/>
      <c r="T133" s="784"/>
      <c r="U133" s="783"/>
      <c r="V133" s="784"/>
      <c r="W133" s="784"/>
      <c r="X133" s="784"/>
      <c r="Y133" s="783"/>
      <c r="Z133" s="783"/>
      <c r="AA133" s="783"/>
      <c r="AB133" s="708"/>
      <c r="AC133" s="1347" t="s">
        <v>1835</v>
      </c>
      <c r="AD133" s="951" t="s">
        <v>652</v>
      </c>
      <c r="AE133" s="1549"/>
    </row>
    <row r="134" spans="1:31" ht="67.5" customHeight="1" x14ac:dyDescent="0.25">
      <c r="A134" s="885" t="s">
        <v>2754</v>
      </c>
      <c r="B134" s="885" t="s">
        <v>3005</v>
      </c>
      <c r="C134" s="878" t="s">
        <v>2660</v>
      </c>
      <c r="D134" s="867">
        <v>1</v>
      </c>
      <c r="E134" s="867">
        <v>1</v>
      </c>
      <c r="F134" s="867">
        <v>1</v>
      </c>
      <c r="G134" s="1261">
        <v>1</v>
      </c>
      <c r="H134" s="1261"/>
      <c r="I134" s="1259">
        <f t="shared" si="26"/>
        <v>1</v>
      </c>
      <c r="J134" s="792">
        <f t="shared" si="27"/>
        <v>1</v>
      </c>
      <c r="K134" s="781" t="s">
        <v>3430</v>
      </c>
      <c r="L134" s="781"/>
      <c r="M134" s="940">
        <v>1</v>
      </c>
      <c r="N134" s="1339">
        <f t="shared" si="36"/>
        <v>3</v>
      </c>
      <c r="O134" s="1341">
        <f t="shared" si="37"/>
        <v>1</v>
      </c>
      <c r="P134" s="716">
        <f>15%*$P$131</f>
        <v>7.4999999999999997E-3</v>
      </c>
      <c r="Q134" s="1327">
        <f t="shared" si="46"/>
        <v>129913263.825</v>
      </c>
      <c r="R134" s="1328">
        <f t="shared" si="43"/>
        <v>34377573.857142851</v>
      </c>
      <c r="S134" s="783"/>
      <c r="T134" s="784"/>
      <c r="U134" s="783"/>
      <c r="V134" s="784"/>
      <c r="W134" s="784"/>
      <c r="X134" s="784"/>
      <c r="Y134" s="783"/>
      <c r="Z134" s="783"/>
      <c r="AA134" s="783"/>
      <c r="AB134" s="708"/>
      <c r="AC134" s="1347" t="s">
        <v>1835</v>
      </c>
      <c r="AD134" s="951" t="s">
        <v>652</v>
      </c>
      <c r="AE134" s="1549"/>
    </row>
    <row r="135" spans="1:31" ht="84" customHeight="1" x14ac:dyDescent="0.25">
      <c r="A135" s="887" t="s">
        <v>2755</v>
      </c>
      <c r="B135" s="887" t="s">
        <v>3006</v>
      </c>
      <c r="C135" s="878" t="s">
        <v>2660</v>
      </c>
      <c r="D135" s="867">
        <v>1</v>
      </c>
      <c r="E135" s="867">
        <v>1</v>
      </c>
      <c r="F135" s="867">
        <v>1</v>
      </c>
      <c r="G135" s="1261">
        <v>1</v>
      </c>
      <c r="H135" s="1261"/>
      <c r="I135" s="1259">
        <f t="shared" si="26"/>
        <v>1</v>
      </c>
      <c r="J135" s="792">
        <f t="shared" si="27"/>
        <v>1</v>
      </c>
      <c r="K135" s="781" t="s">
        <v>3432</v>
      </c>
      <c r="L135" s="781"/>
      <c r="M135" s="941">
        <v>1</v>
      </c>
      <c r="N135" s="1339">
        <f t="shared" si="36"/>
        <v>3</v>
      </c>
      <c r="O135" s="1341">
        <f t="shared" si="37"/>
        <v>1</v>
      </c>
      <c r="P135" s="716">
        <f>6%*$P$131</f>
        <v>3.0000000000000001E-3</v>
      </c>
      <c r="Q135" s="1327">
        <f t="shared" si="46"/>
        <v>51965305.530000001</v>
      </c>
      <c r="R135" s="1328">
        <f t="shared" si="43"/>
        <v>13751029.54285714</v>
      </c>
      <c r="S135" s="783"/>
      <c r="T135" s="784"/>
      <c r="U135" s="783"/>
      <c r="V135" s="784"/>
      <c r="W135" s="784"/>
      <c r="X135" s="784"/>
      <c r="Y135" s="783"/>
      <c r="Z135" s="783"/>
      <c r="AA135" s="783"/>
      <c r="AB135" s="708"/>
      <c r="AC135" s="1347" t="s">
        <v>1835</v>
      </c>
      <c r="AD135" s="951" t="s">
        <v>652</v>
      </c>
      <c r="AE135" s="1549"/>
    </row>
    <row r="136" spans="1:31" ht="58.5" customHeight="1" x14ac:dyDescent="0.25">
      <c r="A136" s="887" t="s">
        <v>2756</v>
      </c>
      <c r="B136" s="887" t="s">
        <v>3007</v>
      </c>
      <c r="C136" s="878" t="s">
        <v>2660</v>
      </c>
      <c r="D136" s="867">
        <v>0</v>
      </c>
      <c r="E136" s="867">
        <v>3</v>
      </c>
      <c r="F136" s="867">
        <v>0</v>
      </c>
      <c r="G136" s="1261">
        <v>3</v>
      </c>
      <c r="H136" s="1261"/>
      <c r="I136" s="1259" t="e">
        <f t="shared" ref="I136:I203" si="47">IF((F136+H136)/D136&gt;=100%,100%,(F136+H136)/D136)</f>
        <v>#DIV/0!</v>
      </c>
      <c r="J136" s="792">
        <f t="shared" si="27"/>
        <v>1</v>
      </c>
      <c r="K136" s="781" t="s">
        <v>3433</v>
      </c>
      <c r="L136" s="781"/>
      <c r="M136" s="942">
        <v>3</v>
      </c>
      <c r="N136" s="1339">
        <f t="shared" si="36"/>
        <v>6</v>
      </c>
      <c r="O136" s="1341">
        <f t="shared" si="37"/>
        <v>1</v>
      </c>
      <c r="P136" s="716">
        <f>12%*$P$131</f>
        <v>6.0000000000000001E-3</v>
      </c>
      <c r="Q136" s="1327">
        <f t="shared" si="46"/>
        <v>103930611.06</v>
      </c>
      <c r="R136" s="1328">
        <f t="shared" si="43"/>
        <v>27502059.085714281</v>
      </c>
      <c r="S136" s="783"/>
      <c r="T136" s="784"/>
      <c r="U136" s="783"/>
      <c r="V136" s="784"/>
      <c r="W136" s="784"/>
      <c r="X136" s="784"/>
      <c r="Y136" s="783"/>
      <c r="Z136" s="783"/>
      <c r="AA136" s="783"/>
      <c r="AB136" s="708"/>
      <c r="AC136" s="1347" t="s">
        <v>1835</v>
      </c>
      <c r="AD136" s="951" t="s">
        <v>652</v>
      </c>
      <c r="AE136" s="1549"/>
    </row>
    <row r="137" spans="1:31" ht="45" x14ac:dyDescent="0.25">
      <c r="A137" s="1390" t="s">
        <v>2757</v>
      </c>
      <c r="B137" s="885" t="s">
        <v>3008</v>
      </c>
      <c r="C137" s="878" t="s">
        <v>2660</v>
      </c>
      <c r="D137" s="867">
        <v>0</v>
      </c>
      <c r="E137" s="867">
        <v>0</v>
      </c>
      <c r="F137" s="867">
        <v>0</v>
      </c>
      <c r="G137" s="1261">
        <v>0</v>
      </c>
      <c r="H137" s="1261"/>
      <c r="I137" s="1259" t="e">
        <f t="shared" si="47"/>
        <v>#DIV/0!</v>
      </c>
      <c r="J137" s="792" t="e">
        <f t="shared" ref="J137:J203" si="48">IF(G137/E137&gt;=100%,100%,G137/E137)</f>
        <v>#DIV/0!</v>
      </c>
      <c r="K137" s="781"/>
      <c r="L137" s="781"/>
      <c r="M137" s="877">
        <v>1</v>
      </c>
      <c r="N137" s="1339">
        <f t="shared" si="36"/>
        <v>0</v>
      </c>
      <c r="O137" s="1341">
        <f t="shared" si="37"/>
        <v>0</v>
      </c>
      <c r="P137" s="716">
        <f>0%*$P$131</f>
        <v>0</v>
      </c>
      <c r="Q137" s="1327">
        <f t="shared" si="46"/>
        <v>0</v>
      </c>
      <c r="R137" s="1328">
        <f t="shared" si="43"/>
        <v>0</v>
      </c>
      <c r="S137" s="783"/>
      <c r="T137" s="784"/>
      <c r="U137" s="783"/>
      <c r="V137" s="784"/>
      <c r="W137" s="784"/>
      <c r="X137" s="784"/>
      <c r="Y137" s="783"/>
      <c r="Z137" s="783"/>
      <c r="AA137" s="783"/>
      <c r="AB137" s="708"/>
      <c r="AC137" s="1347" t="s">
        <v>1835</v>
      </c>
      <c r="AD137" s="951" t="s">
        <v>652</v>
      </c>
      <c r="AE137" s="1549"/>
    </row>
    <row r="138" spans="1:31" ht="79.5" customHeight="1" x14ac:dyDescent="0.25">
      <c r="A138" s="887" t="s">
        <v>2758</v>
      </c>
      <c r="B138" s="887" t="s">
        <v>3009</v>
      </c>
      <c r="C138" s="878" t="s">
        <v>2660</v>
      </c>
      <c r="D138" s="867">
        <v>1</v>
      </c>
      <c r="E138" s="867">
        <v>1</v>
      </c>
      <c r="F138" s="867">
        <v>1</v>
      </c>
      <c r="G138" s="1261">
        <v>1</v>
      </c>
      <c r="H138" s="1261"/>
      <c r="I138" s="1259">
        <f t="shared" si="47"/>
        <v>1</v>
      </c>
      <c r="J138" s="792">
        <f t="shared" si="48"/>
        <v>1</v>
      </c>
      <c r="K138" s="781" t="s">
        <v>3434</v>
      </c>
      <c r="L138" s="781"/>
      <c r="M138" s="877">
        <v>1</v>
      </c>
      <c r="N138" s="1339">
        <f t="shared" si="36"/>
        <v>3</v>
      </c>
      <c r="O138" s="1341">
        <f t="shared" si="37"/>
        <v>1</v>
      </c>
      <c r="P138" s="716">
        <f>12%*$P$131</f>
        <v>6.0000000000000001E-3</v>
      </c>
      <c r="Q138" s="1327">
        <f t="shared" si="46"/>
        <v>103930611.06</v>
      </c>
      <c r="R138" s="1328">
        <f t="shared" si="43"/>
        <v>27502059.085714281</v>
      </c>
      <c r="S138" s="783"/>
      <c r="T138" s="784"/>
      <c r="U138" s="783"/>
      <c r="V138" s="784"/>
      <c r="W138" s="784"/>
      <c r="X138" s="784"/>
      <c r="Y138" s="783"/>
      <c r="Z138" s="783"/>
      <c r="AA138" s="783"/>
      <c r="AB138" s="708"/>
      <c r="AC138" s="1347" t="s">
        <v>1835</v>
      </c>
      <c r="AD138" s="951" t="s">
        <v>652</v>
      </c>
      <c r="AE138" s="1549"/>
    </row>
    <row r="139" spans="1:31" ht="101.25" customHeight="1" x14ac:dyDescent="0.25">
      <c r="A139" s="894" t="s">
        <v>2759</v>
      </c>
      <c r="B139" s="894" t="s">
        <v>3010</v>
      </c>
      <c r="C139" s="878" t="s">
        <v>2660</v>
      </c>
      <c r="D139" s="867">
        <v>0</v>
      </c>
      <c r="E139" s="867">
        <v>2</v>
      </c>
      <c r="F139" s="867">
        <v>0</v>
      </c>
      <c r="G139" s="1261">
        <v>2</v>
      </c>
      <c r="H139" s="1261"/>
      <c r="I139" s="1259" t="e">
        <f t="shared" si="47"/>
        <v>#DIV/0!</v>
      </c>
      <c r="J139" s="792">
        <f t="shared" si="48"/>
        <v>1</v>
      </c>
      <c r="K139" s="781" t="s">
        <v>3436</v>
      </c>
      <c r="L139" s="781"/>
      <c r="M139" s="877">
        <v>2</v>
      </c>
      <c r="N139" s="1339">
        <f t="shared" si="36"/>
        <v>4</v>
      </c>
      <c r="O139" s="1341">
        <f t="shared" si="37"/>
        <v>1</v>
      </c>
      <c r="P139" s="716">
        <f>8%*$P$131</f>
        <v>4.0000000000000001E-3</v>
      </c>
      <c r="Q139" s="1327">
        <f t="shared" si="46"/>
        <v>69287074.039999992</v>
      </c>
      <c r="R139" s="1328">
        <f t="shared" si="43"/>
        <v>18334706.057142857</v>
      </c>
      <c r="S139" s="783"/>
      <c r="T139" s="784"/>
      <c r="U139" s="783"/>
      <c r="V139" s="784"/>
      <c r="W139" s="784"/>
      <c r="X139" s="784"/>
      <c r="Y139" s="783"/>
      <c r="Z139" s="783"/>
      <c r="AA139" s="783"/>
      <c r="AB139" s="708"/>
      <c r="AC139" s="1347" t="s">
        <v>1835</v>
      </c>
      <c r="AD139" s="951" t="s">
        <v>652</v>
      </c>
      <c r="AE139" s="1549"/>
    </row>
    <row r="140" spans="1:31" ht="76.5" customHeight="1" x14ac:dyDescent="0.25">
      <c r="A140" s="885" t="s">
        <v>2760</v>
      </c>
      <c r="B140" s="885" t="s">
        <v>3011</v>
      </c>
      <c r="C140" s="878" t="s">
        <v>2660</v>
      </c>
      <c r="D140" s="867">
        <v>0</v>
      </c>
      <c r="E140" s="867">
        <v>1</v>
      </c>
      <c r="F140" s="867">
        <v>0</v>
      </c>
      <c r="G140" s="1261">
        <v>1</v>
      </c>
      <c r="H140" s="1261"/>
      <c r="I140" s="1259" t="e">
        <f t="shared" si="47"/>
        <v>#DIV/0!</v>
      </c>
      <c r="J140" s="792">
        <f t="shared" si="48"/>
        <v>1</v>
      </c>
      <c r="K140" s="781" t="s">
        <v>3437</v>
      </c>
      <c r="L140" s="781"/>
      <c r="M140" s="940">
        <v>1</v>
      </c>
      <c r="N140" s="1339">
        <f t="shared" si="36"/>
        <v>2</v>
      </c>
      <c r="O140" s="1341">
        <f t="shared" si="37"/>
        <v>1</v>
      </c>
      <c r="P140" s="716">
        <f>10%*$P$131</f>
        <v>5.000000000000001E-3</v>
      </c>
      <c r="Q140" s="1327">
        <f t="shared" si="46"/>
        <v>86608842.549999997</v>
      </c>
      <c r="R140" s="1328">
        <f t="shared" si="43"/>
        <v>22918382.571428575</v>
      </c>
      <c r="S140" s="783"/>
      <c r="T140" s="784"/>
      <c r="U140" s="783"/>
      <c r="V140" s="784"/>
      <c r="W140" s="784"/>
      <c r="X140" s="784"/>
      <c r="Y140" s="783"/>
      <c r="Z140" s="783"/>
      <c r="AA140" s="783"/>
      <c r="AB140" s="708"/>
      <c r="AC140" s="1347" t="s">
        <v>1835</v>
      </c>
      <c r="AD140" s="951" t="s">
        <v>652</v>
      </c>
      <c r="AE140" s="1549"/>
    </row>
    <row r="141" spans="1:31" ht="82.5" customHeight="1" x14ac:dyDescent="0.25">
      <c r="A141" s="887" t="s">
        <v>2761</v>
      </c>
      <c r="B141" s="887" t="s">
        <v>3012</v>
      </c>
      <c r="C141" s="878" t="s">
        <v>2660</v>
      </c>
      <c r="D141" s="867">
        <v>0</v>
      </c>
      <c r="E141" s="867">
        <v>1</v>
      </c>
      <c r="F141" s="867">
        <v>0</v>
      </c>
      <c r="G141" s="1261">
        <v>1</v>
      </c>
      <c r="H141" s="1261"/>
      <c r="I141" s="1259" t="e">
        <f t="shared" si="47"/>
        <v>#DIV/0!</v>
      </c>
      <c r="J141" s="792">
        <f t="shared" si="48"/>
        <v>1</v>
      </c>
      <c r="K141" s="781" t="s">
        <v>3438</v>
      </c>
      <c r="L141" s="781"/>
      <c r="M141" s="910">
        <v>1</v>
      </c>
      <c r="N141" s="1339">
        <f t="shared" si="36"/>
        <v>2</v>
      </c>
      <c r="O141" s="1341">
        <f t="shared" si="37"/>
        <v>1</v>
      </c>
      <c r="P141" s="716">
        <f>8%*$P$131</f>
        <v>4.0000000000000001E-3</v>
      </c>
      <c r="Q141" s="1327">
        <f t="shared" si="46"/>
        <v>69287074.039999992</v>
      </c>
      <c r="R141" s="1328">
        <f t="shared" si="43"/>
        <v>18334706.057142857</v>
      </c>
      <c r="S141" s="783"/>
      <c r="T141" s="784"/>
      <c r="U141" s="783"/>
      <c r="V141" s="784"/>
      <c r="W141" s="784"/>
      <c r="X141" s="784"/>
      <c r="Y141" s="783"/>
      <c r="Z141" s="783"/>
      <c r="AA141" s="783"/>
      <c r="AB141" s="708"/>
      <c r="AC141" s="1347" t="s">
        <v>1835</v>
      </c>
      <c r="AD141" s="951" t="s">
        <v>652</v>
      </c>
      <c r="AE141" s="1549"/>
    </row>
    <row r="142" spans="1:31" ht="45.75" thickBot="1" x14ac:dyDescent="0.3">
      <c r="A142" s="895" t="s">
        <v>2762</v>
      </c>
      <c r="B142" s="1093" t="s">
        <v>652</v>
      </c>
      <c r="C142" s="1094" t="s">
        <v>2647</v>
      </c>
      <c r="D142" s="805">
        <v>0.25</v>
      </c>
      <c r="E142" s="805">
        <v>0.5</v>
      </c>
      <c r="F142" s="805">
        <v>0.25</v>
      </c>
      <c r="G142" s="1237">
        <f>'18Sector'!D8</f>
        <v>1</v>
      </c>
      <c r="H142" s="1261"/>
      <c r="I142" s="1259">
        <f t="shared" si="47"/>
        <v>1</v>
      </c>
      <c r="J142" s="792">
        <f t="shared" si="48"/>
        <v>1</v>
      </c>
      <c r="K142" s="781"/>
      <c r="L142" s="781"/>
      <c r="M142" s="911">
        <v>1</v>
      </c>
      <c r="N142" s="1339">
        <f t="shared" si="36"/>
        <v>1.75</v>
      </c>
      <c r="O142" s="1341">
        <f t="shared" si="37"/>
        <v>1</v>
      </c>
      <c r="P142" s="716">
        <f>7%*$P$131</f>
        <v>3.5000000000000005E-3</v>
      </c>
      <c r="Q142" s="1327">
        <f t="shared" si="46"/>
        <v>60626189.785000011</v>
      </c>
      <c r="R142" s="1328">
        <f t="shared" si="43"/>
        <v>16042867.800000003</v>
      </c>
      <c r="S142" s="783"/>
      <c r="T142" s="784"/>
      <c r="U142" s="783"/>
      <c r="V142" s="784"/>
      <c r="W142" s="784"/>
      <c r="X142" s="784"/>
      <c r="Y142" s="783"/>
      <c r="Z142" s="783"/>
      <c r="AA142" s="783"/>
      <c r="AB142" s="708"/>
      <c r="AC142" s="1347" t="s">
        <v>1835</v>
      </c>
      <c r="AD142" s="951" t="s">
        <v>652</v>
      </c>
      <c r="AE142" s="1550"/>
    </row>
    <row r="143" spans="1:31" ht="15" customHeight="1" thickBot="1" x14ac:dyDescent="0.3">
      <c r="A143" s="1672" t="s">
        <v>2763</v>
      </c>
      <c r="B143" s="1673"/>
      <c r="C143" s="1309"/>
      <c r="D143" s="867"/>
      <c r="E143" s="867"/>
      <c r="F143" s="867"/>
      <c r="G143" s="1261"/>
      <c r="H143" s="1261"/>
      <c r="I143" s="1310">
        <f>SUM(I144+I159)/2</f>
        <v>1</v>
      </c>
      <c r="J143" s="1310">
        <f>SUM(J144+J159)/2</f>
        <v>0.99934010169196608</v>
      </c>
      <c r="K143" s="781"/>
      <c r="L143" s="781"/>
      <c r="M143" s="546"/>
      <c r="N143" s="1339">
        <f t="shared" si="36"/>
        <v>0</v>
      </c>
      <c r="O143" s="1341" t="e">
        <f t="shared" si="37"/>
        <v>#DIV/0!</v>
      </c>
      <c r="P143" s="1184">
        <f>+P144+P159</f>
        <v>0.12</v>
      </c>
      <c r="Q143" s="1326">
        <f>+Q144+Q159</f>
        <v>1020059653</v>
      </c>
      <c r="R143" s="1326">
        <f>+R144+R159</f>
        <v>559867001</v>
      </c>
      <c r="S143" s="1337">
        <f>+R143/Q143</f>
        <v>0.54885711767290146</v>
      </c>
      <c r="T143" s="1326">
        <f>+T144+T159</f>
        <v>534512251</v>
      </c>
      <c r="U143" s="1332">
        <f>+T143/R143</f>
        <v>0.95471290511011919</v>
      </c>
      <c r="V143" s="729">
        <f t="shared" ref="V143:V144" si="49">+R143-T143</f>
        <v>25354750</v>
      </c>
      <c r="W143" s="784"/>
      <c r="X143" s="784"/>
      <c r="Y143" s="1326">
        <f>+Y144+Y159</f>
        <v>4152974362</v>
      </c>
      <c r="Z143" s="1326">
        <f>+Z144+Z159</f>
        <v>1521016604</v>
      </c>
      <c r="AA143" s="766">
        <f>+Z143/Y143</f>
        <v>0.36624753042479774</v>
      </c>
      <c r="AB143" s="708"/>
      <c r="AC143" s="1347"/>
      <c r="AD143" s="951"/>
      <c r="AE143" s="955"/>
    </row>
    <row r="144" spans="1:31" ht="15" customHeight="1" thickBot="1" x14ac:dyDescent="0.3">
      <c r="A144" s="1659" t="s">
        <v>2840</v>
      </c>
      <c r="B144" s="1660"/>
      <c r="C144" s="1311"/>
      <c r="D144" s="867"/>
      <c r="E144" s="867"/>
      <c r="F144" s="867"/>
      <c r="G144" s="1261"/>
      <c r="H144" s="1261"/>
      <c r="I144" s="1270">
        <v>1</v>
      </c>
      <c r="J144" s="1245">
        <f>+(J145+J146+J147+J148+J149+J150+J151+J152+J153+J154+J155+J156+J157)/13</f>
        <v>1</v>
      </c>
      <c r="K144" s="781"/>
      <c r="L144" s="781"/>
      <c r="M144" s="943"/>
      <c r="N144" s="1339">
        <f t="shared" si="36"/>
        <v>0</v>
      </c>
      <c r="O144" s="1341" t="e">
        <f t="shared" si="37"/>
        <v>#DIV/0!</v>
      </c>
      <c r="P144" s="1184">
        <v>0.06</v>
      </c>
      <c r="Q144" s="1325">
        <f>'informe Gastos'!AC89</f>
        <v>647642990</v>
      </c>
      <c r="R144" s="1325">
        <f>'informe Gastos'!AD89</f>
        <v>253291537</v>
      </c>
      <c r="S144" s="1332">
        <f>+R144/Q144</f>
        <v>0.39109747331627875</v>
      </c>
      <c r="T144" s="1325">
        <f>'informe Gastos'!AE89</f>
        <v>245291537</v>
      </c>
      <c r="U144" s="1332">
        <f>+T144/R144</f>
        <v>0.96841584170259898</v>
      </c>
      <c r="V144" s="729">
        <f t="shared" si="49"/>
        <v>8000000</v>
      </c>
      <c r="W144" s="784"/>
      <c r="X144" s="784"/>
      <c r="Y144" s="783">
        <f>(434227387+354642990+478736000+505546000)+335760771+42000000-7000000+300000000</f>
        <v>2443913148</v>
      </c>
      <c r="Z144" s="783">
        <f>626037269+R144</f>
        <v>879328806</v>
      </c>
      <c r="AA144" s="766">
        <f>+Z144/Y144</f>
        <v>0.35980362343056554</v>
      </c>
      <c r="AB144" s="708"/>
      <c r="AC144" s="1347"/>
      <c r="AD144" s="951"/>
      <c r="AE144" s="955"/>
    </row>
    <row r="145" spans="1:31" ht="34.5" customHeight="1" x14ac:dyDescent="0.25">
      <c r="A145" s="1656" t="s">
        <v>2764</v>
      </c>
      <c r="B145" s="1097" t="s">
        <v>3013</v>
      </c>
      <c r="C145" s="1095" t="s">
        <v>2660</v>
      </c>
      <c r="D145" s="867">
        <v>5</v>
      </c>
      <c r="E145" s="867">
        <v>20</v>
      </c>
      <c r="F145" s="867">
        <v>5</v>
      </c>
      <c r="G145" s="1261">
        <v>20</v>
      </c>
      <c r="H145" s="1261"/>
      <c r="I145" s="1259">
        <f t="shared" si="47"/>
        <v>1</v>
      </c>
      <c r="J145" s="792">
        <f t="shared" si="48"/>
        <v>1</v>
      </c>
      <c r="K145" s="781" t="s">
        <v>3439</v>
      </c>
      <c r="L145" s="781"/>
      <c r="M145" s="940">
        <v>60</v>
      </c>
      <c r="N145" s="1339">
        <f t="shared" si="36"/>
        <v>45</v>
      </c>
      <c r="O145" s="1341">
        <f t="shared" si="37"/>
        <v>0.75</v>
      </c>
      <c r="P145" s="716">
        <f>13%*$P$144</f>
        <v>7.7999999999999996E-3</v>
      </c>
      <c r="Q145" s="1327">
        <f>Q$144*P145/P$144</f>
        <v>84193588.700000003</v>
      </c>
      <c r="R145" s="1328">
        <f>R$144*P145/P$144</f>
        <v>32927899.809999999</v>
      </c>
      <c r="S145" s="783"/>
      <c r="T145" s="784"/>
      <c r="U145" s="783"/>
      <c r="V145" s="784"/>
      <c r="W145" s="784"/>
      <c r="X145" s="784"/>
      <c r="Y145" s="783"/>
      <c r="Z145" s="783"/>
      <c r="AA145" s="783"/>
      <c r="AB145" s="708"/>
      <c r="AC145" s="1347" t="s">
        <v>1842</v>
      </c>
      <c r="AD145" s="951" t="s">
        <v>1114</v>
      </c>
      <c r="AE145" s="1544" t="s">
        <v>3309</v>
      </c>
    </row>
    <row r="146" spans="1:31" ht="77.25" customHeight="1" x14ac:dyDescent="0.25">
      <c r="A146" s="1622"/>
      <c r="B146" s="1082" t="s">
        <v>3014</v>
      </c>
      <c r="C146" s="1095" t="s">
        <v>2660</v>
      </c>
      <c r="D146" s="867">
        <v>1</v>
      </c>
      <c r="E146" s="867">
        <v>1</v>
      </c>
      <c r="F146" s="867">
        <v>2</v>
      </c>
      <c r="G146" s="1261">
        <v>1</v>
      </c>
      <c r="H146" s="1261"/>
      <c r="I146" s="1259">
        <f t="shared" si="47"/>
        <v>1</v>
      </c>
      <c r="J146" s="792">
        <f t="shared" si="48"/>
        <v>1</v>
      </c>
      <c r="K146" s="781" t="s">
        <v>3301</v>
      </c>
      <c r="L146" s="781"/>
      <c r="M146" s="910">
        <v>4</v>
      </c>
      <c r="N146" s="1339">
        <f t="shared" si="36"/>
        <v>4</v>
      </c>
      <c r="O146" s="1341">
        <f t="shared" si="37"/>
        <v>1</v>
      </c>
      <c r="P146" s="716">
        <f>5%*$P$144</f>
        <v>3.0000000000000001E-3</v>
      </c>
      <c r="Q146" s="1327">
        <f t="shared" ref="Q146:Q158" si="50">Q$144*P146/P$144</f>
        <v>32382149.5</v>
      </c>
      <c r="R146" s="1328">
        <f t="shared" ref="R146:R158" si="51">R$144*P146/P$144</f>
        <v>12664576.850000001</v>
      </c>
      <c r="S146" s="783"/>
      <c r="T146" s="784"/>
      <c r="U146" s="783"/>
      <c r="V146" s="784"/>
      <c r="W146" s="784"/>
      <c r="X146" s="784"/>
      <c r="Y146" s="783"/>
      <c r="Z146" s="783"/>
      <c r="AA146" s="783"/>
      <c r="AB146" s="708"/>
      <c r="AC146" s="1347" t="s">
        <v>1842</v>
      </c>
      <c r="AD146" s="951" t="s">
        <v>1114</v>
      </c>
      <c r="AE146" s="1545"/>
    </row>
    <row r="147" spans="1:31" ht="54" customHeight="1" x14ac:dyDescent="0.25">
      <c r="A147" s="885" t="s">
        <v>2765</v>
      </c>
      <c r="B147" s="885" t="s">
        <v>3015</v>
      </c>
      <c r="C147" s="1095" t="s">
        <v>2660</v>
      </c>
      <c r="D147" s="867">
        <v>30</v>
      </c>
      <c r="E147" s="867">
        <v>45</v>
      </c>
      <c r="F147" s="867">
        <v>58</v>
      </c>
      <c r="G147" s="1261">
        <v>129</v>
      </c>
      <c r="H147" s="1261"/>
      <c r="I147" s="1259">
        <f t="shared" si="47"/>
        <v>1</v>
      </c>
      <c r="J147" s="792">
        <f t="shared" si="48"/>
        <v>1</v>
      </c>
      <c r="K147" s="781" t="s">
        <v>3440</v>
      </c>
      <c r="L147" s="781"/>
      <c r="M147" s="907">
        <v>170</v>
      </c>
      <c r="N147" s="1339">
        <f t="shared" si="36"/>
        <v>232</v>
      </c>
      <c r="O147" s="1341">
        <f t="shared" si="37"/>
        <v>1</v>
      </c>
      <c r="P147" s="716">
        <f>4%*$P$144</f>
        <v>2.3999999999999998E-3</v>
      </c>
      <c r="Q147" s="1327">
        <f t="shared" si="50"/>
        <v>25905719.600000001</v>
      </c>
      <c r="R147" s="1328">
        <f t="shared" si="51"/>
        <v>10131661.48</v>
      </c>
      <c r="S147" s="783"/>
      <c r="T147" s="784"/>
      <c r="U147" s="783"/>
      <c r="V147" s="784"/>
      <c r="W147" s="784"/>
      <c r="X147" s="784"/>
      <c r="Y147" s="783"/>
      <c r="Z147" s="783"/>
      <c r="AA147" s="783"/>
      <c r="AB147" s="708"/>
      <c r="AC147" s="1347" t="s">
        <v>1842</v>
      </c>
      <c r="AD147" s="951" t="s">
        <v>1114</v>
      </c>
      <c r="AE147" s="1545"/>
    </row>
    <row r="148" spans="1:31" ht="89.25" customHeight="1" x14ac:dyDescent="0.25">
      <c r="A148" s="885" t="s">
        <v>2766</v>
      </c>
      <c r="B148" s="885" t="s">
        <v>3016</v>
      </c>
      <c r="C148" s="1095" t="s">
        <v>2660</v>
      </c>
      <c r="D148" s="867">
        <v>3</v>
      </c>
      <c r="E148" s="867">
        <v>1</v>
      </c>
      <c r="F148" s="867">
        <v>3</v>
      </c>
      <c r="G148" s="1261">
        <v>1</v>
      </c>
      <c r="H148" s="1261"/>
      <c r="I148" s="1259">
        <f t="shared" si="47"/>
        <v>1</v>
      </c>
      <c r="J148" s="792">
        <f t="shared" si="48"/>
        <v>1</v>
      </c>
      <c r="K148" s="781" t="s">
        <v>3443</v>
      </c>
      <c r="L148" s="781"/>
      <c r="M148" s="907">
        <v>4</v>
      </c>
      <c r="N148" s="1339">
        <f t="shared" si="36"/>
        <v>5</v>
      </c>
      <c r="O148" s="1341">
        <f t="shared" si="37"/>
        <v>1</v>
      </c>
      <c r="P148" s="716">
        <f>5%*$P$144</f>
        <v>3.0000000000000001E-3</v>
      </c>
      <c r="Q148" s="1327">
        <f t="shared" si="50"/>
        <v>32382149.5</v>
      </c>
      <c r="R148" s="1328">
        <f t="shared" si="51"/>
        <v>12664576.850000001</v>
      </c>
      <c r="S148" s="783"/>
      <c r="T148" s="784"/>
      <c r="U148" s="783"/>
      <c r="V148" s="784"/>
      <c r="W148" s="784"/>
      <c r="X148" s="784"/>
      <c r="Y148" s="783"/>
      <c r="Z148" s="783"/>
      <c r="AA148" s="783"/>
      <c r="AB148" s="708"/>
      <c r="AC148" s="1347" t="s">
        <v>1842</v>
      </c>
      <c r="AD148" s="951" t="s">
        <v>1114</v>
      </c>
      <c r="AE148" s="1545"/>
    </row>
    <row r="149" spans="1:31" ht="77.25" customHeight="1" x14ac:dyDescent="0.25">
      <c r="A149" s="894" t="s">
        <v>2767</v>
      </c>
      <c r="B149" s="894" t="s">
        <v>3017</v>
      </c>
      <c r="C149" s="1095" t="s">
        <v>2660</v>
      </c>
      <c r="D149" s="867">
        <v>30</v>
      </c>
      <c r="E149" s="867">
        <v>550</v>
      </c>
      <c r="F149" s="867">
        <v>176</v>
      </c>
      <c r="G149" s="1261">
        <v>592</v>
      </c>
      <c r="H149" s="1261"/>
      <c r="I149" s="1259">
        <f t="shared" si="47"/>
        <v>1</v>
      </c>
      <c r="J149" s="792">
        <f t="shared" si="48"/>
        <v>1</v>
      </c>
      <c r="K149" s="781" t="s">
        <v>3441</v>
      </c>
      <c r="L149" s="781"/>
      <c r="M149" s="907">
        <v>1130</v>
      </c>
      <c r="N149" s="1339">
        <f t="shared" si="36"/>
        <v>1318</v>
      </c>
      <c r="O149" s="1341">
        <f t="shared" si="37"/>
        <v>1</v>
      </c>
      <c r="P149" s="716">
        <f>10%*$P$144</f>
        <v>6.0000000000000001E-3</v>
      </c>
      <c r="Q149" s="1327">
        <f t="shared" si="50"/>
        <v>64764299</v>
      </c>
      <c r="R149" s="1328">
        <f t="shared" si="51"/>
        <v>25329153.700000003</v>
      </c>
      <c r="S149" s="783"/>
      <c r="T149" s="784"/>
      <c r="U149" s="783"/>
      <c r="V149" s="784"/>
      <c r="W149" s="784"/>
      <c r="X149" s="784"/>
      <c r="Y149" s="783"/>
      <c r="Z149" s="783"/>
      <c r="AA149" s="783"/>
      <c r="AB149" s="708"/>
      <c r="AC149" s="1347" t="s">
        <v>1842</v>
      </c>
      <c r="AD149" s="951" t="s">
        <v>1114</v>
      </c>
      <c r="AE149" s="1545"/>
    </row>
    <row r="150" spans="1:31" ht="72" customHeight="1" x14ac:dyDescent="0.25">
      <c r="A150" s="894" t="s">
        <v>2768</v>
      </c>
      <c r="B150" s="894" t="s">
        <v>3018</v>
      </c>
      <c r="C150" s="1095" t="s">
        <v>2647</v>
      </c>
      <c r="D150" s="805">
        <v>0.3</v>
      </c>
      <c r="E150" s="805">
        <v>0.2</v>
      </c>
      <c r="F150" s="805">
        <v>0.3</v>
      </c>
      <c r="G150" s="1237">
        <v>0.2</v>
      </c>
      <c r="H150" s="1261"/>
      <c r="I150" s="1259">
        <f t="shared" si="47"/>
        <v>1</v>
      </c>
      <c r="J150" s="792">
        <f t="shared" si="48"/>
        <v>1</v>
      </c>
      <c r="K150" s="781" t="s">
        <v>3444</v>
      </c>
      <c r="L150" s="781"/>
      <c r="M150" s="906">
        <v>1</v>
      </c>
      <c r="N150" s="1339">
        <f t="shared" si="36"/>
        <v>0.7</v>
      </c>
      <c r="O150" s="1341">
        <f t="shared" si="37"/>
        <v>0.7</v>
      </c>
      <c r="P150" s="716">
        <f>10%*$P$144</f>
        <v>6.0000000000000001E-3</v>
      </c>
      <c r="Q150" s="1327">
        <f t="shared" si="50"/>
        <v>64764299</v>
      </c>
      <c r="R150" s="1328">
        <f t="shared" si="51"/>
        <v>25329153.700000003</v>
      </c>
      <c r="S150" s="783"/>
      <c r="T150" s="784"/>
      <c r="U150" s="783"/>
      <c r="V150" s="784"/>
      <c r="W150" s="784"/>
      <c r="X150" s="784"/>
      <c r="Y150" s="783"/>
      <c r="Z150" s="783"/>
      <c r="AA150" s="783"/>
      <c r="AB150" s="708"/>
      <c r="AC150" s="1347" t="s">
        <v>1842</v>
      </c>
      <c r="AD150" s="951" t="s">
        <v>1114</v>
      </c>
      <c r="AE150" s="1545"/>
    </row>
    <row r="151" spans="1:31" ht="99.75" customHeight="1" x14ac:dyDescent="0.25">
      <c r="A151" s="885" t="s">
        <v>2769</v>
      </c>
      <c r="B151" s="885" t="s">
        <v>3018</v>
      </c>
      <c r="C151" s="1095" t="s">
        <v>2647</v>
      </c>
      <c r="D151" s="867">
        <v>30</v>
      </c>
      <c r="E151" s="867">
        <v>20</v>
      </c>
      <c r="F151" s="867">
        <v>30</v>
      </c>
      <c r="G151" s="1261">
        <v>20</v>
      </c>
      <c r="H151" s="1261"/>
      <c r="I151" s="1259">
        <f t="shared" si="47"/>
        <v>1</v>
      </c>
      <c r="J151" s="792">
        <f t="shared" si="48"/>
        <v>1</v>
      </c>
      <c r="K151" s="781" t="s">
        <v>3445</v>
      </c>
      <c r="L151" s="781"/>
      <c r="M151" s="906">
        <v>1</v>
      </c>
      <c r="N151" s="1339">
        <f t="shared" si="36"/>
        <v>70</v>
      </c>
      <c r="O151" s="1341">
        <f t="shared" si="37"/>
        <v>1</v>
      </c>
      <c r="P151" s="716">
        <f>10%*$P$144</f>
        <v>6.0000000000000001E-3</v>
      </c>
      <c r="Q151" s="1327">
        <f t="shared" si="50"/>
        <v>64764299</v>
      </c>
      <c r="R151" s="1328">
        <f t="shared" si="51"/>
        <v>25329153.700000003</v>
      </c>
      <c r="S151" s="783"/>
      <c r="T151" s="784"/>
      <c r="U151" s="783"/>
      <c r="V151" s="784"/>
      <c r="W151" s="784"/>
      <c r="X151" s="784"/>
      <c r="Y151" s="783"/>
      <c r="Z151" s="783"/>
      <c r="AA151" s="783"/>
      <c r="AB151" s="708"/>
      <c r="AC151" s="1347" t="s">
        <v>1842</v>
      </c>
      <c r="AD151" s="951" t="s">
        <v>1114</v>
      </c>
      <c r="AE151" s="1545"/>
    </row>
    <row r="152" spans="1:31" ht="101.25" customHeight="1" x14ac:dyDescent="0.25">
      <c r="A152" s="885" t="s">
        <v>2770</v>
      </c>
      <c r="B152" s="885" t="s">
        <v>3019</v>
      </c>
      <c r="C152" s="1095" t="s">
        <v>2660</v>
      </c>
      <c r="D152" s="867">
        <v>2</v>
      </c>
      <c r="E152" s="867">
        <v>3</v>
      </c>
      <c r="F152" s="867">
        <v>2</v>
      </c>
      <c r="G152" s="1261">
        <v>3</v>
      </c>
      <c r="H152" s="1261"/>
      <c r="I152" s="1259">
        <f t="shared" si="47"/>
        <v>1</v>
      </c>
      <c r="J152" s="792">
        <f t="shared" si="48"/>
        <v>1</v>
      </c>
      <c r="K152" s="781" t="s">
        <v>3446</v>
      </c>
      <c r="L152" s="781"/>
      <c r="M152" s="907">
        <v>14</v>
      </c>
      <c r="N152" s="1339">
        <f t="shared" si="36"/>
        <v>8</v>
      </c>
      <c r="O152" s="1341">
        <f t="shared" si="37"/>
        <v>0.5714285714285714</v>
      </c>
      <c r="P152" s="716">
        <f>5%*$P$144</f>
        <v>3.0000000000000001E-3</v>
      </c>
      <c r="Q152" s="1327">
        <f t="shared" si="50"/>
        <v>32382149.5</v>
      </c>
      <c r="R152" s="1328">
        <f t="shared" si="51"/>
        <v>12664576.850000001</v>
      </c>
      <c r="S152" s="783"/>
      <c r="T152" s="784"/>
      <c r="U152" s="783"/>
      <c r="V152" s="784"/>
      <c r="W152" s="784"/>
      <c r="X152" s="784"/>
      <c r="Y152" s="783"/>
      <c r="Z152" s="783"/>
      <c r="AA152" s="783"/>
      <c r="AB152" s="708"/>
      <c r="AC152" s="1347" t="s">
        <v>1842</v>
      </c>
      <c r="AD152" s="951" t="s">
        <v>1114</v>
      </c>
      <c r="AE152" s="1545"/>
    </row>
    <row r="153" spans="1:31" ht="135" customHeight="1" x14ac:dyDescent="0.25">
      <c r="A153" s="894" t="s">
        <v>2771</v>
      </c>
      <c r="B153" s="894" t="s">
        <v>3020</v>
      </c>
      <c r="C153" s="1095" t="s">
        <v>2660</v>
      </c>
      <c r="D153" s="867">
        <v>0</v>
      </c>
      <c r="E153" s="867">
        <v>1</v>
      </c>
      <c r="F153" s="867">
        <v>0</v>
      </c>
      <c r="G153" s="1261">
        <v>1</v>
      </c>
      <c r="H153" s="1261"/>
      <c r="I153" s="1259" t="e">
        <f t="shared" si="47"/>
        <v>#DIV/0!</v>
      </c>
      <c r="J153" s="792">
        <f t="shared" si="48"/>
        <v>1</v>
      </c>
      <c r="K153" s="781" t="s">
        <v>3447</v>
      </c>
      <c r="L153" s="781"/>
      <c r="M153" s="907">
        <v>2</v>
      </c>
      <c r="N153" s="1339">
        <f t="shared" si="36"/>
        <v>2</v>
      </c>
      <c r="O153" s="1341">
        <f t="shared" si="37"/>
        <v>1</v>
      </c>
      <c r="P153" s="716">
        <f>5%*$P$144</f>
        <v>3.0000000000000001E-3</v>
      </c>
      <c r="Q153" s="1327">
        <f t="shared" si="50"/>
        <v>32382149.5</v>
      </c>
      <c r="R153" s="1328">
        <f t="shared" si="51"/>
        <v>12664576.850000001</v>
      </c>
      <c r="S153" s="783"/>
      <c r="T153" s="784"/>
      <c r="U153" s="783"/>
      <c r="V153" s="784"/>
      <c r="W153" s="784"/>
      <c r="X153" s="784"/>
      <c r="Y153" s="783"/>
      <c r="Z153" s="783"/>
      <c r="AA153" s="783"/>
      <c r="AB153" s="708"/>
      <c r="AC153" s="1347" t="s">
        <v>1842</v>
      </c>
      <c r="AD153" s="951" t="s">
        <v>1114</v>
      </c>
      <c r="AE153" s="1545"/>
    </row>
    <row r="154" spans="1:31" ht="138.75" customHeight="1" x14ac:dyDescent="0.25">
      <c r="A154" s="885" t="s">
        <v>2772</v>
      </c>
      <c r="B154" s="885" t="s">
        <v>3021</v>
      </c>
      <c r="C154" s="1095" t="s">
        <v>2647</v>
      </c>
      <c r="D154" s="867">
        <v>30</v>
      </c>
      <c r="E154" s="867">
        <v>20</v>
      </c>
      <c r="F154" s="867">
        <v>30</v>
      </c>
      <c r="G154" s="1261">
        <v>20</v>
      </c>
      <c r="H154" s="1261"/>
      <c r="I154" s="1259">
        <f t="shared" si="47"/>
        <v>1</v>
      </c>
      <c r="J154" s="792">
        <f t="shared" si="48"/>
        <v>1</v>
      </c>
      <c r="K154" s="781" t="s">
        <v>3448</v>
      </c>
      <c r="L154" s="781"/>
      <c r="M154" s="907">
        <v>100</v>
      </c>
      <c r="N154" s="1339">
        <f t="shared" si="36"/>
        <v>70</v>
      </c>
      <c r="O154" s="1341">
        <f t="shared" si="37"/>
        <v>0.7</v>
      </c>
      <c r="P154" s="716">
        <f>12%*$P$144</f>
        <v>7.1999999999999998E-3</v>
      </c>
      <c r="Q154" s="1327">
        <f t="shared" si="50"/>
        <v>77717158.799999997</v>
      </c>
      <c r="R154" s="1328">
        <f t="shared" si="51"/>
        <v>30394984.439999998</v>
      </c>
      <c r="S154" s="783"/>
      <c r="T154" s="784"/>
      <c r="U154" s="783"/>
      <c r="V154" s="784"/>
      <c r="W154" s="784"/>
      <c r="X154" s="784"/>
      <c r="Y154" s="783"/>
      <c r="Z154" s="783"/>
      <c r="AA154" s="783"/>
      <c r="AB154" s="708"/>
      <c r="AC154" s="1347" t="s">
        <v>1842</v>
      </c>
      <c r="AD154" s="951" t="s">
        <v>1114</v>
      </c>
      <c r="AE154" s="1545"/>
    </row>
    <row r="155" spans="1:31" ht="99.75" customHeight="1" x14ac:dyDescent="0.25">
      <c r="A155" s="885" t="s">
        <v>2773</v>
      </c>
      <c r="B155" s="885" t="s">
        <v>3022</v>
      </c>
      <c r="C155" s="1095" t="s">
        <v>2660</v>
      </c>
      <c r="D155" s="867">
        <v>10</v>
      </c>
      <c r="E155" s="867">
        <v>55</v>
      </c>
      <c r="F155" s="867">
        <v>113</v>
      </c>
      <c r="G155" s="1261">
        <v>55</v>
      </c>
      <c r="H155" s="1261"/>
      <c r="I155" s="1259">
        <f t="shared" si="47"/>
        <v>1</v>
      </c>
      <c r="J155" s="792">
        <f t="shared" si="48"/>
        <v>1</v>
      </c>
      <c r="K155" s="781" t="s">
        <v>3449</v>
      </c>
      <c r="L155" s="781"/>
      <c r="M155" s="907">
        <v>95</v>
      </c>
      <c r="N155" s="1339">
        <f t="shared" si="36"/>
        <v>223</v>
      </c>
      <c r="O155" s="1341">
        <f t="shared" si="37"/>
        <v>1</v>
      </c>
      <c r="P155" s="716">
        <f>7%*$P$144</f>
        <v>4.2000000000000006E-3</v>
      </c>
      <c r="Q155" s="1327">
        <f t="shared" si="50"/>
        <v>45335009.300000004</v>
      </c>
      <c r="R155" s="1328">
        <f t="shared" si="51"/>
        <v>17730407.590000004</v>
      </c>
      <c r="S155" s="783"/>
      <c r="T155" s="784"/>
      <c r="U155" s="783"/>
      <c r="V155" s="784"/>
      <c r="W155" s="784"/>
      <c r="X155" s="784"/>
      <c r="Y155" s="783"/>
      <c r="Z155" s="783"/>
      <c r="AA155" s="783"/>
      <c r="AB155" s="708"/>
      <c r="AC155" s="1347" t="s">
        <v>1842</v>
      </c>
      <c r="AD155" s="951" t="s">
        <v>1114</v>
      </c>
      <c r="AE155" s="1545"/>
    </row>
    <row r="156" spans="1:31" ht="97.5" customHeight="1" x14ac:dyDescent="0.25">
      <c r="A156" s="894" t="s">
        <v>2774</v>
      </c>
      <c r="B156" s="894" t="s">
        <v>3023</v>
      </c>
      <c r="C156" s="1095" t="s">
        <v>2660</v>
      </c>
      <c r="D156" s="867">
        <v>8</v>
      </c>
      <c r="E156" s="867">
        <v>7</v>
      </c>
      <c r="F156" s="867">
        <v>8</v>
      </c>
      <c r="G156" s="1261">
        <v>7</v>
      </c>
      <c r="H156" s="1261"/>
      <c r="I156" s="1259">
        <f t="shared" si="47"/>
        <v>1</v>
      </c>
      <c r="J156" s="792">
        <f t="shared" si="48"/>
        <v>1</v>
      </c>
      <c r="K156" s="781" t="s">
        <v>3450</v>
      </c>
      <c r="L156" s="781"/>
      <c r="M156" s="907">
        <v>15</v>
      </c>
      <c r="N156" s="1339">
        <f t="shared" si="36"/>
        <v>22</v>
      </c>
      <c r="O156" s="1341">
        <f t="shared" si="37"/>
        <v>1</v>
      </c>
      <c r="P156" s="716">
        <f>10%*$P$144</f>
        <v>6.0000000000000001E-3</v>
      </c>
      <c r="Q156" s="1327">
        <f t="shared" si="50"/>
        <v>64764299</v>
      </c>
      <c r="R156" s="1328">
        <f t="shared" si="51"/>
        <v>25329153.700000003</v>
      </c>
      <c r="S156" s="783"/>
      <c r="T156" s="784"/>
      <c r="U156" s="783"/>
      <c r="V156" s="784"/>
      <c r="W156" s="784"/>
      <c r="X156" s="784"/>
      <c r="Y156" s="783"/>
      <c r="Z156" s="783"/>
      <c r="AA156" s="783"/>
      <c r="AB156" s="708"/>
      <c r="AC156" s="1347" t="s">
        <v>1842</v>
      </c>
      <c r="AD156" s="951" t="s">
        <v>1114</v>
      </c>
      <c r="AE156" s="1545"/>
    </row>
    <row r="157" spans="1:31" ht="93.75" customHeight="1" x14ac:dyDescent="0.25">
      <c r="A157" s="1096" t="s">
        <v>2775</v>
      </c>
      <c r="B157" s="1096" t="s">
        <v>3024</v>
      </c>
      <c r="C157" s="1095" t="s">
        <v>2660</v>
      </c>
      <c r="D157" s="867">
        <v>0</v>
      </c>
      <c r="E157" s="867">
        <v>1</v>
      </c>
      <c r="F157" s="867">
        <v>0</v>
      </c>
      <c r="G157" s="1261">
        <v>1</v>
      </c>
      <c r="H157" s="1261"/>
      <c r="I157" s="1259" t="e">
        <f t="shared" si="47"/>
        <v>#DIV/0!</v>
      </c>
      <c r="J157" s="792">
        <f t="shared" si="48"/>
        <v>1</v>
      </c>
      <c r="K157" s="781" t="s">
        <v>3451</v>
      </c>
      <c r="L157" s="781"/>
      <c r="M157" s="907">
        <v>2</v>
      </c>
      <c r="N157" s="1339">
        <f t="shared" si="36"/>
        <v>2</v>
      </c>
      <c r="O157" s="1341">
        <f t="shared" si="37"/>
        <v>1</v>
      </c>
      <c r="P157" s="716">
        <f>2%*$P$144</f>
        <v>1.1999999999999999E-3</v>
      </c>
      <c r="Q157" s="1327">
        <f t="shared" si="50"/>
        <v>12952859.800000001</v>
      </c>
      <c r="R157" s="1328">
        <f t="shared" si="51"/>
        <v>5065830.74</v>
      </c>
      <c r="S157" s="783"/>
      <c r="T157" s="784"/>
      <c r="U157" s="783"/>
      <c r="V157" s="784"/>
      <c r="W157" s="784"/>
      <c r="X157" s="784"/>
      <c r="Y157" s="783"/>
      <c r="Z157" s="783"/>
      <c r="AA157" s="783"/>
      <c r="AB157" s="708"/>
      <c r="AC157" s="1347" t="s">
        <v>1842</v>
      </c>
      <c r="AD157" s="951" t="s">
        <v>1114</v>
      </c>
      <c r="AE157" s="1545"/>
    </row>
    <row r="158" spans="1:31" ht="90.75" thickBot="1" x14ac:dyDescent="0.3">
      <c r="A158" s="1098" t="s">
        <v>2776</v>
      </c>
      <c r="B158" s="1099" t="s">
        <v>3025</v>
      </c>
      <c r="C158" s="1095" t="s">
        <v>2660</v>
      </c>
      <c r="D158" s="867">
        <v>0</v>
      </c>
      <c r="E158" s="867">
        <v>0</v>
      </c>
      <c r="F158" s="867">
        <v>0</v>
      </c>
      <c r="G158" s="1312">
        <v>0</v>
      </c>
      <c r="H158" s="1312"/>
      <c r="I158" s="1306" t="e">
        <f t="shared" si="47"/>
        <v>#DIV/0!</v>
      </c>
      <c r="J158" s="805" t="e">
        <f t="shared" si="48"/>
        <v>#DIV/0!</v>
      </c>
      <c r="K158" s="781"/>
      <c r="L158" s="781"/>
      <c r="M158" s="910">
        <v>2</v>
      </c>
      <c r="N158" s="1339">
        <f t="shared" si="36"/>
        <v>0</v>
      </c>
      <c r="O158" s="1341">
        <f t="shared" si="37"/>
        <v>0</v>
      </c>
      <c r="P158" s="716">
        <f>2%*$P$144</f>
        <v>1.1999999999999999E-3</v>
      </c>
      <c r="Q158" s="1327">
        <f t="shared" si="50"/>
        <v>12952859.800000001</v>
      </c>
      <c r="R158" s="1328">
        <f t="shared" si="51"/>
        <v>5065830.74</v>
      </c>
      <c r="S158" s="783"/>
      <c r="T158" s="784"/>
      <c r="U158" s="783"/>
      <c r="V158" s="784"/>
      <c r="W158" s="784"/>
      <c r="X158" s="784"/>
      <c r="Y158" s="783"/>
      <c r="Z158" s="783"/>
      <c r="AA158" s="783"/>
      <c r="AB158" s="708"/>
      <c r="AC158" s="1347" t="s">
        <v>1842</v>
      </c>
      <c r="AD158" s="951" t="s">
        <v>1114</v>
      </c>
      <c r="AE158" s="1545"/>
    </row>
    <row r="159" spans="1:31" ht="15.75" customHeight="1" thickBot="1" x14ac:dyDescent="0.3">
      <c r="A159" s="1661" t="s">
        <v>2841</v>
      </c>
      <c r="B159" s="1661"/>
      <c r="C159" s="1313"/>
      <c r="D159" s="915"/>
      <c r="E159" s="915"/>
      <c r="F159" s="915"/>
      <c r="G159" s="1297"/>
      <c r="H159" s="1307"/>
      <c r="I159" s="1268">
        <v>1</v>
      </c>
      <c r="J159" s="1188">
        <f>+(J160+J161+J162+J163+J167+J168+J170+J171+J172+J173+J174+J175+J176+J177+J178)/15</f>
        <v>0.99868020338393226</v>
      </c>
      <c r="K159" s="781"/>
      <c r="L159" s="781"/>
      <c r="M159" s="944"/>
      <c r="N159" s="1339">
        <f t="shared" si="36"/>
        <v>0</v>
      </c>
      <c r="O159" s="1341" t="e">
        <f t="shared" si="37"/>
        <v>#DIV/0!</v>
      </c>
      <c r="P159" s="1184">
        <v>0.06</v>
      </c>
      <c r="Q159" s="1325">
        <f>'informe Gastos'!AC92</f>
        <v>372416663</v>
      </c>
      <c r="R159" s="1325">
        <f>'informe Gastos'!AD92</f>
        <v>306575464</v>
      </c>
      <c r="S159" s="1332">
        <f>+R159/Q159</f>
        <v>0.82320555028441356</v>
      </c>
      <c r="T159" s="1325">
        <f>'informe Gastos'!AE92</f>
        <v>289220714</v>
      </c>
      <c r="U159" s="1332">
        <f>+T159/R159</f>
        <v>0.94339158857148464</v>
      </c>
      <c r="V159" s="729">
        <f t="shared" ref="V159" si="52">+R159-T159</f>
        <v>17354750</v>
      </c>
      <c r="W159" s="784"/>
      <c r="X159" s="784"/>
      <c r="Y159" s="783">
        <f>(391412551+379416663+431533000+455699000)+58000000-7000000</f>
        <v>1709061214</v>
      </c>
      <c r="Z159" s="783">
        <f>335112334+R159</f>
        <v>641687798</v>
      </c>
      <c r="AA159" s="766">
        <f>+Z159/Y159</f>
        <v>0.37546215006433353</v>
      </c>
      <c r="AB159" s="957"/>
      <c r="AC159" s="1347"/>
      <c r="AD159" s="951"/>
      <c r="AE159" s="1545"/>
    </row>
    <row r="160" spans="1:31" ht="90" customHeight="1" x14ac:dyDescent="0.25">
      <c r="A160" s="1101" t="s">
        <v>2777</v>
      </c>
      <c r="B160" s="1101" t="s">
        <v>3026</v>
      </c>
      <c r="C160" s="1100" t="s">
        <v>2660</v>
      </c>
      <c r="D160" s="896">
        <v>4</v>
      </c>
      <c r="E160" s="884">
        <v>6</v>
      </c>
      <c r="F160" s="884">
        <v>4</v>
      </c>
      <c r="G160" s="1234">
        <v>6</v>
      </c>
      <c r="H160" s="1234"/>
      <c r="I160" s="1269">
        <f t="shared" si="47"/>
        <v>1</v>
      </c>
      <c r="J160" s="809">
        <f t="shared" si="48"/>
        <v>1</v>
      </c>
      <c r="K160" s="781" t="s">
        <v>3452</v>
      </c>
      <c r="L160" s="781"/>
      <c r="M160" s="945">
        <v>22</v>
      </c>
      <c r="N160" s="1339">
        <f t="shared" si="36"/>
        <v>16</v>
      </c>
      <c r="O160" s="1341">
        <f t="shared" si="37"/>
        <v>0.72727272727272729</v>
      </c>
      <c r="P160" s="716">
        <f>16%*$P$159</f>
        <v>9.5999999999999992E-3</v>
      </c>
      <c r="Q160" s="1327">
        <f>Q$159*P160/P$159</f>
        <v>59586666.079999998</v>
      </c>
      <c r="R160" s="1328">
        <f>R$159*P160/P$159</f>
        <v>49052074.239999995</v>
      </c>
      <c r="S160" s="783"/>
      <c r="T160" s="784"/>
      <c r="U160" s="783"/>
      <c r="V160" s="784"/>
      <c r="W160" s="784"/>
      <c r="X160" s="784"/>
      <c r="Y160" s="783"/>
      <c r="Z160" s="783"/>
      <c r="AA160" s="783"/>
      <c r="AB160" s="972"/>
      <c r="AC160" s="1347" t="s">
        <v>1842</v>
      </c>
      <c r="AD160" s="951" t="s">
        <v>1114</v>
      </c>
      <c r="AE160" s="1545"/>
    </row>
    <row r="161" spans="1:31" ht="110.25" customHeight="1" x14ac:dyDescent="0.25">
      <c r="A161" s="1101" t="s">
        <v>2778</v>
      </c>
      <c r="B161" s="1101" t="s">
        <v>3027</v>
      </c>
      <c r="C161" s="899" t="s">
        <v>2660</v>
      </c>
      <c r="D161" s="839">
        <v>20</v>
      </c>
      <c r="E161" s="867">
        <v>40</v>
      </c>
      <c r="F161" s="867">
        <v>52</v>
      </c>
      <c r="G161" s="1261">
        <v>40</v>
      </c>
      <c r="H161" s="1261"/>
      <c r="I161" s="1259">
        <f t="shared" si="47"/>
        <v>1</v>
      </c>
      <c r="J161" s="792">
        <f t="shared" si="48"/>
        <v>1</v>
      </c>
      <c r="K161" s="781" t="s">
        <v>3263</v>
      </c>
      <c r="L161" s="781"/>
      <c r="M161" s="801">
        <v>210</v>
      </c>
      <c r="N161" s="1339">
        <f t="shared" si="36"/>
        <v>132</v>
      </c>
      <c r="O161" s="1341">
        <f t="shared" si="37"/>
        <v>0.62857142857142856</v>
      </c>
      <c r="P161" s="716">
        <f>6%*$P$159</f>
        <v>3.5999999999999999E-3</v>
      </c>
      <c r="Q161" s="1327">
        <f t="shared" ref="Q161:Q178" si="53">Q$159*P161/P$159</f>
        <v>22344999.780000001</v>
      </c>
      <c r="R161" s="1328">
        <f t="shared" ref="R161:R178" si="54">R$159*P161/P$159</f>
        <v>18394527.84</v>
      </c>
      <c r="S161" s="783"/>
      <c r="T161" s="784"/>
      <c r="U161" s="783"/>
      <c r="V161" s="784"/>
      <c r="W161" s="784"/>
      <c r="X161" s="784"/>
      <c r="Y161" s="783"/>
      <c r="Z161" s="783"/>
      <c r="AA161" s="783"/>
      <c r="AB161" s="708"/>
      <c r="AC161" s="1347" t="s">
        <v>1842</v>
      </c>
      <c r="AD161" s="951" t="s">
        <v>1114</v>
      </c>
      <c r="AE161" s="1545"/>
    </row>
    <row r="162" spans="1:31" ht="70.5" customHeight="1" x14ac:dyDescent="0.25">
      <c r="A162" s="1101" t="s">
        <v>2779</v>
      </c>
      <c r="B162" s="1101" t="s">
        <v>3028</v>
      </c>
      <c r="C162" s="899" t="s">
        <v>2660</v>
      </c>
      <c r="D162" s="839">
        <v>3</v>
      </c>
      <c r="E162" s="867">
        <v>5</v>
      </c>
      <c r="F162" s="867">
        <v>3</v>
      </c>
      <c r="G162" s="1261">
        <v>5</v>
      </c>
      <c r="H162" s="1261"/>
      <c r="I162" s="1259">
        <f t="shared" si="47"/>
        <v>1</v>
      </c>
      <c r="J162" s="792">
        <f t="shared" si="48"/>
        <v>1</v>
      </c>
      <c r="K162" s="781" t="s">
        <v>3453</v>
      </c>
      <c r="L162" s="781"/>
      <c r="M162" s="801">
        <v>19</v>
      </c>
      <c r="N162" s="1339">
        <f t="shared" si="36"/>
        <v>13</v>
      </c>
      <c r="O162" s="1341">
        <f t="shared" si="37"/>
        <v>0.68421052631578949</v>
      </c>
      <c r="P162" s="716">
        <f>6%*$P$159</f>
        <v>3.5999999999999999E-3</v>
      </c>
      <c r="Q162" s="1327">
        <f t="shared" si="53"/>
        <v>22344999.780000001</v>
      </c>
      <c r="R162" s="1328">
        <f t="shared" si="54"/>
        <v>18394527.84</v>
      </c>
      <c r="S162" s="783"/>
      <c r="T162" s="784"/>
      <c r="U162" s="783"/>
      <c r="V162" s="784"/>
      <c r="W162" s="784"/>
      <c r="X162" s="784"/>
      <c r="Y162" s="783"/>
      <c r="Z162" s="783"/>
      <c r="AA162" s="783"/>
      <c r="AB162" s="708"/>
      <c r="AC162" s="1347" t="s">
        <v>1842</v>
      </c>
      <c r="AD162" s="951" t="s">
        <v>1114</v>
      </c>
      <c r="AE162" s="1545"/>
    </row>
    <row r="163" spans="1:31" ht="108" customHeight="1" x14ac:dyDescent="0.25">
      <c r="A163" s="1101" t="s">
        <v>2780</v>
      </c>
      <c r="B163" s="1101" t="s">
        <v>3029</v>
      </c>
      <c r="C163" s="899" t="s">
        <v>2660</v>
      </c>
      <c r="D163" s="839">
        <v>3</v>
      </c>
      <c r="E163" s="867">
        <v>3</v>
      </c>
      <c r="F163" s="867">
        <v>3</v>
      </c>
      <c r="G163" s="1115">
        <v>3</v>
      </c>
      <c r="H163" s="1115"/>
      <c r="I163" s="1113">
        <f t="shared" si="47"/>
        <v>1</v>
      </c>
      <c r="J163" s="792">
        <f t="shared" si="48"/>
        <v>1</v>
      </c>
      <c r="K163" s="781" t="s">
        <v>3454</v>
      </c>
      <c r="L163" s="781"/>
      <c r="M163" s="801">
        <v>12</v>
      </c>
      <c r="N163" s="1339">
        <f t="shared" si="36"/>
        <v>9</v>
      </c>
      <c r="O163" s="1341">
        <f t="shared" si="37"/>
        <v>0.75</v>
      </c>
      <c r="P163" s="716">
        <f>10%*$P$159</f>
        <v>6.0000000000000001E-3</v>
      </c>
      <c r="Q163" s="1327">
        <f t="shared" si="53"/>
        <v>37241666.300000004</v>
      </c>
      <c r="R163" s="1328">
        <f t="shared" si="54"/>
        <v>30657546.400000002</v>
      </c>
      <c r="S163" s="783"/>
      <c r="T163" s="784"/>
      <c r="U163" s="783"/>
      <c r="V163" s="784"/>
      <c r="W163" s="784"/>
      <c r="X163" s="784"/>
      <c r="Y163" s="783"/>
      <c r="Z163" s="783"/>
      <c r="AA163" s="783"/>
      <c r="AB163" s="708"/>
      <c r="AC163" s="1347" t="s">
        <v>1842</v>
      </c>
      <c r="AD163" s="951" t="s">
        <v>1114</v>
      </c>
      <c r="AE163" s="1545"/>
    </row>
    <row r="164" spans="1:31" ht="39.75" customHeight="1" x14ac:dyDescent="0.25">
      <c r="A164" s="1101" t="s">
        <v>3157</v>
      </c>
      <c r="B164" s="1101" t="s">
        <v>3158</v>
      </c>
      <c r="C164" s="899" t="s">
        <v>2660</v>
      </c>
      <c r="D164" s="839">
        <v>0</v>
      </c>
      <c r="E164" s="867">
        <v>0</v>
      </c>
      <c r="F164" s="867">
        <v>0</v>
      </c>
      <c r="G164" s="1261">
        <v>0</v>
      </c>
      <c r="H164" s="1261"/>
      <c r="I164" s="1259" t="e">
        <f t="shared" si="47"/>
        <v>#DIV/0!</v>
      </c>
      <c r="J164" s="792" t="e">
        <f t="shared" si="48"/>
        <v>#DIV/0!</v>
      </c>
      <c r="K164" s="781"/>
      <c r="L164" s="781"/>
      <c r="M164" s="801">
        <v>4</v>
      </c>
      <c r="N164" s="1339">
        <f t="shared" si="36"/>
        <v>0</v>
      </c>
      <c r="O164" s="1341">
        <f t="shared" si="37"/>
        <v>0</v>
      </c>
      <c r="P164" s="716">
        <f>0%*$P$159</f>
        <v>0</v>
      </c>
      <c r="Q164" s="1327">
        <f t="shared" si="53"/>
        <v>0</v>
      </c>
      <c r="R164" s="1328">
        <f t="shared" si="54"/>
        <v>0</v>
      </c>
      <c r="S164" s="783"/>
      <c r="T164" s="784"/>
      <c r="U164" s="783"/>
      <c r="V164" s="784"/>
      <c r="W164" s="784"/>
      <c r="X164" s="784"/>
      <c r="Y164" s="783"/>
      <c r="Z164" s="783"/>
      <c r="AA164" s="783"/>
      <c r="AB164" s="708"/>
      <c r="AC164" s="1347" t="s">
        <v>1842</v>
      </c>
      <c r="AD164" s="951" t="s">
        <v>1114</v>
      </c>
      <c r="AE164" s="1545"/>
    </row>
    <row r="165" spans="1:31" ht="99.75" customHeight="1" x14ac:dyDescent="0.25">
      <c r="A165" s="1101" t="s">
        <v>3159</v>
      </c>
      <c r="B165" s="1101" t="s">
        <v>3160</v>
      </c>
      <c r="C165" s="899" t="s">
        <v>2660</v>
      </c>
      <c r="D165" s="839">
        <v>0</v>
      </c>
      <c r="E165" s="867">
        <v>0</v>
      </c>
      <c r="F165" s="867">
        <v>0</v>
      </c>
      <c r="G165" s="1261">
        <v>0</v>
      </c>
      <c r="H165" s="1261"/>
      <c r="I165" s="1259" t="e">
        <f t="shared" si="47"/>
        <v>#DIV/0!</v>
      </c>
      <c r="J165" s="792" t="e">
        <f t="shared" si="48"/>
        <v>#DIV/0!</v>
      </c>
      <c r="K165" s="781" t="s">
        <v>3264</v>
      </c>
      <c r="L165" s="781"/>
      <c r="M165" s="801">
        <v>6</v>
      </c>
      <c r="N165" s="1339">
        <f t="shared" si="36"/>
        <v>0</v>
      </c>
      <c r="O165" s="1341">
        <f t="shared" si="37"/>
        <v>0</v>
      </c>
      <c r="P165" s="716">
        <f>0%*$P$159</f>
        <v>0</v>
      </c>
      <c r="Q165" s="1327">
        <f t="shared" si="53"/>
        <v>0</v>
      </c>
      <c r="R165" s="1328">
        <f t="shared" si="54"/>
        <v>0</v>
      </c>
      <c r="S165" s="783"/>
      <c r="T165" s="784"/>
      <c r="U165" s="783"/>
      <c r="V165" s="784"/>
      <c r="W165" s="784"/>
      <c r="X165" s="784"/>
      <c r="Y165" s="783"/>
      <c r="Z165" s="783"/>
      <c r="AA165" s="783"/>
      <c r="AB165" s="708"/>
      <c r="AC165" s="1347" t="s">
        <v>1842</v>
      </c>
      <c r="AD165" s="951" t="s">
        <v>1114</v>
      </c>
      <c r="AE165" s="1545"/>
    </row>
    <row r="166" spans="1:31" ht="45" x14ac:dyDescent="0.25">
      <c r="A166" s="1101" t="s">
        <v>2781</v>
      </c>
      <c r="B166" s="1101" t="s">
        <v>3038</v>
      </c>
      <c r="C166" s="899" t="s">
        <v>2660</v>
      </c>
      <c r="D166" s="839">
        <v>1</v>
      </c>
      <c r="E166" s="867">
        <v>0</v>
      </c>
      <c r="F166" s="867">
        <v>1</v>
      </c>
      <c r="G166" s="1261">
        <v>0</v>
      </c>
      <c r="H166" s="1261"/>
      <c r="I166" s="1259">
        <f t="shared" si="47"/>
        <v>1</v>
      </c>
      <c r="J166" s="792" t="e">
        <f t="shared" si="48"/>
        <v>#DIV/0!</v>
      </c>
      <c r="K166" s="781"/>
      <c r="L166" s="781"/>
      <c r="M166" s="801">
        <v>1</v>
      </c>
      <c r="N166" s="1339">
        <f t="shared" si="36"/>
        <v>1</v>
      </c>
      <c r="O166" s="1341">
        <f t="shared" si="37"/>
        <v>1</v>
      </c>
      <c r="P166" s="716">
        <v>0</v>
      </c>
      <c r="Q166" s="1327">
        <f t="shared" si="53"/>
        <v>0</v>
      </c>
      <c r="R166" s="1328">
        <f t="shared" si="54"/>
        <v>0</v>
      </c>
      <c r="S166" s="783"/>
      <c r="T166" s="784"/>
      <c r="U166" s="783"/>
      <c r="V166" s="784"/>
      <c r="W166" s="784"/>
      <c r="X166" s="784"/>
      <c r="Y166" s="783"/>
      <c r="Z166" s="783"/>
      <c r="AA166" s="783"/>
      <c r="AB166" s="708"/>
      <c r="AC166" s="1347" t="s">
        <v>1842</v>
      </c>
      <c r="AD166" s="951" t="s">
        <v>1114</v>
      </c>
      <c r="AE166" s="1545"/>
    </row>
    <row r="167" spans="1:31" ht="61.5" customHeight="1" x14ac:dyDescent="0.25">
      <c r="A167" s="1101" t="s">
        <v>2782</v>
      </c>
      <c r="B167" s="1101" t="s">
        <v>3030</v>
      </c>
      <c r="C167" s="899" t="s">
        <v>2647</v>
      </c>
      <c r="D167" s="898">
        <v>0.3</v>
      </c>
      <c r="E167" s="805">
        <v>0.25</v>
      </c>
      <c r="F167" s="805">
        <v>0.3</v>
      </c>
      <c r="G167" s="1303">
        <v>0.25</v>
      </c>
      <c r="H167" s="1261"/>
      <c r="I167" s="1259">
        <f t="shared" si="47"/>
        <v>1</v>
      </c>
      <c r="J167" s="792">
        <f t="shared" si="48"/>
        <v>1</v>
      </c>
      <c r="K167" s="781" t="s">
        <v>3455</v>
      </c>
      <c r="L167" s="781"/>
      <c r="M167" s="792">
        <v>1</v>
      </c>
      <c r="N167" s="1339">
        <f t="shared" si="36"/>
        <v>0.8</v>
      </c>
      <c r="O167" s="1341">
        <f t="shared" si="37"/>
        <v>0.8</v>
      </c>
      <c r="P167" s="716">
        <f>10%*$P$159</f>
        <v>6.0000000000000001E-3</v>
      </c>
      <c r="Q167" s="1327">
        <f t="shared" si="53"/>
        <v>37241666.300000004</v>
      </c>
      <c r="R167" s="1328">
        <f t="shared" si="54"/>
        <v>30657546.400000002</v>
      </c>
      <c r="S167" s="783"/>
      <c r="T167" s="784"/>
      <c r="U167" s="783"/>
      <c r="V167" s="784"/>
      <c r="W167" s="784"/>
      <c r="X167" s="784"/>
      <c r="Y167" s="783"/>
      <c r="Z167" s="783"/>
      <c r="AA167" s="783"/>
      <c r="AB167" s="708"/>
      <c r="AC167" s="1347" t="s">
        <v>1842</v>
      </c>
      <c r="AD167" s="951" t="s">
        <v>1114</v>
      </c>
      <c r="AE167" s="1545"/>
    </row>
    <row r="168" spans="1:31" ht="90" x14ac:dyDescent="0.25">
      <c r="A168" s="1101" t="s">
        <v>3161</v>
      </c>
      <c r="B168" s="1101" t="s">
        <v>3162</v>
      </c>
      <c r="C168" s="899" t="s">
        <v>2660</v>
      </c>
      <c r="D168" s="1154">
        <v>0</v>
      </c>
      <c r="E168" s="869">
        <v>1</v>
      </c>
      <c r="F168" s="1155">
        <v>0</v>
      </c>
      <c r="G168" s="1155">
        <v>1</v>
      </c>
      <c r="H168" s="1301"/>
      <c r="I168" s="1259" t="e">
        <f t="shared" si="47"/>
        <v>#DIV/0!</v>
      </c>
      <c r="J168" s="792">
        <f t="shared" si="48"/>
        <v>1</v>
      </c>
      <c r="K168" s="781" t="s">
        <v>3302</v>
      </c>
      <c r="L168" s="781"/>
      <c r="M168" s="1346">
        <v>2</v>
      </c>
      <c r="N168" s="1339">
        <f t="shared" si="36"/>
        <v>2</v>
      </c>
      <c r="O168" s="1341">
        <f t="shared" si="37"/>
        <v>1</v>
      </c>
      <c r="P168" s="716">
        <f>2%*$P$159</f>
        <v>1.1999999999999999E-3</v>
      </c>
      <c r="Q168" s="1327">
        <f t="shared" si="53"/>
        <v>7448333.2599999998</v>
      </c>
      <c r="R168" s="1328">
        <f t="shared" si="54"/>
        <v>6131509.2799999993</v>
      </c>
      <c r="S168" s="783"/>
      <c r="T168" s="784"/>
      <c r="U168" s="783"/>
      <c r="V168" s="784"/>
      <c r="W168" s="784"/>
      <c r="X168" s="784"/>
      <c r="Y168" s="783"/>
      <c r="Z168" s="783"/>
      <c r="AA168" s="783"/>
      <c r="AB168" s="708"/>
      <c r="AC168" s="1347" t="s">
        <v>1842</v>
      </c>
      <c r="AD168" s="951" t="s">
        <v>1114</v>
      </c>
      <c r="AE168" s="1545"/>
    </row>
    <row r="169" spans="1:31" ht="85.5" customHeight="1" x14ac:dyDescent="0.25">
      <c r="A169" s="1101" t="s">
        <v>3163</v>
      </c>
      <c r="B169" s="1101" t="s">
        <v>3164</v>
      </c>
      <c r="C169" s="899"/>
      <c r="D169" s="1154">
        <v>0</v>
      </c>
      <c r="E169" s="867">
        <v>0</v>
      </c>
      <c r="F169" s="1155">
        <v>0</v>
      </c>
      <c r="G169" s="1155">
        <v>0</v>
      </c>
      <c r="H169" s="1301"/>
      <c r="I169" s="1259" t="e">
        <f t="shared" si="47"/>
        <v>#DIV/0!</v>
      </c>
      <c r="J169" s="792" t="e">
        <f t="shared" si="48"/>
        <v>#DIV/0!</v>
      </c>
      <c r="K169" s="781" t="s">
        <v>3265</v>
      </c>
      <c r="L169" s="781"/>
      <c r="M169" s="1346">
        <v>3</v>
      </c>
      <c r="N169" s="1339">
        <f t="shared" ref="N169:N203" si="55">SUM(E169:G169)</f>
        <v>0</v>
      </c>
      <c r="O169" s="1341">
        <f t="shared" ref="O169:O203" si="56">IF(N169/M169&gt;=100%,100%,N169/M169)</f>
        <v>0</v>
      </c>
      <c r="P169" s="716">
        <f>0%*$P$159</f>
        <v>0</v>
      </c>
      <c r="Q169" s="1327">
        <f t="shared" si="53"/>
        <v>0</v>
      </c>
      <c r="R169" s="1328">
        <f t="shared" si="54"/>
        <v>0</v>
      </c>
      <c r="S169" s="783"/>
      <c r="T169" s="784"/>
      <c r="U169" s="783"/>
      <c r="V169" s="784"/>
      <c r="W169" s="784"/>
      <c r="X169" s="784"/>
      <c r="Y169" s="783"/>
      <c r="Z169" s="783"/>
      <c r="AA169" s="783"/>
      <c r="AB169" s="708"/>
      <c r="AC169" s="1347" t="s">
        <v>1842</v>
      </c>
      <c r="AD169" s="951" t="s">
        <v>1114</v>
      </c>
      <c r="AE169" s="1545"/>
    </row>
    <row r="170" spans="1:31" ht="90" x14ac:dyDescent="0.25">
      <c r="A170" s="1101" t="s">
        <v>2783</v>
      </c>
      <c r="B170" s="1101" t="s">
        <v>3039</v>
      </c>
      <c r="C170" s="899" t="s">
        <v>2660</v>
      </c>
      <c r="D170" s="839">
        <v>1</v>
      </c>
      <c r="E170" s="867">
        <v>1</v>
      </c>
      <c r="F170" s="884">
        <v>1</v>
      </c>
      <c r="G170" s="1115">
        <v>1</v>
      </c>
      <c r="H170" s="1115"/>
      <c r="I170" s="1113">
        <f t="shared" si="47"/>
        <v>1</v>
      </c>
      <c r="J170" s="792">
        <f t="shared" si="48"/>
        <v>1</v>
      </c>
      <c r="K170" s="781" t="s">
        <v>3456</v>
      </c>
      <c r="L170" s="781"/>
      <c r="M170" s="801">
        <v>4</v>
      </c>
      <c r="N170" s="1339">
        <f t="shared" si="55"/>
        <v>3</v>
      </c>
      <c r="O170" s="1341">
        <f t="shared" si="56"/>
        <v>0.75</v>
      </c>
      <c r="P170" s="716">
        <f>4%*$P$159</f>
        <v>2.3999999999999998E-3</v>
      </c>
      <c r="Q170" s="1327">
        <f t="shared" si="53"/>
        <v>14896666.52</v>
      </c>
      <c r="R170" s="1328">
        <f t="shared" si="54"/>
        <v>12263018.559999999</v>
      </c>
      <c r="S170" s="783"/>
      <c r="T170" s="784"/>
      <c r="U170" s="783"/>
      <c r="V170" s="784"/>
      <c r="W170" s="784"/>
      <c r="X170" s="784"/>
      <c r="Y170" s="783"/>
      <c r="Z170" s="783"/>
      <c r="AA170" s="783"/>
      <c r="AB170" s="708"/>
      <c r="AC170" s="1347" t="s">
        <v>1842</v>
      </c>
      <c r="AD170" s="951" t="s">
        <v>1114</v>
      </c>
      <c r="AE170" s="1545"/>
    </row>
    <row r="171" spans="1:31" ht="124.5" customHeight="1" x14ac:dyDescent="0.25">
      <c r="A171" s="1101" t="s">
        <v>2784</v>
      </c>
      <c r="B171" s="1101" t="s">
        <v>3031</v>
      </c>
      <c r="C171" s="899" t="s">
        <v>2660</v>
      </c>
      <c r="D171" s="839">
        <v>1</v>
      </c>
      <c r="E171" s="867">
        <v>1</v>
      </c>
      <c r="F171" s="867">
        <v>1</v>
      </c>
      <c r="G171" s="1115">
        <v>1</v>
      </c>
      <c r="H171" s="1115"/>
      <c r="I171" s="1113">
        <f t="shared" si="47"/>
        <v>1</v>
      </c>
      <c r="J171" s="792">
        <f t="shared" si="48"/>
        <v>1</v>
      </c>
      <c r="K171" s="781" t="s">
        <v>3457</v>
      </c>
      <c r="L171" s="781"/>
      <c r="M171" s="801">
        <v>4</v>
      </c>
      <c r="N171" s="1339">
        <f t="shared" si="55"/>
        <v>3</v>
      </c>
      <c r="O171" s="1341">
        <f t="shared" si="56"/>
        <v>0.75</v>
      </c>
      <c r="P171" s="716">
        <f>4%*$P$159</f>
        <v>2.3999999999999998E-3</v>
      </c>
      <c r="Q171" s="1327">
        <f t="shared" si="53"/>
        <v>14896666.52</v>
      </c>
      <c r="R171" s="1328">
        <f t="shared" si="54"/>
        <v>12263018.559999999</v>
      </c>
      <c r="S171" s="783"/>
      <c r="T171" s="784"/>
      <c r="U171" s="783"/>
      <c r="V171" s="784"/>
      <c r="W171" s="784"/>
      <c r="X171" s="784"/>
      <c r="Y171" s="783"/>
      <c r="Z171" s="783"/>
      <c r="AA171" s="783"/>
      <c r="AB171" s="708"/>
      <c r="AC171" s="1347" t="s">
        <v>1842</v>
      </c>
      <c r="AD171" s="951" t="s">
        <v>1114</v>
      </c>
      <c r="AE171" s="1545"/>
    </row>
    <row r="172" spans="1:31" ht="116.25" customHeight="1" x14ac:dyDescent="0.25">
      <c r="A172" s="1101" t="s">
        <v>2785</v>
      </c>
      <c r="B172" s="1101" t="s">
        <v>3032</v>
      </c>
      <c r="C172" s="899" t="s">
        <v>2647</v>
      </c>
      <c r="D172" s="898">
        <v>0.25</v>
      </c>
      <c r="E172" s="805">
        <v>0.25</v>
      </c>
      <c r="F172" s="805">
        <v>0.25</v>
      </c>
      <c r="G172" s="1314">
        <v>0.25</v>
      </c>
      <c r="H172" s="1115"/>
      <c r="I172" s="1113">
        <f t="shared" si="47"/>
        <v>1</v>
      </c>
      <c r="J172" s="792">
        <f t="shared" si="48"/>
        <v>1</v>
      </c>
      <c r="K172" s="781" t="s">
        <v>3266</v>
      </c>
      <c r="L172" s="781"/>
      <c r="M172" s="792">
        <v>1</v>
      </c>
      <c r="N172" s="1339">
        <f t="shared" si="55"/>
        <v>0.75</v>
      </c>
      <c r="O172" s="1341">
        <f t="shared" si="56"/>
        <v>0.75</v>
      </c>
      <c r="P172" s="716">
        <f>5%*$P$159</f>
        <v>3.0000000000000001E-3</v>
      </c>
      <c r="Q172" s="1327">
        <f t="shared" si="53"/>
        <v>18620833.150000002</v>
      </c>
      <c r="R172" s="1328">
        <f t="shared" si="54"/>
        <v>15328773.200000001</v>
      </c>
      <c r="S172" s="783"/>
      <c r="T172" s="784"/>
      <c r="U172" s="783"/>
      <c r="V172" s="784"/>
      <c r="W172" s="784"/>
      <c r="X172" s="784"/>
      <c r="Y172" s="783"/>
      <c r="Z172" s="783"/>
      <c r="AA172" s="783"/>
      <c r="AB172" s="708"/>
      <c r="AC172" s="1347" t="s">
        <v>1842</v>
      </c>
      <c r="AD172" s="951" t="s">
        <v>1114</v>
      </c>
      <c r="AE172" s="1545"/>
    </row>
    <row r="173" spans="1:31" ht="118.5" customHeight="1" x14ac:dyDescent="0.25">
      <c r="A173" s="1101" t="s">
        <v>2786</v>
      </c>
      <c r="B173" s="1101" t="s">
        <v>3032</v>
      </c>
      <c r="C173" s="899" t="s">
        <v>2647</v>
      </c>
      <c r="D173" s="898">
        <v>0.25</v>
      </c>
      <c r="E173" s="805">
        <v>0.25</v>
      </c>
      <c r="F173" s="805">
        <v>0.25</v>
      </c>
      <c r="G173" s="1314">
        <v>0.25</v>
      </c>
      <c r="H173" s="1115"/>
      <c r="I173" s="1113">
        <f t="shared" si="47"/>
        <v>1</v>
      </c>
      <c r="J173" s="792">
        <f t="shared" si="48"/>
        <v>1</v>
      </c>
      <c r="K173" s="781" t="s">
        <v>3458</v>
      </c>
      <c r="L173" s="781"/>
      <c r="M173" s="792">
        <v>1</v>
      </c>
      <c r="N173" s="1339">
        <f t="shared" si="55"/>
        <v>0.75</v>
      </c>
      <c r="O173" s="1341">
        <f t="shared" si="56"/>
        <v>0.75</v>
      </c>
      <c r="P173" s="716">
        <f>5%*$P$159</f>
        <v>3.0000000000000001E-3</v>
      </c>
      <c r="Q173" s="1327">
        <f t="shared" si="53"/>
        <v>18620833.150000002</v>
      </c>
      <c r="R173" s="1328">
        <f t="shared" si="54"/>
        <v>15328773.200000001</v>
      </c>
      <c r="S173" s="783"/>
      <c r="T173" s="784"/>
      <c r="U173" s="783"/>
      <c r="V173" s="784"/>
      <c r="W173" s="784"/>
      <c r="X173" s="784"/>
      <c r="Y173" s="783"/>
      <c r="Z173" s="783"/>
      <c r="AA173" s="783"/>
      <c r="AB173" s="708"/>
      <c r="AC173" s="1347" t="s">
        <v>1842</v>
      </c>
      <c r="AD173" s="951" t="s">
        <v>1114</v>
      </c>
      <c r="AE173" s="1545"/>
    </row>
    <row r="174" spans="1:31" ht="90" customHeight="1" x14ac:dyDescent="0.25">
      <c r="A174" s="894" t="s">
        <v>2787</v>
      </c>
      <c r="B174" s="894" t="s">
        <v>3033</v>
      </c>
      <c r="C174" s="899" t="s">
        <v>2660</v>
      </c>
      <c r="D174" s="839">
        <v>0</v>
      </c>
      <c r="E174" s="867">
        <v>3</v>
      </c>
      <c r="F174" s="867">
        <v>0</v>
      </c>
      <c r="G174" s="1115">
        <v>3</v>
      </c>
      <c r="H174" s="1115"/>
      <c r="I174" s="1113" t="e">
        <f t="shared" si="47"/>
        <v>#DIV/0!</v>
      </c>
      <c r="J174" s="792">
        <f t="shared" si="48"/>
        <v>1</v>
      </c>
      <c r="K174" s="781" t="s">
        <v>3459</v>
      </c>
      <c r="L174" s="781"/>
      <c r="M174" s="801">
        <v>5</v>
      </c>
      <c r="N174" s="1339">
        <f t="shared" si="55"/>
        <v>6</v>
      </c>
      <c r="O174" s="1341">
        <f t="shared" si="56"/>
        <v>1</v>
      </c>
      <c r="P174" s="716">
        <f>4%*$P$159</f>
        <v>2.3999999999999998E-3</v>
      </c>
      <c r="Q174" s="1327">
        <f t="shared" si="53"/>
        <v>14896666.52</v>
      </c>
      <c r="R174" s="1328">
        <f t="shared" si="54"/>
        <v>12263018.559999999</v>
      </c>
      <c r="S174" s="783"/>
      <c r="T174" s="784"/>
      <c r="U174" s="783"/>
      <c r="V174" s="784"/>
      <c r="W174" s="784"/>
      <c r="X174" s="784"/>
      <c r="Y174" s="783"/>
      <c r="Z174" s="783"/>
      <c r="AA174" s="783"/>
      <c r="AB174" s="708"/>
      <c r="AC174" s="1347" t="s">
        <v>1842</v>
      </c>
      <c r="AD174" s="951" t="s">
        <v>1114</v>
      </c>
      <c r="AE174" s="1545"/>
    </row>
    <row r="175" spans="1:31" ht="85.5" customHeight="1" x14ac:dyDescent="0.25">
      <c r="A175" s="894" t="s">
        <v>2788</v>
      </c>
      <c r="B175" s="894" t="s">
        <v>3034</v>
      </c>
      <c r="C175" s="899" t="s">
        <v>2660</v>
      </c>
      <c r="D175" s="839">
        <v>0</v>
      </c>
      <c r="E175" s="867">
        <v>3</v>
      </c>
      <c r="F175" s="867">
        <v>0</v>
      </c>
      <c r="G175" s="1115">
        <v>3</v>
      </c>
      <c r="H175" s="1115"/>
      <c r="I175" s="1113" t="e">
        <f t="shared" si="47"/>
        <v>#DIV/0!</v>
      </c>
      <c r="J175" s="792">
        <f t="shared" si="48"/>
        <v>1</v>
      </c>
      <c r="K175" s="781" t="s">
        <v>3460</v>
      </c>
      <c r="L175" s="781"/>
      <c r="M175" s="801">
        <v>6</v>
      </c>
      <c r="N175" s="1339">
        <f t="shared" si="55"/>
        <v>6</v>
      </c>
      <c r="O175" s="1341">
        <f t="shared" si="56"/>
        <v>1</v>
      </c>
      <c r="P175" s="716">
        <f>2%*$P$159</f>
        <v>1.1999999999999999E-3</v>
      </c>
      <c r="Q175" s="1327">
        <f t="shared" si="53"/>
        <v>7448333.2599999998</v>
      </c>
      <c r="R175" s="1328">
        <f t="shared" si="54"/>
        <v>6131509.2799999993</v>
      </c>
      <c r="S175" s="783"/>
      <c r="T175" s="784"/>
      <c r="U175" s="783"/>
      <c r="V175" s="784"/>
      <c r="W175" s="784"/>
      <c r="X175" s="784"/>
      <c r="Y175" s="783"/>
      <c r="Z175" s="783"/>
      <c r="AA175" s="783"/>
      <c r="AB175" s="708"/>
      <c r="AC175" s="1347" t="s">
        <v>1842</v>
      </c>
      <c r="AD175" s="951" t="s">
        <v>1114</v>
      </c>
      <c r="AE175" s="1545"/>
    </row>
    <row r="176" spans="1:31" ht="61.5" customHeight="1" x14ac:dyDescent="0.25">
      <c r="A176" s="894" t="s">
        <v>2789</v>
      </c>
      <c r="B176" s="894" t="s">
        <v>3035</v>
      </c>
      <c r="C176" s="899" t="s">
        <v>2660</v>
      </c>
      <c r="D176" s="839">
        <v>0</v>
      </c>
      <c r="E176" s="867">
        <v>2</v>
      </c>
      <c r="F176" s="867">
        <v>0</v>
      </c>
      <c r="G176" s="1115">
        <v>2</v>
      </c>
      <c r="H176" s="1115"/>
      <c r="I176" s="1113" t="e">
        <f t="shared" si="47"/>
        <v>#DIV/0!</v>
      </c>
      <c r="J176" s="792">
        <f t="shared" si="48"/>
        <v>1</v>
      </c>
      <c r="K176" s="781" t="s">
        <v>3461</v>
      </c>
      <c r="L176" s="781"/>
      <c r="M176" s="801">
        <v>3</v>
      </c>
      <c r="N176" s="1339">
        <f t="shared" si="55"/>
        <v>4</v>
      </c>
      <c r="O176" s="1341">
        <f t="shared" si="56"/>
        <v>1</v>
      </c>
      <c r="P176" s="716">
        <f>2%*$P$159</f>
        <v>1.1999999999999999E-3</v>
      </c>
      <c r="Q176" s="1327">
        <f t="shared" si="53"/>
        <v>7448333.2599999998</v>
      </c>
      <c r="R176" s="1328">
        <f t="shared" si="54"/>
        <v>6131509.2799999993</v>
      </c>
      <c r="S176" s="783"/>
      <c r="T176" s="784"/>
      <c r="U176" s="783"/>
      <c r="V176" s="784"/>
      <c r="W176" s="784"/>
      <c r="X176" s="784"/>
      <c r="Y176" s="783"/>
      <c r="Z176" s="783"/>
      <c r="AA176" s="783"/>
      <c r="AB176" s="708"/>
      <c r="AC176" s="1347" t="s">
        <v>1842</v>
      </c>
      <c r="AD176" s="951" t="s">
        <v>1114</v>
      </c>
      <c r="AE176" s="1545"/>
    </row>
    <row r="177" spans="1:31" ht="62.25" customHeight="1" x14ac:dyDescent="0.25">
      <c r="A177" s="894" t="s">
        <v>2790</v>
      </c>
      <c r="B177" s="894" t="s">
        <v>3036</v>
      </c>
      <c r="C177" s="899" t="s">
        <v>2660</v>
      </c>
      <c r="D177" s="839">
        <v>0</v>
      </c>
      <c r="E177" s="867">
        <v>1</v>
      </c>
      <c r="F177" s="867">
        <v>0</v>
      </c>
      <c r="G177" s="1115">
        <v>1</v>
      </c>
      <c r="H177" s="1115"/>
      <c r="I177" s="1113" t="e">
        <f t="shared" si="47"/>
        <v>#DIV/0!</v>
      </c>
      <c r="J177" s="792">
        <f t="shared" si="48"/>
        <v>1</v>
      </c>
      <c r="K177" s="781" t="s">
        <v>3462</v>
      </c>
      <c r="L177" s="781"/>
      <c r="M177" s="801">
        <v>1</v>
      </c>
      <c r="N177" s="1339">
        <f t="shared" si="55"/>
        <v>2</v>
      </c>
      <c r="O177" s="1341">
        <f t="shared" si="56"/>
        <v>1</v>
      </c>
      <c r="P177" s="716">
        <f>2%*$P$159</f>
        <v>1.1999999999999999E-3</v>
      </c>
      <c r="Q177" s="1327">
        <f t="shared" si="53"/>
        <v>7448333.2599999998</v>
      </c>
      <c r="R177" s="1328">
        <f t="shared" si="54"/>
        <v>6131509.2799999993</v>
      </c>
      <c r="S177" s="783"/>
      <c r="T177" s="784"/>
      <c r="U177" s="783"/>
      <c r="V177" s="784"/>
      <c r="W177" s="784"/>
      <c r="X177" s="784"/>
      <c r="Y177" s="783"/>
      <c r="Z177" s="783"/>
      <c r="AA177" s="783"/>
      <c r="AB177" s="708"/>
      <c r="AC177" s="1347" t="s">
        <v>1842</v>
      </c>
      <c r="AD177" s="951" t="s">
        <v>1114</v>
      </c>
      <c r="AE177" s="1545"/>
    </row>
    <row r="178" spans="1:31" ht="23.25" thickBot="1" x14ac:dyDescent="0.3">
      <c r="A178" s="1102" t="s">
        <v>2791</v>
      </c>
      <c r="B178" s="1032" t="s">
        <v>3037</v>
      </c>
      <c r="C178" s="900" t="s">
        <v>2647</v>
      </c>
      <c r="D178" s="898">
        <v>0.25</v>
      </c>
      <c r="E178" s="805">
        <v>0.25</v>
      </c>
      <c r="F178" s="805">
        <f>'27Educa'!E9</f>
        <v>0</v>
      </c>
      <c r="G178" s="1315">
        <f>'27Educa'!D8</f>
        <v>0.24505076268974579</v>
      </c>
      <c r="H178" s="1115"/>
      <c r="I178" s="1113">
        <f t="shared" si="47"/>
        <v>0</v>
      </c>
      <c r="J178" s="1424">
        <f t="shared" si="48"/>
        <v>0.98020305075898317</v>
      </c>
      <c r="K178" s="781"/>
      <c r="L178" s="781"/>
      <c r="M178" s="805">
        <v>1</v>
      </c>
      <c r="N178" s="1339">
        <f t="shared" si="55"/>
        <v>0.49505076268974579</v>
      </c>
      <c r="O178" s="1341">
        <f t="shared" si="56"/>
        <v>0.49505076268974579</v>
      </c>
      <c r="P178" s="716">
        <f>22%*$P$159</f>
        <v>1.32E-2</v>
      </c>
      <c r="Q178" s="1327">
        <f t="shared" si="53"/>
        <v>81931665.860000014</v>
      </c>
      <c r="R178" s="1328">
        <f t="shared" si="54"/>
        <v>67446602.079999998</v>
      </c>
      <c r="S178" s="783"/>
      <c r="T178" s="784"/>
      <c r="U178" s="783"/>
      <c r="V178" s="784"/>
      <c r="W178" s="784"/>
      <c r="X178" s="784"/>
      <c r="Y178" s="783"/>
      <c r="Z178" s="783"/>
      <c r="AA178" s="783"/>
      <c r="AB178" s="708"/>
      <c r="AC178" s="1347" t="s">
        <v>1842</v>
      </c>
      <c r="AD178" s="951" t="s">
        <v>1114</v>
      </c>
      <c r="AE178" s="1546"/>
    </row>
    <row r="179" spans="1:31" ht="15.75" customHeight="1" thickBot="1" x14ac:dyDescent="0.3">
      <c r="A179" s="1629" t="s">
        <v>2792</v>
      </c>
      <c r="B179" s="1631"/>
      <c r="C179" s="901"/>
      <c r="D179" s="915"/>
      <c r="E179" s="915"/>
      <c r="F179" s="1312"/>
      <c r="G179" s="1312"/>
      <c r="H179" s="1312"/>
      <c r="I179" s="1188">
        <f>SUM(I180+I196)/2</f>
        <v>0.58499999999999996</v>
      </c>
      <c r="J179" s="1188">
        <f>SUM(J180+J196)/2</f>
        <v>0.87609702701917114</v>
      </c>
      <c r="K179" s="781"/>
      <c r="L179" s="781"/>
      <c r="M179" s="806"/>
      <c r="N179" s="1339">
        <f t="shared" si="55"/>
        <v>0</v>
      </c>
      <c r="O179" s="1341" t="e">
        <f t="shared" si="56"/>
        <v>#DIV/0!</v>
      </c>
      <c r="P179" s="1163">
        <f>+P180+P196</f>
        <v>0.15000000000000002</v>
      </c>
      <c r="Q179" s="1326">
        <f>+Q180+Q196</f>
        <v>3361049927.21</v>
      </c>
      <c r="R179" s="1326">
        <f>+R180+R196</f>
        <v>2460149111</v>
      </c>
      <c r="S179" s="1337">
        <f>+R179/Q179</f>
        <v>0.73195851423789005</v>
      </c>
      <c r="T179" s="1326">
        <f>+T180+T196</f>
        <v>2075870030.75</v>
      </c>
      <c r="U179" s="1332">
        <f>+T179/R179</f>
        <v>0.84379845980400825</v>
      </c>
      <c r="V179" s="729">
        <f t="shared" ref="V179:V180" si="57">+R179-T179</f>
        <v>384279080.25</v>
      </c>
      <c r="W179" s="784"/>
      <c r="X179" s="784"/>
      <c r="Y179" s="1326">
        <f>+Y180+Y196</f>
        <v>14336420192</v>
      </c>
      <c r="Z179" s="1326">
        <f>+Z180+Z196</f>
        <v>6152946260</v>
      </c>
      <c r="AA179" s="766">
        <f>+Z179/Y179</f>
        <v>0.42918289067960375</v>
      </c>
      <c r="AB179" s="973"/>
      <c r="AC179" s="1347"/>
      <c r="AD179" s="951"/>
      <c r="AE179" s="958"/>
    </row>
    <row r="180" spans="1:31" ht="25.5" customHeight="1" thickBot="1" x14ac:dyDescent="0.3">
      <c r="A180" s="1674" t="s">
        <v>2842</v>
      </c>
      <c r="B180" s="1675"/>
      <c r="C180" s="1316"/>
      <c r="D180" s="1317"/>
      <c r="E180" s="1318"/>
      <c r="F180" s="1297"/>
      <c r="G180" s="1307"/>
      <c r="H180" s="1319"/>
      <c r="I180" s="1250">
        <v>0.89</v>
      </c>
      <c r="J180" s="1188">
        <f>+(J181+J182+J183+J185+J186+J187+J188+J189+J190+J191+J192+J193+J194+J195)/14</f>
        <v>0.7938607207050089</v>
      </c>
      <c r="K180" s="781"/>
      <c r="L180" s="781"/>
      <c r="M180" s="881"/>
      <c r="N180" s="1339">
        <f t="shared" si="55"/>
        <v>0</v>
      </c>
      <c r="O180" s="1341" t="e">
        <f t="shared" si="56"/>
        <v>#DIV/0!</v>
      </c>
      <c r="P180" s="1163">
        <v>0.08</v>
      </c>
      <c r="Q180" s="1325">
        <f>'informe Gastos'!AC96</f>
        <v>2693571767</v>
      </c>
      <c r="R180" s="1325">
        <f>'informe Gastos'!AD96</f>
        <v>1800849586</v>
      </c>
      <c r="S180" s="1332">
        <f>+R180/Q180</f>
        <v>0.6685730850252114</v>
      </c>
      <c r="T180" s="1325">
        <f>'informe Gastos'!AE96</f>
        <v>1751521002</v>
      </c>
      <c r="U180" s="1332">
        <f>+T180/R180</f>
        <v>0.97260815984661586</v>
      </c>
      <c r="V180" s="729">
        <f t="shared" si="57"/>
        <v>49328584</v>
      </c>
      <c r="W180" s="784"/>
      <c r="X180" s="784"/>
      <c r="Y180" s="783">
        <f>(2373331506+2810110996+2616599800+2763130000)+665412000-116539229</f>
        <v>11112045073</v>
      </c>
      <c r="Z180" s="783">
        <f>1756837682+R180</f>
        <v>3557687268</v>
      </c>
      <c r="AA180" s="766">
        <f>+Z180/Y180</f>
        <v>0.32016494215312835</v>
      </c>
      <c r="AB180" s="962"/>
      <c r="AC180" s="1347"/>
      <c r="AD180" s="951"/>
      <c r="AE180" s="963"/>
    </row>
    <row r="181" spans="1:31" ht="165.75" x14ac:dyDescent="0.25">
      <c r="A181" s="1667" t="s">
        <v>2793</v>
      </c>
      <c r="B181" s="1105" t="s">
        <v>3040</v>
      </c>
      <c r="C181" s="902" t="s">
        <v>2647</v>
      </c>
      <c r="D181" s="903">
        <v>0.65</v>
      </c>
      <c r="E181" s="904">
        <v>0.75</v>
      </c>
      <c r="F181" s="1236">
        <v>0.79300000000000004</v>
      </c>
      <c r="G181" s="1407">
        <f>484/597</f>
        <v>0.81072026800670016</v>
      </c>
      <c r="H181" s="1234"/>
      <c r="I181" s="1269">
        <f t="shared" si="47"/>
        <v>1</v>
      </c>
      <c r="J181" s="1320">
        <f t="shared" si="48"/>
        <v>1</v>
      </c>
      <c r="K181" s="781" t="s">
        <v>3463</v>
      </c>
      <c r="L181" s="781"/>
      <c r="M181" s="809">
        <v>0.8</v>
      </c>
      <c r="N181" s="1339">
        <f t="shared" si="55"/>
        <v>2.3537202680067004</v>
      </c>
      <c r="O181" s="1341">
        <f t="shared" si="56"/>
        <v>1</v>
      </c>
      <c r="P181" s="716">
        <f>12%*$P$180</f>
        <v>9.5999999999999992E-3</v>
      </c>
      <c r="Q181" s="1327">
        <f>Q$180*P181/P$180</f>
        <v>323228612.03999996</v>
      </c>
      <c r="R181" s="1328">
        <f>R$180*P181/P$180</f>
        <v>216101950.31999996</v>
      </c>
      <c r="S181" s="783"/>
      <c r="T181" s="784"/>
      <c r="U181" s="783"/>
      <c r="V181" s="784"/>
      <c r="W181" s="784"/>
      <c r="X181" s="784"/>
      <c r="Y181" s="783"/>
      <c r="Z181" s="783"/>
      <c r="AA181" s="783"/>
      <c r="AB181" s="709"/>
      <c r="AC181" s="1347" t="s">
        <v>1835</v>
      </c>
      <c r="AD181" s="951" t="s">
        <v>1844</v>
      </c>
      <c r="AE181" s="1547" t="s">
        <v>3310</v>
      </c>
    </row>
    <row r="182" spans="1:31" ht="89.25" x14ac:dyDescent="0.25">
      <c r="A182" s="1668"/>
      <c r="B182" s="1084" t="s">
        <v>3041</v>
      </c>
      <c r="C182" s="1104" t="s">
        <v>2647</v>
      </c>
      <c r="D182" s="832">
        <v>0.65</v>
      </c>
      <c r="E182" s="792">
        <v>0.75</v>
      </c>
      <c r="F182" s="1237">
        <v>0.79490000000000005</v>
      </c>
      <c r="G182" s="1407">
        <f>463/657</f>
        <v>0.70471841704718419</v>
      </c>
      <c r="H182" s="1261"/>
      <c r="I182" s="1259">
        <f t="shared" si="47"/>
        <v>1</v>
      </c>
      <c r="J182" s="1424">
        <f t="shared" si="48"/>
        <v>0.93962455606291229</v>
      </c>
      <c r="K182" s="781" t="s">
        <v>3464</v>
      </c>
      <c r="L182" s="781"/>
      <c r="M182" s="792">
        <v>0.8</v>
      </c>
      <c r="N182" s="1339">
        <f t="shared" si="55"/>
        <v>2.2496184170471842</v>
      </c>
      <c r="O182" s="1341">
        <f t="shared" si="56"/>
        <v>1</v>
      </c>
      <c r="P182" s="716">
        <f>4%*$P$180</f>
        <v>3.2000000000000002E-3</v>
      </c>
      <c r="Q182" s="1327">
        <f t="shared" ref="Q182:Q195" si="58">Q$180*P182/P$180</f>
        <v>107742870.68000001</v>
      </c>
      <c r="R182" s="1328">
        <f t="shared" ref="R182:R195" si="59">R$180*P182/P$180</f>
        <v>72033983.439999998</v>
      </c>
      <c r="S182" s="783"/>
      <c r="T182" s="784"/>
      <c r="U182" s="783"/>
      <c r="V182" s="784"/>
      <c r="W182" s="784"/>
      <c r="X182" s="784"/>
      <c r="Y182" s="783"/>
      <c r="Z182" s="783"/>
      <c r="AA182" s="783"/>
      <c r="AB182" s="548"/>
      <c r="AC182" s="1347" t="s">
        <v>1835</v>
      </c>
      <c r="AD182" s="951" t="s">
        <v>1844</v>
      </c>
      <c r="AE182" s="1545"/>
    </row>
    <row r="183" spans="1:31" ht="34.5" customHeight="1" x14ac:dyDescent="0.25">
      <c r="A183" s="1669"/>
      <c r="B183" s="1106" t="s">
        <v>3042</v>
      </c>
      <c r="C183" s="897" t="s">
        <v>2660</v>
      </c>
      <c r="D183" s="834">
        <v>100</v>
      </c>
      <c r="E183" s="801">
        <v>200</v>
      </c>
      <c r="F183" s="1042">
        <v>208</v>
      </c>
      <c r="G183" s="1261">
        <v>214</v>
      </c>
      <c r="H183" s="1261"/>
      <c r="I183" s="1259">
        <f t="shared" si="47"/>
        <v>1</v>
      </c>
      <c r="J183" s="792">
        <f t="shared" si="48"/>
        <v>1</v>
      </c>
      <c r="K183" s="781" t="s">
        <v>3465</v>
      </c>
      <c r="L183" s="781"/>
      <c r="M183" s="801">
        <v>700</v>
      </c>
      <c r="N183" s="1339">
        <f t="shared" si="55"/>
        <v>622</v>
      </c>
      <c r="O183" s="1341">
        <f t="shared" si="56"/>
        <v>0.88857142857142857</v>
      </c>
      <c r="P183" s="716">
        <f>3%*$P$180</f>
        <v>2.3999999999999998E-3</v>
      </c>
      <c r="Q183" s="1327">
        <f t="shared" si="58"/>
        <v>80807153.00999999</v>
      </c>
      <c r="R183" s="1328">
        <f t="shared" si="59"/>
        <v>54025487.579999991</v>
      </c>
      <c r="S183" s="783"/>
      <c r="T183" s="784"/>
      <c r="U183" s="783"/>
      <c r="V183" s="784"/>
      <c r="W183" s="784"/>
      <c r="X183" s="784"/>
      <c r="Y183" s="783"/>
      <c r="Z183" s="783"/>
      <c r="AA183" s="783"/>
      <c r="AB183" s="548"/>
      <c r="AC183" s="1347" t="s">
        <v>1835</v>
      </c>
      <c r="AD183" s="951" t="s">
        <v>1844</v>
      </c>
      <c r="AE183" s="1545"/>
    </row>
    <row r="184" spans="1:31" ht="48.75" customHeight="1" x14ac:dyDescent="0.25">
      <c r="A184" s="1670" t="s">
        <v>2794</v>
      </c>
      <c r="B184" s="1029" t="s">
        <v>3043</v>
      </c>
      <c r="C184" s="897" t="s">
        <v>2660</v>
      </c>
      <c r="D184" s="834">
        <v>0</v>
      </c>
      <c r="E184" s="801">
        <v>0</v>
      </c>
      <c r="F184" s="1042">
        <v>0</v>
      </c>
      <c r="G184" s="1261">
        <v>0</v>
      </c>
      <c r="H184" s="1261"/>
      <c r="I184" s="1259" t="e">
        <f t="shared" si="47"/>
        <v>#DIV/0!</v>
      </c>
      <c r="J184" s="792" t="e">
        <f t="shared" si="48"/>
        <v>#DIV/0!</v>
      </c>
      <c r="K184" s="781" t="s">
        <v>3466</v>
      </c>
      <c r="L184" s="781"/>
      <c r="M184" s="801">
        <v>1</v>
      </c>
      <c r="N184" s="1339">
        <f t="shared" si="55"/>
        <v>0</v>
      </c>
      <c r="O184" s="1341">
        <f t="shared" si="56"/>
        <v>0</v>
      </c>
      <c r="P184" s="716">
        <v>0</v>
      </c>
      <c r="Q184" s="1327">
        <f t="shared" si="58"/>
        <v>0</v>
      </c>
      <c r="R184" s="1328">
        <f t="shared" si="59"/>
        <v>0</v>
      </c>
      <c r="S184" s="783"/>
      <c r="T184" s="784"/>
      <c r="U184" s="783"/>
      <c r="V184" s="784"/>
      <c r="W184" s="784"/>
      <c r="X184" s="784"/>
      <c r="Y184" s="783"/>
      <c r="Z184" s="783"/>
      <c r="AA184" s="783"/>
      <c r="AB184" s="548"/>
      <c r="AC184" s="1347" t="s">
        <v>1835</v>
      </c>
      <c r="AD184" s="951" t="s">
        <v>1844</v>
      </c>
      <c r="AE184" s="1545"/>
    </row>
    <row r="185" spans="1:31" ht="84" customHeight="1" x14ac:dyDescent="0.25">
      <c r="A185" s="1670"/>
      <c r="B185" s="1084" t="s">
        <v>3044</v>
      </c>
      <c r="C185" s="1104" t="s">
        <v>2647</v>
      </c>
      <c r="D185" s="832">
        <v>1</v>
      </c>
      <c r="E185" s="792">
        <v>1</v>
      </c>
      <c r="F185" s="1237">
        <v>0.95</v>
      </c>
      <c r="G185" s="1237">
        <v>0.99</v>
      </c>
      <c r="H185" s="1261"/>
      <c r="I185" s="1259">
        <f t="shared" si="47"/>
        <v>0.95</v>
      </c>
      <c r="J185" s="1424">
        <f t="shared" si="48"/>
        <v>0.99</v>
      </c>
      <c r="K185" s="781" t="s">
        <v>3467</v>
      </c>
      <c r="L185" s="781"/>
      <c r="M185" s="792">
        <v>1</v>
      </c>
      <c r="N185" s="1339">
        <f t="shared" si="55"/>
        <v>2.94</v>
      </c>
      <c r="O185" s="1341">
        <f t="shared" si="56"/>
        <v>1</v>
      </c>
      <c r="P185" s="716">
        <f>1%*$P$180</f>
        <v>8.0000000000000004E-4</v>
      </c>
      <c r="Q185" s="1327">
        <f t="shared" si="58"/>
        <v>26935717.670000002</v>
      </c>
      <c r="R185" s="1328">
        <f t="shared" si="59"/>
        <v>18008495.859999999</v>
      </c>
      <c r="S185" s="783"/>
      <c r="T185" s="784"/>
      <c r="U185" s="783"/>
      <c r="V185" s="784"/>
      <c r="W185" s="784"/>
      <c r="X185" s="784"/>
      <c r="Y185" s="783"/>
      <c r="Z185" s="783"/>
      <c r="AA185" s="783"/>
      <c r="AB185" s="548"/>
      <c r="AC185" s="1347" t="s">
        <v>1835</v>
      </c>
      <c r="AD185" s="951" t="s">
        <v>1844</v>
      </c>
      <c r="AE185" s="1545"/>
    </row>
    <row r="186" spans="1:31" ht="86.25" customHeight="1" x14ac:dyDescent="0.25">
      <c r="A186" s="1670"/>
      <c r="B186" s="1084" t="s">
        <v>3045</v>
      </c>
      <c r="C186" s="899" t="s">
        <v>2660</v>
      </c>
      <c r="D186" s="834">
        <v>3</v>
      </c>
      <c r="E186" s="801">
        <v>6</v>
      </c>
      <c r="F186" s="1042">
        <v>16</v>
      </c>
      <c r="G186" s="1261">
        <v>23</v>
      </c>
      <c r="H186" s="1261"/>
      <c r="I186" s="1259">
        <f t="shared" si="47"/>
        <v>1</v>
      </c>
      <c r="J186" s="792">
        <f t="shared" si="48"/>
        <v>1</v>
      </c>
      <c r="K186" s="781" t="s">
        <v>3468</v>
      </c>
      <c r="L186" s="781"/>
      <c r="M186" s="801">
        <v>21</v>
      </c>
      <c r="N186" s="1339">
        <f t="shared" si="55"/>
        <v>45</v>
      </c>
      <c r="O186" s="1341">
        <f t="shared" si="56"/>
        <v>1</v>
      </c>
      <c r="P186" s="716">
        <f>2%*$P$180</f>
        <v>1.6000000000000001E-3</v>
      </c>
      <c r="Q186" s="1327">
        <f t="shared" si="58"/>
        <v>53871435.340000004</v>
      </c>
      <c r="R186" s="1328">
        <f t="shared" si="59"/>
        <v>36016991.719999999</v>
      </c>
      <c r="S186" s="783"/>
      <c r="T186" s="784"/>
      <c r="U186" s="783"/>
      <c r="V186" s="784"/>
      <c r="W186" s="784"/>
      <c r="X186" s="784"/>
      <c r="Y186" s="783"/>
      <c r="Z186" s="783"/>
      <c r="AA186" s="783"/>
      <c r="AB186" s="548"/>
      <c r="AC186" s="1347" t="s">
        <v>1835</v>
      </c>
      <c r="AD186" s="951" t="s">
        <v>1844</v>
      </c>
      <c r="AE186" s="1545"/>
    </row>
    <row r="187" spans="1:31" ht="57" customHeight="1" x14ac:dyDescent="0.25">
      <c r="A187" s="1670"/>
      <c r="B187" s="1030" t="s">
        <v>3046</v>
      </c>
      <c r="C187" s="897" t="s">
        <v>2660</v>
      </c>
      <c r="D187" s="908">
        <v>15</v>
      </c>
      <c r="E187" s="801">
        <v>26</v>
      </c>
      <c r="F187" s="1042">
        <v>14</v>
      </c>
      <c r="G187" s="1261">
        <v>18</v>
      </c>
      <c r="H187" s="1261"/>
      <c r="I187" s="1259">
        <f t="shared" si="47"/>
        <v>0.93333333333333335</v>
      </c>
      <c r="J187" s="1424">
        <f t="shared" si="48"/>
        <v>0.69230769230769229</v>
      </c>
      <c r="K187" s="781" t="s">
        <v>3469</v>
      </c>
      <c r="L187" s="781"/>
      <c r="M187" s="801">
        <v>90</v>
      </c>
      <c r="N187" s="1339">
        <f t="shared" si="55"/>
        <v>58</v>
      </c>
      <c r="O187" s="1341">
        <f t="shared" si="56"/>
        <v>0.64444444444444449</v>
      </c>
      <c r="P187" s="716">
        <f>3%*$P$180</f>
        <v>2.3999999999999998E-3</v>
      </c>
      <c r="Q187" s="1327">
        <f t="shared" si="58"/>
        <v>80807153.00999999</v>
      </c>
      <c r="R187" s="1328">
        <f t="shared" si="59"/>
        <v>54025487.579999991</v>
      </c>
      <c r="S187" s="783"/>
      <c r="T187" s="784"/>
      <c r="U187" s="783"/>
      <c r="V187" s="784"/>
      <c r="W187" s="784"/>
      <c r="X187" s="784"/>
      <c r="Y187" s="783"/>
      <c r="Z187" s="783"/>
      <c r="AA187" s="783"/>
      <c r="AB187" s="548"/>
      <c r="AC187" s="1347" t="s">
        <v>1835</v>
      </c>
      <c r="AD187" s="951" t="s">
        <v>1844</v>
      </c>
      <c r="AE187" s="1545"/>
    </row>
    <row r="188" spans="1:31" ht="38.25" x14ac:dyDescent="0.25">
      <c r="A188" s="1662" t="s">
        <v>2795</v>
      </c>
      <c r="B188" s="1074" t="s">
        <v>200</v>
      </c>
      <c r="C188" s="1104" t="s">
        <v>2647</v>
      </c>
      <c r="D188" s="832">
        <v>1</v>
      </c>
      <c r="E188" s="792">
        <v>1</v>
      </c>
      <c r="F188" s="1237">
        <v>0.91</v>
      </c>
      <c r="G188" s="1237">
        <f>'5PUEAA'!D8</f>
        <v>1</v>
      </c>
      <c r="H188" s="1261"/>
      <c r="I188" s="1259">
        <f t="shared" si="47"/>
        <v>0.91</v>
      </c>
      <c r="J188" s="792">
        <f t="shared" si="48"/>
        <v>1</v>
      </c>
      <c r="K188" s="556" t="s">
        <v>3470</v>
      </c>
      <c r="L188" s="556"/>
      <c r="M188" s="792">
        <v>1</v>
      </c>
      <c r="N188" s="1339">
        <f t="shared" si="55"/>
        <v>2.91</v>
      </c>
      <c r="O188" s="1341">
        <f t="shared" si="56"/>
        <v>1</v>
      </c>
      <c r="P188" s="716">
        <f>5%*$P$180</f>
        <v>4.0000000000000001E-3</v>
      </c>
      <c r="Q188" s="1327">
        <f t="shared" si="58"/>
        <v>134678588.34999999</v>
      </c>
      <c r="R188" s="1328">
        <f t="shared" si="59"/>
        <v>90042479.299999997</v>
      </c>
      <c r="S188" s="766"/>
      <c r="T188" s="728"/>
      <c r="U188" s="555"/>
      <c r="V188" s="728"/>
      <c r="W188" s="728"/>
      <c r="X188" s="728"/>
      <c r="Y188" s="555"/>
      <c r="Z188" s="555"/>
      <c r="AA188" s="555"/>
      <c r="AB188" s="548"/>
      <c r="AC188" s="1347" t="s">
        <v>1835</v>
      </c>
      <c r="AD188" s="951" t="s">
        <v>200</v>
      </c>
      <c r="AE188" s="1545"/>
    </row>
    <row r="189" spans="1:31" ht="45" x14ac:dyDescent="0.25">
      <c r="A189" s="1663"/>
      <c r="B189" s="1074" t="s">
        <v>162</v>
      </c>
      <c r="C189" s="1104" t="s">
        <v>2647</v>
      </c>
      <c r="D189" s="832">
        <v>1</v>
      </c>
      <c r="E189" s="906">
        <v>1</v>
      </c>
      <c r="F189" s="906">
        <v>0.92</v>
      </c>
      <c r="G189" s="805">
        <f>'3PSMV'!D8</f>
        <v>1</v>
      </c>
      <c r="H189" s="1114"/>
      <c r="I189" s="1113">
        <f t="shared" si="47"/>
        <v>0.92</v>
      </c>
      <c r="J189" s="792">
        <f t="shared" si="48"/>
        <v>1</v>
      </c>
      <c r="K189" s="557" t="s">
        <v>3471</v>
      </c>
      <c r="L189" s="557"/>
      <c r="M189" s="792">
        <v>1</v>
      </c>
      <c r="N189" s="1339">
        <f t="shared" si="55"/>
        <v>2.92</v>
      </c>
      <c r="O189" s="1341">
        <f t="shared" si="56"/>
        <v>1</v>
      </c>
      <c r="P189" s="716">
        <f>5%*$P$180</f>
        <v>4.0000000000000001E-3</v>
      </c>
      <c r="Q189" s="1327">
        <f t="shared" si="58"/>
        <v>134678588.34999999</v>
      </c>
      <c r="R189" s="1328">
        <f t="shared" si="59"/>
        <v>90042479.299999997</v>
      </c>
      <c r="S189" s="1185"/>
      <c r="T189" s="734"/>
      <c r="U189" s="550"/>
      <c r="V189" s="734"/>
      <c r="W189" s="734"/>
      <c r="X189" s="734"/>
      <c r="Y189" s="550"/>
      <c r="Z189" s="550"/>
      <c r="AA189" s="550"/>
      <c r="AB189" s="548"/>
      <c r="AC189" s="1347" t="s">
        <v>1835</v>
      </c>
      <c r="AD189" s="951" t="s">
        <v>162</v>
      </c>
      <c r="AE189" s="1545"/>
    </row>
    <row r="190" spans="1:31" ht="44.25" customHeight="1" x14ac:dyDescent="0.25">
      <c r="A190" s="1663"/>
      <c r="B190" s="1074" t="s">
        <v>631</v>
      </c>
      <c r="C190" s="1104" t="s">
        <v>2647</v>
      </c>
      <c r="D190" s="832">
        <v>1</v>
      </c>
      <c r="E190" s="906">
        <v>1</v>
      </c>
      <c r="F190" s="906">
        <v>1</v>
      </c>
      <c r="G190" s="805">
        <f>'17PGIRS'!D8</f>
        <v>1</v>
      </c>
      <c r="H190" s="1114"/>
      <c r="I190" s="1113">
        <f t="shared" si="47"/>
        <v>1</v>
      </c>
      <c r="J190" s="792">
        <f t="shared" si="48"/>
        <v>1</v>
      </c>
      <c r="K190" s="557" t="s">
        <v>3472</v>
      </c>
      <c r="L190" s="557"/>
      <c r="M190" s="792">
        <v>1</v>
      </c>
      <c r="N190" s="1339">
        <f t="shared" si="55"/>
        <v>3</v>
      </c>
      <c r="O190" s="1341">
        <f t="shared" si="56"/>
        <v>1</v>
      </c>
      <c r="P190" s="716">
        <f>5%*$P$180</f>
        <v>4.0000000000000001E-3</v>
      </c>
      <c r="Q190" s="1327">
        <f t="shared" si="58"/>
        <v>134678588.34999999</v>
      </c>
      <c r="R190" s="1328">
        <f t="shared" si="59"/>
        <v>90042479.299999997</v>
      </c>
      <c r="S190" s="1185"/>
      <c r="T190" s="734"/>
      <c r="U190" s="550"/>
      <c r="V190" s="734"/>
      <c r="W190" s="734"/>
      <c r="X190" s="734"/>
      <c r="Y190" s="550"/>
      <c r="Z190" s="550"/>
      <c r="AA190" s="550"/>
      <c r="AB190" s="548"/>
      <c r="AC190" s="1347" t="s">
        <v>1835</v>
      </c>
      <c r="AD190" s="951" t="s">
        <v>631</v>
      </c>
      <c r="AE190" s="1545"/>
    </row>
    <row r="191" spans="1:31" ht="78" customHeight="1" x14ac:dyDescent="0.25">
      <c r="A191" s="1663"/>
      <c r="B191" s="1074" t="s">
        <v>880</v>
      </c>
      <c r="C191" s="1104" t="s">
        <v>2647</v>
      </c>
      <c r="D191" s="832">
        <v>1</v>
      </c>
      <c r="E191" s="906">
        <v>1</v>
      </c>
      <c r="F191" s="906">
        <v>0.81</v>
      </c>
      <c r="G191" s="805">
        <f>'22Autor'!D8</f>
        <v>0.91259358288770076</v>
      </c>
      <c r="H191" s="1114"/>
      <c r="I191" s="1113">
        <f t="shared" si="47"/>
        <v>0.81</v>
      </c>
      <c r="J191" s="1424">
        <f t="shared" si="48"/>
        <v>0.91259358288770076</v>
      </c>
      <c r="K191" s="557" t="s">
        <v>3473</v>
      </c>
      <c r="L191" s="557"/>
      <c r="M191" s="792">
        <v>1</v>
      </c>
      <c r="N191" s="1339">
        <f t="shared" si="55"/>
        <v>2.7225935828877006</v>
      </c>
      <c r="O191" s="1341">
        <f t="shared" si="56"/>
        <v>1</v>
      </c>
      <c r="P191" s="716">
        <f>15%*$P$180</f>
        <v>1.2E-2</v>
      </c>
      <c r="Q191" s="1327">
        <f t="shared" si="58"/>
        <v>404035765.05000001</v>
      </c>
      <c r="R191" s="1328">
        <f t="shared" si="59"/>
        <v>270127437.90000004</v>
      </c>
      <c r="S191" s="1185"/>
      <c r="T191" s="734"/>
      <c r="U191" s="550"/>
      <c r="V191" s="734"/>
      <c r="W191" s="734"/>
      <c r="X191" s="734"/>
      <c r="Y191" s="550"/>
      <c r="Z191" s="550"/>
      <c r="AA191" s="550"/>
      <c r="AB191" s="548"/>
      <c r="AC191" s="1347" t="s">
        <v>1835</v>
      </c>
      <c r="AD191" s="951" t="s">
        <v>880</v>
      </c>
      <c r="AE191" s="1545"/>
    </row>
    <row r="192" spans="1:31" ht="75" customHeight="1" x14ac:dyDescent="0.25">
      <c r="A192" s="1664"/>
      <c r="B192" s="1010" t="s">
        <v>3047</v>
      </c>
      <c r="C192" s="909" t="s">
        <v>2660</v>
      </c>
      <c r="D192" s="834">
        <v>1</v>
      </c>
      <c r="E192" s="907">
        <v>2</v>
      </c>
      <c r="F192" s="907">
        <v>1</v>
      </c>
      <c r="G192" s="1114">
        <v>2</v>
      </c>
      <c r="H192" s="1114"/>
      <c r="I192" s="1113">
        <f t="shared" si="47"/>
        <v>1</v>
      </c>
      <c r="J192" s="792">
        <f t="shared" si="48"/>
        <v>1</v>
      </c>
      <c r="K192" s="557" t="s">
        <v>3474</v>
      </c>
      <c r="L192" s="557"/>
      <c r="M192" s="801">
        <v>7</v>
      </c>
      <c r="N192" s="1339">
        <f t="shared" si="55"/>
        <v>5</v>
      </c>
      <c r="O192" s="1341">
        <f t="shared" si="56"/>
        <v>0.7142857142857143</v>
      </c>
      <c r="P192" s="716">
        <f>3%*$P$180</f>
        <v>2.3999999999999998E-3</v>
      </c>
      <c r="Q192" s="1327">
        <f t="shared" si="58"/>
        <v>80807153.00999999</v>
      </c>
      <c r="R192" s="1328">
        <f t="shared" si="59"/>
        <v>54025487.579999991</v>
      </c>
      <c r="S192" s="1185"/>
      <c r="T192" s="734"/>
      <c r="U192" s="550"/>
      <c r="V192" s="734"/>
      <c r="W192" s="734"/>
      <c r="X192" s="734"/>
      <c r="Y192" s="550"/>
      <c r="Z192" s="550"/>
      <c r="AA192" s="550"/>
      <c r="AB192" s="548"/>
      <c r="AC192" s="1347" t="s">
        <v>1835</v>
      </c>
      <c r="AD192" s="951" t="s">
        <v>1844</v>
      </c>
      <c r="AE192" s="1545"/>
    </row>
    <row r="193" spans="1:31" ht="45" x14ac:dyDescent="0.25">
      <c r="A193" s="1654" t="s">
        <v>2796</v>
      </c>
      <c r="B193" s="1074" t="s">
        <v>3048</v>
      </c>
      <c r="C193" s="1107" t="s">
        <v>2797</v>
      </c>
      <c r="D193" s="867">
        <v>90</v>
      </c>
      <c r="E193" s="910">
        <v>90</v>
      </c>
      <c r="F193" s="910">
        <v>89</v>
      </c>
      <c r="G193" s="1425">
        <f>+'21TiempoT'!E57</f>
        <v>234.98611111111109</v>
      </c>
      <c r="H193" s="1114"/>
      <c r="I193" s="1113">
        <f t="shared" si="47"/>
        <v>0.98888888888888893</v>
      </c>
      <c r="J193" s="1424">
        <f>+'21TiempoT'!G57</f>
        <v>0.45977936729332308</v>
      </c>
      <c r="K193" s="557"/>
      <c r="L193" s="557"/>
      <c r="M193" s="867">
        <v>90</v>
      </c>
      <c r="N193" s="1339">
        <f t="shared" si="55"/>
        <v>413.98611111111109</v>
      </c>
      <c r="O193" s="1341">
        <f t="shared" si="56"/>
        <v>1</v>
      </c>
      <c r="P193" s="716">
        <f>15%*$P$180</f>
        <v>1.2E-2</v>
      </c>
      <c r="Q193" s="1327">
        <f t="shared" si="58"/>
        <v>404035765.05000001</v>
      </c>
      <c r="R193" s="1328">
        <f t="shared" si="59"/>
        <v>270127437.90000004</v>
      </c>
      <c r="S193" s="1185"/>
      <c r="T193" s="734"/>
      <c r="U193" s="550"/>
      <c r="V193" s="734"/>
      <c r="W193" s="734"/>
      <c r="X193" s="734"/>
      <c r="Y193" s="550"/>
      <c r="Z193" s="550"/>
      <c r="AA193" s="550"/>
      <c r="AB193" s="551"/>
      <c r="AC193" s="1347" t="s">
        <v>1835</v>
      </c>
      <c r="AD193" s="951" t="s">
        <v>832</v>
      </c>
      <c r="AE193" s="1545"/>
    </row>
    <row r="194" spans="1:31" ht="60" customHeight="1" x14ac:dyDescent="0.25">
      <c r="A194" s="1655"/>
      <c r="B194" s="1007" t="s">
        <v>3049</v>
      </c>
      <c r="C194" s="905" t="s">
        <v>2647</v>
      </c>
      <c r="D194" s="805">
        <v>0.6</v>
      </c>
      <c r="E194" s="911">
        <v>0.65</v>
      </c>
      <c r="F194" s="911">
        <v>0.6</v>
      </c>
      <c r="G194" s="1411">
        <v>0</v>
      </c>
      <c r="H194" s="1114"/>
      <c r="I194" s="1113">
        <f t="shared" si="47"/>
        <v>1</v>
      </c>
      <c r="J194" s="1424">
        <f t="shared" si="48"/>
        <v>0</v>
      </c>
      <c r="K194" s="557"/>
      <c r="L194" s="557"/>
      <c r="M194" s="805">
        <v>0.7</v>
      </c>
      <c r="N194" s="1339">
        <f t="shared" si="55"/>
        <v>1.25</v>
      </c>
      <c r="O194" s="1341">
        <f t="shared" si="56"/>
        <v>1</v>
      </c>
      <c r="P194" s="716">
        <f>5%*$P$180</f>
        <v>4.0000000000000001E-3</v>
      </c>
      <c r="Q194" s="1327">
        <f t="shared" si="58"/>
        <v>134678588.34999999</v>
      </c>
      <c r="R194" s="1328">
        <f t="shared" si="59"/>
        <v>90042479.299999997</v>
      </c>
      <c r="S194" s="1185"/>
      <c r="T194" s="734"/>
      <c r="U194" s="550"/>
      <c r="V194" s="734"/>
      <c r="W194" s="734"/>
      <c r="X194" s="734"/>
      <c r="Y194" s="550"/>
      <c r="Z194" s="550"/>
      <c r="AA194" s="550"/>
      <c r="AB194" s="551"/>
      <c r="AC194" s="1347" t="s">
        <v>1835</v>
      </c>
      <c r="AD194" s="951" t="s">
        <v>832</v>
      </c>
      <c r="AE194" s="1545"/>
    </row>
    <row r="195" spans="1:31" ht="39" thickBot="1" x14ac:dyDescent="0.3">
      <c r="A195" s="912" t="s">
        <v>2798</v>
      </c>
      <c r="B195" s="1108" t="s">
        <v>944</v>
      </c>
      <c r="C195" s="900" t="s">
        <v>2647</v>
      </c>
      <c r="D195" s="805">
        <v>0.5</v>
      </c>
      <c r="E195" s="913">
        <v>0.65</v>
      </c>
      <c r="F195" s="913">
        <f>'[2]23Sanc'!E9</f>
        <v>0</v>
      </c>
      <c r="G195" s="1411">
        <f>'23Sanc'!D8</f>
        <v>7.7834179357021999E-2</v>
      </c>
      <c r="H195" s="1114"/>
      <c r="I195" s="1113">
        <f t="shared" si="47"/>
        <v>0</v>
      </c>
      <c r="J195" s="1424">
        <f t="shared" si="48"/>
        <v>0.11974489131849538</v>
      </c>
      <c r="K195" s="557"/>
      <c r="L195" s="557"/>
      <c r="M195" s="805">
        <v>0.7</v>
      </c>
      <c r="N195" s="1339">
        <f t="shared" si="55"/>
        <v>0.72783417935702199</v>
      </c>
      <c r="O195" s="1341">
        <f t="shared" si="56"/>
        <v>1</v>
      </c>
      <c r="P195" s="716">
        <f>5%*$P$180</f>
        <v>4.0000000000000001E-3</v>
      </c>
      <c r="Q195" s="1327">
        <f t="shared" si="58"/>
        <v>134678588.34999999</v>
      </c>
      <c r="R195" s="1328">
        <f t="shared" si="59"/>
        <v>90042479.299999997</v>
      </c>
      <c r="S195" s="1185"/>
      <c r="T195" s="734"/>
      <c r="U195" s="550"/>
      <c r="V195" s="734"/>
      <c r="W195" s="734"/>
      <c r="X195" s="734"/>
      <c r="Y195" s="550"/>
      <c r="Z195" s="550"/>
      <c r="AA195" s="550"/>
      <c r="AB195" s="551"/>
      <c r="AC195" s="1347" t="s">
        <v>1835</v>
      </c>
      <c r="AD195" s="951" t="s">
        <v>944</v>
      </c>
      <c r="AE195" s="1545"/>
    </row>
    <row r="196" spans="1:31" ht="15.75" customHeight="1" thickBot="1" x14ac:dyDescent="0.3">
      <c r="A196" s="914" t="s">
        <v>2843</v>
      </c>
      <c r="B196" s="914"/>
      <c r="C196" s="915"/>
      <c r="D196" s="915"/>
      <c r="E196" s="915"/>
      <c r="F196" s="915"/>
      <c r="G196" s="1114"/>
      <c r="H196" s="1114"/>
      <c r="I196" s="1244">
        <v>0.28000000000000003</v>
      </c>
      <c r="J196" s="1245">
        <f>+(J197+J198+J199+J200+J201+J203)/6</f>
        <v>0.95833333333333337</v>
      </c>
      <c r="K196" s="557"/>
      <c r="L196" s="557"/>
      <c r="M196" s="915"/>
      <c r="N196" s="1339">
        <f t="shared" si="55"/>
        <v>0</v>
      </c>
      <c r="O196" s="1341" t="e">
        <f t="shared" si="56"/>
        <v>#DIV/0!</v>
      </c>
      <c r="P196" s="1183">
        <v>7.0000000000000007E-2</v>
      </c>
      <c r="Q196" s="1325">
        <f>'informe Gastos'!AC99</f>
        <v>667478160.21000004</v>
      </c>
      <c r="R196" s="1325">
        <f>'informe Gastos'!AD99</f>
        <v>659299525</v>
      </c>
      <c r="S196" s="1185">
        <f t="shared" ref="S196" si="60">+R196/Q196</f>
        <v>0.9877469620767414</v>
      </c>
      <c r="T196" s="1325">
        <f>'informe Gastos'!AE99</f>
        <v>324349028.75</v>
      </c>
      <c r="U196" s="1332">
        <f>+T196/R196</f>
        <v>0.49196005222360806</v>
      </c>
      <c r="V196" s="729">
        <f t="shared" ref="V196" si="61">+R196-T196</f>
        <v>334950496.25</v>
      </c>
      <c r="W196" s="734"/>
      <c r="X196" s="734"/>
      <c r="Y196" s="550">
        <f>(383663291+374225525+422990000+446678000)+1618818303-22000000</f>
        <v>3224375119</v>
      </c>
      <c r="Z196" s="550">
        <f>1935959467+R196</f>
        <v>2595258992</v>
      </c>
      <c r="AA196" s="766">
        <f>+Z196/Y196</f>
        <v>0.80488742662326695</v>
      </c>
      <c r="AB196" s="946"/>
      <c r="AC196" s="1347"/>
      <c r="AD196" s="951"/>
      <c r="AE196" s="1545"/>
    </row>
    <row r="197" spans="1:31" ht="38.25" x14ac:dyDescent="0.25">
      <c r="A197" s="1656" t="s">
        <v>2799</v>
      </c>
      <c r="B197" s="1097" t="s">
        <v>3050</v>
      </c>
      <c r="C197" s="1109" t="s">
        <v>2660</v>
      </c>
      <c r="D197" s="916">
        <v>30</v>
      </c>
      <c r="E197" s="916">
        <v>15</v>
      </c>
      <c r="F197" s="916">
        <v>0</v>
      </c>
      <c r="G197" s="1114">
        <v>15</v>
      </c>
      <c r="H197" s="1114"/>
      <c r="I197" s="1113">
        <f t="shared" si="47"/>
        <v>0</v>
      </c>
      <c r="J197" s="792">
        <f t="shared" si="48"/>
        <v>1</v>
      </c>
      <c r="K197" s="557"/>
      <c r="L197" s="557"/>
      <c r="M197" s="916">
        <v>165</v>
      </c>
      <c r="N197" s="1339">
        <f t="shared" si="55"/>
        <v>30</v>
      </c>
      <c r="O197" s="1341">
        <f t="shared" si="56"/>
        <v>0.18181818181818182</v>
      </c>
      <c r="P197" s="558"/>
      <c r="Q197" s="1327">
        <f>Q$196*P197/P$196</f>
        <v>0</v>
      </c>
      <c r="R197" s="1328">
        <f>R$196*P197/P$196</f>
        <v>0</v>
      </c>
      <c r="S197" s="550"/>
      <c r="T197" s="734"/>
      <c r="U197" s="550"/>
      <c r="V197" s="734">
        <f t="shared" ref="V197:V204" si="62">+R197-T197</f>
        <v>0</v>
      </c>
      <c r="W197" s="734"/>
      <c r="X197" s="734"/>
      <c r="Y197" s="550"/>
      <c r="Z197" s="550"/>
      <c r="AA197" s="550"/>
      <c r="AB197" s="709"/>
      <c r="AC197" s="1347" t="s">
        <v>1835</v>
      </c>
      <c r="AD197" s="951" t="s">
        <v>1844</v>
      </c>
      <c r="AE197" s="1545"/>
    </row>
    <row r="198" spans="1:31" ht="38.25" x14ac:dyDescent="0.25">
      <c r="A198" s="1622"/>
      <c r="B198" s="1082" t="s">
        <v>3051</v>
      </c>
      <c r="C198" s="1107" t="s">
        <v>2660</v>
      </c>
      <c r="D198" s="917">
        <v>20</v>
      </c>
      <c r="E198" s="917">
        <v>20</v>
      </c>
      <c r="F198" s="917">
        <v>0</v>
      </c>
      <c r="G198" s="1114">
        <v>20</v>
      </c>
      <c r="H198" s="1114"/>
      <c r="I198" s="1113">
        <f t="shared" si="47"/>
        <v>0</v>
      </c>
      <c r="J198" s="792">
        <f t="shared" si="48"/>
        <v>1</v>
      </c>
      <c r="K198" s="557"/>
      <c r="L198" s="557"/>
      <c r="M198" s="917">
        <v>80</v>
      </c>
      <c r="N198" s="1339">
        <f t="shared" si="55"/>
        <v>40</v>
      </c>
      <c r="O198" s="1341">
        <f t="shared" si="56"/>
        <v>0.5</v>
      </c>
      <c r="P198" s="558"/>
      <c r="Q198" s="1327">
        <f t="shared" ref="Q198:Q203" si="63">Q$196*P198/P$196</f>
        <v>0</v>
      </c>
      <c r="R198" s="1328">
        <f t="shared" ref="R198:R203" si="64">R$196*P198/P$196</f>
        <v>0</v>
      </c>
      <c r="S198" s="550"/>
      <c r="T198" s="734"/>
      <c r="U198" s="550"/>
      <c r="V198" s="734">
        <f t="shared" si="62"/>
        <v>0</v>
      </c>
      <c r="W198" s="734"/>
      <c r="X198" s="734"/>
      <c r="Y198" s="550"/>
      <c r="Z198" s="550"/>
      <c r="AA198" s="550"/>
      <c r="AB198" s="551"/>
      <c r="AC198" s="1347" t="s">
        <v>1835</v>
      </c>
      <c r="AD198" s="951" t="s">
        <v>1844</v>
      </c>
      <c r="AE198" s="1545"/>
    </row>
    <row r="199" spans="1:31" ht="35.25" customHeight="1" x14ac:dyDescent="0.25">
      <c r="A199" s="1657" t="s">
        <v>2800</v>
      </c>
      <c r="B199" s="1082" t="s">
        <v>3052</v>
      </c>
      <c r="C199" s="1104" t="s">
        <v>2647</v>
      </c>
      <c r="D199" s="805">
        <v>0</v>
      </c>
      <c r="E199" s="805">
        <v>0.1</v>
      </c>
      <c r="F199" s="805">
        <v>0</v>
      </c>
      <c r="G199" s="1114">
        <v>10</v>
      </c>
      <c r="H199" s="1114"/>
      <c r="I199" s="1113" t="e">
        <f t="shared" si="47"/>
        <v>#DIV/0!</v>
      </c>
      <c r="J199" s="792">
        <f t="shared" si="48"/>
        <v>1</v>
      </c>
      <c r="K199" s="557"/>
      <c r="L199" s="557"/>
      <c r="M199" s="917">
        <v>100</v>
      </c>
      <c r="N199" s="1339">
        <f t="shared" si="55"/>
        <v>10.1</v>
      </c>
      <c r="O199" s="1341">
        <f t="shared" si="56"/>
        <v>0.10099999999999999</v>
      </c>
      <c r="P199" s="558"/>
      <c r="Q199" s="1327">
        <f t="shared" si="63"/>
        <v>0</v>
      </c>
      <c r="R199" s="1328">
        <f t="shared" si="64"/>
        <v>0</v>
      </c>
      <c r="S199" s="550"/>
      <c r="T199" s="734"/>
      <c r="U199" s="550"/>
      <c r="V199" s="734">
        <f t="shared" si="62"/>
        <v>0</v>
      </c>
      <c r="W199" s="734"/>
      <c r="X199" s="734"/>
      <c r="Y199" s="550"/>
      <c r="Z199" s="550"/>
      <c r="AA199" s="550"/>
      <c r="AB199" s="551"/>
      <c r="AC199" s="1347" t="s">
        <v>1835</v>
      </c>
      <c r="AD199" s="951" t="s">
        <v>994</v>
      </c>
      <c r="AE199" s="1545"/>
    </row>
    <row r="200" spans="1:31" ht="38.25" x14ac:dyDescent="0.25">
      <c r="A200" s="1657"/>
      <c r="B200" s="1082" t="s">
        <v>3053</v>
      </c>
      <c r="C200" s="1110" t="s">
        <v>2647</v>
      </c>
      <c r="D200" s="805">
        <v>0</v>
      </c>
      <c r="E200" s="1391">
        <v>3.5000000000000003E-2</v>
      </c>
      <c r="F200" s="805">
        <v>0</v>
      </c>
      <c r="G200" s="1321">
        <v>3.5</v>
      </c>
      <c r="H200" s="1114"/>
      <c r="I200" s="1113" t="e">
        <f t="shared" si="47"/>
        <v>#DIV/0!</v>
      </c>
      <c r="J200" s="792">
        <f t="shared" si="48"/>
        <v>1</v>
      </c>
      <c r="K200" s="557"/>
      <c r="L200" s="557"/>
      <c r="M200" s="917">
        <v>50</v>
      </c>
      <c r="N200" s="1339">
        <f t="shared" si="55"/>
        <v>3.5350000000000001</v>
      </c>
      <c r="O200" s="1341">
        <f t="shared" si="56"/>
        <v>7.0699999999999999E-2</v>
      </c>
      <c r="P200" s="558"/>
      <c r="Q200" s="1327">
        <f t="shared" si="63"/>
        <v>0</v>
      </c>
      <c r="R200" s="1328">
        <f t="shared" si="64"/>
        <v>0</v>
      </c>
      <c r="S200" s="550"/>
      <c r="T200" s="734"/>
      <c r="U200" s="550"/>
      <c r="V200" s="734">
        <f t="shared" si="62"/>
        <v>0</v>
      </c>
      <c r="W200" s="734"/>
      <c r="X200" s="734"/>
      <c r="Y200" s="550"/>
      <c r="Z200" s="550"/>
      <c r="AA200" s="550"/>
      <c r="AB200" s="551"/>
      <c r="AC200" s="1347" t="s">
        <v>1835</v>
      </c>
      <c r="AD200" s="951" t="s">
        <v>994</v>
      </c>
      <c r="AE200" s="1545"/>
    </row>
    <row r="201" spans="1:31" ht="38.25" x14ac:dyDescent="0.25">
      <c r="A201" s="1657"/>
      <c r="B201" s="1082" t="s">
        <v>3054</v>
      </c>
      <c r="C201" s="1104" t="s">
        <v>2647</v>
      </c>
      <c r="D201" s="805">
        <v>0</v>
      </c>
      <c r="E201" s="805">
        <v>1</v>
      </c>
      <c r="F201" s="805">
        <v>0</v>
      </c>
      <c r="G201" s="1114">
        <v>100</v>
      </c>
      <c r="H201" s="1114"/>
      <c r="I201" s="1113" t="e">
        <f t="shared" si="47"/>
        <v>#DIV/0!</v>
      </c>
      <c r="J201" s="792">
        <f t="shared" si="48"/>
        <v>1</v>
      </c>
      <c r="K201" s="557"/>
      <c r="L201" s="557"/>
      <c r="M201" s="805">
        <v>1</v>
      </c>
      <c r="N201" s="1339">
        <f t="shared" si="55"/>
        <v>101</v>
      </c>
      <c r="O201" s="1341">
        <f t="shared" si="56"/>
        <v>1</v>
      </c>
      <c r="P201" s="558"/>
      <c r="Q201" s="1327">
        <f t="shared" si="63"/>
        <v>0</v>
      </c>
      <c r="R201" s="1328">
        <f t="shared" si="64"/>
        <v>0</v>
      </c>
      <c r="S201" s="550"/>
      <c r="T201" s="734"/>
      <c r="U201" s="550"/>
      <c r="V201" s="734">
        <f t="shared" si="62"/>
        <v>0</v>
      </c>
      <c r="W201" s="734"/>
      <c r="X201" s="734"/>
      <c r="Y201" s="550"/>
      <c r="Z201" s="550"/>
      <c r="AA201" s="550"/>
      <c r="AB201" s="551"/>
      <c r="AC201" s="1347" t="s">
        <v>1835</v>
      </c>
      <c r="AD201" s="951" t="s">
        <v>994</v>
      </c>
      <c r="AE201" s="1545"/>
    </row>
    <row r="202" spans="1:31" ht="38.25" x14ac:dyDescent="0.25">
      <c r="A202" s="1657"/>
      <c r="B202" s="1082" t="s">
        <v>3055</v>
      </c>
      <c r="C202" s="1104" t="s">
        <v>2647</v>
      </c>
      <c r="D202" s="805">
        <v>0</v>
      </c>
      <c r="E202" s="917">
        <v>0</v>
      </c>
      <c r="F202" s="917">
        <v>0</v>
      </c>
      <c r="G202" s="1114">
        <v>0</v>
      </c>
      <c r="H202" s="1114"/>
      <c r="I202" s="1113" t="e">
        <f t="shared" si="47"/>
        <v>#DIV/0!</v>
      </c>
      <c r="J202" s="792" t="e">
        <f t="shared" si="48"/>
        <v>#DIV/0!</v>
      </c>
      <c r="K202" s="557"/>
      <c r="L202" s="557"/>
      <c r="M202" s="805">
        <v>1</v>
      </c>
      <c r="N202" s="1339">
        <f t="shared" si="55"/>
        <v>0</v>
      </c>
      <c r="O202" s="1341">
        <f t="shared" si="56"/>
        <v>0</v>
      </c>
      <c r="P202" s="558"/>
      <c r="Q202" s="1327">
        <f t="shared" si="63"/>
        <v>0</v>
      </c>
      <c r="R202" s="1328">
        <f t="shared" si="64"/>
        <v>0</v>
      </c>
      <c r="S202" s="550"/>
      <c r="T202" s="734"/>
      <c r="U202" s="550"/>
      <c r="V202" s="734">
        <f t="shared" si="62"/>
        <v>0</v>
      </c>
      <c r="W202" s="734"/>
      <c r="X202" s="734"/>
      <c r="Y202" s="550"/>
      <c r="Z202" s="550"/>
      <c r="AA202" s="550"/>
      <c r="AB202" s="551"/>
      <c r="AC202" s="1347" t="s">
        <v>1835</v>
      </c>
      <c r="AD202" s="951" t="s">
        <v>994</v>
      </c>
      <c r="AE202" s="1545"/>
    </row>
    <row r="203" spans="1:31" ht="39" thickBot="1" x14ac:dyDescent="0.3">
      <c r="A203" s="1658"/>
      <c r="B203" s="1082" t="s">
        <v>3056</v>
      </c>
      <c r="C203" s="1107" t="s">
        <v>2660</v>
      </c>
      <c r="D203" s="917">
        <v>12</v>
      </c>
      <c r="E203" s="917">
        <v>12</v>
      </c>
      <c r="F203" s="917">
        <v>10</v>
      </c>
      <c r="G203" s="1114">
        <v>9</v>
      </c>
      <c r="H203" s="1114"/>
      <c r="I203" s="1113">
        <f t="shared" si="47"/>
        <v>0.83333333333333337</v>
      </c>
      <c r="J203" s="1424">
        <f t="shared" si="48"/>
        <v>0.75</v>
      </c>
      <c r="K203" s="557"/>
      <c r="L203" s="557"/>
      <c r="M203" s="917">
        <v>12</v>
      </c>
      <c r="N203" s="1339">
        <f t="shared" si="55"/>
        <v>31</v>
      </c>
      <c r="O203" s="1341">
        <f t="shared" si="56"/>
        <v>1</v>
      </c>
      <c r="P203" s="559"/>
      <c r="Q203" s="1327">
        <f t="shared" si="63"/>
        <v>0</v>
      </c>
      <c r="R203" s="1328">
        <f t="shared" si="64"/>
        <v>0</v>
      </c>
      <c r="S203" s="550"/>
      <c r="T203" s="734"/>
      <c r="U203" s="550"/>
      <c r="V203" s="734">
        <f t="shared" si="62"/>
        <v>0</v>
      </c>
      <c r="W203" s="734"/>
      <c r="X203" s="734"/>
      <c r="Y203" s="550"/>
      <c r="Z203" s="550"/>
      <c r="AA203" s="550"/>
      <c r="AB203" s="551"/>
      <c r="AC203" s="1347" t="s">
        <v>1835</v>
      </c>
      <c r="AD203" s="951" t="s">
        <v>944</v>
      </c>
      <c r="AE203" s="1546"/>
    </row>
    <row r="204" spans="1:31" ht="26.25" customHeight="1" thickBot="1" x14ac:dyDescent="0.3">
      <c r="A204" s="1646" t="s">
        <v>1262</v>
      </c>
      <c r="B204" s="1647"/>
      <c r="C204" s="1111"/>
      <c r="D204" s="560"/>
      <c r="E204" s="763"/>
      <c r="F204" s="763"/>
      <c r="G204" s="763"/>
      <c r="H204" s="763"/>
      <c r="I204" s="1187">
        <f>SUM(I8+I39+I66+I113+I143+I179)/6</f>
        <v>0.90125</v>
      </c>
      <c r="J204" s="1187">
        <f>SUM(J8+J39+J66+J113+J143+J179)/6</f>
        <v>0.96089259168115548</v>
      </c>
      <c r="K204" s="560"/>
      <c r="L204" s="719">
        <f>+(L8*$P$8)</f>
        <v>0</v>
      </c>
      <c r="M204" s="560"/>
      <c r="N204" s="560"/>
      <c r="O204" s="719" t="e">
        <f ca="1">+(O8*$P$8)</f>
        <v>#DIV/0!</v>
      </c>
      <c r="P204" s="1186">
        <f>SUM(P8+P39+P66+P113+P143+P179)</f>
        <v>1</v>
      </c>
      <c r="Q204" s="727">
        <f>SUM(Q8+Q39+Q66+Q113+Q143+Q179)</f>
        <v>53609581266.170006</v>
      </c>
      <c r="R204" s="727">
        <f>SUM(R8+R39+R66+R113+R143+R179)</f>
        <v>39186702548.110008</v>
      </c>
      <c r="S204" s="1333">
        <f>R204/Q204</f>
        <v>0.73096453325291189</v>
      </c>
      <c r="T204" s="727">
        <f>SUM(T8+T39+T66+T113+T143+T179)</f>
        <v>19073706594.879997</v>
      </c>
      <c r="U204" s="720">
        <f t="shared" ref="U204" si="65">+T204/R204</f>
        <v>0.48673925986660826</v>
      </c>
      <c r="V204" s="727">
        <f t="shared" si="62"/>
        <v>20112995953.230011</v>
      </c>
      <c r="W204" s="727"/>
      <c r="X204" s="727"/>
      <c r="Y204" s="727">
        <f>SUM(Y8+Y39+Y66+Y113+Y143+Y179)</f>
        <v>99996667450.419998</v>
      </c>
      <c r="Z204" s="727">
        <f>SUM(Z8+Z39+Z66+Z113+Z143+Z179)</f>
        <v>75605163360.029999</v>
      </c>
      <c r="AA204" s="720">
        <f>+Z204/Y204</f>
        <v>0.75607683023553052</v>
      </c>
      <c r="AB204" s="561"/>
    </row>
    <row r="205" spans="1:31" ht="19.5" customHeight="1" x14ac:dyDescent="0.25">
      <c r="A205" s="1581" t="s">
        <v>1263</v>
      </c>
      <c r="B205" s="1581"/>
      <c r="C205" s="1581"/>
      <c r="D205" s="1581"/>
      <c r="E205" s="1581"/>
      <c r="F205" s="1581"/>
      <c r="G205" s="1581"/>
      <c r="H205" s="1581"/>
      <c r="I205" s="1581"/>
      <c r="J205" s="1581"/>
      <c r="K205" s="1581"/>
      <c r="L205" s="1581"/>
      <c r="M205" s="1581"/>
      <c r="N205" s="1581"/>
      <c r="O205" s="1581"/>
      <c r="P205" s="1581"/>
      <c r="Q205" s="1581"/>
      <c r="R205" s="1581"/>
      <c r="S205" s="1581"/>
      <c r="T205" s="1581"/>
      <c r="U205" s="1581"/>
      <c r="V205" s="1581"/>
      <c r="W205" s="1581"/>
      <c r="X205" s="1581"/>
      <c r="Y205" s="1581"/>
      <c r="Z205" s="1581"/>
      <c r="AA205" s="1581"/>
      <c r="AB205" s="1581"/>
    </row>
    <row r="206" spans="1:31" x14ac:dyDescent="0.25">
      <c r="AB206" s="562"/>
    </row>
    <row r="207" spans="1:31" ht="23.25" customHeight="1" x14ac:dyDescent="0.25">
      <c r="A207" s="1576"/>
      <c r="B207" s="1576"/>
      <c r="C207" s="1576"/>
      <c r="D207" s="1576"/>
      <c r="E207" s="1576"/>
      <c r="F207" s="1576"/>
      <c r="G207" s="1576"/>
      <c r="H207" s="1576"/>
      <c r="I207" s="1576"/>
      <c r="J207" s="1576"/>
      <c r="K207" s="1576"/>
      <c r="L207" s="1576"/>
      <c r="M207" s="1576"/>
      <c r="N207" s="1576"/>
      <c r="O207" s="1576"/>
      <c r="P207" s="1576"/>
      <c r="Q207" s="1576"/>
      <c r="R207" s="1576"/>
      <c r="S207" s="1576"/>
      <c r="T207" s="1576"/>
      <c r="U207" s="1576"/>
      <c r="V207" s="1576"/>
      <c r="W207" s="1576"/>
      <c r="X207" s="1576"/>
      <c r="Y207" s="1576"/>
      <c r="Z207" s="1576"/>
      <c r="AA207" s="1576"/>
    </row>
    <row r="208" spans="1:31" ht="19.5" customHeight="1" x14ac:dyDescent="0.25">
      <c r="A208" s="1576"/>
      <c r="B208" s="1576"/>
      <c r="C208" s="1576"/>
      <c r="D208" s="563"/>
      <c r="E208" s="762"/>
      <c r="F208" s="762"/>
      <c r="G208" s="762"/>
      <c r="H208" s="762"/>
      <c r="I208" s="762"/>
      <c r="J208" s="762"/>
      <c r="K208" s="563"/>
      <c r="L208" s="563"/>
      <c r="M208" s="563"/>
      <c r="N208" s="563"/>
      <c r="O208" s="563"/>
      <c r="P208" s="563"/>
      <c r="Q208" s="1576"/>
      <c r="R208" s="1576"/>
      <c r="S208" s="1576"/>
      <c r="T208" s="1576"/>
      <c r="U208" s="1576"/>
      <c r="V208" s="1576"/>
      <c r="W208" s="1576"/>
      <c r="X208" s="1576"/>
      <c r="Y208" s="1576"/>
      <c r="Z208" s="1576"/>
      <c r="AA208" s="1576"/>
    </row>
    <row r="209" spans="1:27" ht="59.25" customHeight="1" x14ac:dyDescent="0.25">
      <c r="A209" s="1577"/>
      <c r="B209" s="1577"/>
      <c r="C209" s="1577"/>
      <c r="D209" s="564"/>
      <c r="E209" s="761"/>
      <c r="F209" s="761"/>
      <c r="G209" s="761"/>
      <c r="H209" s="761"/>
      <c r="I209" s="761"/>
      <c r="J209" s="761"/>
      <c r="K209" s="564"/>
      <c r="L209" s="564"/>
      <c r="M209" s="564"/>
      <c r="N209" s="564"/>
      <c r="O209" s="564"/>
      <c r="P209" s="564"/>
      <c r="Q209" s="1578"/>
      <c r="R209" s="1578"/>
      <c r="S209" s="1578"/>
      <c r="T209" s="1578"/>
      <c r="U209" s="1578"/>
      <c r="V209" s="1578"/>
      <c r="W209" s="1578"/>
      <c r="X209" s="1578"/>
      <c r="Y209" s="1578"/>
      <c r="Z209" s="1578"/>
      <c r="AA209" s="1578"/>
    </row>
    <row r="210" spans="1:27" ht="42.75" customHeight="1" x14ac:dyDescent="0.25">
      <c r="A210" s="1577"/>
      <c r="B210" s="1577"/>
      <c r="C210" s="1577"/>
      <c r="D210" s="564"/>
      <c r="E210" s="761"/>
      <c r="F210" s="761"/>
      <c r="G210" s="761"/>
      <c r="H210" s="761"/>
      <c r="I210" s="761"/>
      <c r="J210" s="761"/>
      <c r="K210" s="564"/>
      <c r="L210" s="564"/>
      <c r="M210" s="564"/>
      <c r="N210" s="564"/>
      <c r="O210" s="564"/>
      <c r="P210" s="564"/>
      <c r="Q210" s="1578"/>
      <c r="R210" s="1578"/>
      <c r="S210" s="1578"/>
      <c r="T210" s="1578"/>
      <c r="U210" s="1578"/>
      <c r="V210" s="1578"/>
      <c r="W210" s="1578"/>
      <c r="X210" s="1578"/>
      <c r="Y210" s="1578"/>
      <c r="Z210" s="1578"/>
      <c r="AA210" s="1578"/>
    </row>
    <row r="211" spans="1:27" ht="27" customHeight="1" x14ac:dyDescent="0.25">
      <c r="A211" s="1577"/>
      <c r="B211" s="1577"/>
      <c r="C211" s="1577"/>
      <c r="D211" s="564"/>
      <c r="E211" s="761"/>
      <c r="F211" s="761"/>
      <c r="G211" s="761"/>
      <c r="H211" s="761"/>
      <c r="I211" s="761"/>
      <c r="J211" s="761"/>
      <c r="K211" s="564"/>
      <c r="L211" s="564"/>
      <c r="M211" s="564"/>
      <c r="N211" s="564"/>
      <c r="O211" s="564"/>
      <c r="P211" s="564"/>
      <c r="Q211" s="1578"/>
      <c r="R211" s="1578"/>
      <c r="S211" s="1578"/>
      <c r="T211" s="1578"/>
      <c r="U211" s="1578"/>
      <c r="V211" s="1578"/>
      <c r="W211" s="1578"/>
      <c r="X211" s="1578"/>
      <c r="Y211" s="1578"/>
      <c r="Z211" s="1578"/>
      <c r="AA211" s="1578"/>
    </row>
    <row r="212" spans="1:27" ht="40.5" customHeight="1" x14ac:dyDescent="0.25">
      <c r="A212" s="1577"/>
      <c r="B212" s="1577"/>
      <c r="C212" s="1577"/>
      <c r="D212" s="564"/>
      <c r="E212" s="761"/>
      <c r="F212" s="761"/>
      <c r="G212" s="761"/>
      <c r="H212" s="761"/>
      <c r="I212" s="761"/>
      <c r="J212" s="761"/>
      <c r="K212" s="564"/>
      <c r="L212" s="564"/>
      <c r="M212" s="564"/>
      <c r="N212" s="564"/>
      <c r="O212" s="564"/>
      <c r="P212" s="564"/>
      <c r="Q212" s="1578"/>
      <c r="R212" s="1578"/>
      <c r="S212" s="1578"/>
      <c r="T212" s="1578"/>
      <c r="U212" s="1578"/>
      <c r="V212" s="1578"/>
      <c r="W212" s="1578"/>
      <c r="X212" s="1578"/>
      <c r="Y212" s="1578"/>
      <c r="Z212" s="1578"/>
      <c r="AA212" s="1578"/>
    </row>
    <row r="213" spans="1:27" ht="35.25" customHeight="1" x14ac:dyDescent="0.25">
      <c r="A213" s="1577"/>
      <c r="B213" s="1577"/>
      <c r="C213" s="1577"/>
      <c r="D213" s="564"/>
      <c r="E213" s="761"/>
      <c r="F213" s="761"/>
      <c r="G213" s="761"/>
      <c r="H213" s="761"/>
      <c r="I213" s="761"/>
      <c r="J213" s="761"/>
      <c r="K213" s="564"/>
      <c r="L213" s="564"/>
      <c r="M213" s="564"/>
      <c r="N213" s="564"/>
      <c r="O213" s="564"/>
      <c r="P213" s="564"/>
      <c r="Q213" s="1578"/>
      <c r="R213" s="1578"/>
      <c r="S213" s="1578"/>
      <c r="T213" s="1578"/>
      <c r="U213" s="1578"/>
      <c r="V213" s="1578"/>
      <c r="W213" s="1578"/>
      <c r="X213" s="1578"/>
      <c r="Y213" s="1578"/>
      <c r="Z213" s="1578"/>
      <c r="AA213" s="1578"/>
    </row>
    <row r="214" spans="1:27" ht="41.25" customHeight="1" x14ac:dyDescent="0.25">
      <c r="A214" s="1577"/>
      <c r="B214" s="1577"/>
      <c r="C214" s="1577"/>
      <c r="D214" s="564"/>
      <c r="E214" s="761"/>
      <c r="F214" s="761"/>
      <c r="G214" s="761"/>
      <c r="H214" s="761"/>
      <c r="I214" s="761"/>
      <c r="J214" s="761"/>
      <c r="K214" s="564"/>
      <c r="L214" s="564"/>
      <c r="M214" s="564"/>
      <c r="N214" s="564"/>
      <c r="O214" s="564"/>
      <c r="P214" s="564"/>
      <c r="Q214" s="1578"/>
      <c r="R214" s="1578"/>
      <c r="S214" s="1578"/>
      <c r="T214" s="1578"/>
      <c r="U214" s="1578"/>
      <c r="V214" s="1578"/>
      <c r="W214" s="1578"/>
      <c r="X214" s="1578"/>
      <c r="Y214" s="1578"/>
      <c r="Z214" s="1578"/>
      <c r="AA214" s="1578"/>
    </row>
    <row r="215" spans="1:27" ht="39" customHeight="1" x14ac:dyDescent="0.25">
      <c r="A215" s="1577"/>
      <c r="B215" s="1577"/>
      <c r="C215" s="1577"/>
      <c r="D215" s="564"/>
      <c r="E215" s="761"/>
      <c r="F215" s="761"/>
      <c r="G215" s="761"/>
      <c r="H215" s="761"/>
      <c r="I215" s="761"/>
      <c r="J215" s="761"/>
      <c r="K215" s="564"/>
      <c r="L215" s="564"/>
      <c r="M215" s="564"/>
      <c r="N215" s="564"/>
      <c r="O215" s="564"/>
      <c r="P215" s="564"/>
      <c r="Q215" s="1578"/>
      <c r="R215" s="1578"/>
      <c r="S215" s="1578"/>
      <c r="T215" s="1578"/>
      <c r="U215" s="1578"/>
      <c r="V215" s="1578"/>
      <c r="W215" s="1578"/>
      <c r="X215" s="1578"/>
      <c r="Y215" s="1578"/>
      <c r="Z215" s="1578"/>
      <c r="AA215" s="1578"/>
    </row>
    <row r="216" spans="1:27" ht="81" customHeight="1" x14ac:dyDescent="0.25">
      <c r="A216" s="1577"/>
      <c r="B216" s="1577"/>
      <c r="C216" s="1577"/>
      <c r="D216" s="564"/>
      <c r="E216" s="761"/>
      <c r="F216" s="761"/>
      <c r="G216" s="761"/>
      <c r="H216" s="761"/>
      <c r="I216" s="761"/>
      <c r="J216" s="761"/>
      <c r="K216" s="564"/>
      <c r="L216" s="564"/>
      <c r="M216" s="564"/>
      <c r="N216" s="564"/>
      <c r="O216" s="564"/>
      <c r="P216" s="564"/>
      <c r="Q216" s="1578"/>
      <c r="R216" s="1578"/>
      <c r="S216" s="1578"/>
      <c r="T216" s="1578"/>
      <c r="U216" s="1578"/>
      <c r="V216" s="1578"/>
      <c r="W216" s="1578"/>
      <c r="X216" s="1578"/>
      <c r="Y216" s="1578"/>
      <c r="Z216" s="1578"/>
      <c r="AA216" s="1578"/>
    </row>
    <row r="217" spans="1:27" ht="33.75" customHeight="1" x14ac:dyDescent="0.25">
      <c r="A217" s="1577"/>
      <c r="B217" s="1577"/>
      <c r="C217" s="1577"/>
      <c r="D217" s="564"/>
      <c r="E217" s="761"/>
      <c r="F217" s="761"/>
      <c r="G217" s="761"/>
      <c r="H217" s="761"/>
      <c r="I217" s="761"/>
      <c r="J217" s="761"/>
      <c r="K217" s="564"/>
      <c r="L217" s="564"/>
      <c r="M217" s="564"/>
      <c r="N217" s="564"/>
      <c r="O217" s="564"/>
      <c r="P217" s="564"/>
      <c r="Q217" s="1578"/>
      <c r="R217" s="1578"/>
      <c r="S217" s="1578"/>
      <c r="T217" s="1578"/>
      <c r="U217" s="1578"/>
      <c r="V217" s="1578"/>
      <c r="W217" s="1578"/>
      <c r="X217" s="1578"/>
      <c r="Y217" s="1578"/>
      <c r="Z217" s="1578"/>
      <c r="AA217" s="1578"/>
    </row>
    <row r="218" spans="1:27" ht="147.75" customHeight="1" x14ac:dyDescent="0.25">
      <c r="A218" s="1577"/>
      <c r="B218" s="1577"/>
      <c r="C218" s="1577"/>
      <c r="D218" s="564"/>
      <c r="E218" s="761"/>
      <c r="F218" s="761"/>
      <c r="G218" s="761"/>
      <c r="H218" s="761"/>
      <c r="I218" s="761"/>
      <c r="J218" s="761"/>
      <c r="K218" s="564"/>
      <c r="L218" s="564"/>
      <c r="M218" s="564"/>
      <c r="N218" s="564"/>
      <c r="O218" s="564"/>
      <c r="P218" s="564"/>
      <c r="Q218" s="1578"/>
      <c r="R218" s="1578"/>
      <c r="S218" s="1578"/>
      <c r="T218" s="1578"/>
      <c r="U218" s="1578"/>
      <c r="V218" s="1578"/>
      <c r="W218" s="1578"/>
      <c r="X218" s="1578"/>
      <c r="Y218" s="1578"/>
      <c r="Z218" s="1578"/>
      <c r="AA218" s="1578"/>
    </row>
    <row r="219" spans="1:27" ht="36" customHeight="1" x14ac:dyDescent="0.25">
      <c r="A219" s="1577"/>
      <c r="B219" s="1577"/>
      <c r="C219" s="1577"/>
      <c r="D219" s="564"/>
      <c r="E219" s="761"/>
      <c r="F219" s="761"/>
      <c r="G219" s="761"/>
      <c r="H219" s="761"/>
      <c r="I219" s="761"/>
      <c r="J219" s="761"/>
      <c r="K219" s="564"/>
      <c r="L219" s="564"/>
      <c r="M219" s="564"/>
      <c r="N219" s="564"/>
      <c r="O219" s="564"/>
      <c r="P219" s="564"/>
      <c r="Q219" s="1578"/>
      <c r="R219" s="1578"/>
      <c r="S219" s="1578"/>
      <c r="T219" s="1578"/>
      <c r="U219" s="1578"/>
      <c r="V219" s="1578"/>
      <c r="W219" s="1578"/>
      <c r="X219" s="1578"/>
      <c r="Y219" s="1578"/>
      <c r="Z219" s="1578"/>
      <c r="AA219" s="1578"/>
    </row>
    <row r="220" spans="1:27" ht="82.5" customHeight="1" x14ac:dyDescent="0.25">
      <c r="A220" s="1577"/>
      <c r="B220" s="1577"/>
      <c r="C220" s="1577"/>
      <c r="D220" s="564"/>
      <c r="E220" s="761"/>
      <c r="F220" s="761"/>
      <c r="G220" s="761"/>
      <c r="H220" s="761"/>
      <c r="I220" s="761"/>
      <c r="J220" s="761"/>
      <c r="K220" s="564"/>
      <c r="L220" s="564"/>
      <c r="M220" s="564"/>
      <c r="N220" s="564"/>
      <c r="O220" s="564"/>
      <c r="P220" s="564"/>
      <c r="Q220" s="1578"/>
      <c r="R220" s="1578"/>
      <c r="S220" s="1578"/>
      <c r="T220" s="1578"/>
      <c r="U220" s="1578"/>
      <c r="V220" s="1578"/>
      <c r="W220" s="1578"/>
      <c r="X220" s="1578"/>
      <c r="Y220" s="1578"/>
      <c r="Z220" s="1578"/>
      <c r="AA220" s="1578"/>
    </row>
    <row r="221" spans="1:27" ht="22.5" customHeight="1" x14ac:dyDescent="0.25">
      <c r="A221" s="1577"/>
      <c r="B221" s="1577"/>
      <c r="C221" s="1611"/>
      <c r="D221" s="1611"/>
      <c r="E221" s="1611"/>
      <c r="F221" s="1611"/>
      <c r="G221" s="1611"/>
      <c r="H221" s="1611"/>
      <c r="I221" s="1611"/>
      <c r="J221" s="1611"/>
      <c r="K221" s="1611"/>
      <c r="L221" s="1611"/>
      <c r="M221" s="1611"/>
      <c r="N221" s="1611"/>
      <c r="O221" s="1611"/>
      <c r="P221" s="1611"/>
      <c r="Q221" s="1611"/>
      <c r="R221" s="1611"/>
      <c r="S221" s="1611"/>
      <c r="T221" s="1611"/>
      <c r="U221" s="1611"/>
      <c r="V221" s="1611"/>
      <c r="W221" s="1611"/>
      <c r="X221" s="1611"/>
      <c r="Y221" s="1611"/>
      <c r="Z221" s="1611"/>
      <c r="AA221" s="1611"/>
    </row>
  </sheetData>
  <mergeCells count="125">
    <mergeCell ref="A204:B204"/>
    <mergeCell ref="H106:H108"/>
    <mergeCell ref="A105:B105"/>
    <mergeCell ref="A113:B113"/>
    <mergeCell ref="A114:B114"/>
    <mergeCell ref="B106:B108"/>
    <mergeCell ref="A131:B131"/>
    <mergeCell ref="A193:A194"/>
    <mergeCell ref="A197:A198"/>
    <mergeCell ref="A199:A203"/>
    <mergeCell ref="A144:B144"/>
    <mergeCell ref="A159:B159"/>
    <mergeCell ref="A188:A192"/>
    <mergeCell ref="A111:A112"/>
    <mergeCell ref="A145:A146"/>
    <mergeCell ref="A181:A183"/>
    <mergeCell ref="A184:A187"/>
    <mergeCell ref="A109:A110"/>
    <mergeCell ref="A143:B143"/>
    <mergeCell ref="A179:B179"/>
    <mergeCell ref="A180:B180"/>
    <mergeCell ref="A39:B39"/>
    <mergeCell ref="V6:V7"/>
    <mergeCell ref="W6:W7"/>
    <mergeCell ref="AE41:AE44"/>
    <mergeCell ref="I106:I108"/>
    <mergeCell ref="M106:M108"/>
    <mergeCell ref="C6:C7"/>
    <mergeCell ref="A102:A103"/>
    <mergeCell ref="A56:C56"/>
    <mergeCell ref="A58:A62"/>
    <mergeCell ref="A66:C66"/>
    <mergeCell ref="A98:A100"/>
    <mergeCell ref="G106:G108"/>
    <mergeCell ref="J106:J108"/>
    <mergeCell ref="A75:B75"/>
    <mergeCell ref="A90:B90"/>
    <mergeCell ref="F106:F108"/>
    <mergeCell ref="C106:C108"/>
    <mergeCell ref="D106:D108"/>
    <mergeCell ref="E106:E108"/>
    <mergeCell ref="A9:C9"/>
    <mergeCell ref="Q58:Q62"/>
    <mergeCell ref="R58:R62"/>
    <mergeCell ref="AE68:AE74"/>
    <mergeCell ref="A219:C219"/>
    <mergeCell ref="Q219:AA219"/>
    <mergeCell ref="A220:C220"/>
    <mergeCell ref="Q220:AA220"/>
    <mergeCell ref="A221:AA221"/>
    <mergeCell ref="A210:C210"/>
    <mergeCell ref="Q210:AA210"/>
    <mergeCell ref="A211:C211"/>
    <mergeCell ref="Q211:AA211"/>
    <mergeCell ref="A212:C212"/>
    <mergeCell ref="Q212:AA212"/>
    <mergeCell ref="A218:C218"/>
    <mergeCell ref="Q218:AA218"/>
    <mergeCell ref="A213:C213"/>
    <mergeCell ref="Q213:AA213"/>
    <mergeCell ref="A214:C214"/>
    <mergeCell ref="Q214:AA214"/>
    <mergeCell ref="A215:C215"/>
    <mergeCell ref="Q215:AA215"/>
    <mergeCell ref="A216:C216"/>
    <mergeCell ref="Q216:AA216"/>
    <mergeCell ref="A217:C217"/>
    <mergeCell ref="Q217:AA217"/>
    <mergeCell ref="Q208:AA208"/>
    <mergeCell ref="A209:C209"/>
    <mergeCell ref="Q209:AA209"/>
    <mergeCell ref="Q5:AA5"/>
    <mergeCell ref="A205:AB205"/>
    <mergeCell ref="A207:AA207"/>
    <mergeCell ref="A208:C208"/>
    <mergeCell ref="D6:E6"/>
    <mergeCell ref="F6:G6"/>
    <mergeCell ref="I6:J6"/>
    <mergeCell ref="K6:K7"/>
    <mergeCell ref="L6:L7"/>
    <mergeCell ref="AB5:AB7"/>
    <mergeCell ref="A5:A7"/>
    <mergeCell ref="B5:P5"/>
    <mergeCell ref="X6:X7"/>
    <mergeCell ref="Y6:Y7"/>
    <mergeCell ref="Z6:Z7"/>
    <mergeCell ref="A8:D8"/>
    <mergeCell ref="A40:E40"/>
    <mergeCell ref="A49:A50"/>
    <mergeCell ref="A32:B32"/>
    <mergeCell ref="A19:B19"/>
    <mergeCell ref="P58:P62"/>
    <mergeCell ref="A2:AE2"/>
    <mergeCell ref="A3:AE3"/>
    <mergeCell ref="A1:AE1"/>
    <mergeCell ref="M6:M7"/>
    <mergeCell ref="N6:N7"/>
    <mergeCell ref="O6:O7"/>
    <mergeCell ref="P6:P7"/>
    <mergeCell ref="Q6:Q7"/>
    <mergeCell ref="R6:R7"/>
    <mergeCell ref="S6:S7"/>
    <mergeCell ref="T6:T7"/>
    <mergeCell ref="U6:U7"/>
    <mergeCell ref="AC5:AC7"/>
    <mergeCell ref="AD5:AD7"/>
    <mergeCell ref="AE5:AE7"/>
    <mergeCell ref="AE181:AE203"/>
    <mergeCell ref="Q111:Q112"/>
    <mergeCell ref="R111:R112"/>
    <mergeCell ref="Q109:Q110"/>
    <mergeCell ref="R109:R110"/>
    <mergeCell ref="Q102:Q103"/>
    <mergeCell ref="R102:R103"/>
    <mergeCell ref="Q98:Q100"/>
    <mergeCell ref="R98:R100"/>
    <mergeCell ref="P102:P103"/>
    <mergeCell ref="P109:P110"/>
    <mergeCell ref="P111:P112"/>
    <mergeCell ref="P98:P100"/>
    <mergeCell ref="AE76:AE89"/>
    <mergeCell ref="AE91:AE104"/>
    <mergeCell ref="AE106:AE112"/>
    <mergeCell ref="AE115:AE142"/>
    <mergeCell ref="AE145:AE178"/>
  </mergeCells>
  <printOptions horizontalCentered="1" verticalCentered="1"/>
  <pageMargins left="0" right="0" top="0.98425196850393704" bottom="0.98425196850393704" header="0" footer="0"/>
  <pageSetup scale="49"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Hoja1!$A$1:$A$10</xm:f>
          </x14:formula1>
          <xm:sqref>AC10:AC203</xm:sqref>
        </x14:dataValidation>
        <x14:dataValidation type="list" allowBlank="1" showInputMessage="1" showErrorMessage="1" xr:uid="{00000000-0002-0000-0100-000001000000}">
          <x14:formula1>
            <xm:f>Hoja1!$B$1:$B$28</xm:f>
          </x14:formula1>
          <xm:sqref>AD8 AD10:AD203</xm:sqref>
        </x14:dataValidation>
        <x14:dataValidation type="list" allowBlank="1" showInputMessage="1" showErrorMessage="1" xr:uid="{00000000-0002-0000-0100-000002000000}">
          <x14:formula1>
            <xm:f>'D:\paola corpoguajira\PLAN DE ACCIÓN\INFORME DE GESTIÓN 2021\INFORME 31 MARZO\[Formatos-SINA-PAI-2020-2023 31 marzo 2021.xlsx]Hoja1'!#REF!</xm:f>
          </x14:formula1>
          <xm:sqref>AD9</xm:sqref>
        </x14:dataValidation>
        <x14:dataValidation type="list" allowBlank="1" showInputMessage="1" showErrorMessage="1" xr:uid="{00000000-0002-0000-0100-000003000000}">
          <x14:formula1>
            <xm:f>'D:\Documents\Downloads\[Formatos SINA - PAI 2021 (1).xlsx]Hoja1'!#REF!</xm:f>
          </x14:formula1>
          <xm:sqref>AC8:AC9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9"/>
  <dimension ref="A1:U155"/>
  <sheetViews>
    <sheetView showGridLines="0" topLeftCell="C87" zoomScale="70" zoomScaleNormal="70" workbookViewId="0">
      <selection activeCell="I95" sqref="I95"/>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538" customFormat="1" ht="100.5" customHeight="1" thickBot="1" x14ac:dyDescent="0.3">
      <c r="A1" s="1733"/>
      <c r="B1" s="1734"/>
      <c r="C1" s="1734"/>
      <c r="D1" s="1734"/>
      <c r="E1" s="1734"/>
      <c r="F1" s="1734"/>
      <c r="G1" s="1734"/>
      <c r="H1" s="1734"/>
      <c r="I1" s="1734"/>
      <c r="J1" s="1734"/>
      <c r="K1" s="1734"/>
      <c r="L1" s="1734"/>
      <c r="M1" s="1734"/>
      <c r="N1" s="1734"/>
      <c r="O1" s="1734"/>
      <c r="P1" s="1735"/>
      <c r="Q1" s="412"/>
      <c r="R1" s="412"/>
    </row>
    <row r="2" spans="1:21" s="539" customFormat="1" ht="16.5" thickBot="1" x14ac:dyDescent="0.3">
      <c r="A2" s="1741" t="str">
        <f>'Datos Generales'!C5</f>
        <v>Corporación Autónoma Regional de La Guajira – CORPOGUAJIRA</v>
      </c>
      <c r="B2" s="1742"/>
      <c r="C2" s="1742"/>
      <c r="D2" s="1742"/>
      <c r="E2" s="1742"/>
      <c r="F2" s="1742"/>
      <c r="G2" s="1742"/>
      <c r="H2" s="1742"/>
      <c r="I2" s="1742"/>
      <c r="J2" s="1742"/>
      <c r="K2" s="1742"/>
      <c r="L2" s="1742"/>
      <c r="M2" s="1742"/>
      <c r="N2" s="1742"/>
      <c r="O2" s="1742"/>
      <c r="P2" s="1743"/>
      <c r="Q2" s="412"/>
      <c r="R2" s="412"/>
    </row>
    <row r="3" spans="1:21" s="539" customFormat="1" ht="16.5" thickBot="1" x14ac:dyDescent="0.3">
      <c r="A3" s="1736" t="s">
        <v>1347</v>
      </c>
      <c r="B3" s="1737"/>
      <c r="C3" s="1737"/>
      <c r="D3" s="1737"/>
      <c r="E3" s="1737"/>
      <c r="F3" s="1737"/>
      <c r="G3" s="1737"/>
      <c r="H3" s="1737"/>
      <c r="I3" s="1737"/>
      <c r="J3" s="1737"/>
      <c r="K3" s="1737"/>
      <c r="L3" s="1737"/>
      <c r="M3" s="1737"/>
      <c r="N3" s="1737"/>
      <c r="O3" s="1737"/>
      <c r="P3" s="1738"/>
      <c r="Q3" s="412"/>
      <c r="R3" s="412"/>
    </row>
    <row r="4" spans="1:21" s="539" customFormat="1" ht="16.5" thickBot="1" x14ac:dyDescent="0.3">
      <c r="A4" s="1739" t="s">
        <v>1346</v>
      </c>
      <c r="B4" s="1740"/>
      <c r="C4" s="1740"/>
      <c r="D4" s="1740"/>
      <c r="E4" s="579" t="str">
        <f>'Datos Generales'!C6</f>
        <v>2021-I</v>
      </c>
      <c r="F4" s="579"/>
      <c r="G4" s="579"/>
      <c r="H4" s="579"/>
      <c r="I4" s="579"/>
      <c r="J4" s="579"/>
      <c r="K4" s="579"/>
      <c r="L4" s="581"/>
      <c r="M4" s="581"/>
      <c r="N4" s="581"/>
      <c r="O4" s="581"/>
      <c r="P4" s="582"/>
      <c r="Q4" s="412"/>
      <c r="R4" s="412"/>
    </row>
    <row r="5" spans="1:21" s="245" customFormat="1" ht="16.5" customHeight="1" thickBot="1" x14ac:dyDescent="0.3">
      <c r="A5" s="1736" t="s">
        <v>348</v>
      </c>
      <c r="B5" s="1737"/>
      <c r="C5" s="1737"/>
      <c r="D5" s="1737"/>
      <c r="E5" s="1737"/>
      <c r="F5" s="1737"/>
      <c r="G5" s="1737"/>
      <c r="H5" s="1737"/>
      <c r="I5" s="1737"/>
      <c r="J5" s="1737"/>
      <c r="K5" s="1737"/>
      <c r="L5" s="1737"/>
      <c r="M5" s="1737"/>
      <c r="N5" s="1737"/>
      <c r="O5" s="1737"/>
      <c r="P5" s="1738"/>
    </row>
    <row r="6" spans="1:21" x14ac:dyDescent="0.25">
      <c r="A6" s="245"/>
      <c r="B6" s="246"/>
      <c r="C6" s="247"/>
      <c r="D6" s="248"/>
      <c r="E6" s="248"/>
      <c r="F6" s="248"/>
      <c r="G6" s="248"/>
      <c r="H6" s="248"/>
      <c r="I6" s="248"/>
      <c r="J6" s="248"/>
      <c r="K6" s="248"/>
    </row>
    <row r="7" spans="1:21" x14ac:dyDescent="0.25">
      <c r="A7" s="245"/>
      <c r="B7" s="249" t="s">
        <v>1</v>
      </c>
      <c r="C7" s="250"/>
      <c r="D7" s="248"/>
      <c r="E7" s="259"/>
      <c r="F7" s="248" t="s">
        <v>128</v>
      </c>
      <c r="G7" s="248"/>
      <c r="H7" s="248"/>
      <c r="I7" s="248"/>
      <c r="J7" s="248"/>
      <c r="K7" s="248"/>
    </row>
    <row r="8" spans="1:21" ht="15.75" thickBot="1" x14ac:dyDescent="0.3">
      <c r="A8" s="245"/>
      <c r="B8" s="251"/>
      <c r="C8" s="252"/>
      <c r="D8" s="248"/>
      <c r="E8" s="253"/>
      <c r="F8" s="248" t="s">
        <v>129</v>
      </c>
      <c r="G8" s="248"/>
      <c r="H8" s="248"/>
      <c r="I8" s="248"/>
      <c r="J8" s="248"/>
      <c r="K8" s="248"/>
    </row>
    <row r="9" spans="1:21" ht="15.75" thickBot="1" x14ac:dyDescent="0.3">
      <c r="A9" s="245"/>
      <c r="B9" s="261" t="s">
        <v>1185</v>
      </c>
      <c r="C9" s="262">
        <v>2021</v>
      </c>
      <c r="D9" s="257">
        <f>IF(E11="NO APLICA","NO APLICA",IF(E12="NO SE REPORTA","SIN INFORMACION",+F96))</f>
        <v>0.49956081000878377</v>
      </c>
      <c r="E9" s="264"/>
      <c r="F9" s="248" t="s">
        <v>130</v>
      </c>
      <c r="G9" s="248"/>
      <c r="H9" s="248"/>
      <c r="I9" s="248"/>
      <c r="J9" s="248"/>
      <c r="K9" s="248"/>
    </row>
    <row r="10" spans="1:21" x14ac:dyDescent="0.25">
      <c r="A10" s="245"/>
      <c r="B10" s="493" t="s">
        <v>1186</v>
      </c>
      <c r="C10" s="250"/>
      <c r="D10" s="248"/>
      <c r="E10" s="248"/>
      <c r="F10" s="248"/>
      <c r="G10" s="248"/>
      <c r="H10" s="248"/>
      <c r="I10" s="248"/>
      <c r="J10" s="248"/>
      <c r="K10" s="248"/>
    </row>
    <row r="11" spans="1:21" s="412" customFormat="1" x14ac:dyDescent="0.25">
      <c r="A11" s="245"/>
      <c r="B11" s="1789" t="s">
        <v>1241</v>
      </c>
      <c r="C11" s="1789"/>
      <c r="D11" s="1789"/>
      <c r="E11" s="499" t="s">
        <v>1238</v>
      </c>
      <c r="F11" s="1795" t="str">
        <f>IF(E11="NO APLICA","      ESCRIBA EL NÚMERO DEL ACUERDO DEL CONSEJO DIRECTIVO EN EL CUAL DECIDE LA NO PROCEDENCIA DE LA APLICACIÓN DEL INDICADOR",IF(E12="NO SE REPORTA","      ESCRIBA EL NÚMERO DEL ACUERDO DEL CONSEJO DIRECTIVO EN LA CUAL SE APRUEBA LA AGENDA DE IMPLEMENTACION DEL INDICADOR",""))</f>
        <v/>
      </c>
      <c r="G11" s="1796"/>
      <c r="H11" s="1796"/>
      <c r="I11" s="1796"/>
      <c r="J11" s="1796"/>
      <c r="K11" s="1796"/>
      <c r="L11" s="1796"/>
      <c r="M11" s="1796"/>
      <c r="N11" s="1796"/>
      <c r="O11" s="1796"/>
      <c r="P11" s="1796"/>
      <c r="Q11" s="1796"/>
      <c r="R11" s="1796"/>
      <c r="S11" s="1796"/>
      <c r="T11" s="495"/>
      <c r="U11" s="495"/>
    </row>
    <row r="12" spans="1:21" s="412" customFormat="1" ht="14.45" customHeight="1" x14ac:dyDescent="0.25">
      <c r="A12" s="245"/>
      <c r="B12" s="496"/>
      <c r="C12" s="497"/>
      <c r="D12" s="498" t="str">
        <f>IF(E11="SI APLICA","¿El indicador no se reporta por limitaciones de información disponible? ","")</f>
        <v xml:space="preserve">¿El indicador no se reporta por limitaciones de información disponible? </v>
      </c>
      <c r="E12" s="500" t="s">
        <v>1240</v>
      </c>
      <c r="F12" s="1790"/>
      <c r="G12" s="1791"/>
      <c r="H12" s="1791"/>
      <c r="I12" s="1791"/>
      <c r="J12" s="1791"/>
      <c r="K12" s="1791"/>
      <c r="L12" s="1791"/>
      <c r="M12" s="1791"/>
      <c r="N12" s="1791"/>
      <c r="O12" s="1791"/>
      <c r="P12" s="1791"/>
      <c r="Q12" s="1791"/>
      <c r="R12" s="1791"/>
      <c r="S12" s="1791"/>
    </row>
    <row r="13" spans="1:21" s="412" customFormat="1" ht="23.45" customHeight="1" x14ac:dyDescent="0.25">
      <c r="A13" s="245"/>
      <c r="B13" s="493"/>
      <c r="C13" s="304"/>
      <c r="D13" s="498" t="str">
        <f>IF(E12="SI SE REPORTA","¿Qué programas o proyectos del Plan de Acción están asociados al indicador? ","")</f>
        <v xml:space="preserve">¿Qué programas o proyectos del Plan de Acción están asociados al indicador? </v>
      </c>
      <c r="E13" s="1868" t="str">
        <f>'Anexo 1 Matriz Inf Gestión'!A75</f>
        <v>Proyecto No 3.2. Ecosistemas marino costeros.</v>
      </c>
      <c r="F13" s="1799"/>
      <c r="G13" s="1799"/>
      <c r="H13" s="1799"/>
      <c r="I13" s="1799"/>
      <c r="J13" s="1799"/>
      <c r="K13" s="1799"/>
      <c r="L13" s="1799"/>
      <c r="M13" s="1799"/>
      <c r="N13" s="1799"/>
      <c r="O13" s="1799"/>
      <c r="P13" s="1799"/>
      <c r="Q13" s="1799"/>
      <c r="R13" s="1799"/>
    </row>
    <row r="14" spans="1:21" s="412" customFormat="1" ht="21.95" customHeight="1" x14ac:dyDescent="0.25">
      <c r="A14" s="245"/>
      <c r="B14" s="493"/>
      <c r="C14" s="304"/>
      <c r="D14" s="498" t="s">
        <v>1243</v>
      </c>
      <c r="E14" s="1792" t="s">
        <v>2830</v>
      </c>
      <c r="F14" s="1793"/>
      <c r="G14" s="1793"/>
      <c r="H14" s="1793"/>
      <c r="I14" s="1793"/>
      <c r="J14" s="1793"/>
      <c r="K14" s="1793"/>
      <c r="L14" s="1793"/>
      <c r="M14" s="1793"/>
      <c r="N14" s="1793"/>
      <c r="O14" s="1793"/>
      <c r="P14" s="1793"/>
      <c r="Q14" s="1793"/>
      <c r="R14" s="1794"/>
    </row>
    <row r="15" spans="1:21" s="412" customFormat="1" ht="6.95" customHeight="1" thickBot="1" x14ac:dyDescent="0.3">
      <c r="A15" s="245"/>
      <c r="B15" s="493"/>
      <c r="C15" s="250"/>
      <c r="D15" s="248"/>
      <c r="E15" s="248"/>
      <c r="F15" s="248"/>
      <c r="G15" s="248"/>
      <c r="H15" s="248"/>
      <c r="I15" s="248"/>
      <c r="J15" s="248"/>
      <c r="K15" s="248"/>
    </row>
    <row r="16" spans="1:21" ht="15" customHeight="1" thickBot="1" x14ac:dyDescent="0.3">
      <c r="A16" s="245"/>
      <c r="B16" s="1768" t="s">
        <v>2</v>
      </c>
      <c r="C16" s="268"/>
      <c r="D16" s="269" t="s">
        <v>336</v>
      </c>
      <c r="E16" s="270"/>
      <c r="F16" s="270"/>
      <c r="G16" s="270"/>
      <c r="H16" s="270"/>
      <c r="I16" s="270"/>
      <c r="J16" s="271"/>
      <c r="K16" s="248"/>
    </row>
    <row r="17" spans="1:11" x14ac:dyDescent="0.25">
      <c r="A17" s="245"/>
      <c r="B17" s="1769"/>
      <c r="C17" s="1855" t="s">
        <v>19</v>
      </c>
      <c r="D17" s="1859" t="s">
        <v>150</v>
      </c>
      <c r="E17" s="1873" t="s">
        <v>364</v>
      </c>
      <c r="F17" s="1869" t="s">
        <v>1176</v>
      </c>
      <c r="G17" s="1873" t="s">
        <v>151</v>
      </c>
      <c r="H17" s="248"/>
      <c r="I17" s="245"/>
      <c r="J17" s="274"/>
      <c r="K17" s="248"/>
    </row>
    <row r="18" spans="1:11" ht="15.75" thickBot="1" x14ac:dyDescent="0.3">
      <c r="A18" s="245"/>
      <c r="B18" s="1769"/>
      <c r="C18" s="1856"/>
      <c r="D18" s="1860"/>
      <c r="E18" s="1874"/>
      <c r="F18" s="1870"/>
      <c r="G18" s="1874"/>
      <c r="H18" s="248"/>
      <c r="I18" s="245"/>
      <c r="J18" s="274"/>
      <c r="K18" s="248"/>
    </row>
    <row r="19" spans="1:11" ht="24.75" thickBot="1" x14ac:dyDescent="0.3">
      <c r="A19" s="245"/>
      <c r="B19" s="1769"/>
      <c r="C19" s="345" t="s">
        <v>152</v>
      </c>
      <c r="D19" s="278" t="s">
        <v>1765</v>
      </c>
      <c r="E19" s="976">
        <v>6</v>
      </c>
      <c r="F19" s="976">
        <v>3</v>
      </c>
      <c r="G19" s="977">
        <f t="shared" ref="G19:G24" si="0">+E19+F19</f>
        <v>9</v>
      </c>
      <c r="H19" s="1865" t="s">
        <v>2844</v>
      </c>
      <c r="I19" s="1866"/>
      <c r="J19" s="1867"/>
      <c r="K19" s="248"/>
    </row>
    <row r="20" spans="1:11" ht="24.75" thickBot="1" x14ac:dyDescent="0.3">
      <c r="A20" s="245"/>
      <c r="B20" s="1769"/>
      <c r="C20" s="345" t="s">
        <v>154</v>
      </c>
      <c r="D20" s="278" t="s">
        <v>1766</v>
      </c>
      <c r="E20" s="978">
        <v>94812</v>
      </c>
      <c r="F20" s="978">
        <v>72271</v>
      </c>
      <c r="G20" s="977">
        <f t="shared" si="0"/>
        <v>167083</v>
      </c>
      <c r="H20" s="248"/>
      <c r="I20" s="245"/>
      <c r="J20" s="274"/>
      <c r="K20" s="248"/>
    </row>
    <row r="21" spans="1:11" ht="36.75" thickBot="1" x14ac:dyDescent="0.3">
      <c r="A21" s="245"/>
      <c r="B21" s="1769"/>
      <c r="C21" s="345" t="s">
        <v>156</v>
      </c>
      <c r="D21" s="278" t="s">
        <v>365</v>
      </c>
      <c r="E21" s="978">
        <v>0</v>
      </c>
      <c r="F21" s="978">
        <v>0</v>
      </c>
      <c r="G21" s="381">
        <f t="shared" si="0"/>
        <v>0</v>
      </c>
      <c r="H21" s="248"/>
      <c r="I21" s="245"/>
      <c r="J21" s="274"/>
      <c r="K21" s="248"/>
    </row>
    <row r="22" spans="1:11" ht="36.75" thickBot="1" x14ac:dyDescent="0.3">
      <c r="A22" s="245"/>
      <c r="B22" s="1769"/>
      <c r="C22" s="345" t="s">
        <v>258</v>
      </c>
      <c r="D22" s="476" t="s">
        <v>1202</v>
      </c>
      <c r="E22" s="978">
        <v>45190</v>
      </c>
      <c r="F22" s="978">
        <v>0</v>
      </c>
      <c r="G22" s="381">
        <f t="shared" si="0"/>
        <v>45190</v>
      </c>
      <c r="H22" s="248"/>
      <c r="I22" s="245"/>
      <c r="J22" s="274"/>
      <c r="K22" s="248"/>
    </row>
    <row r="23" spans="1:11" ht="48.75" thickBot="1" x14ac:dyDescent="0.3">
      <c r="A23" s="245"/>
      <c r="B23" s="1769"/>
      <c r="C23" s="345" t="s">
        <v>260</v>
      </c>
      <c r="D23" s="278" t="s">
        <v>1767</v>
      </c>
      <c r="E23" s="976">
        <v>4</v>
      </c>
      <c r="F23" s="976">
        <v>0</v>
      </c>
      <c r="G23" s="977">
        <f t="shared" si="0"/>
        <v>4</v>
      </c>
      <c r="H23" s="248"/>
      <c r="I23" s="245"/>
      <c r="J23" s="274"/>
      <c r="K23" s="248"/>
    </row>
    <row r="24" spans="1:11" ht="48.75" thickBot="1" x14ac:dyDescent="0.3">
      <c r="A24" s="245"/>
      <c r="B24" s="1769"/>
      <c r="C24" s="345" t="s">
        <v>262</v>
      </c>
      <c r="D24" s="278" t="s">
        <v>1768</v>
      </c>
      <c r="E24" s="381">
        <f>+E21+E22</f>
        <v>45190</v>
      </c>
      <c r="F24" s="381">
        <f>+F21+F22</f>
        <v>0</v>
      </c>
      <c r="G24" s="381">
        <f t="shared" si="0"/>
        <v>45190</v>
      </c>
      <c r="H24" s="248"/>
      <c r="I24" s="245"/>
      <c r="J24" s="274"/>
      <c r="K24" s="248"/>
    </row>
    <row r="25" spans="1:11" ht="24" customHeight="1" x14ac:dyDescent="0.25">
      <c r="A25" s="245"/>
      <c r="B25" s="1769"/>
      <c r="C25" s="276"/>
      <c r="D25" s="1871" t="s">
        <v>366</v>
      </c>
      <c r="E25" s="1872"/>
      <c r="F25" s="1872"/>
      <c r="G25" s="1872"/>
      <c r="H25" s="1872"/>
      <c r="I25" s="1872"/>
      <c r="J25" s="274"/>
      <c r="K25" s="245"/>
    </row>
    <row r="26" spans="1:11" x14ac:dyDescent="0.25">
      <c r="A26" s="245"/>
      <c r="B26" s="1769"/>
      <c r="C26" s="276"/>
      <c r="D26" s="382" t="s">
        <v>367</v>
      </c>
      <c r="E26" s="308"/>
      <c r="F26" s="308"/>
      <c r="G26" s="308"/>
      <c r="H26" s="308"/>
      <c r="I26" s="308"/>
      <c r="J26" s="274"/>
      <c r="K26" s="245"/>
    </row>
    <row r="27" spans="1:11" ht="15.75" thickBot="1" x14ac:dyDescent="0.3">
      <c r="A27" s="245"/>
      <c r="B27" s="1769"/>
      <c r="C27" s="276"/>
      <c r="D27" s="1756" t="s">
        <v>368</v>
      </c>
      <c r="E27" s="1803"/>
      <c r="F27" s="1803"/>
      <c r="G27" s="1803"/>
      <c r="H27" s="1803"/>
      <c r="I27" s="1803"/>
      <c r="J27" s="1758"/>
      <c r="K27" s="245"/>
    </row>
    <row r="28" spans="1:11" ht="15.75" thickBot="1" x14ac:dyDescent="0.3">
      <c r="A28" s="245"/>
      <c r="B28" s="1769"/>
      <c r="C28" s="272"/>
      <c r="D28" s="280" t="s">
        <v>150</v>
      </c>
      <c r="E28" s="280" t="s">
        <v>20</v>
      </c>
      <c r="F28" s="280" t="s">
        <v>21</v>
      </c>
      <c r="G28" s="280" t="s">
        <v>22</v>
      </c>
      <c r="H28" s="280" t="s">
        <v>23</v>
      </c>
      <c r="I28" s="280" t="s">
        <v>151</v>
      </c>
      <c r="J28" s="274"/>
      <c r="K28" s="245"/>
    </row>
    <row r="29" spans="1:11" ht="15.75" thickBot="1" x14ac:dyDescent="0.3">
      <c r="A29" s="245"/>
      <c r="B29" s="1769"/>
      <c r="C29" s="272"/>
      <c r="D29" s="294" t="s">
        <v>369</v>
      </c>
      <c r="E29" s="217">
        <v>0</v>
      </c>
      <c r="F29" s="217">
        <v>2</v>
      </c>
      <c r="G29" s="217">
        <v>2</v>
      </c>
      <c r="H29" s="217">
        <v>0</v>
      </c>
      <c r="I29" s="351">
        <f>SUM(E29:H29)</f>
        <v>4</v>
      </c>
      <c r="J29" s="274"/>
      <c r="K29" s="245"/>
    </row>
    <row r="30" spans="1:11" ht="15.75" thickBot="1" x14ac:dyDescent="0.3">
      <c r="A30" s="245"/>
      <c r="B30" s="1769"/>
      <c r="C30" s="272"/>
      <c r="D30" s="294" t="s">
        <v>370</v>
      </c>
      <c r="E30" s="217">
        <v>0</v>
      </c>
      <c r="F30" s="217">
        <v>0</v>
      </c>
      <c r="G30" s="217">
        <v>0</v>
      </c>
      <c r="H30" s="217">
        <v>0</v>
      </c>
      <c r="I30" s="383"/>
      <c r="J30" s="274"/>
      <c r="K30" s="245"/>
    </row>
    <row r="31" spans="1:11" ht="15.75" thickBot="1" x14ac:dyDescent="0.3">
      <c r="A31" s="245"/>
      <c r="B31" s="1769"/>
      <c r="C31" s="272"/>
      <c r="D31" s="294" t="s">
        <v>371</v>
      </c>
      <c r="E31" s="217">
        <v>0</v>
      </c>
      <c r="F31" s="217">
        <v>0</v>
      </c>
      <c r="G31" s="217">
        <v>0</v>
      </c>
      <c r="H31" s="217">
        <v>0</v>
      </c>
      <c r="I31" s="383"/>
      <c r="J31" s="274"/>
      <c r="K31" s="245"/>
    </row>
    <row r="32" spans="1:11" ht="15.75" thickBot="1" x14ac:dyDescent="0.3">
      <c r="A32" s="245"/>
      <c r="B32" s="1769"/>
      <c r="C32" s="272"/>
      <c r="D32" s="294" t="s">
        <v>372</v>
      </c>
      <c r="E32" s="217">
        <v>0</v>
      </c>
      <c r="F32" s="217">
        <v>0</v>
      </c>
      <c r="G32" s="217">
        <v>0</v>
      </c>
      <c r="H32" s="217">
        <v>0</v>
      </c>
      <c r="I32" s="383"/>
      <c r="J32" s="274"/>
      <c r="K32" s="245"/>
    </row>
    <row r="33" spans="1:11" ht="15.75" thickBot="1" x14ac:dyDescent="0.3">
      <c r="A33" s="245"/>
      <c r="B33" s="1769"/>
      <c r="C33" s="272"/>
      <c r="D33" s="294" t="s">
        <v>373</v>
      </c>
      <c r="E33" s="217">
        <v>0</v>
      </c>
      <c r="F33" s="217">
        <v>1</v>
      </c>
      <c r="G33" s="217">
        <v>0</v>
      </c>
      <c r="H33" s="217">
        <v>0</v>
      </c>
      <c r="I33" s="383"/>
      <c r="J33" s="274"/>
      <c r="K33" s="245"/>
    </row>
    <row r="34" spans="1:11" ht="15.75" thickBot="1" x14ac:dyDescent="0.3">
      <c r="A34" s="245"/>
      <c r="B34" s="1769"/>
      <c r="C34" s="272"/>
      <c r="D34" s="294" t="s">
        <v>1198</v>
      </c>
      <c r="E34" s="379">
        <v>0</v>
      </c>
      <c r="F34" s="379">
        <v>1</v>
      </c>
      <c r="G34" s="379">
        <v>2</v>
      </c>
      <c r="H34" s="379">
        <v>0</v>
      </c>
      <c r="I34" s="383"/>
      <c r="J34" s="274"/>
      <c r="K34" s="245"/>
    </row>
    <row r="35" spans="1:11" ht="15.75" thickBot="1" x14ac:dyDescent="0.3">
      <c r="A35" s="245"/>
      <c r="B35" s="1769"/>
      <c r="C35" s="272"/>
      <c r="D35" s="294" t="s">
        <v>151</v>
      </c>
      <c r="E35" s="351">
        <f>SUM(E30:E34)</f>
        <v>0</v>
      </c>
      <c r="F35" s="351">
        <f>SUM(F30:F34)</f>
        <v>2</v>
      </c>
      <c r="G35" s="351">
        <f>SUM(G30:G34)</f>
        <v>2</v>
      </c>
      <c r="H35" s="351">
        <f>SUM(H30:H34)</f>
        <v>0</v>
      </c>
      <c r="I35" s="383"/>
      <c r="J35" s="274"/>
      <c r="K35" s="245"/>
    </row>
    <row r="36" spans="1:11" x14ac:dyDescent="0.25">
      <c r="A36" s="245"/>
      <c r="B36" s="1769"/>
      <c r="C36" s="276"/>
      <c r="D36" s="1756" t="s">
        <v>374</v>
      </c>
      <c r="E36" s="1803"/>
      <c r="F36" s="1803"/>
      <c r="G36" s="1803"/>
      <c r="H36" s="1803"/>
      <c r="I36" s="1803"/>
      <c r="J36" s="1758"/>
      <c r="K36" s="245"/>
    </row>
    <row r="37" spans="1:11" x14ac:dyDescent="0.25">
      <c r="A37" s="245"/>
      <c r="B37" s="1769"/>
      <c r="C37" s="276"/>
      <c r="D37" s="1756" t="s">
        <v>375</v>
      </c>
      <c r="E37" s="1803"/>
      <c r="F37" s="1803"/>
      <c r="G37" s="1803"/>
      <c r="H37" s="1803"/>
      <c r="I37" s="1803"/>
      <c r="J37" s="1758"/>
      <c r="K37" s="245"/>
    </row>
    <row r="38" spans="1:11" ht="15.75" thickBot="1" x14ac:dyDescent="0.3">
      <c r="A38" s="245"/>
      <c r="B38" s="1769"/>
      <c r="C38" s="276"/>
      <c r="D38" s="1753" t="s">
        <v>376</v>
      </c>
      <c r="E38" s="1804"/>
      <c r="F38" s="1804"/>
      <c r="G38" s="1804"/>
      <c r="H38" s="1804"/>
      <c r="I38" s="1804"/>
      <c r="J38" s="1755"/>
      <c r="K38" s="245"/>
    </row>
    <row r="39" spans="1:11" ht="15.75" thickBot="1" x14ac:dyDescent="0.3">
      <c r="A39" s="245"/>
      <c r="B39" s="1769"/>
      <c r="C39" s="272"/>
      <c r="D39" s="280" t="s">
        <v>150</v>
      </c>
      <c r="E39" s="280" t="s">
        <v>20</v>
      </c>
      <c r="F39" s="280" t="s">
        <v>21</v>
      </c>
      <c r="G39" s="280" t="s">
        <v>22</v>
      </c>
      <c r="H39" s="280" t="s">
        <v>23</v>
      </c>
      <c r="I39" s="280" t="s">
        <v>151</v>
      </c>
      <c r="J39" s="274"/>
      <c r="K39" s="245"/>
    </row>
    <row r="40" spans="1:11" ht="15.75" thickBot="1" x14ac:dyDescent="0.3">
      <c r="A40" s="245"/>
      <c r="B40" s="1769"/>
      <c r="C40" s="272"/>
      <c r="D40" s="294" t="s">
        <v>369</v>
      </c>
      <c r="E40" s="978">
        <v>0</v>
      </c>
      <c r="F40" s="978">
        <v>42123</v>
      </c>
      <c r="G40" s="978">
        <v>2974</v>
      </c>
      <c r="H40" s="978">
        <v>0</v>
      </c>
      <c r="I40" s="351">
        <f>SUM(E40:H40)</f>
        <v>45097</v>
      </c>
      <c r="J40" s="274"/>
      <c r="K40" s="245"/>
    </row>
    <row r="41" spans="1:11" ht="15.75" thickBot="1" x14ac:dyDescent="0.3">
      <c r="A41" s="245"/>
      <c r="B41" s="1769"/>
      <c r="C41" s="272"/>
      <c r="D41" s="294" t="s">
        <v>370</v>
      </c>
      <c r="E41" s="978">
        <v>0</v>
      </c>
      <c r="F41" s="978">
        <v>0</v>
      </c>
      <c r="G41" s="978">
        <v>0</v>
      </c>
      <c r="H41" s="978">
        <v>0</v>
      </c>
      <c r="I41" s="384"/>
      <c r="J41" s="274"/>
      <c r="K41" s="245"/>
    </row>
    <row r="42" spans="1:11" ht="15.75" thickBot="1" x14ac:dyDescent="0.3">
      <c r="A42" s="245"/>
      <c r="B42" s="1769"/>
      <c r="C42" s="272"/>
      <c r="D42" s="294" t="s">
        <v>371</v>
      </c>
      <c r="E42" s="978">
        <v>0</v>
      </c>
      <c r="F42" s="978">
        <v>0</v>
      </c>
      <c r="G42" s="978">
        <v>0</v>
      </c>
      <c r="H42" s="978">
        <v>0</v>
      </c>
      <c r="I42" s="384"/>
      <c r="J42" s="274"/>
      <c r="K42" s="245"/>
    </row>
    <row r="43" spans="1:11" ht="15.75" thickBot="1" x14ac:dyDescent="0.3">
      <c r="A43" s="245"/>
      <c r="B43" s="1769"/>
      <c r="C43" s="272"/>
      <c r="D43" s="294" t="s">
        <v>372</v>
      </c>
      <c r="E43" s="978">
        <v>0</v>
      </c>
      <c r="F43" s="978">
        <v>0</v>
      </c>
      <c r="G43" s="978">
        <v>0</v>
      </c>
      <c r="H43" s="978">
        <v>0</v>
      </c>
      <c r="I43" s="384"/>
      <c r="J43" s="274"/>
      <c r="K43" s="245"/>
    </row>
    <row r="44" spans="1:11" ht="15.75" thickBot="1" x14ac:dyDescent="0.3">
      <c r="A44" s="245"/>
      <c r="B44" s="1769"/>
      <c r="C44" s="272"/>
      <c r="D44" s="294" t="s">
        <v>373</v>
      </c>
      <c r="E44" s="978">
        <v>0</v>
      </c>
      <c r="F44" s="978">
        <v>18276</v>
      </c>
      <c r="G44" s="978">
        <v>0</v>
      </c>
      <c r="H44" s="978">
        <v>0</v>
      </c>
      <c r="I44" s="384"/>
      <c r="J44" s="274"/>
      <c r="K44" s="245"/>
    </row>
    <row r="45" spans="1:11" ht="15.75" thickBot="1" x14ac:dyDescent="0.3">
      <c r="A45" s="245"/>
      <c r="B45" s="1769"/>
      <c r="C45" s="272"/>
      <c r="D45" s="294" t="s">
        <v>1198</v>
      </c>
      <c r="E45" s="978">
        <v>0</v>
      </c>
      <c r="F45" s="978">
        <v>21043</v>
      </c>
      <c r="G45" s="978">
        <v>2974</v>
      </c>
      <c r="H45" s="978">
        <v>0</v>
      </c>
      <c r="I45" s="384"/>
      <c r="J45" s="274"/>
      <c r="K45" s="245"/>
    </row>
    <row r="46" spans="1:11" ht="15.75" thickBot="1" x14ac:dyDescent="0.3">
      <c r="A46" s="245"/>
      <c r="B46" s="1769"/>
      <c r="C46" s="272"/>
      <c r="D46" s="294" t="s">
        <v>151</v>
      </c>
      <c r="E46" s="351">
        <f>SUM(E41:E45)</f>
        <v>0</v>
      </c>
      <c r="F46" s="351">
        <f>SUM(F41:F45)</f>
        <v>39319</v>
      </c>
      <c r="G46" s="351">
        <f>SUM(G41:G45)</f>
        <v>2974</v>
      </c>
      <c r="H46" s="351">
        <f>SUM(H41:H45)</f>
        <v>0</v>
      </c>
      <c r="I46" s="384"/>
      <c r="J46" s="274"/>
      <c r="K46" s="245"/>
    </row>
    <row r="47" spans="1:11" x14ac:dyDescent="0.25">
      <c r="A47" s="245"/>
      <c r="B47" s="1769"/>
      <c r="C47" s="276"/>
      <c r="D47" s="1756" t="s">
        <v>377</v>
      </c>
      <c r="E47" s="1803"/>
      <c r="F47" s="1803"/>
      <c r="G47" s="1803"/>
      <c r="H47" s="1803"/>
      <c r="I47" s="1803"/>
      <c r="J47" s="1758"/>
      <c r="K47" s="245"/>
    </row>
    <row r="48" spans="1:11" x14ac:dyDescent="0.25">
      <c r="A48" s="245"/>
      <c r="B48" s="1769"/>
      <c r="C48" s="276"/>
      <c r="D48" s="1756" t="s">
        <v>378</v>
      </c>
      <c r="E48" s="1803"/>
      <c r="F48" s="1803"/>
      <c r="G48" s="1803"/>
      <c r="H48" s="1803"/>
      <c r="I48" s="1803"/>
      <c r="J48" s="1758"/>
      <c r="K48" s="245"/>
    </row>
    <row r="49" spans="1:11" x14ac:dyDescent="0.25">
      <c r="A49" s="245"/>
      <c r="B49" s="1769"/>
      <c r="C49" s="276"/>
      <c r="D49" s="1753" t="s">
        <v>379</v>
      </c>
      <c r="E49" s="1804"/>
      <c r="F49" s="1804"/>
      <c r="G49" s="1804"/>
      <c r="H49" s="1804"/>
      <c r="I49" s="1804"/>
      <c r="J49" s="1755"/>
      <c r="K49" s="245"/>
    </row>
    <row r="50" spans="1:11" ht="15.75" thickBot="1" x14ac:dyDescent="0.3">
      <c r="A50" s="245"/>
      <c r="B50" s="1769"/>
      <c r="C50" s="276"/>
      <c r="D50" s="1756" t="s">
        <v>368</v>
      </c>
      <c r="E50" s="1803"/>
      <c r="F50" s="1803"/>
      <c r="G50" s="1803"/>
      <c r="H50" s="1803"/>
      <c r="I50" s="1803"/>
      <c r="J50" s="1758"/>
      <c r="K50" s="245"/>
    </row>
    <row r="51" spans="1:11" ht="15.75" thickBot="1" x14ac:dyDescent="0.3">
      <c r="A51" s="245"/>
      <c r="B51" s="1769"/>
      <c r="C51" s="272"/>
      <c r="D51" s="280" t="s">
        <v>150</v>
      </c>
      <c r="E51" s="280" t="s">
        <v>20</v>
      </c>
      <c r="F51" s="280" t="s">
        <v>21</v>
      </c>
      <c r="G51" s="280" t="s">
        <v>22</v>
      </c>
      <c r="H51" s="280" t="s">
        <v>23</v>
      </c>
      <c r="I51" s="280" t="s">
        <v>151</v>
      </c>
      <c r="J51" s="274"/>
      <c r="K51" s="245"/>
    </row>
    <row r="52" spans="1:11" ht="15.75" thickBot="1" x14ac:dyDescent="0.3">
      <c r="A52" s="245"/>
      <c r="B52" s="1769"/>
      <c r="C52" s="272"/>
      <c r="D52" s="294" t="s">
        <v>369</v>
      </c>
      <c r="E52" s="7"/>
      <c r="F52" s="7"/>
      <c r="G52" s="7"/>
      <c r="H52" s="7"/>
      <c r="I52" s="283">
        <f>SUM(E52:H52)</f>
        <v>0</v>
      </c>
      <c r="J52" s="274"/>
      <c r="K52" s="245"/>
    </row>
    <row r="53" spans="1:11" ht="15.75" thickBot="1" x14ac:dyDescent="0.3">
      <c r="A53" s="245"/>
      <c r="B53" s="1769"/>
      <c r="C53" s="272"/>
      <c r="D53" s="294" t="s">
        <v>370</v>
      </c>
      <c r="E53" s="7"/>
      <c r="F53" s="7"/>
      <c r="G53" s="7"/>
      <c r="H53" s="7"/>
      <c r="I53" s="385"/>
      <c r="J53" s="274"/>
      <c r="K53" s="245"/>
    </row>
    <row r="54" spans="1:11" ht="15.75" thickBot="1" x14ac:dyDescent="0.3">
      <c r="A54" s="245"/>
      <c r="B54" s="1769"/>
      <c r="C54" s="272"/>
      <c r="D54" s="294" t="s">
        <v>371</v>
      </c>
      <c r="E54" s="7"/>
      <c r="F54" s="7"/>
      <c r="G54" s="7"/>
      <c r="H54" s="7"/>
      <c r="I54" s="385"/>
      <c r="J54" s="274"/>
      <c r="K54" s="245"/>
    </row>
    <row r="55" spans="1:11" ht="15.75" thickBot="1" x14ac:dyDescent="0.3">
      <c r="A55" s="245"/>
      <c r="B55" s="1769"/>
      <c r="C55" s="272"/>
      <c r="D55" s="294" t="s">
        <v>372</v>
      </c>
      <c r="E55" s="7"/>
      <c r="F55" s="7"/>
      <c r="G55" s="7"/>
      <c r="H55" s="7"/>
      <c r="I55" s="385"/>
      <c r="J55" s="274"/>
      <c r="K55" s="245"/>
    </row>
    <row r="56" spans="1:11" ht="15.75" thickBot="1" x14ac:dyDescent="0.3">
      <c r="A56" s="245"/>
      <c r="B56" s="1769"/>
      <c r="C56" s="272"/>
      <c r="D56" s="294" t="s">
        <v>373</v>
      </c>
      <c r="E56" s="7"/>
      <c r="F56" s="7"/>
      <c r="G56" s="7"/>
      <c r="H56" s="7"/>
      <c r="I56" s="385"/>
      <c r="J56" s="274"/>
      <c r="K56" s="245"/>
    </row>
    <row r="57" spans="1:11" ht="15.75" thickBot="1" x14ac:dyDescent="0.3">
      <c r="A57" s="245"/>
      <c r="B57" s="1769"/>
      <c r="C57" s="272"/>
      <c r="D57" s="294" t="s">
        <v>1198</v>
      </c>
      <c r="E57" s="380"/>
      <c r="F57" s="380"/>
      <c r="G57" s="380"/>
      <c r="H57" s="380"/>
      <c r="I57" s="385"/>
      <c r="J57" s="274"/>
      <c r="K57" s="245"/>
    </row>
    <row r="58" spans="1:11" ht="15.75" thickBot="1" x14ac:dyDescent="0.3">
      <c r="A58" s="245"/>
      <c r="B58" s="1769"/>
      <c r="C58" s="272"/>
      <c r="D58" s="294" t="s">
        <v>151</v>
      </c>
      <c r="E58" s="351">
        <f>SUM(E53:E57)</f>
        <v>0</v>
      </c>
      <c r="F58" s="351">
        <f>SUM(F53:F57)</f>
        <v>0</v>
      </c>
      <c r="G58" s="351">
        <f>SUM(G53:G57)</f>
        <v>0</v>
      </c>
      <c r="H58" s="351">
        <f>SUM(H53:H57)</f>
        <v>0</v>
      </c>
      <c r="I58" s="385"/>
      <c r="J58" s="274"/>
      <c r="K58" s="245"/>
    </row>
    <row r="59" spans="1:11" x14ac:dyDescent="0.25">
      <c r="A59" s="245"/>
      <c r="B59" s="1769"/>
      <c r="C59" s="276"/>
      <c r="D59" s="1756" t="s">
        <v>374</v>
      </c>
      <c r="E59" s="1803"/>
      <c r="F59" s="1803"/>
      <c r="G59" s="1803"/>
      <c r="H59" s="1803"/>
      <c r="I59" s="1803"/>
      <c r="J59" s="1758"/>
      <c r="K59" s="245"/>
    </row>
    <row r="60" spans="1:11" x14ac:dyDescent="0.25">
      <c r="A60" s="245"/>
      <c r="B60" s="1769"/>
      <c r="C60" s="276"/>
      <c r="D60" s="1756" t="s">
        <v>375</v>
      </c>
      <c r="E60" s="1803"/>
      <c r="F60" s="1803"/>
      <c r="G60" s="1803"/>
      <c r="H60" s="1803"/>
      <c r="I60" s="1803"/>
      <c r="J60" s="1758"/>
      <c r="K60" s="245"/>
    </row>
    <row r="61" spans="1:11" ht="15.75" thickBot="1" x14ac:dyDescent="0.3">
      <c r="A61" s="245"/>
      <c r="B61" s="1769"/>
      <c r="C61" s="276"/>
      <c r="D61" s="1753" t="s">
        <v>376</v>
      </c>
      <c r="E61" s="1804"/>
      <c r="F61" s="1804"/>
      <c r="G61" s="1804"/>
      <c r="H61" s="1804"/>
      <c r="I61" s="1804"/>
      <c r="J61" s="1755"/>
      <c r="K61" s="245"/>
    </row>
    <row r="62" spans="1:11" ht="15.75" thickBot="1" x14ac:dyDescent="0.3">
      <c r="A62" s="245"/>
      <c r="B62" s="1769"/>
      <c r="C62" s="272"/>
      <c r="D62" s="280" t="s">
        <v>150</v>
      </c>
      <c r="E62" s="280" t="s">
        <v>20</v>
      </c>
      <c r="F62" s="280" t="s">
        <v>21</v>
      </c>
      <c r="G62" s="280" t="s">
        <v>22</v>
      </c>
      <c r="H62" s="280" t="s">
        <v>23</v>
      </c>
      <c r="I62" s="280" t="s">
        <v>151</v>
      </c>
      <c r="J62" s="274"/>
      <c r="K62" s="245"/>
    </row>
    <row r="63" spans="1:11" ht="15.75" thickBot="1" x14ac:dyDescent="0.3">
      <c r="A63" s="245"/>
      <c r="B63" s="1769"/>
      <c r="C63" s="272"/>
      <c r="D63" s="294" t="s">
        <v>369</v>
      </c>
      <c r="E63" s="197"/>
      <c r="F63" s="197"/>
      <c r="G63" s="197"/>
      <c r="H63" s="7"/>
      <c r="I63" s="351">
        <f>SUM(E63:H63)</f>
        <v>0</v>
      </c>
      <c r="J63" s="274"/>
      <c r="K63" s="245"/>
    </row>
    <row r="64" spans="1:11" ht="15.75" thickBot="1" x14ac:dyDescent="0.3">
      <c r="A64" s="245"/>
      <c r="B64" s="1769"/>
      <c r="C64" s="272"/>
      <c r="D64" s="294" t="s">
        <v>370</v>
      </c>
      <c r="E64" s="197"/>
      <c r="F64" s="197"/>
      <c r="G64" s="197"/>
      <c r="H64" s="197"/>
      <c r="I64" s="385"/>
      <c r="J64" s="274"/>
      <c r="K64" s="245"/>
    </row>
    <row r="65" spans="1:13" ht="15.75" thickBot="1" x14ac:dyDescent="0.3">
      <c r="A65" s="245"/>
      <c r="B65" s="1769"/>
      <c r="C65" s="272"/>
      <c r="D65" s="294" t="s">
        <v>371</v>
      </c>
      <c r="E65" s="197"/>
      <c r="F65" s="197"/>
      <c r="G65" s="197"/>
      <c r="H65" s="197"/>
      <c r="I65" s="385"/>
      <c r="J65" s="274"/>
      <c r="K65" s="245"/>
    </row>
    <row r="66" spans="1:13" ht="15.75" thickBot="1" x14ac:dyDescent="0.3">
      <c r="A66" s="245"/>
      <c r="B66" s="1769"/>
      <c r="C66" s="272"/>
      <c r="D66" s="294" t="s">
        <v>372</v>
      </c>
      <c r="E66" s="197"/>
      <c r="F66" s="197"/>
      <c r="G66" s="197"/>
      <c r="H66" s="197"/>
      <c r="I66" s="385"/>
      <c r="J66" s="274"/>
      <c r="K66" s="245"/>
    </row>
    <row r="67" spans="1:13" ht="15.75" thickBot="1" x14ac:dyDescent="0.3">
      <c r="A67" s="245"/>
      <c r="B67" s="1769"/>
      <c r="C67" s="272"/>
      <c r="D67" s="294" t="s">
        <v>373</v>
      </c>
      <c r="E67" s="197"/>
      <c r="F67" s="197"/>
      <c r="G67" s="197"/>
      <c r="H67" s="197"/>
      <c r="I67" s="385"/>
      <c r="J67" s="274"/>
      <c r="K67" s="245"/>
    </row>
    <row r="68" spans="1:13" ht="15.75" thickBot="1" x14ac:dyDescent="0.3">
      <c r="A68" s="245"/>
      <c r="B68" s="1769"/>
      <c r="C68" s="272"/>
      <c r="D68" s="294" t="s">
        <v>1197</v>
      </c>
      <c r="E68" s="197"/>
      <c r="F68" s="197"/>
      <c r="G68" s="197"/>
      <c r="H68" s="197"/>
      <c r="I68" s="385"/>
      <c r="J68" s="274"/>
      <c r="K68" s="245"/>
    </row>
    <row r="69" spans="1:13" ht="15.75" thickBot="1" x14ac:dyDescent="0.3">
      <c r="A69" s="245"/>
      <c r="B69" s="1769"/>
      <c r="C69" s="272"/>
      <c r="D69" s="294" t="s">
        <v>151</v>
      </c>
      <c r="E69" s="351">
        <f>SUM(E64:E68)</f>
        <v>0</v>
      </c>
      <c r="F69" s="351">
        <f>SUM(F64:F68)</f>
        <v>0</v>
      </c>
      <c r="G69" s="351">
        <f>SUM(G64:G68)</f>
        <v>0</v>
      </c>
      <c r="H69" s="351">
        <f>SUM(H64:H68)</f>
        <v>0</v>
      </c>
      <c r="I69" s="385"/>
      <c r="J69" s="274"/>
      <c r="K69" s="245"/>
    </row>
    <row r="70" spans="1:13" x14ac:dyDescent="0.25">
      <c r="A70" s="245"/>
      <c r="B70" s="1769"/>
      <c r="C70" s="276"/>
      <c r="D70" s="1756" t="s">
        <v>377</v>
      </c>
      <c r="E70" s="1803"/>
      <c r="F70" s="1803"/>
      <c r="G70" s="1803"/>
      <c r="H70" s="1803"/>
      <c r="I70" s="1803"/>
      <c r="J70" s="1758"/>
      <c r="K70" s="245"/>
    </row>
    <row r="71" spans="1:13" x14ac:dyDescent="0.25">
      <c r="A71" s="245"/>
      <c r="B71" s="1769"/>
      <c r="C71" s="276"/>
      <c r="D71" s="1756" t="s">
        <v>378</v>
      </c>
      <c r="E71" s="1803"/>
      <c r="F71" s="1803"/>
      <c r="G71" s="1803"/>
      <c r="H71" s="1803"/>
      <c r="I71" s="1803"/>
      <c r="J71" s="1758"/>
      <c r="K71" s="245"/>
    </row>
    <row r="72" spans="1:13" ht="15.75" thickBot="1" x14ac:dyDescent="0.3">
      <c r="A72" s="245"/>
      <c r="B72" s="1769"/>
      <c r="C72" s="276"/>
      <c r="D72" s="1747" t="s">
        <v>380</v>
      </c>
      <c r="E72" s="1748"/>
      <c r="F72" s="1748"/>
      <c r="G72" s="1748"/>
      <c r="H72" s="1748"/>
      <c r="I72" s="1748"/>
      <c r="J72" s="1749"/>
      <c r="K72" s="245"/>
    </row>
    <row r="73" spans="1:13" ht="33" customHeight="1" x14ac:dyDescent="0.25">
      <c r="A73" s="245"/>
      <c r="B73" s="1769"/>
      <c r="C73" s="272"/>
      <c r="D73" s="1752" t="s">
        <v>381</v>
      </c>
      <c r="E73" s="1768" t="s">
        <v>382</v>
      </c>
      <c r="F73" s="1768" t="s">
        <v>383</v>
      </c>
      <c r="G73" s="1768" t="s">
        <v>384</v>
      </c>
      <c r="H73" s="1768" t="s">
        <v>385</v>
      </c>
      <c r="I73" s="1768" t="s">
        <v>386</v>
      </c>
      <c r="J73" s="271" t="s">
        <v>387</v>
      </c>
      <c r="K73" s="248"/>
    </row>
    <row r="74" spans="1:13" ht="24.75" thickBot="1" x14ac:dyDescent="0.3">
      <c r="A74" s="245"/>
      <c r="B74" s="1769"/>
      <c r="C74" s="272"/>
      <c r="D74" s="1782"/>
      <c r="E74" s="1770"/>
      <c r="F74" s="1770"/>
      <c r="G74" s="1770"/>
      <c r="H74" s="1770"/>
      <c r="I74" s="1770"/>
      <c r="J74" s="278" t="s">
        <v>388</v>
      </c>
      <c r="K74" s="248"/>
    </row>
    <row r="75" spans="1:13" ht="24.75" thickBot="1" x14ac:dyDescent="0.3">
      <c r="A75" s="245"/>
      <c r="B75" s="1769"/>
      <c r="C75" s="272"/>
      <c r="D75" s="30" t="s">
        <v>2847</v>
      </c>
      <c r="E75" s="30" t="s">
        <v>2848</v>
      </c>
      <c r="F75" s="30" t="s">
        <v>2845</v>
      </c>
      <c r="G75" s="197">
        <v>40000</v>
      </c>
      <c r="H75" s="197"/>
      <c r="I75" s="30" t="s">
        <v>2846</v>
      </c>
      <c r="J75" s="30"/>
      <c r="K75" s="1865"/>
      <c r="L75" s="1866"/>
      <c r="M75" s="1867"/>
    </row>
    <row r="76" spans="1:13" ht="24.75" thickBot="1" x14ac:dyDescent="0.3">
      <c r="A76" s="245"/>
      <c r="B76" s="1769"/>
      <c r="C76" s="272"/>
      <c r="D76" s="1198" t="s">
        <v>3227</v>
      </c>
      <c r="E76" s="1199" t="s">
        <v>3228</v>
      </c>
      <c r="F76" s="1200" t="s">
        <v>3229</v>
      </c>
      <c r="G76" s="1199"/>
      <c r="H76" s="1200">
        <v>18276</v>
      </c>
      <c r="I76" s="1201" t="s">
        <v>2846</v>
      </c>
      <c r="J76" s="979"/>
      <c r="K76" s="248"/>
    </row>
    <row r="77" spans="1:13" ht="60.75" thickBot="1" x14ac:dyDescent="0.3">
      <c r="A77" s="245"/>
      <c r="B77" s="1769"/>
      <c r="C77" s="272"/>
      <c r="D77" s="1202" t="s">
        <v>3230</v>
      </c>
      <c r="E77" s="1199" t="s">
        <v>3228</v>
      </c>
      <c r="F77" s="1203" t="s">
        <v>3231</v>
      </c>
      <c r="G77" s="1199">
        <v>21043.69</v>
      </c>
      <c r="H77" s="1200">
        <v>21042</v>
      </c>
      <c r="I77" s="1201" t="s">
        <v>3232</v>
      </c>
      <c r="J77" s="30" t="s">
        <v>3268</v>
      </c>
      <c r="K77" s="248"/>
    </row>
    <row r="78" spans="1:13" ht="24.75" thickBot="1" x14ac:dyDescent="0.3">
      <c r="A78" s="245"/>
      <c r="B78" s="1769"/>
      <c r="C78" s="272"/>
      <c r="D78" s="1204" t="s">
        <v>3233</v>
      </c>
      <c r="E78" s="1201" t="s">
        <v>3234</v>
      </c>
      <c r="F78" s="1205" t="s">
        <v>3229</v>
      </c>
      <c r="G78" s="1199"/>
      <c r="H78" s="1206">
        <v>900</v>
      </c>
      <c r="I78" s="1201" t="s">
        <v>2846</v>
      </c>
      <c r="J78" s="30"/>
      <c r="K78" s="248"/>
    </row>
    <row r="79" spans="1:13" ht="24.75" thickBot="1" x14ac:dyDescent="0.3">
      <c r="A79" s="245"/>
      <c r="B79" s="1769"/>
      <c r="C79" s="272"/>
      <c r="D79" s="1207" t="s">
        <v>3235</v>
      </c>
      <c r="E79" s="1208" t="s">
        <v>3234</v>
      </c>
      <c r="F79" s="1209" t="s">
        <v>3229</v>
      </c>
      <c r="G79" s="1210"/>
      <c r="H79" s="1211">
        <v>2074</v>
      </c>
      <c r="I79" s="1208" t="s">
        <v>2846</v>
      </c>
      <c r="J79" s="30"/>
      <c r="K79" s="248"/>
    </row>
    <row r="80" spans="1:13" ht="15.75" thickBot="1" x14ac:dyDescent="0.3">
      <c r="A80" s="245"/>
      <c r="B80" s="1769"/>
      <c r="C80" s="272"/>
      <c r="D80" s="30"/>
      <c r="E80" s="30"/>
      <c r="F80" s="30"/>
      <c r="G80" s="197"/>
      <c r="H80" s="197"/>
      <c r="I80" s="30"/>
      <c r="J80" s="30"/>
      <c r="K80" s="248"/>
    </row>
    <row r="81" spans="1:11" ht="15.75" thickBot="1" x14ac:dyDescent="0.3">
      <c r="A81" s="245"/>
      <c r="B81" s="1769"/>
      <c r="C81" s="272"/>
      <c r="D81" s="30"/>
      <c r="E81" s="30"/>
      <c r="F81" s="30"/>
      <c r="G81" s="197"/>
      <c r="H81" s="197"/>
      <c r="I81" s="30"/>
      <c r="J81" s="30"/>
      <c r="K81" s="248"/>
    </row>
    <row r="82" spans="1:11" ht="15.75" thickBot="1" x14ac:dyDescent="0.3">
      <c r="A82" s="245"/>
      <c r="B82" s="1769"/>
      <c r="C82" s="272"/>
      <c r="D82" s="30"/>
      <c r="E82" s="30"/>
      <c r="F82" s="30"/>
      <c r="G82" s="197"/>
      <c r="H82" s="197"/>
      <c r="I82" s="30"/>
      <c r="J82" s="30"/>
      <c r="K82" s="248"/>
    </row>
    <row r="83" spans="1:11" ht="15.75" thickBot="1" x14ac:dyDescent="0.3">
      <c r="A83" s="245"/>
      <c r="B83" s="1769"/>
      <c r="C83" s="272"/>
      <c r="D83" s="30"/>
      <c r="E83" s="30"/>
      <c r="F83" s="30"/>
      <c r="G83" s="197"/>
      <c r="H83" s="197"/>
      <c r="I83" s="30"/>
      <c r="J83" s="30"/>
      <c r="K83" s="248"/>
    </row>
    <row r="84" spans="1:11" ht="15.75" thickBot="1" x14ac:dyDescent="0.3">
      <c r="A84" s="245"/>
      <c r="B84" s="1769"/>
      <c r="C84" s="272"/>
      <c r="D84" s="30"/>
      <c r="E84" s="30"/>
      <c r="F84" s="30"/>
      <c r="G84" s="197"/>
      <c r="H84" s="197"/>
      <c r="I84" s="30"/>
      <c r="J84" s="30"/>
      <c r="K84" s="248"/>
    </row>
    <row r="85" spans="1:11" ht="15.75" thickBot="1" x14ac:dyDescent="0.3">
      <c r="A85" s="245"/>
      <c r="B85" s="1769"/>
      <c r="C85" s="272"/>
      <c r="D85" s="30"/>
      <c r="E85" s="30"/>
      <c r="F85" s="30"/>
      <c r="G85" s="197"/>
      <c r="H85" s="197"/>
      <c r="I85" s="30"/>
      <c r="J85" s="30"/>
      <c r="K85" s="248"/>
    </row>
    <row r="86" spans="1:11" ht="15.75" thickBot="1" x14ac:dyDescent="0.3">
      <c r="A86" s="245"/>
      <c r="B86" s="1769"/>
      <c r="C86" s="272"/>
      <c r="D86" s="30"/>
      <c r="E86" s="30"/>
      <c r="F86" s="30"/>
      <c r="G86" s="197"/>
      <c r="H86" s="197"/>
      <c r="I86" s="30"/>
      <c r="J86" s="30"/>
      <c r="K86" s="248"/>
    </row>
    <row r="87" spans="1:11" ht="15.75" thickBot="1" x14ac:dyDescent="0.3">
      <c r="A87" s="245"/>
      <c r="B87" s="1769"/>
      <c r="C87" s="272"/>
      <c r="D87" s="30"/>
      <c r="E87" s="30"/>
      <c r="F87" s="30"/>
      <c r="G87" s="197"/>
      <c r="H87" s="197"/>
      <c r="I87" s="30"/>
      <c r="J87" s="30"/>
      <c r="K87" s="248"/>
    </row>
    <row r="88" spans="1:11" ht="15.75" thickBot="1" x14ac:dyDescent="0.3">
      <c r="A88" s="245"/>
      <c r="B88" s="1769"/>
      <c r="C88" s="272"/>
      <c r="D88" s="30"/>
      <c r="E88" s="30"/>
      <c r="F88" s="30"/>
      <c r="G88" s="197"/>
      <c r="H88" s="197"/>
      <c r="I88" s="30"/>
      <c r="J88" s="30"/>
      <c r="K88" s="248"/>
    </row>
    <row r="89" spans="1:11" x14ac:dyDescent="0.25">
      <c r="A89" s="245"/>
      <c r="B89" s="1769"/>
      <c r="C89" s="276"/>
      <c r="D89" s="1750" t="s">
        <v>389</v>
      </c>
      <c r="E89" s="1751"/>
      <c r="F89" s="1751"/>
      <c r="G89" s="1751"/>
      <c r="H89" s="1751"/>
      <c r="I89" s="1751"/>
      <c r="J89" s="1752"/>
      <c r="K89" s="248"/>
    </row>
    <row r="90" spans="1:11" ht="15.75" thickBot="1" x14ac:dyDescent="0.3">
      <c r="A90" s="245"/>
      <c r="B90" s="1769"/>
      <c r="C90" s="276"/>
      <c r="D90" s="1780" t="s">
        <v>390</v>
      </c>
      <c r="E90" s="1781"/>
      <c r="F90" s="1781"/>
      <c r="G90" s="1781"/>
      <c r="H90" s="1781"/>
      <c r="I90" s="1781"/>
      <c r="J90" s="1782"/>
      <c r="K90" s="248"/>
    </row>
    <row r="91" spans="1:11" x14ac:dyDescent="0.25">
      <c r="A91" s="245"/>
      <c r="B91" s="1769"/>
      <c r="C91" s="276"/>
      <c r="D91" s="301"/>
      <c r="E91" s="377"/>
      <c r="F91" s="377"/>
      <c r="G91" s="377"/>
      <c r="H91" s="377"/>
      <c r="I91" s="377"/>
      <c r="J91" s="313"/>
      <c r="K91" s="248"/>
    </row>
    <row r="92" spans="1:11" ht="15.75" thickBot="1" x14ac:dyDescent="0.3">
      <c r="A92" s="245"/>
      <c r="B92" s="1769"/>
      <c r="C92" s="276"/>
      <c r="D92" s="301" t="s">
        <v>1199</v>
      </c>
      <c r="E92" s="377"/>
      <c r="F92" s="377"/>
      <c r="G92" s="377"/>
      <c r="H92" s="377"/>
      <c r="I92" s="377"/>
      <c r="J92" s="313"/>
      <c r="K92" s="248"/>
    </row>
    <row r="93" spans="1:11" x14ac:dyDescent="0.25">
      <c r="A93" s="245"/>
      <c r="B93" s="1769"/>
      <c r="C93" s="276"/>
      <c r="D93" s="386" t="s">
        <v>150</v>
      </c>
      <c r="E93" s="387" t="s">
        <v>20</v>
      </c>
      <c r="F93" s="387" t="s">
        <v>21</v>
      </c>
      <c r="G93" s="387" t="s">
        <v>22</v>
      </c>
      <c r="H93" s="387" t="s">
        <v>23</v>
      </c>
      <c r="I93" s="388" t="s">
        <v>151</v>
      </c>
      <c r="J93" s="313"/>
      <c r="K93" s="248"/>
    </row>
    <row r="94" spans="1:11" x14ac:dyDescent="0.25">
      <c r="A94" s="245"/>
      <c r="B94" s="1769"/>
      <c r="C94" s="276"/>
      <c r="D94" s="389" t="s">
        <v>1200</v>
      </c>
      <c r="E94" s="390">
        <f>+E63+E40</f>
        <v>0</v>
      </c>
      <c r="F94" s="390">
        <f>+F63+F40</f>
        <v>42123</v>
      </c>
      <c r="G94" s="390">
        <f>+G63+G40</f>
        <v>2974</v>
      </c>
      <c r="H94" s="390">
        <f>+H63+H40</f>
        <v>0</v>
      </c>
      <c r="I94" s="391">
        <f>SUM(E94:H94)</f>
        <v>45097</v>
      </c>
      <c r="J94" s="313"/>
      <c r="K94" s="248"/>
    </row>
    <row r="95" spans="1:11" ht="36" x14ac:dyDescent="0.25">
      <c r="A95" s="245"/>
      <c r="B95" s="1769"/>
      <c r="C95" s="276"/>
      <c r="D95" s="392" t="s">
        <v>1201</v>
      </c>
      <c r="E95" s="390">
        <f>+E68+E45</f>
        <v>0</v>
      </c>
      <c r="F95" s="390">
        <f>+F68+F45</f>
        <v>21043</v>
      </c>
      <c r="G95" s="390">
        <f>+G68+G45</f>
        <v>2974</v>
      </c>
      <c r="H95" s="390">
        <f>+H68+H45</f>
        <v>0</v>
      </c>
      <c r="I95" s="391">
        <f>SUM(E95:H95)</f>
        <v>24017</v>
      </c>
      <c r="J95" s="313"/>
      <c r="K95" s="248"/>
    </row>
    <row r="96" spans="1:11" ht="48.75" thickBot="1" x14ac:dyDescent="0.3">
      <c r="A96" s="245"/>
      <c r="B96" s="1769"/>
      <c r="C96" s="276"/>
      <c r="D96" s="392" t="s">
        <v>348</v>
      </c>
      <c r="E96" s="393" t="str">
        <f>IFERROR(E95/E94,"N.A.")</f>
        <v>N.A.</v>
      </c>
      <c r="F96" s="393">
        <f>IFERROR(F95/F94,"N.A.")</f>
        <v>0.49956081000878377</v>
      </c>
      <c r="G96" s="393">
        <f>IFERROR(G95/G94,"N.A.")</f>
        <v>1</v>
      </c>
      <c r="H96" s="393" t="str">
        <f>IFERROR(H95/H94,"N.A.")</f>
        <v>N.A.</v>
      </c>
      <c r="I96" s="393">
        <f>IFERROR(I95/I94,"N.A.")</f>
        <v>0.53256314167239505</v>
      </c>
      <c r="J96" s="313"/>
      <c r="K96" s="248"/>
    </row>
    <row r="97" spans="1:11" ht="24" customHeight="1" thickBot="1" x14ac:dyDescent="0.3">
      <c r="A97" s="245"/>
      <c r="B97" s="1770"/>
      <c r="C97" s="286"/>
      <c r="D97" s="245"/>
      <c r="E97" s="245"/>
      <c r="F97" s="245"/>
      <c r="G97" s="245"/>
      <c r="H97" s="245"/>
      <c r="I97" s="245"/>
      <c r="J97" s="313"/>
      <c r="K97" s="248"/>
    </row>
    <row r="98" spans="1:11" ht="24" customHeight="1" thickBot="1" x14ac:dyDescent="0.3">
      <c r="A98" s="245"/>
      <c r="B98" s="285" t="s">
        <v>34</v>
      </c>
      <c r="C98" s="286"/>
      <c r="D98" s="1777" t="s">
        <v>391</v>
      </c>
      <c r="E98" s="1778"/>
      <c r="F98" s="1778"/>
      <c r="G98" s="1778"/>
      <c r="H98" s="1778"/>
      <c r="I98" s="1778"/>
      <c r="J98" s="1779"/>
      <c r="K98" s="248"/>
    </row>
    <row r="99" spans="1:11" ht="24" customHeight="1" x14ac:dyDescent="0.25">
      <c r="A99" s="245"/>
      <c r="B99" s="1768" t="s">
        <v>36</v>
      </c>
      <c r="C99" s="268"/>
      <c r="D99" s="1750" t="s">
        <v>346</v>
      </c>
      <c r="E99" s="1751"/>
      <c r="F99" s="1751"/>
      <c r="G99" s="1751"/>
      <c r="H99" s="1751"/>
      <c r="I99" s="1751"/>
      <c r="J99" s="1752"/>
      <c r="K99" s="248"/>
    </row>
    <row r="100" spans="1:11" ht="48" customHeight="1" x14ac:dyDescent="0.25">
      <c r="A100" s="245"/>
      <c r="B100" s="1769"/>
      <c r="C100" s="276"/>
      <c r="D100" s="1756" t="s">
        <v>392</v>
      </c>
      <c r="E100" s="1803"/>
      <c r="F100" s="1803"/>
      <c r="G100" s="1803"/>
      <c r="H100" s="1803"/>
      <c r="I100" s="1803"/>
      <c r="J100" s="1758"/>
      <c r="K100" s="248"/>
    </row>
    <row r="101" spans="1:11" ht="60" customHeight="1" thickBot="1" x14ac:dyDescent="0.3">
      <c r="A101" s="245"/>
      <c r="B101" s="1770"/>
      <c r="C101" s="286"/>
      <c r="D101" s="1780" t="s">
        <v>393</v>
      </c>
      <c r="E101" s="1781"/>
      <c r="F101" s="1781"/>
      <c r="G101" s="1781"/>
      <c r="H101" s="1781"/>
      <c r="I101" s="1781"/>
      <c r="J101" s="1782"/>
      <c r="K101" s="248"/>
    </row>
    <row r="102" spans="1:11" ht="15.75" thickBot="1" x14ac:dyDescent="0.3">
      <c r="A102" s="245"/>
      <c r="B102" s="249"/>
      <c r="C102" s="250"/>
      <c r="D102" s="248"/>
      <c r="E102" s="248"/>
      <c r="F102" s="248"/>
      <c r="G102" s="248"/>
      <c r="H102" s="248"/>
      <c r="I102" s="248"/>
      <c r="J102" s="248"/>
      <c r="K102" s="248"/>
    </row>
    <row r="103" spans="1:11" ht="24" customHeight="1" thickBot="1" x14ac:dyDescent="0.3">
      <c r="A103" s="245"/>
      <c r="B103" s="1765" t="s">
        <v>38</v>
      </c>
      <c r="C103" s="1766"/>
      <c r="D103" s="1766"/>
      <c r="E103" s="1767"/>
      <c r="F103" s="248"/>
      <c r="G103" s="248"/>
      <c r="H103" s="248"/>
      <c r="I103" s="248"/>
      <c r="J103" s="248"/>
      <c r="K103" s="248"/>
    </row>
    <row r="104" spans="1:11" ht="15.75" thickBot="1" x14ac:dyDescent="0.3">
      <c r="A104" s="245"/>
      <c r="B104" s="1768">
        <v>1</v>
      </c>
      <c r="C104" s="272"/>
      <c r="D104" s="289" t="s">
        <v>39</v>
      </c>
      <c r="E104" s="31" t="s">
        <v>2849</v>
      </c>
      <c r="F104" s="248"/>
      <c r="G104" s="248"/>
      <c r="H104" s="248"/>
      <c r="I104" s="248"/>
      <c r="J104" s="248"/>
      <c r="K104" s="248"/>
    </row>
    <row r="105" spans="1:11" ht="15.75" thickBot="1" x14ac:dyDescent="0.3">
      <c r="A105" s="245"/>
      <c r="B105" s="1769"/>
      <c r="C105" s="272"/>
      <c r="D105" s="278" t="s">
        <v>40</v>
      </c>
      <c r="E105" s="31" t="s">
        <v>3236</v>
      </c>
      <c r="F105" s="248"/>
      <c r="G105" s="248"/>
      <c r="H105" s="248"/>
      <c r="I105" s="248"/>
      <c r="J105" s="248"/>
      <c r="K105" s="248"/>
    </row>
    <row r="106" spans="1:11" ht="15.75" thickBot="1" x14ac:dyDescent="0.3">
      <c r="A106" s="245"/>
      <c r="B106" s="1769"/>
      <c r="C106" s="272"/>
      <c r="D106" s="278" t="s">
        <v>41</v>
      </c>
      <c r="E106" s="31" t="s">
        <v>3325</v>
      </c>
      <c r="F106" s="248"/>
      <c r="G106" s="248"/>
      <c r="H106" s="248"/>
      <c r="I106" s="248"/>
      <c r="J106" s="248"/>
      <c r="K106" s="248"/>
    </row>
    <row r="107" spans="1:11" ht="15.75" thickBot="1" x14ac:dyDescent="0.3">
      <c r="A107" s="245"/>
      <c r="B107" s="1769"/>
      <c r="C107" s="272"/>
      <c r="D107" s="278" t="s">
        <v>42</v>
      </c>
      <c r="E107" s="31" t="s">
        <v>3400</v>
      </c>
      <c r="F107" s="248"/>
      <c r="G107" s="248"/>
      <c r="H107" s="248"/>
      <c r="I107" s="248"/>
      <c r="J107" s="248"/>
      <c r="K107" s="248"/>
    </row>
    <row r="108" spans="1:11" ht="15.75" thickBot="1" x14ac:dyDescent="0.3">
      <c r="A108" s="245"/>
      <c r="B108" s="1769"/>
      <c r="C108" s="272"/>
      <c r="D108" s="278" t="s">
        <v>43</v>
      </c>
      <c r="E108" s="980" t="s">
        <v>3365</v>
      </c>
      <c r="F108" s="248"/>
      <c r="G108" s="248"/>
      <c r="H108" s="248"/>
      <c r="I108" s="248"/>
      <c r="J108" s="248"/>
      <c r="K108" s="248"/>
    </row>
    <row r="109" spans="1:11" ht="15.75" thickBot="1" x14ac:dyDescent="0.3">
      <c r="A109" s="245"/>
      <c r="B109" s="1769"/>
      <c r="C109" s="272"/>
      <c r="D109" s="278" t="s">
        <v>44</v>
      </c>
      <c r="E109" s="31" t="s">
        <v>2851</v>
      </c>
      <c r="F109" s="248"/>
      <c r="G109" s="248"/>
      <c r="H109" s="248"/>
      <c r="I109" s="248"/>
      <c r="J109" s="248"/>
      <c r="K109" s="248"/>
    </row>
    <row r="110" spans="1:11" ht="15.75" thickBot="1" x14ac:dyDescent="0.3">
      <c r="A110" s="245"/>
      <c r="B110" s="1770"/>
      <c r="C110" s="345"/>
      <c r="D110" s="278" t="s">
        <v>45</v>
      </c>
      <c r="E110" s="31" t="s">
        <v>2852</v>
      </c>
      <c r="F110" s="248"/>
      <c r="G110" s="248"/>
      <c r="H110" s="248"/>
      <c r="I110" s="248"/>
      <c r="J110" s="248"/>
      <c r="K110" s="248"/>
    </row>
    <row r="111" spans="1:11" ht="15.75" thickBot="1" x14ac:dyDescent="0.3">
      <c r="A111" s="245"/>
      <c r="B111" s="249"/>
      <c r="C111" s="250"/>
      <c r="D111" s="248"/>
      <c r="E111" s="248"/>
      <c r="F111" s="248"/>
      <c r="G111" s="248"/>
      <c r="H111" s="248"/>
      <c r="I111" s="248"/>
      <c r="J111" s="248"/>
      <c r="K111" s="248"/>
    </row>
    <row r="112" spans="1:11" ht="15.75" thickBot="1" x14ac:dyDescent="0.3">
      <c r="A112" s="245"/>
      <c r="B112" s="1765" t="s">
        <v>46</v>
      </c>
      <c r="C112" s="1766"/>
      <c r="D112" s="1766"/>
      <c r="E112" s="1767"/>
      <c r="F112" s="248"/>
      <c r="G112" s="248"/>
      <c r="H112" s="248"/>
      <c r="I112" s="248"/>
      <c r="J112" s="248"/>
      <c r="K112" s="248"/>
    </row>
    <row r="113" spans="1:11" ht="15.75" thickBot="1" x14ac:dyDescent="0.3">
      <c r="A113" s="245"/>
      <c r="B113" s="1768">
        <v>1</v>
      </c>
      <c r="C113" s="272"/>
      <c r="D113" s="289" t="s">
        <v>39</v>
      </c>
      <c r="E113" s="238" t="s">
        <v>47</v>
      </c>
      <c r="F113" s="248"/>
      <c r="G113" s="248"/>
      <c r="H113" s="248"/>
      <c r="I113" s="248"/>
      <c r="J113" s="248"/>
      <c r="K113" s="248"/>
    </row>
    <row r="114" spans="1:11" ht="15.75" thickBot="1" x14ac:dyDescent="0.3">
      <c r="A114" s="245"/>
      <c r="B114" s="1769"/>
      <c r="C114" s="272"/>
      <c r="D114" s="278" t="s">
        <v>40</v>
      </c>
      <c r="E114" s="238" t="s">
        <v>160</v>
      </c>
      <c r="F114" s="248"/>
      <c r="G114" s="248"/>
      <c r="H114" s="248"/>
      <c r="I114" s="248"/>
      <c r="J114" s="248"/>
      <c r="K114" s="248"/>
    </row>
    <row r="115" spans="1:11" ht="15.75" thickBot="1" x14ac:dyDescent="0.3">
      <c r="A115" s="245"/>
      <c r="B115" s="1769"/>
      <c r="C115" s="272"/>
      <c r="D115" s="278" t="s">
        <v>41</v>
      </c>
      <c r="E115" s="315"/>
      <c r="F115" s="248"/>
      <c r="G115" s="248"/>
      <c r="H115" s="248"/>
      <c r="I115" s="248"/>
      <c r="J115" s="248"/>
      <c r="K115" s="248"/>
    </row>
    <row r="116" spans="1:11" ht="15.75" thickBot="1" x14ac:dyDescent="0.3">
      <c r="A116" s="245"/>
      <c r="B116" s="1769"/>
      <c r="C116" s="272"/>
      <c r="D116" s="278" t="s">
        <v>42</v>
      </c>
      <c r="E116" s="315"/>
      <c r="F116" s="248"/>
      <c r="G116" s="248"/>
      <c r="H116" s="248"/>
      <c r="I116" s="248"/>
      <c r="J116" s="248"/>
      <c r="K116" s="248"/>
    </row>
    <row r="117" spans="1:11" ht="15.75" thickBot="1" x14ac:dyDescent="0.3">
      <c r="A117" s="245"/>
      <c r="B117" s="1769"/>
      <c r="C117" s="272"/>
      <c r="D117" s="278" t="s">
        <v>43</v>
      </c>
      <c r="E117" s="315"/>
      <c r="F117" s="248"/>
      <c r="G117" s="248"/>
      <c r="H117" s="248"/>
      <c r="I117" s="248"/>
      <c r="J117" s="248"/>
      <c r="K117" s="248"/>
    </row>
    <row r="118" spans="1:11" ht="15.75" thickBot="1" x14ac:dyDescent="0.3">
      <c r="A118" s="245"/>
      <c r="B118" s="1769"/>
      <c r="C118" s="272"/>
      <c r="D118" s="278" t="s">
        <v>44</v>
      </c>
      <c r="E118" s="315"/>
      <c r="F118" s="248"/>
      <c r="G118" s="248"/>
      <c r="H118" s="248"/>
      <c r="I118" s="248"/>
      <c r="J118" s="248"/>
      <c r="K118" s="248"/>
    </row>
    <row r="119" spans="1:11" ht="15.75" thickBot="1" x14ac:dyDescent="0.3">
      <c r="A119" s="245"/>
      <c r="B119" s="1770"/>
      <c r="C119" s="345"/>
      <c r="D119" s="278" t="s">
        <v>45</v>
      </c>
      <c r="E119" s="315"/>
      <c r="F119" s="248"/>
      <c r="G119" s="248"/>
      <c r="H119" s="248"/>
      <c r="I119" s="248"/>
      <c r="J119" s="248"/>
      <c r="K119" s="248"/>
    </row>
    <row r="120" spans="1:11" ht="15.75" thickBot="1" x14ac:dyDescent="0.3">
      <c r="A120" s="245"/>
      <c r="B120" s="249"/>
      <c r="C120" s="250"/>
      <c r="D120" s="248"/>
      <c r="E120" s="248"/>
      <c r="F120" s="248"/>
      <c r="G120" s="248"/>
      <c r="H120" s="248"/>
      <c r="I120" s="248"/>
      <c r="J120" s="248"/>
      <c r="K120" s="248"/>
    </row>
    <row r="121" spans="1:11" ht="15" customHeight="1" thickBot="1" x14ac:dyDescent="0.3">
      <c r="A121" s="245"/>
      <c r="B121" s="291" t="s">
        <v>49</v>
      </c>
      <c r="C121" s="292"/>
      <c r="D121" s="292"/>
      <c r="E121" s="293"/>
      <c r="F121" s="245"/>
      <c r="G121" s="248"/>
      <c r="H121" s="248"/>
      <c r="I121" s="248"/>
      <c r="J121" s="248"/>
      <c r="K121" s="248"/>
    </row>
    <row r="122" spans="1:11" ht="24.75" thickBot="1" x14ac:dyDescent="0.3">
      <c r="A122" s="245"/>
      <c r="B122" s="285" t="s">
        <v>50</v>
      </c>
      <c r="C122" s="278" t="s">
        <v>51</v>
      </c>
      <c r="D122" s="278" t="s">
        <v>52</v>
      </c>
      <c r="E122" s="278" t="s">
        <v>53</v>
      </c>
      <c r="F122" s="248"/>
      <c r="G122" s="248"/>
      <c r="H122" s="248"/>
      <c r="I122" s="248"/>
      <c r="J122" s="248"/>
      <c r="K122" s="245"/>
    </row>
    <row r="123" spans="1:11" ht="96.75" thickBot="1" x14ac:dyDescent="0.3">
      <c r="A123" s="245"/>
      <c r="B123" s="295">
        <v>42401</v>
      </c>
      <c r="C123" s="278">
        <v>0.01</v>
      </c>
      <c r="D123" s="296" t="s">
        <v>394</v>
      </c>
      <c r="E123" s="278"/>
      <c r="F123" s="248"/>
      <c r="G123" s="248"/>
      <c r="H123" s="248"/>
      <c r="I123" s="248"/>
      <c r="J123" s="248"/>
      <c r="K123" s="245"/>
    </row>
    <row r="124" spans="1:11" ht="15.75" thickBot="1" x14ac:dyDescent="0.3">
      <c r="A124" s="245"/>
      <c r="B124" s="249"/>
      <c r="C124" s="250"/>
      <c r="D124" s="248"/>
      <c r="E124" s="248"/>
      <c r="F124" s="248"/>
      <c r="G124" s="248"/>
      <c r="H124" s="248"/>
      <c r="I124" s="248"/>
      <c r="J124" s="248"/>
      <c r="K124" s="248"/>
    </row>
    <row r="125" spans="1:11" ht="15.75" thickBot="1" x14ac:dyDescent="0.3">
      <c r="A125" s="245"/>
      <c r="B125" s="335" t="s">
        <v>55</v>
      </c>
      <c r="C125" s="298"/>
      <c r="D125" s="248"/>
      <c r="E125" s="248"/>
      <c r="F125" s="248"/>
      <c r="G125" s="248"/>
      <c r="H125" s="248"/>
      <c r="I125" s="248"/>
      <c r="J125" s="248"/>
      <c r="K125" s="248"/>
    </row>
    <row r="126" spans="1:11" x14ac:dyDescent="0.25">
      <c r="A126" s="245"/>
      <c r="B126" s="1875" t="s">
        <v>395</v>
      </c>
      <c r="C126" s="1876"/>
      <c r="D126" s="1876"/>
      <c r="E126" s="1876"/>
      <c r="F126" s="1876"/>
      <c r="G126" s="1876"/>
      <c r="H126" s="1876"/>
      <c r="I126" s="1876"/>
      <c r="J126" s="1876"/>
      <c r="K126" s="248"/>
    </row>
    <row r="127" spans="1:11" ht="24" customHeight="1" x14ac:dyDescent="0.25">
      <c r="A127" s="245"/>
      <c r="B127" s="1875"/>
      <c r="C127" s="1876"/>
      <c r="D127" s="1876"/>
      <c r="E127" s="1876"/>
      <c r="F127" s="1876"/>
      <c r="G127" s="1876"/>
      <c r="H127" s="1876"/>
      <c r="I127" s="1876"/>
      <c r="J127" s="1876"/>
      <c r="K127" s="248"/>
    </row>
    <row r="128" spans="1:11" x14ac:dyDescent="0.25">
      <c r="A128" s="245"/>
      <c r="B128" s="1877"/>
      <c r="C128" s="1878"/>
      <c r="D128" s="1878"/>
      <c r="E128" s="1878"/>
      <c r="F128" s="1878"/>
      <c r="G128" s="1878"/>
      <c r="H128" s="1878"/>
      <c r="I128" s="1878"/>
      <c r="J128" s="1878"/>
      <c r="K128" s="248"/>
    </row>
    <row r="129" spans="1:11" ht="15.75" thickBot="1" x14ac:dyDescent="0.3">
      <c r="A129" s="245"/>
      <c r="B129" s="248"/>
      <c r="C129" s="265"/>
      <c r="D129" s="248"/>
      <c r="E129" s="248"/>
      <c r="F129" s="248"/>
      <c r="G129" s="248"/>
      <c r="H129" s="248"/>
      <c r="I129" s="248"/>
      <c r="J129" s="248"/>
      <c r="K129" s="248"/>
    </row>
    <row r="130" spans="1:11" ht="15.75" thickBot="1" x14ac:dyDescent="0.3">
      <c r="A130" s="245"/>
      <c r="B130" s="1765" t="s">
        <v>56</v>
      </c>
      <c r="C130" s="1766"/>
      <c r="D130" s="1767"/>
      <c r="E130" s="248"/>
      <c r="F130" s="248"/>
      <c r="G130" s="248"/>
      <c r="H130" s="248"/>
      <c r="I130" s="248"/>
      <c r="J130" s="248"/>
      <c r="K130" s="248"/>
    </row>
    <row r="131" spans="1:11" ht="108.75" thickBot="1" x14ac:dyDescent="0.3">
      <c r="A131" s="245"/>
      <c r="B131" s="285" t="s">
        <v>57</v>
      </c>
      <c r="C131" s="345"/>
      <c r="D131" s="278" t="s">
        <v>349</v>
      </c>
      <c r="E131" s="248"/>
      <c r="F131" s="248"/>
      <c r="G131" s="248"/>
      <c r="H131" s="248"/>
      <c r="I131" s="248"/>
      <c r="J131" s="248"/>
      <c r="K131" s="248"/>
    </row>
    <row r="132" spans="1:11" x14ac:dyDescent="0.25">
      <c r="A132" s="245"/>
      <c r="B132" s="1768" t="s">
        <v>59</v>
      </c>
      <c r="C132" s="272"/>
      <c r="D132" s="312" t="s">
        <v>60</v>
      </c>
      <c r="E132" s="248"/>
      <c r="F132" s="248"/>
      <c r="G132" s="248"/>
      <c r="H132" s="248"/>
      <c r="I132" s="248"/>
      <c r="J132" s="248"/>
      <c r="K132" s="248"/>
    </row>
    <row r="133" spans="1:11" ht="84" x14ac:dyDescent="0.25">
      <c r="A133" s="245"/>
      <c r="B133" s="1769"/>
      <c r="C133" s="272"/>
      <c r="D133" s="313" t="s">
        <v>350</v>
      </c>
      <c r="E133" s="248"/>
      <c r="F133" s="248"/>
      <c r="G133" s="248"/>
      <c r="H133" s="248"/>
      <c r="I133" s="248"/>
      <c r="J133" s="248"/>
      <c r="K133" s="248"/>
    </row>
    <row r="134" spans="1:11" ht="36" x14ac:dyDescent="0.25">
      <c r="A134" s="245"/>
      <c r="B134" s="1769"/>
      <c r="C134" s="272"/>
      <c r="D134" s="313" t="s">
        <v>351</v>
      </c>
      <c r="E134" s="248"/>
      <c r="F134" s="248"/>
      <c r="G134" s="248"/>
      <c r="H134" s="248"/>
      <c r="I134" s="248"/>
      <c r="J134" s="248"/>
      <c r="K134" s="248"/>
    </row>
    <row r="135" spans="1:11" x14ac:dyDescent="0.25">
      <c r="A135" s="245"/>
      <c r="B135" s="1769"/>
      <c r="C135" s="272"/>
      <c r="D135" s="312" t="s">
        <v>63</v>
      </c>
      <c r="E135" s="248"/>
      <c r="F135" s="248"/>
      <c r="G135" s="248"/>
      <c r="H135" s="248"/>
      <c r="I135" s="248"/>
      <c r="J135" s="248"/>
      <c r="K135" s="248"/>
    </row>
    <row r="136" spans="1:11" x14ac:dyDescent="0.25">
      <c r="A136" s="245"/>
      <c r="B136" s="1769"/>
      <c r="C136" s="272"/>
      <c r="D136" s="313" t="s">
        <v>65</v>
      </c>
      <c r="E136" s="248"/>
      <c r="F136" s="248"/>
      <c r="G136" s="248"/>
      <c r="H136" s="248"/>
      <c r="I136" s="248"/>
      <c r="J136" s="248"/>
      <c r="K136" s="248"/>
    </row>
    <row r="137" spans="1:11" x14ac:dyDescent="0.25">
      <c r="A137" s="245"/>
      <c r="B137" s="1769"/>
      <c r="C137" s="272"/>
      <c r="D137" s="313" t="s">
        <v>352</v>
      </c>
      <c r="E137" s="248"/>
      <c r="F137" s="248"/>
      <c r="G137" s="248"/>
      <c r="H137" s="248"/>
      <c r="I137" s="248"/>
      <c r="J137" s="248"/>
      <c r="K137" s="248"/>
    </row>
    <row r="138" spans="1:11" x14ac:dyDescent="0.25">
      <c r="A138" s="245"/>
      <c r="B138" s="1769"/>
      <c r="C138" s="272"/>
      <c r="D138" s="312" t="s">
        <v>288</v>
      </c>
      <c r="E138" s="248"/>
      <c r="F138" s="248"/>
      <c r="G138" s="248"/>
      <c r="H138" s="248"/>
      <c r="I138" s="248"/>
      <c r="J138" s="248"/>
      <c r="K138" s="248"/>
    </row>
    <row r="139" spans="1:11" ht="36" x14ac:dyDescent="0.25">
      <c r="A139" s="245"/>
      <c r="B139" s="1769"/>
      <c r="C139" s="272"/>
      <c r="D139" s="313" t="s">
        <v>353</v>
      </c>
      <c r="E139" s="248"/>
      <c r="F139" s="248"/>
      <c r="G139" s="248"/>
      <c r="H139" s="248"/>
      <c r="I139" s="248"/>
      <c r="J139" s="248"/>
      <c r="K139" s="248"/>
    </row>
    <row r="140" spans="1:11" ht="36" x14ac:dyDescent="0.25">
      <c r="A140" s="245"/>
      <c r="B140" s="1769"/>
      <c r="C140" s="272"/>
      <c r="D140" s="313" t="s">
        <v>354</v>
      </c>
      <c r="E140" s="248"/>
      <c r="F140" s="248"/>
      <c r="G140" s="248"/>
      <c r="H140" s="248"/>
      <c r="I140" s="248"/>
      <c r="J140" s="248"/>
      <c r="K140" s="248"/>
    </row>
    <row r="141" spans="1:11" ht="15.75" thickBot="1" x14ac:dyDescent="0.3">
      <c r="A141" s="245"/>
      <c r="B141" s="1770"/>
      <c r="C141" s="345"/>
      <c r="D141" s="278" t="s">
        <v>355</v>
      </c>
      <c r="E141" s="248"/>
      <c r="F141" s="248"/>
      <c r="G141" s="248"/>
      <c r="H141" s="248"/>
      <c r="I141" s="248"/>
      <c r="J141" s="248"/>
      <c r="K141" s="248"/>
    </row>
    <row r="142" spans="1:11" ht="24.75" thickBot="1" x14ac:dyDescent="0.3">
      <c r="A142" s="245"/>
      <c r="B142" s="285" t="s">
        <v>72</v>
      </c>
      <c r="C142" s="345"/>
      <c r="D142" s="278"/>
      <c r="E142" s="248"/>
      <c r="F142" s="248"/>
      <c r="G142" s="248"/>
      <c r="H142" s="248"/>
      <c r="I142" s="248"/>
      <c r="J142" s="248"/>
      <c r="K142" s="248"/>
    </row>
    <row r="143" spans="1:11" ht="15.75" thickBot="1" x14ac:dyDescent="0.3">
      <c r="A143" s="245"/>
      <c r="B143" s="318"/>
      <c r="C143" s="304"/>
      <c r="D143" s="248"/>
      <c r="E143" s="248"/>
      <c r="F143" s="248"/>
      <c r="G143" s="248"/>
      <c r="H143" s="248"/>
      <c r="I143" s="248"/>
      <c r="J143" s="248"/>
      <c r="K143" s="248"/>
    </row>
    <row r="144" spans="1:11" ht="108" x14ac:dyDescent="0.25">
      <c r="A144" s="245"/>
      <c r="B144" s="1768" t="s">
        <v>73</v>
      </c>
      <c r="C144" s="344"/>
      <c r="D144" s="271" t="s">
        <v>356</v>
      </c>
      <c r="E144" s="248"/>
      <c r="F144" s="248"/>
      <c r="G144" s="248"/>
      <c r="H144" s="248"/>
      <c r="I144" s="248"/>
      <c r="J144" s="248"/>
      <c r="K144" s="248"/>
    </row>
    <row r="145" spans="1:11" ht="144" x14ac:dyDescent="0.25">
      <c r="A145" s="245"/>
      <c r="B145" s="1769"/>
      <c r="C145" s="272"/>
      <c r="D145" s="313" t="s">
        <v>357</v>
      </c>
      <c r="E145" s="248"/>
      <c r="F145" s="248"/>
      <c r="G145" s="248"/>
      <c r="H145" s="248"/>
      <c r="I145" s="248"/>
      <c r="J145" s="248"/>
      <c r="K145" s="248"/>
    </row>
    <row r="146" spans="1:11" ht="192" x14ac:dyDescent="0.25">
      <c r="A146" s="245"/>
      <c r="B146" s="1769"/>
      <c r="C146" s="272"/>
      <c r="D146" s="313" t="s">
        <v>358</v>
      </c>
      <c r="E146" s="248"/>
      <c r="F146" s="248"/>
      <c r="G146" s="248"/>
      <c r="H146" s="248"/>
      <c r="I146" s="248"/>
      <c r="J146" s="248"/>
      <c r="K146" s="248"/>
    </row>
    <row r="147" spans="1:11" ht="72" x14ac:dyDescent="0.25">
      <c r="A147" s="245"/>
      <c r="B147" s="1769"/>
      <c r="C147" s="272"/>
      <c r="D147" s="313" t="s">
        <v>359</v>
      </c>
      <c r="E147" s="248"/>
      <c r="F147" s="248"/>
      <c r="G147" s="248"/>
      <c r="H147" s="248"/>
      <c r="I147" s="248"/>
      <c r="J147" s="248"/>
      <c r="K147" s="248"/>
    </row>
    <row r="148" spans="1:11" ht="120.75" thickBot="1" x14ac:dyDescent="0.3">
      <c r="A148" s="245"/>
      <c r="B148" s="1770"/>
      <c r="C148" s="345"/>
      <c r="D148" s="278" t="s">
        <v>360</v>
      </c>
      <c r="E148" s="248"/>
      <c r="F148" s="248"/>
      <c r="G148" s="248"/>
      <c r="H148" s="248"/>
      <c r="I148" s="248"/>
      <c r="J148" s="248"/>
      <c r="K148" s="248"/>
    </row>
    <row r="149" spans="1:11" x14ac:dyDescent="0.25">
      <c r="A149" s="245"/>
      <c r="B149" s="1768" t="s">
        <v>90</v>
      </c>
      <c r="C149" s="272"/>
      <c r="D149" s="312"/>
      <c r="E149" s="248"/>
      <c r="F149" s="248"/>
      <c r="G149" s="248"/>
      <c r="H149" s="248"/>
      <c r="I149" s="248"/>
      <c r="J149" s="248"/>
      <c r="K149" s="248"/>
    </row>
    <row r="150" spans="1:11" ht="36" x14ac:dyDescent="0.25">
      <c r="A150" s="245"/>
      <c r="B150" s="1769"/>
      <c r="C150" s="272"/>
      <c r="D150" s="312" t="s">
        <v>348</v>
      </c>
      <c r="E150" s="248"/>
      <c r="F150" s="248"/>
      <c r="G150" s="248"/>
      <c r="H150" s="248"/>
      <c r="I150" s="248"/>
      <c r="J150" s="248"/>
      <c r="K150" s="248"/>
    </row>
    <row r="151" spans="1:11" x14ac:dyDescent="0.25">
      <c r="A151" s="245"/>
      <c r="B151" s="1769"/>
      <c r="C151" s="272"/>
      <c r="D151" s="314"/>
      <c r="E151" s="248"/>
      <c r="F151" s="248"/>
      <c r="G151" s="248"/>
      <c r="H151" s="248"/>
      <c r="I151" s="248"/>
      <c r="J151" s="248"/>
      <c r="K151" s="248"/>
    </row>
    <row r="152" spans="1:11" x14ac:dyDescent="0.25">
      <c r="A152" s="245"/>
      <c r="B152" s="1769"/>
      <c r="C152" s="272"/>
      <c r="D152" s="313" t="s">
        <v>91</v>
      </c>
      <c r="E152" s="248"/>
      <c r="F152" s="248"/>
      <c r="G152" s="248"/>
      <c r="H152" s="248"/>
      <c r="I152" s="248"/>
      <c r="J152" s="248"/>
      <c r="K152" s="248"/>
    </row>
    <row r="153" spans="1:11" ht="49.5" x14ac:dyDescent="0.25">
      <c r="A153" s="245"/>
      <c r="B153" s="1769"/>
      <c r="C153" s="272"/>
      <c r="D153" s="313" t="s">
        <v>361</v>
      </c>
      <c r="E153" s="248"/>
      <c r="F153" s="248"/>
      <c r="G153" s="248"/>
      <c r="H153" s="248"/>
      <c r="I153" s="248"/>
      <c r="J153" s="248"/>
      <c r="K153" s="248"/>
    </row>
    <row r="154" spans="1:11" ht="49.5" x14ac:dyDescent="0.25">
      <c r="A154" s="245"/>
      <c r="B154" s="1769"/>
      <c r="C154" s="272"/>
      <c r="D154" s="313" t="s">
        <v>362</v>
      </c>
      <c r="E154" s="248"/>
      <c r="F154" s="248"/>
      <c r="G154" s="248"/>
      <c r="H154" s="248"/>
      <c r="I154" s="248"/>
      <c r="J154" s="248"/>
      <c r="K154" s="248"/>
    </row>
    <row r="155" spans="1:11" ht="50.25" thickBot="1" x14ac:dyDescent="0.3">
      <c r="A155" s="245"/>
      <c r="B155" s="1770"/>
      <c r="C155" s="345"/>
      <c r="D155" s="278" t="s">
        <v>363</v>
      </c>
      <c r="E155" s="248"/>
      <c r="F155" s="248"/>
      <c r="G155" s="248"/>
      <c r="H155" s="248"/>
      <c r="I155" s="248"/>
      <c r="J155" s="248"/>
      <c r="K155" s="248"/>
    </row>
  </sheetData>
  <sheetProtection insertRows="0"/>
  <mergeCells count="56">
    <mergeCell ref="A1:P1"/>
    <mergeCell ref="A2:P2"/>
    <mergeCell ref="A3:P3"/>
    <mergeCell ref="A4:D4"/>
    <mergeCell ref="A5:P5"/>
    <mergeCell ref="B103:E103"/>
    <mergeCell ref="B104:B110"/>
    <mergeCell ref="B112:E112"/>
    <mergeCell ref="D59:J59"/>
    <mergeCell ref="D60:J60"/>
    <mergeCell ref="D61:J61"/>
    <mergeCell ref="D70:J70"/>
    <mergeCell ref="D71:J71"/>
    <mergeCell ref="D72:J72"/>
    <mergeCell ref="I73:I74"/>
    <mergeCell ref="D73:D74"/>
    <mergeCell ref="E73:E74"/>
    <mergeCell ref="B16:B97"/>
    <mergeCell ref="D27:J27"/>
    <mergeCell ref="D36:J36"/>
    <mergeCell ref="D37:J37"/>
    <mergeCell ref="B149:B155"/>
    <mergeCell ref="C17:C18"/>
    <mergeCell ref="D17:D18"/>
    <mergeCell ref="B113:B119"/>
    <mergeCell ref="D89:J89"/>
    <mergeCell ref="D90:J90"/>
    <mergeCell ref="D98:J98"/>
    <mergeCell ref="B99:B101"/>
    <mergeCell ref="D99:J99"/>
    <mergeCell ref="D100:J100"/>
    <mergeCell ref="D101:J101"/>
    <mergeCell ref="F73:F74"/>
    <mergeCell ref="G73:G74"/>
    <mergeCell ref="H73:H74"/>
    <mergeCell ref="D48:J48"/>
    <mergeCell ref="D49:J49"/>
    <mergeCell ref="B126:J127"/>
    <mergeCell ref="B128:J128"/>
    <mergeCell ref="B130:D130"/>
    <mergeCell ref="B132:B141"/>
    <mergeCell ref="B144:B148"/>
    <mergeCell ref="K75:M75"/>
    <mergeCell ref="B11:D11"/>
    <mergeCell ref="F11:S11"/>
    <mergeCell ref="F12:S12"/>
    <mergeCell ref="E13:R13"/>
    <mergeCell ref="E14:R14"/>
    <mergeCell ref="D50:J50"/>
    <mergeCell ref="D38:J38"/>
    <mergeCell ref="D47:J47"/>
    <mergeCell ref="F17:F18"/>
    <mergeCell ref="D25:I25"/>
    <mergeCell ref="E17:E18"/>
    <mergeCell ref="G17:G18"/>
    <mergeCell ref="H19:J19"/>
  </mergeCells>
  <conditionalFormatting sqref="F11">
    <cfRule type="notContainsBlanks" dxfId="97" priority="5">
      <formula>LEN(TRIM(F11))&gt;0</formula>
    </cfRule>
  </conditionalFormatting>
  <conditionalFormatting sqref="F12:S12">
    <cfRule type="expression" dxfId="96" priority="3">
      <formula>E12="NO SE REPORTA"</formula>
    </cfRule>
    <cfRule type="expression" dxfId="95" priority="4">
      <formula>E11="NO APLICA"</formula>
    </cfRule>
  </conditionalFormatting>
  <conditionalFormatting sqref="E13:R13">
    <cfRule type="expression" dxfId="94" priority="1">
      <formula>E12="SI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52:H57 E19:F19 H63 E23:F23 E29:H34" xr:uid="{00000000-0002-0000-1300-000000000000}">
      <formula1>0</formula1>
    </dataValidation>
    <dataValidation type="whole" operator="greaterThanOrEqual" allowBlank="1" showInputMessage="1" showErrorMessage="1" errorTitle="ERROR" error="Valor en HECTAREAS (sin decimales)_x000a_" sqref="G80:H88 E40:H45 H64:H68 E63:G68 E20:F22 G75:H75 H78:H79" xr:uid="{00000000-0002-0000-1300-000001000000}">
      <formula1>0</formula1>
    </dataValidation>
    <dataValidation allowBlank="1" showInputMessage="1" showErrorMessage="1" promptTitle="ESTADO" prompt="en preparación_x000a_en aprestamiento_x000a_en declaración_x000a_Declarado" sqref="I75:I88" xr:uid="{00000000-0002-0000-1300-000002000000}"/>
    <dataValidation allowBlank="1" showInputMessage="1" showErrorMessage="1" sqref="I40 E46:H46 I52 E69:H69 I63 E58:H58 E24:F24 I29" xr:uid="{00000000-0002-0000-1300-000003000000}"/>
    <dataValidation type="list" allowBlank="1" showInputMessage="1" showErrorMessage="1" sqref="E12" xr:uid="{00000000-0002-0000-1300-000004000000}">
      <formula1>REPORTE</formula1>
    </dataValidation>
    <dataValidation type="list" allowBlank="1" showInputMessage="1" showErrorMessage="1" sqref="E11" xr:uid="{00000000-0002-0000-1300-000005000000}">
      <formula1>SI</formula1>
    </dataValidation>
  </dataValidations>
  <hyperlinks>
    <hyperlink ref="B10" location="'ANEXO 3'!A1" display="VOLVER AL INDICE" xr:uid="{00000000-0004-0000-1300-000000000000}"/>
    <hyperlink ref="E108" r:id="rId1" display="mariaguzman@corpoguajira.gov.co" xr:uid="{00000000-0004-0000-1300-000001000000}"/>
  </hyperlinks>
  <pageMargins left="0.25" right="0.25" top="0.75" bottom="0.75" header="0.3" footer="0.3"/>
  <pageSetup paperSize="178" orientation="landscape" horizontalDpi="1200" verticalDpi="1200"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dimension ref="A1:U89"/>
  <sheetViews>
    <sheetView showGridLines="0" topLeftCell="A4" zoomScale="98" zoomScaleNormal="98" workbookViewId="0">
      <selection activeCell="E12" sqref="E12:R12"/>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538" customFormat="1" ht="100.5" customHeight="1" thickBot="1" x14ac:dyDescent="0.3">
      <c r="A1" s="1733"/>
      <c r="B1" s="1734"/>
      <c r="C1" s="1734"/>
      <c r="D1" s="1734"/>
      <c r="E1" s="1734"/>
      <c r="F1" s="1734"/>
      <c r="G1" s="1734"/>
      <c r="H1" s="1734"/>
      <c r="I1" s="1734"/>
      <c r="J1" s="1734"/>
      <c r="K1" s="1734"/>
      <c r="L1" s="1734"/>
      <c r="M1" s="1734"/>
      <c r="N1" s="1734"/>
      <c r="O1" s="1734"/>
      <c r="P1" s="1735"/>
      <c r="Q1" s="412"/>
      <c r="R1" s="412"/>
    </row>
    <row r="2" spans="1:21" s="539" customFormat="1" ht="16.5" thickBot="1" x14ac:dyDescent="0.3">
      <c r="A2" s="1741" t="str">
        <f>'Datos Generales'!C5</f>
        <v>Corporación Autónoma Regional de La Guajira – CORPOGUAJIRA</v>
      </c>
      <c r="B2" s="1742"/>
      <c r="C2" s="1742"/>
      <c r="D2" s="1742"/>
      <c r="E2" s="1742"/>
      <c r="F2" s="1742"/>
      <c r="G2" s="1742"/>
      <c r="H2" s="1742"/>
      <c r="I2" s="1742"/>
      <c r="J2" s="1742"/>
      <c r="K2" s="1742"/>
      <c r="L2" s="1742"/>
      <c r="M2" s="1742"/>
      <c r="N2" s="1742"/>
      <c r="O2" s="1742"/>
      <c r="P2" s="1743"/>
      <c r="Q2" s="412"/>
      <c r="R2" s="412"/>
    </row>
    <row r="3" spans="1:21" s="539" customFormat="1" ht="16.5" thickBot="1" x14ac:dyDescent="0.3">
      <c r="A3" s="1736" t="s">
        <v>1347</v>
      </c>
      <c r="B3" s="1737"/>
      <c r="C3" s="1737"/>
      <c r="D3" s="1737"/>
      <c r="E3" s="1737"/>
      <c r="F3" s="1737"/>
      <c r="G3" s="1737"/>
      <c r="H3" s="1737"/>
      <c r="I3" s="1737"/>
      <c r="J3" s="1737"/>
      <c r="K3" s="1737"/>
      <c r="L3" s="1737"/>
      <c r="M3" s="1737"/>
      <c r="N3" s="1737"/>
      <c r="O3" s="1737"/>
      <c r="P3" s="1738"/>
      <c r="Q3" s="412"/>
      <c r="R3" s="412"/>
    </row>
    <row r="4" spans="1:21" s="539" customFormat="1" ht="16.5" thickBot="1" x14ac:dyDescent="0.3">
      <c r="A4" s="1739" t="s">
        <v>1346</v>
      </c>
      <c r="B4" s="1740"/>
      <c r="C4" s="1740"/>
      <c r="D4" s="1740"/>
      <c r="E4" s="579" t="str">
        <f>'Datos Generales'!C6</f>
        <v>2021-I</v>
      </c>
      <c r="F4" s="579"/>
      <c r="G4" s="579"/>
      <c r="H4" s="579"/>
      <c r="I4" s="579"/>
      <c r="J4" s="579"/>
      <c r="K4" s="579"/>
      <c r="L4" s="581"/>
      <c r="M4" s="581"/>
      <c r="N4" s="581"/>
      <c r="O4" s="581"/>
      <c r="P4" s="582"/>
      <c r="Q4" s="412"/>
      <c r="R4" s="412"/>
    </row>
    <row r="5" spans="1:21" s="245" customFormat="1" ht="16.5" customHeight="1" thickBot="1" x14ac:dyDescent="0.3">
      <c r="A5" s="1736" t="s">
        <v>396</v>
      </c>
      <c r="B5" s="1737"/>
      <c r="C5" s="1737"/>
      <c r="D5" s="1737"/>
      <c r="E5" s="1737"/>
      <c r="F5" s="1737"/>
      <c r="G5" s="1737"/>
      <c r="H5" s="1737"/>
      <c r="I5" s="1737"/>
      <c r="J5" s="1737"/>
      <c r="K5" s="1737"/>
      <c r="L5" s="1737"/>
      <c r="M5" s="1737"/>
      <c r="N5" s="1737"/>
      <c r="O5" s="1737"/>
      <c r="P5" s="1738"/>
    </row>
    <row r="6" spans="1:21" x14ac:dyDescent="0.25">
      <c r="A6" s="245"/>
      <c r="B6" s="249" t="s">
        <v>1</v>
      </c>
      <c r="C6" s="250"/>
      <c r="D6" s="248"/>
      <c r="E6" s="259"/>
      <c r="F6" s="248" t="s">
        <v>128</v>
      </c>
      <c r="G6" s="248"/>
      <c r="H6" s="248"/>
      <c r="I6" s="248"/>
      <c r="J6" s="248"/>
      <c r="K6" s="248"/>
    </row>
    <row r="7" spans="1:21" ht="15.75" thickBot="1" x14ac:dyDescent="0.3">
      <c r="A7" s="245"/>
      <c r="B7" s="251"/>
      <c r="C7" s="252"/>
      <c r="D7" s="248"/>
      <c r="E7" s="253"/>
      <c r="F7" s="248" t="s">
        <v>129</v>
      </c>
      <c r="G7" s="248"/>
      <c r="H7" s="248"/>
      <c r="I7" s="248"/>
      <c r="J7" s="248"/>
      <c r="K7" s="248"/>
    </row>
    <row r="8" spans="1:21" ht="15.75" thickBot="1" x14ac:dyDescent="0.3">
      <c r="A8" s="245"/>
      <c r="B8" s="261" t="s">
        <v>1185</v>
      </c>
      <c r="C8" s="262">
        <v>2020</v>
      </c>
      <c r="D8" s="257" t="str">
        <f>IF(E10="NO APLICA","NO APLICA",IF(E11="NO SE REPORTA","SIN INFORMACION",+F20))</f>
        <v>NO APLICA</v>
      </c>
      <c r="E8" s="264"/>
      <c r="F8" s="248" t="s">
        <v>130</v>
      </c>
      <c r="G8" s="248"/>
      <c r="H8" s="248"/>
      <c r="I8" s="248"/>
      <c r="J8" s="248"/>
      <c r="K8" s="248"/>
    </row>
    <row r="9" spans="1:21" x14ac:dyDescent="0.25">
      <c r="A9" s="245"/>
      <c r="B9" s="493" t="s">
        <v>1186</v>
      </c>
      <c r="C9" s="265"/>
      <c r="D9" s="248"/>
      <c r="E9" s="248"/>
      <c r="F9" s="248"/>
      <c r="G9" s="248"/>
      <c r="H9" s="248"/>
      <c r="I9" s="248"/>
      <c r="J9" s="248"/>
      <c r="K9" s="248"/>
    </row>
    <row r="10" spans="1:21" s="412" customFormat="1" x14ac:dyDescent="0.25">
      <c r="A10" s="245"/>
      <c r="B10" s="1789" t="s">
        <v>1241</v>
      </c>
      <c r="C10" s="1789"/>
      <c r="D10" s="1789"/>
      <c r="E10" s="499" t="s">
        <v>1237</v>
      </c>
      <c r="F10" s="17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EL CUAL DECIDE LA NO PROCEDENCIA DE LA APLICACIÓN DEL INDICADOR</v>
      </c>
      <c r="G10" s="1796"/>
      <c r="H10" s="1796"/>
      <c r="I10" s="1796"/>
      <c r="J10" s="1796"/>
      <c r="K10" s="1796"/>
      <c r="L10" s="1796"/>
      <c r="M10" s="1796"/>
      <c r="N10" s="1796"/>
      <c r="O10" s="1796"/>
      <c r="P10" s="1796"/>
      <c r="Q10" s="1796"/>
      <c r="R10" s="1796"/>
      <c r="S10" s="1796"/>
      <c r="T10" s="495"/>
      <c r="U10" s="495"/>
    </row>
    <row r="11" spans="1:21" s="412" customFormat="1" ht="14.45" customHeight="1" x14ac:dyDescent="0.25">
      <c r="A11" s="245"/>
      <c r="B11" s="496"/>
      <c r="C11" s="497"/>
      <c r="D11" s="498" t="str">
        <f>IF(E10="SI APLICA","¿El indicador no se reporta por limitaciones de información disponible? ","")</f>
        <v/>
      </c>
      <c r="E11" s="500" t="s">
        <v>1240</v>
      </c>
      <c r="F11" s="1790"/>
      <c r="G11" s="1791"/>
      <c r="H11" s="1791"/>
      <c r="I11" s="1791"/>
      <c r="J11" s="1791"/>
      <c r="K11" s="1791"/>
      <c r="L11" s="1791"/>
      <c r="M11" s="1791"/>
      <c r="N11" s="1791"/>
      <c r="O11" s="1791"/>
      <c r="P11" s="1791"/>
      <c r="Q11" s="1791"/>
      <c r="R11" s="1791"/>
      <c r="S11" s="1791"/>
    </row>
    <row r="12" spans="1:21" s="412" customFormat="1" ht="23.45" customHeight="1" x14ac:dyDescent="0.25">
      <c r="A12" s="245"/>
      <c r="B12" s="493"/>
      <c r="C12" s="304"/>
      <c r="D12" s="498" t="str">
        <f>IF(E11="SI SE REPORTA","¿Qué programas o proyectos del Plan de Acción están asociados al indicador? ","")</f>
        <v xml:space="preserve">¿Qué programas o proyectos del Plan de Acción están asociados al indicador? </v>
      </c>
      <c r="E12" s="1799"/>
      <c r="F12" s="1799"/>
      <c r="G12" s="1799"/>
      <c r="H12" s="1799"/>
      <c r="I12" s="1799"/>
      <c r="J12" s="1799"/>
      <c r="K12" s="1799"/>
      <c r="L12" s="1799"/>
      <c r="M12" s="1799"/>
      <c r="N12" s="1799"/>
      <c r="O12" s="1799"/>
      <c r="P12" s="1799"/>
      <c r="Q12" s="1799"/>
      <c r="R12" s="1799"/>
    </row>
    <row r="13" spans="1:21" s="412" customFormat="1" ht="21.95" customHeight="1" x14ac:dyDescent="0.25">
      <c r="A13" s="245"/>
      <c r="B13" s="493"/>
      <c r="C13" s="304"/>
      <c r="D13" s="498" t="s">
        <v>1243</v>
      </c>
      <c r="E13" s="1792" t="s">
        <v>3057</v>
      </c>
      <c r="F13" s="1793"/>
      <c r="G13" s="1793"/>
      <c r="H13" s="1793"/>
      <c r="I13" s="1793"/>
      <c r="J13" s="1793"/>
      <c r="K13" s="1793"/>
      <c r="L13" s="1793"/>
      <c r="M13" s="1793"/>
      <c r="N13" s="1793"/>
      <c r="O13" s="1793"/>
      <c r="P13" s="1793"/>
      <c r="Q13" s="1793"/>
      <c r="R13" s="1794"/>
    </row>
    <row r="14" spans="1:21" s="412" customFormat="1" ht="6.95" customHeight="1" thickBot="1" x14ac:dyDescent="0.3">
      <c r="A14" s="245"/>
      <c r="B14" s="493"/>
      <c r="C14" s="265"/>
      <c r="D14" s="248"/>
      <c r="E14" s="248"/>
      <c r="F14" s="248"/>
      <c r="G14" s="248"/>
      <c r="H14" s="248"/>
      <c r="I14" s="248"/>
      <c r="J14" s="248"/>
      <c r="K14" s="248"/>
    </row>
    <row r="15" spans="1:21" ht="15.75" thickTop="1" x14ac:dyDescent="0.25">
      <c r="A15" s="245"/>
      <c r="B15" s="1879" t="s">
        <v>2</v>
      </c>
      <c r="C15" s="268"/>
      <c r="D15" s="1750" t="s">
        <v>336</v>
      </c>
      <c r="E15" s="1751"/>
      <c r="F15" s="1751"/>
      <c r="G15" s="1751"/>
      <c r="H15" s="1751"/>
      <c r="I15" s="1751"/>
      <c r="J15" s="1752"/>
      <c r="K15" s="248"/>
    </row>
    <row r="16" spans="1:21" ht="15.75" thickBot="1" x14ac:dyDescent="0.3">
      <c r="A16" s="245"/>
      <c r="B16" s="1769"/>
      <c r="C16" s="276"/>
      <c r="D16" s="1747" t="s">
        <v>411</v>
      </c>
      <c r="E16" s="1748"/>
      <c r="F16" s="1748"/>
      <c r="G16" s="1748"/>
      <c r="H16" s="1748"/>
      <c r="I16" s="1748"/>
      <c r="J16" s="1749"/>
      <c r="K16" s="248"/>
    </row>
    <row r="17" spans="1:11" ht="24.75" thickBot="1" x14ac:dyDescent="0.3">
      <c r="A17" s="245"/>
      <c r="B17" s="1769"/>
      <c r="C17" s="272"/>
      <c r="D17" s="280" t="s">
        <v>412</v>
      </c>
      <c r="E17" s="287" t="s">
        <v>1859</v>
      </c>
      <c r="F17" s="280" t="s">
        <v>20</v>
      </c>
      <c r="G17" s="280" t="s">
        <v>21</v>
      </c>
      <c r="H17" s="280" t="s">
        <v>22</v>
      </c>
      <c r="I17" s="280" t="s">
        <v>23</v>
      </c>
      <c r="J17" s="280" t="s">
        <v>151</v>
      </c>
      <c r="K17" s="248"/>
    </row>
    <row r="18" spans="1:11" ht="36.75" thickBot="1" x14ac:dyDescent="0.3">
      <c r="A18" s="245"/>
      <c r="B18" s="1769"/>
      <c r="C18" s="272"/>
      <c r="D18" s="278" t="s">
        <v>413</v>
      </c>
      <c r="E18" s="536"/>
      <c r="F18" s="217"/>
      <c r="G18" s="217"/>
      <c r="H18" s="217"/>
      <c r="I18" s="217"/>
      <c r="J18" s="283">
        <f>SUM(F18:I18)</f>
        <v>0</v>
      </c>
      <c r="K18" s="19"/>
    </row>
    <row r="19" spans="1:11" ht="36.75" thickBot="1" x14ac:dyDescent="0.3">
      <c r="A19" s="245"/>
      <c r="B19" s="1769"/>
      <c r="C19" s="272"/>
      <c r="D19" s="278" t="s">
        <v>414</v>
      </c>
      <c r="E19" s="217"/>
      <c r="F19" s="217"/>
      <c r="G19" s="217"/>
      <c r="H19" s="217"/>
      <c r="I19" s="217"/>
      <c r="J19" s="283">
        <f>SUM(F19:I19)</f>
        <v>0</v>
      </c>
      <c r="K19" s="19"/>
    </row>
    <row r="20" spans="1:11" ht="36.75" thickBot="1" x14ac:dyDescent="0.3">
      <c r="A20" s="245"/>
      <c r="B20" s="1769"/>
      <c r="C20" s="345"/>
      <c r="D20" s="278" t="s">
        <v>396</v>
      </c>
      <c r="E20" s="196" t="str">
        <f t="shared" ref="E20:J20" si="0">IFERROR(E19/E18,"N.A.")</f>
        <v>N.A.</v>
      </c>
      <c r="F20" s="196" t="str">
        <f t="shared" si="0"/>
        <v>N.A.</v>
      </c>
      <c r="G20" s="196" t="str">
        <f t="shared" si="0"/>
        <v>N.A.</v>
      </c>
      <c r="H20" s="196" t="str">
        <f t="shared" si="0"/>
        <v>N.A.</v>
      </c>
      <c r="I20" s="196" t="str">
        <f t="shared" si="0"/>
        <v>N.A.</v>
      </c>
      <c r="J20" s="196" t="str">
        <f t="shared" si="0"/>
        <v>N.A.</v>
      </c>
      <c r="K20" s="19"/>
    </row>
    <row r="21" spans="1:11" ht="11.1" customHeight="1" thickBot="1" x14ac:dyDescent="0.3">
      <c r="A21" s="245"/>
      <c r="B21" s="337"/>
      <c r="C21" s="268"/>
      <c r="D21" s="1747" t="s">
        <v>1189</v>
      </c>
      <c r="E21" s="1748"/>
      <c r="F21" s="1748"/>
      <c r="G21" s="1748"/>
      <c r="H21" s="1748"/>
      <c r="I21" s="1748"/>
      <c r="J21" s="1749"/>
      <c r="K21" s="248"/>
    </row>
    <row r="22" spans="1:11" ht="36.75" thickBot="1" x14ac:dyDescent="0.3">
      <c r="A22" s="245"/>
      <c r="B22" s="337"/>
      <c r="C22" s="276"/>
      <c r="D22" s="299" t="s">
        <v>1190</v>
      </c>
      <c r="E22" s="267" t="s">
        <v>1191</v>
      </c>
      <c r="F22" s="271" t="s">
        <v>387</v>
      </c>
      <c r="G22" s="401"/>
      <c r="H22" s="402"/>
      <c r="I22" s="402"/>
      <c r="J22" s="403"/>
      <c r="K22" s="248"/>
    </row>
    <row r="23" spans="1:11" s="199" customFormat="1" ht="15.75" thickBot="1" x14ac:dyDescent="0.3">
      <c r="B23" s="236"/>
      <c r="C23" s="239"/>
      <c r="D23" s="394"/>
      <c r="E23" s="721"/>
      <c r="F23" s="336"/>
      <c r="G23" s="395"/>
      <c r="H23" s="396"/>
      <c r="I23" s="396"/>
      <c r="J23" s="397"/>
      <c r="K23" s="19"/>
    </row>
    <row r="24" spans="1:11" s="199" customFormat="1" ht="15.75" thickBot="1" x14ac:dyDescent="0.3">
      <c r="B24" s="236"/>
      <c r="C24" s="239"/>
      <c r="D24" s="394"/>
      <c r="E24" s="336"/>
      <c r="F24" s="336"/>
      <c r="G24" s="395"/>
      <c r="H24" s="396"/>
      <c r="I24" s="396"/>
      <c r="J24" s="397"/>
      <c r="K24" s="19"/>
    </row>
    <row r="25" spans="1:11" s="199" customFormat="1" ht="15.75" thickBot="1" x14ac:dyDescent="0.3">
      <c r="B25" s="236"/>
      <c r="C25" s="239"/>
      <c r="D25" s="394"/>
      <c r="E25" s="336"/>
      <c r="F25" s="336"/>
      <c r="G25" s="395"/>
      <c r="H25" s="396"/>
      <c r="I25" s="396"/>
      <c r="J25" s="397"/>
      <c r="K25" s="19"/>
    </row>
    <row r="26" spans="1:11" s="199" customFormat="1" ht="15.75" thickBot="1" x14ac:dyDescent="0.3">
      <c r="B26" s="236"/>
      <c r="C26" s="239"/>
      <c r="D26" s="394"/>
      <c r="E26" s="336"/>
      <c r="F26" s="336"/>
      <c r="G26" s="395"/>
      <c r="H26" s="396"/>
      <c r="I26" s="396"/>
      <c r="J26" s="397"/>
      <c r="K26" s="19"/>
    </row>
    <row r="27" spans="1:11" s="199" customFormat="1" ht="15.75" thickBot="1" x14ac:dyDescent="0.3">
      <c r="B27" s="236"/>
      <c r="C27" s="239"/>
      <c r="D27" s="394"/>
      <c r="E27" s="336"/>
      <c r="F27" s="336"/>
      <c r="G27" s="395"/>
      <c r="H27" s="396"/>
      <c r="I27" s="396"/>
      <c r="J27" s="397"/>
      <c r="K27" s="19"/>
    </row>
    <row r="28" spans="1:11" s="199" customFormat="1" ht="15.75" thickBot="1" x14ac:dyDescent="0.3">
      <c r="B28" s="236"/>
      <c r="C28" s="239"/>
      <c r="D28" s="394"/>
      <c r="E28" s="336"/>
      <c r="F28" s="336"/>
      <c r="G28" s="395"/>
      <c r="H28" s="396"/>
      <c r="I28" s="396"/>
      <c r="J28" s="397"/>
      <c r="K28" s="19"/>
    </row>
    <row r="29" spans="1:11" s="199" customFormat="1" ht="15.75" thickBot="1" x14ac:dyDescent="0.3">
      <c r="B29" s="236"/>
      <c r="C29" s="239"/>
      <c r="D29" s="394"/>
      <c r="E29" s="336"/>
      <c r="F29" s="336"/>
      <c r="G29" s="395"/>
      <c r="H29" s="396"/>
      <c r="I29" s="396"/>
      <c r="J29" s="397"/>
      <c r="K29" s="19"/>
    </row>
    <row r="30" spans="1:11" s="199" customFormat="1" ht="15.75" thickBot="1" x14ac:dyDescent="0.3">
      <c r="B30" s="236"/>
      <c r="C30" s="239"/>
      <c r="D30" s="394"/>
      <c r="E30" s="336"/>
      <c r="F30" s="336"/>
      <c r="G30" s="395"/>
      <c r="H30" s="396"/>
      <c r="I30" s="396"/>
      <c r="J30" s="397"/>
      <c r="K30" s="19"/>
    </row>
    <row r="31" spans="1:11" s="199" customFormat="1" ht="15.75" thickBot="1" x14ac:dyDescent="0.3">
      <c r="B31" s="236"/>
      <c r="C31" s="239"/>
      <c r="D31" s="394"/>
      <c r="E31" s="336"/>
      <c r="F31" s="336"/>
      <c r="G31" s="395"/>
      <c r="H31" s="396"/>
      <c r="I31" s="396"/>
      <c r="J31" s="397"/>
      <c r="K31" s="19"/>
    </row>
    <row r="32" spans="1:11" s="199" customFormat="1" ht="15.75" thickBot="1" x14ac:dyDescent="0.3">
      <c r="B32" s="236"/>
      <c r="C32" s="239"/>
      <c r="D32" s="394"/>
      <c r="E32" s="336"/>
      <c r="F32" s="336"/>
      <c r="G32" s="395"/>
      <c r="H32" s="396"/>
      <c r="I32" s="396"/>
      <c r="J32" s="397"/>
      <c r="K32" s="19"/>
    </row>
    <row r="33" spans="1:11" s="199" customFormat="1" ht="15.75" thickBot="1" x14ac:dyDescent="0.3">
      <c r="B33" s="236"/>
      <c r="C33" s="239"/>
      <c r="D33" s="31"/>
      <c r="E33" s="31"/>
      <c r="F33" s="31"/>
      <c r="G33" s="395"/>
      <c r="H33" s="396"/>
      <c r="I33" s="396"/>
      <c r="J33" s="397"/>
    </row>
    <row r="34" spans="1:11" s="199" customFormat="1" ht="15.75" thickBot="1" x14ac:dyDescent="0.3">
      <c r="B34" s="236"/>
      <c r="C34" s="239"/>
      <c r="D34" s="31"/>
      <c r="E34" s="31"/>
      <c r="F34" s="31"/>
      <c r="G34" s="395"/>
      <c r="H34" s="396"/>
      <c r="I34" s="396"/>
      <c r="J34" s="397"/>
    </row>
    <row r="35" spans="1:11" s="199" customFormat="1" ht="15.75" thickBot="1" x14ac:dyDescent="0.3">
      <c r="B35" s="237"/>
      <c r="C35" s="240"/>
      <c r="D35" s="31"/>
      <c r="E35" s="31"/>
      <c r="F35" s="31"/>
      <c r="G35" s="398"/>
      <c r="H35" s="399"/>
      <c r="I35" s="399"/>
      <c r="J35" s="400"/>
    </row>
    <row r="36" spans="1:11" ht="15.75" thickBot="1" x14ac:dyDescent="0.3">
      <c r="A36" s="245"/>
      <c r="B36" s="285" t="s">
        <v>34</v>
      </c>
      <c r="C36" s="286"/>
      <c r="D36" s="1777" t="s">
        <v>415</v>
      </c>
      <c r="E36" s="1778"/>
      <c r="F36" s="1778"/>
      <c r="G36" s="1778"/>
      <c r="H36" s="1778"/>
      <c r="I36" s="1778"/>
      <c r="J36" s="1779"/>
      <c r="K36" s="245"/>
    </row>
    <row r="37" spans="1:11" ht="24.75" thickBot="1" x14ac:dyDescent="0.3">
      <c r="A37" s="245"/>
      <c r="B37" s="285" t="s">
        <v>36</v>
      </c>
      <c r="C37" s="286"/>
      <c r="D37" s="1777" t="s">
        <v>346</v>
      </c>
      <c r="E37" s="1778"/>
      <c r="F37" s="1778"/>
      <c r="G37" s="1778"/>
      <c r="H37" s="1778"/>
      <c r="I37" s="1778"/>
      <c r="J37" s="1779"/>
      <c r="K37" s="245"/>
    </row>
    <row r="38" spans="1:11" ht="15.75" thickBot="1" x14ac:dyDescent="0.3">
      <c r="A38" s="245"/>
      <c r="B38" s="377"/>
      <c r="C38" s="404"/>
      <c r="D38" s="377"/>
      <c r="E38" s="377"/>
      <c r="F38" s="377"/>
      <c r="G38" s="377"/>
      <c r="H38" s="377"/>
      <c r="I38" s="377"/>
      <c r="J38" s="377"/>
      <c r="K38" s="248"/>
    </row>
    <row r="39" spans="1:11" ht="24" customHeight="1" thickBot="1" x14ac:dyDescent="0.3">
      <c r="A39" s="245"/>
      <c r="B39" s="1765" t="s">
        <v>38</v>
      </c>
      <c r="C39" s="1766"/>
      <c r="D39" s="1766"/>
      <c r="E39" s="1767"/>
      <c r="F39" s="248"/>
      <c r="G39" s="248"/>
      <c r="H39" s="248"/>
      <c r="I39" s="248"/>
      <c r="J39" s="248"/>
      <c r="K39" s="248"/>
    </row>
    <row r="40" spans="1:11" ht="15.75" thickBot="1" x14ac:dyDescent="0.3">
      <c r="A40" s="245"/>
      <c r="B40" s="1768">
        <v>1</v>
      </c>
      <c r="C40" s="272"/>
      <c r="D40" s="289" t="s">
        <v>39</v>
      </c>
      <c r="E40" s="31"/>
      <c r="F40" s="248"/>
      <c r="G40" s="248"/>
      <c r="H40" s="248"/>
      <c r="I40" s="248"/>
      <c r="J40" s="248"/>
      <c r="K40" s="248"/>
    </row>
    <row r="41" spans="1:11" ht="15.75" thickBot="1" x14ac:dyDescent="0.3">
      <c r="A41" s="245"/>
      <c r="B41" s="1769"/>
      <c r="C41" s="272"/>
      <c r="D41" s="278" t="s">
        <v>40</v>
      </c>
      <c r="E41" s="31"/>
      <c r="F41" s="248"/>
      <c r="G41" s="248"/>
      <c r="H41" s="248"/>
      <c r="I41" s="248"/>
      <c r="J41" s="248"/>
      <c r="K41" s="248"/>
    </row>
    <row r="42" spans="1:11" ht="15.75" thickBot="1" x14ac:dyDescent="0.3">
      <c r="A42" s="245"/>
      <c r="B42" s="1769"/>
      <c r="C42" s="272"/>
      <c r="D42" s="278" t="s">
        <v>41</v>
      </c>
      <c r="E42" s="31"/>
      <c r="F42" s="248"/>
      <c r="G42" s="248"/>
      <c r="H42" s="248"/>
      <c r="I42" s="248"/>
      <c r="J42" s="248"/>
      <c r="K42" s="248"/>
    </row>
    <row r="43" spans="1:11" ht="15.75" thickBot="1" x14ac:dyDescent="0.3">
      <c r="A43" s="245"/>
      <c r="B43" s="1769"/>
      <c r="C43" s="272"/>
      <c r="D43" s="278" t="s">
        <v>42</v>
      </c>
      <c r="E43" s="31"/>
      <c r="F43" s="248"/>
      <c r="G43" s="248"/>
      <c r="H43" s="248"/>
      <c r="I43" s="248"/>
      <c r="J43" s="248"/>
      <c r="K43" s="248"/>
    </row>
    <row r="44" spans="1:11" ht="15.75" thickBot="1" x14ac:dyDescent="0.3">
      <c r="A44" s="245"/>
      <c r="B44" s="1769"/>
      <c r="C44" s="272"/>
      <c r="D44" s="278" t="s">
        <v>43</v>
      </c>
      <c r="E44" s="31"/>
      <c r="F44" s="248"/>
      <c r="G44" s="248"/>
      <c r="H44" s="248"/>
      <c r="I44" s="248"/>
      <c r="J44" s="248"/>
      <c r="K44" s="248"/>
    </row>
    <row r="45" spans="1:11" ht="15.75" thickBot="1" x14ac:dyDescent="0.3">
      <c r="A45" s="245"/>
      <c r="B45" s="1769"/>
      <c r="C45" s="272"/>
      <c r="D45" s="278" t="s">
        <v>44</v>
      </c>
      <c r="E45" s="31"/>
      <c r="F45" s="248"/>
      <c r="G45" s="248"/>
      <c r="H45" s="248"/>
      <c r="I45" s="248"/>
      <c r="J45" s="248"/>
      <c r="K45" s="248"/>
    </row>
    <row r="46" spans="1:11" ht="15.75" thickBot="1" x14ac:dyDescent="0.3">
      <c r="A46" s="245"/>
      <c r="B46" s="1770"/>
      <c r="C46" s="345"/>
      <c r="D46" s="278" t="s">
        <v>45</v>
      </c>
      <c r="E46" s="31"/>
      <c r="F46" s="248"/>
      <c r="G46" s="248"/>
      <c r="H46" s="248"/>
      <c r="I46" s="248"/>
      <c r="J46" s="248"/>
      <c r="K46" s="248"/>
    </row>
    <row r="47" spans="1:11" ht="15.75" thickBot="1" x14ac:dyDescent="0.3">
      <c r="A47" s="245"/>
      <c r="B47" s="249"/>
      <c r="C47" s="250"/>
      <c r="D47" s="248"/>
      <c r="E47" s="248"/>
      <c r="F47" s="248"/>
      <c r="G47" s="248"/>
      <c r="H47" s="248"/>
      <c r="I47" s="248"/>
      <c r="J47" s="248"/>
      <c r="K47" s="248"/>
    </row>
    <row r="48" spans="1:11" ht="15.75" thickBot="1" x14ac:dyDescent="0.3">
      <c r="A48" s="245"/>
      <c r="B48" s="1765" t="s">
        <v>46</v>
      </c>
      <c r="C48" s="1766"/>
      <c r="D48" s="1766"/>
      <c r="E48" s="1767"/>
      <c r="F48" s="248"/>
      <c r="G48" s="248"/>
      <c r="H48" s="248"/>
      <c r="I48" s="248"/>
      <c r="J48" s="248"/>
      <c r="K48" s="248"/>
    </row>
    <row r="49" spans="1:11" ht="15.75" thickBot="1" x14ac:dyDescent="0.3">
      <c r="A49" s="245"/>
      <c r="B49" s="1768">
        <v>1</v>
      </c>
      <c r="C49" s="272"/>
      <c r="D49" s="289" t="s">
        <v>39</v>
      </c>
      <c r="E49" s="238" t="s">
        <v>47</v>
      </c>
      <c r="F49" s="248"/>
      <c r="G49" s="248"/>
      <c r="H49" s="248"/>
      <c r="I49" s="248"/>
      <c r="J49" s="248"/>
      <c r="K49" s="248"/>
    </row>
    <row r="50" spans="1:11" ht="15.75" thickBot="1" x14ac:dyDescent="0.3">
      <c r="A50" s="245"/>
      <c r="B50" s="1769"/>
      <c r="C50" s="272"/>
      <c r="D50" s="278" t="s">
        <v>40</v>
      </c>
      <c r="E50" s="238" t="s">
        <v>48</v>
      </c>
      <c r="F50" s="248"/>
      <c r="G50" s="248"/>
      <c r="H50" s="248"/>
      <c r="I50" s="248"/>
      <c r="J50" s="248"/>
      <c r="K50" s="248"/>
    </row>
    <row r="51" spans="1:11" ht="15.75" thickBot="1" x14ac:dyDescent="0.3">
      <c r="A51" s="245"/>
      <c r="B51" s="1769"/>
      <c r="C51" s="272"/>
      <c r="D51" s="278" t="s">
        <v>41</v>
      </c>
      <c r="E51" s="315"/>
      <c r="F51" s="248"/>
      <c r="G51" s="248"/>
      <c r="H51" s="248"/>
      <c r="I51" s="248"/>
      <c r="J51" s="248"/>
      <c r="K51" s="248"/>
    </row>
    <row r="52" spans="1:11" ht="15.75" thickBot="1" x14ac:dyDescent="0.3">
      <c r="A52" s="245"/>
      <c r="B52" s="1769"/>
      <c r="C52" s="272"/>
      <c r="D52" s="278" t="s">
        <v>42</v>
      </c>
      <c r="E52" s="315"/>
      <c r="F52" s="248"/>
      <c r="G52" s="248"/>
      <c r="H52" s="248"/>
      <c r="I52" s="248"/>
      <c r="J52" s="248"/>
      <c r="K52" s="248"/>
    </row>
    <row r="53" spans="1:11" ht="15.75" thickBot="1" x14ac:dyDescent="0.3">
      <c r="A53" s="245"/>
      <c r="B53" s="1769"/>
      <c r="C53" s="272"/>
      <c r="D53" s="278" t="s">
        <v>43</v>
      </c>
      <c r="E53" s="315"/>
      <c r="F53" s="248"/>
      <c r="G53" s="248"/>
      <c r="H53" s="248"/>
      <c r="I53" s="248"/>
      <c r="J53" s="248"/>
      <c r="K53" s="248"/>
    </row>
    <row r="54" spans="1:11" ht="15.75" thickBot="1" x14ac:dyDescent="0.3">
      <c r="A54" s="245"/>
      <c r="B54" s="1769"/>
      <c r="C54" s="272"/>
      <c r="D54" s="278" t="s">
        <v>44</v>
      </c>
      <c r="E54" s="315"/>
      <c r="F54" s="248"/>
      <c r="G54" s="248"/>
      <c r="H54" s="248"/>
      <c r="I54" s="248"/>
      <c r="J54" s="248"/>
      <c r="K54" s="248"/>
    </row>
    <row r="55" spans="1:11" ht="15.75" thickBot="1" x14ac:dyDescent="0.3">
      <c r="A55" s="245"/>
      <c r="B55" s="1770"/>
      <c r="C55" s="345"/>
      <c r="D55" s="278" t="s">
        <v>45</v>
      </c>
      <c r="E55" s="315"/>
      <c r="F55" s="248"/>
      <c r="G55" s="248"/>
      <c r="H55" s="248"/>
      <c r="I55" s="248"/>
      <c r="J55" s="248"/>
      <c r="K55" s="248"/>
    </row>
    <row r="56" spans="1:11" ht="15.75" thickBot="1" x14ac:dyDescent="0.3">
      <c r="A56" s="245"/>
      <c r="B56" s="249"/>
      <c r="C56" s="250"/>
      <c r="D56" s="248"/>
      <c r="E56" s="248"/>
      <c r="F56" s="248"/>
      <c r="G56" s="248"/>
      <c r="H56" s="248"/>
      <c r="I56" s="248"/>
      <c r="J56" s="248"/>
      <c r="K56" s="248"/>
    </row>
    <row r="57" spans="1:11" ht="15" customHeight="1" thickBot="1" x14ac:dyDescent="0.3">
      <c r="A57" s="245"/>
      <c r="B57" s="288" t="s">
        <v>49</v>
      </c>
      <c r="C57" s="320"/>
      <c r="D57" s="320"/>
      <c r="E57" s="321"/>
      <c r="F57" s="245"/>
      <c r="G57" s="248"/>
      <c r="H57" s="248"/>
      <c r="I57" s="248"/>
      <c r="J57" s="248"/>
      <c r="K57" s="248"/>
    </row>
    <row r="58" spans="1:11" ht="24.75" thickBot="1" x14ac:dyDescent="0.3">
      <c r="A58" s="245"/>
      <c r="B58" s="285" t="s">
        <v>50</v>
      </c>
      <c r="C58" s="278" t="s">
        <v>51</v>
      </c>
      <c r="D58" s="278" t="s">
        <v>52</v>
      </c>
      <c r="E58" s="278" t="s">
        <v>53</v>
      </c>
      <c r="F58" s="248"/>
      <c r="G58" s="248"/>
      <c r="H58" s="248"/>
      <c r="I58" s="248"/>
      <c r="J58" s="248"/>
      <c r="K58" s="245"/>
    </row>
    <row r="59" spans="1:11" ht="72.75" thickBot="1" x14ac:dyDescent="0.3">
      <c r="A59" s="245"/>
      <c r="B59" s="295">
        <v>42401</v>
      </c>
      <c r="C59" s="278">
        <v>1</v>
      </c>
      <c r="D59" s="296" t="s">
        <v>416</v>
      </c>
      <c r="E59" s="278"/>
      <c r="F59" s="248"/>
      <c r="G59" s="248"/>
      <c r="H59" s="248"/>
      <c r="I59" s="248"/>
      <c r="J59" s="248"/>
      <c r="K59" s="245"/>
    </row>
    <row r="60" spans="1:11" ht="15.75" thickBot="1" x14ac:dyDescent="0.3">
      <c r="A60" s="245"/>
      <c r="B60" s="249"/>
      <c r="C60" s="250"/>
      <c r="D60" s="248"/>
      <c r="E60" s="248"/>
      <c r="F60" s="248"/>
      <c r="G60" s="248"/>
      <c r="H60" s="248"/>
      <c r="I60" s="248"/>
      <c r="J60" s="248"/>
      <c r="K60" s="248"/>
    </row>
    <row r="61" spans="1:11" ht="15.75" thickBot="1" x14ac:dyDescent="0.3">
      <c r="A61" s="245"/>
      <c r="B61" s="335" t="s">
        <v>417</v>
      </c>
      <c r="C61" s="298"/>
      <c r="D61" s="248"/>
      <c r="E61" s="248"/>
      <c r="F61" s="248"/>
      <c r="G61" s="248"/>
      <c r="H61" s="248"/>
      <c r="I61" s="248"/>
      <c r="J61" s="248"/>
      <c r="K61" s="248"/>
    </row>
    <row r="62" spans="1:11" x14ac:dyDescent="0.25">
      <c r="A62" s="245"/>
      <c r="B62" s="1819"/>
      <c r="C62" s="1820"/>
      <c r="D62" s="1820"/>
      <c r="E62" s="248"/>
      <c r="F62" s="248"/>
      <c r="G62" s="248"/>
      <c r="H62" s="248"/>
      <c r="I62" s="248"/>
      <c r="J62" s="248"/>
      <c r="K62" s="248"/>
    </row>
    <row r="63" spans="1:11" x14ac:dyDescent="0.25">
      <c r="A63" s="245"/>
      <c r="B63" s="1819"/>
      <c r="C63" s="1820"/>
      <c r="D63" s="1820"/>
      <c r="E63" s="248"/>
      <c r="F63" s="248"/>
      <c r="G63" s="248"/>
      <c r="H63" s="248"/>
      <c r="I63" s="248"/>
      <c r="J63" s="248"/>
      <c r="K63" s="248"/>
    </row>
    <row r="64" spans="1:11" ht="15.75" thickBot="1" x14ac:dyDescent="0.3">
      <c r="A64" s="245"/>
      <c r="B64" s="248"/>
      <c r="C64" s="265"/>
      <c r="D64" s="248"/>
      <c r="E64" s="248"/>
      <c r="F64" s="248"/>
      <c r="G64" s="248"/>
      <c r="H64" s="248"/>
      <c r="I64" s="248"/>
      <c r="J64" s="248"/>
      <c r="K64" s="248"/>
    </row>
    <row r="65" spans="1:11" ht="15.75" thickBot="1" x14ac:dyDescent="0.3">
      <c r="A65" s="245"/>
      <c r="B65" s="1765" t="s">
        <v>56</v>
      </c>
      <c r="C65" s="1766"/>
      <c r="D65" s="1767"/>
      <c r="E65" s="248"/>
      <c r="F65" s="248"/>
      <c r="G65" s="248"/>
      <c r="H65" s="248"/>
      <c r="I65" s="248"/>
      <c r="J65" s="248"/>
      <c r="K65" s="248"/>
    </row>
    <row r="66" spans="1:11" ht="60.75" thickBot="1" x14ac:dyDescent="0.3">
      <c r="A66" s="245"/>
      <c r="B66" s="285" t="s">
        <v>57</v>
      </c>
      <c r="C66" s="345"/>
      <c r="D66" s="278" t="s">
        <v>397</v>
      </c>
      <c r="E66" s="248"/>
      <c r="F66" s="248"/>
      <c r="G66" s="248"/>
      <c r="H66" s="248"/>
      <c r="I66" s="248"/>
      <c r="J66" s="248"/>
      <c r="K66" s="248"/>
    </row>
    <row r="67" spans="1:11" x14ac:dyDescent="0.25">
      <c r="A67" s="245"/>
      <c r="B67" s="1768" t="s">
        <v>59</v>
      </c>
      <c r="C67" s="272"/>
      <c r="D67" s="312" t="s">
        <v>60</v>
      </c>
      <c r="E67" s="248"/>
      <c r="F67" s="248"/>
      <c r="G67" s="248"/>
      <c r="H67" s="248"/>
      <c r="I67" s="248"/>
      <c r="J67" s="248"/>
      <c r="K67" s="248"/>
    </row>
    <row r="68" spans="1:11" ht="120" x14ac:dyDescent="0.25">
      <c r="A68" s="245"/>
      <c r="B68" s="1769"/>
      <c r="C68" s="272"/>
      <c r="D68" s="313" t="s">
        <v>398</v>
      </c>
      <c r="E68" s="248"/>
      <c r="F68" s="248"/>
      <c r="G68" s="248"/>
      <c r="H68" s="248"/>
      <c r="I68" s="248"/>
      <c r="J68" s="248"/>
      <c r="K68" s="248"/>
    </row>
    <row r="69" spans="1:11" x14ac:dyDescent="0.25">
      <c r="A69" s="245"/>
      <c r="B69" s="1769"/>
      <c r="C69" s="272"/>
      <c r="D69" s="312" t="s">
        <v>63</v>
      </c>
      <c r="E69" s="248"/>
      <c r="F69" s="248"/>
      <c r="G69" s="248"/>
      <c r="H69" s="248"/>
      <c r="I69" s="248"/>
      <c r="J69" s="248"/>
      <c r="K69" s="248"/>
    </row>
    <row r="70" spans="1:11" x14ac:dyDescent="0.25">
      <c r="A70" s="245"/>
      <c r="B70" s="1769"/>
      <c r="C70" s="272"/>
      <c r="D70" s="313" t="s">
        <v>318</v>
      </c>
      <c r="E70" s="248"/>
      <c r="F70" s="248"/>
      <c r="G70" s="248"/>
      <c r="H70" s="248"/>
      <c r="I70" s="248"/>
      <c r="J70" s="248"/>
      <c r="K70" s="248"/>
    </row>
    <row r="71" spans="1:11" x14ac:dyDescent="0.25">
      <c r="A71" s="245"/>
      <c r="B71" s="1769"/>
      <c r="C71" s="272"/>
      <c r="D71" s="313" t="s">
        <v>399</v>
      </c>
      <c r="E71" s="248"/>
      <c r="F71" s="248"/>
      <c r="G71" s="248"/>
      <c r="H71" s="248"/>
      <c r="I71" s="248"/>
      <c r="J71" s="248"/>
      <c r="K71" s="248"/>
    </row>
    <row r="72" spans="1:11" x14ac:dyDescent="0.25">
      <c r="A72" s="245"/>
      <c r="B72" s="1769"/>
      <c r="C72" s="272"/>
      <c r="D72" s="313" t="s">
        <v>165</v>
      </c>
      <c r="E72" s="248"/>
      <c r="F72" s="248"/>
      <c r="G72" s="248"/>
      <c r="H72" s="248"/>
      <c r="I72" s="248"/>
      <c r="J72" s="248"/>
      <c r="K72" s="248"/>
    </row>
    <row r="73" spans="1:11" x14ac:dyDescent="0.25">
      <c r="A73" s="245"/>
      <c r="B73" s="1769"/>
      <c r="C73" s="272"/>
      <c r="D73" s="313" t="s">
        <v>400</v>
      </c>
      <c r="E73" s="248"/>
      <c r="F73" s="248"/>
      <c r="G73" s="248"/>
      <c r="H73" s="248"/>
      <c r="I73" s="248"/>
      <c r="J73" s="248"/>
      <c r="K73" s="248"/>
    </row>
    <row r="74" spans="1:11" x14ac:dyDescent="0.25">
      <c r="A74" s="245"/>
      <c r="B74" s="1769"/>
      <c r="C74" s="272"/>
      <c r="D74" s="313" t="s">
        <v>401</v>
      </c>
      <c r="E74" s="248"/>
      <c r="F74" s="248"/>
      <c r="G74" s="248"/>
      <c r="H74" s="248"/>
      <c r="I74" s="248"/>
      <c r="J74" s="248"/>
      <c r="K74" s="248"/>
    </row>
    <row r="75" spans="1:11" x14ac:dyDescent="0.25">
      <c r="A75" s="245"/>
      <c r="B75" s="1769"/>
      <c r="C75" s="272"/>
      <c r="D75" s="313" t="s">
        <v>402</v>
      </c>
      <c r="E75" s="248"/>
      <c r="F75" s="248"/>
      <c r="G75" s="248"/>
      <c r="H75" s="248"/>
      <c r="I75" s="248"/>
      <c r="J75" s="248"/>
      <c r="K75" s="248"/>
    </row>
    <row r="76" spans="1:11" x14ac:dyDescent="0.25">
      <c r="A76" s="245"/>
      <c r="B76" s="1769"/>
      <c r="C76" s="272"/>
      <c r="D76" s="313" t="s">
        <v>403</v>
      </c>
      <c r="E76" s="248"/>
      <c r="F76" s="248"/>
      <c r="G76" s="248"/>
      <c r="H76" s="248"/>
      <c r="I76" s="248"/>
      <c r="J76" s="248"/>
      <c r="K76" s="248"/>
    </row>
    <row r="77" spans="1:11" x14ac:dyDescent="0.25">
      <c r="A77" s="245"/>
      <c r="B77" s="1769"/>
      <c r="C77" s="272"/>
      <c r="D77" s="312" t="s">
        <v>288</v>
      </c>
      <c r="E77" s="248"/>
      <c r="F77" s="248"/>
      <c r="G77" s="248"/>
      <c r="H77" s="248"/>
      <c r="I77" s="248"/>
      <c r="J77" s="248"/>
      <c r="K77" s="248"/>
    </row>
    <row r="78" spans="1:11" ht="36.75" thickBot="1" x14ac:dyDescent="0.3">
      <c r="A78" s="245"/>
      <c r="B78" s="1770"/>
      <c r="C78" s="345"/>
      <c r="D78" s="278" t="s">
        <v>353</v>
      </c>
      <c r="E78" s="248"/>
      <c r="F78" s="248"/>
      <c r="G78" s="248"/>
      <c r="H78" s="248"/>
      <c r="I78" s="248"/>
      <c r="J78" s="248"/>
      <c r="K78" s="248"/>
    </row>
    <row r="79" spans="1:11" ht="24.75" thickBot="1" x14ac:dyDescent="0.3">
      <c r="A79" s="245"/>
      <c r="B79" s="285" t="s">
        <v>72</v>
      </c>
      <c r="C79" s="345"/>
      <c r="D79" s="278"/>
      <c r="E79" s="248"/>
      <c r="F79" s="248"/>
      <c r="G79" s="248"/>
      <c r="H79" s="248"/>
      <c r="I79" s="248"/>
      <c r="J79" s="248"/>
      <c r="K79" s="248"/>
    </row>
    <row r="80" spans="1:11" ht="144" x14ac:dyDescent="0.25">
      <c r="A80" s="245"/>
      <c r="B80" s="1768" t="s">
        <v>73</v>
      </c>
      <c r="C80" s="272"/>
      <c r="D80" s="313" t="s">
        <v>404</v>
      </c>
      <c r="E80" s="248"/>
      <c r="F80" s="248"/>
      <c r="G80" s="248"/>
      <c r="H80" s="248"/>
      <c r="I80" s="248"/>
      <c r="J80" s="248"/>
      <c r="K80" s="248"/>
    </row>
    <row r="81" spans="1:11" ht="72" x14ac:dyDescent="0.25">
      <c r="A81" s="245"/>
      <c r="B81" s="1769"/>
      <c r="C81" s="272"/>
      <c r="D81" s="313" t="s">
        <v>405</v>
      </c>
      <c r="E81" s="248"/>
      <c r="F81" s="248"/>
      <c r="G81" s="248"/>
      <c r="H81" s="248"/>
      <c r="I81" s="248"/>
      <c r="J81" s="248"/>
      <c r="K81" s="248"/>
    </row>
    <row r="82" spans="1:11" ht="84" x14ac:dyDescent="0.25">
      <c r="A82" s="245"/>
      <c r="B82" s="1769"/>
      <c r="C82" s="272"/>
      <c r="D82" s="313" t="s">
        <v>406</v>
      </c>
      <c r="E82" s="248"/>
      <c r="F82" s="248"/>
      <c r="G82" s="248"/>
      <c r="H82" s="248"/>
      <c r="I82" s="248"/>
      <c r="J82" s="248"/>
      <c r="K82" s="248"/>
    </row>
    <row r="83" spans="1:11" ht="108.75" thickBot="1" x14ac:dyDescent="0.3">
      <c r="A83" s="245"/>
      <c r="B83" s="1770"/>
      <c r="C83" s="345"/>
      <c r="D83" s="278" t="s">
        <v>407</v>
      </c>
      <c r="E83" s="248"/>
      <c r="F83" s="248"/>
      <c r="G83" s="248"/>
      <c r="H83" s="248"/>
      <c r="I83" s="248"/>
      <c r="J83" s="248"/>
      <c r="K83" s="248"/>
    </row>
    <row r="84" spans="1:11" ht="36" x14ac:dyDescent="0.25">
      <c r="A84" s="245"/>
      <c r="B84" s="1768" t="s">
        <v>90</v>
      </c>
      <c r="C84" s="272"/>
      <c r="D84" s="312" t="s">
        <v>396</v>
      </c>
      <c r="E84" s="248"/>
      <c r="F84" s="248"/>
      <c r="G84" s="248"/>
      <c r="H84" s="248"/>
      <c r="I84" s="248"/>
      <c r="J84" s="248"/>
      <c r="K84" s="248"/>
    </row>
    <row r="85" spans="1:11" x14ac:dyDescent="0.25">
      <c r="A85" s="245"/>
      <c r="B85" s="1769"/>
      <c r="C85" s="272"/>
      <c r="D85" s="314"/>
      <c r="E85" s="248"/>
      <c r="F85" s="248"/>
      <c r="G85" s="248"/>
      <c r="H85" s="248"/>
      <c r="I85" s="248"/>
      <c r="J85" s="248"/>
      <c r="K85" s="248"/>
    </row>
    <row r="86" spans="1:11" x14ac:dyDescent="0.25">
      <c r="A86" s="245"/>
      <c r="B86" s="1769"/>
      <c r="C86" s="272"/>
      <c r="D86" s="313" t="s">
        <v>91</v>
      </c>
      <c r="E86" s="248"/>
      <c r="F86" s="248"/>
      <c r="G86" s="248"/>
      <c r="H86" s="248"/>
      <c r="I86" s="248"/>
      <c r="J86" s="248"/>
      <c r="K86" s="248"/>
    </row>
    <row r="87" spans="1:11" ht="61.5" x14ac:dyDescent="0.25">
      <c r="A87" s="245"/>
      <c r="B87" s="1769"/>
      <c r="C87" s="272"/>
      <c r="D87" s="313" t="s">
        <v>408</v>
      </c>
      <c r="E87" s="248"/>
      <c r="F87" s="248"/>
      <c r="G87" s="248"/>
      <c r="H87" s="248"/>
      <c r="I87" s="248"/>
      <c r="J87" s="248"/>
      <c r="K87" s="248"/>
    </row>
    <row r="88" spans="1:11" ht="61.5" x14ac:dyDescent="0.25">
      <c r="A88" s="245"/>
      <c r="B88" s="1769"/>
      <c r="C88" s="272"/>
      <c r="D88" s="313" t="s">
        <v>409</v>
      </c>
      <c r="E88" s="248"/>
      <c r="F88" s="248"/>
      <c r="G88" s="248"/>
      <c r="H88" s="248"/>
      <c r="I88" s="248"/>
      <c r="J88" s="248"/>
      <c r="K88" s="248"/>
    </row>
    <row r="89" spans="1:11" ht="38.25" thickBot="1" x14ac:dyDescent="0.3">
      <c r="A89" s="245"/>
      <c r="B89" s="1770"/>
      <c r="C89" s="345"/>
      <c r="D89" s="278" t="s">
        <v>410</v>
      </c>
      <c r="E89" s="248"/>
      <c r="F89" s="248"/>
      <c r="G89" s="248"/>
      <c r="H89" s="248"/>
      <c r="I89" s="248"/>
      <c r="J89" s="248"/>
      <c r="K89" s="248"/>
    </row>
  </sheetData>
  <mergeCells count="25">
    <mergeCell ref="A1:P1"/>
    <mergeCell ref="A2:P2"/>
    <mergeCell ref="A3:P3"/>
    <mergeCell ref="A4:D4"/>
    <mergeCell ref="A5:P5"/>
    <mergeCell ref="B84:B89"/>
    <mergeCell ref="B15:B20"/>
    <mergeCell ref="D15:J15"/>
    <mergeCell ref="D16:J16"/>
    <mergeCell ref="D36:J36"/>
    <mergeCell ref="D37:J37"/>
    <mergeCell ref="B39:E39"/>
    <mergeCell ref="B40:B46"/>
    <mergeCell ref="B48:E48"/>
    <mergeCell ref="B49:B55"/>
    <mergeCell ref="B62:D63"/>
    <mergeCell ref="D21:J21"/>
    <mergeCell ref="B65:D65"/>
    <mergeCell ref="B67:B78"/>
    <mergeCell ref="B80:B83"/>
    <mergeCell ref="B10:D10"/>
    <mergeCell ref="F10:S10"/>
    <mergeCell ref="F11:S11"/>
    <mergeCell ref="E12:R12"/>
    <mergeCell ref="E13:R13"/>
  </mergeCells>
  <conditionalFormatting sqref="F10">
    <cfRule type="notContainsBlanks" dxfId="93" priority="4">
      <formula>LEN(TRIM(F10))&gt;0</formula>
    </cfRule>
  </conditionalFormatting>
  <conditionalFormatting sqref="F11:S11">
    <cfRule type="expression" dxfId="92" priority="2">
      <formula>E11="NO SE REPORTA"</formula>
    </cfRule>
    <cfRule type="expression" dxfId="91" priority="3">
      <formula>E10="NO APLICA"</formula>
    </cfRule>
  </conditionalFormatting>
  <conditionalFormatting sqref="E12:R12">
    <cfRule type="expression" dxfId="90"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8:I19" xr:uid="{00000000-0002-0000-1400-000000000000}">
      <formula1>0</formula1>
    </dataValidation>
    <dataValidation allowBlank="1" showInputMessage="1" showErrorMessage="1" promptTitle="OJO" prompt="NO TOCAR" sqref="E20:J20 J18:J19" xr:uid="{00000000-0002-0000-1400-000001000000}"/>
    <dataValidation type="whole" operator="greaterThanOrEqual" allowBlank="1" showInputMessage="1" showErrorMessage="1" errorTitle="ERROR" error="Valor en HECTAREAS (sin decimales)_x000a_" sqref="G38:H38" xr:uid="{00000000-0002-0000-1400-000002000000}">
      <formula1>0</formula1>
    </dataValidation>
    <dataValidation allowBlank="1" showInputMessage="1" showErrorMessage="1" promptTitle="ESTADO" prompt="en preparación_x000a_en aprestamiento_x000a_en declaración_x000a_Declarado" sqref="I38" xr:uid="{00000000-0002-0000-1400-000003000000}"/>
    <dataValidation type="list" allowBlank="1" showInputMessage="1" showErrorMessage="1" sqref="E11" xr:uid="{00000000-0002-0000-1400-000004000000}">
      <formula1>REPORTE</formula1>
    </dataValidation>
    <dataValidation type="list" allowBlank="1" showInputMessage="1" showErrorMessage="1" sqref="E10" xr:uid="{00000000-0002-0000-1400-000005000000}">
      <formula1>SI</formula1>
    </dataValidation>
  </dataValidations>
  <hyperlinks>
    <hyperlink ref="B9" location="'ANEXO 3'!A1" display="VOLVER AL INDICE" xr:uid="{00000000-0004-0000-1400-000000000000}"/>
  </hyperlinks>
  <pageMargins left="0.25" right="0.25" top="0.75" bottom="0.75" header="0.3" footer="0.3"/>
  <pageSetup paperSize="178" orientation="landscape" horizontalDpi="1200" verticalDpi="1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1"/>
  <dimension ref="A1:U184"/>
  <sheetViews>
    <sheetView showGridLines="0" topLeftCell="C35" zoomScale="90" zoomScaleNormal="90" workbookViewId="0">
      <selection activeCell="E11" sqref="E11"/>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 min="11" max="11" width="11.5703125" style="411"/>
    <col min="12" max="12" width="23" customWidth="1"/>
    <col min="13" max="13" width="11" customWidth="1"/>
    <col min="14" max="16" width="8.85546875" customWidth="1"/>
  </cols>
  <sheetData>
    <row r="1" spans="1:21" s="538" customFormat="1" ht="100.5" customHeight="1" thickBot="1" x14ac:dyDescent="0.3">
      <c r="A1" s="1733"/>
      <c r="B1" s="1734"/>
      <c r="C1" s="1734"/>
      <c r="D1" s="1734"/>
      <c r="E1" s="1734"/>
      <c r="F1" s="1734"/>
      <c r="G1" s="1734"/>
      <c r="H1" s="1734"/>
      <c r="I1" s="1734"/>
      <c r="J1" s="1734"/>
      <c r="K1" s="1734"/>
      <c r="L1" s="1734"/>
      <c r="M1" s="1734"/>
      <c r="N1" s="1734"/>
      <c r="O1" s="1734"/>
      <c r="P1" s="1735"/>
      <c r="Q1" s="412"/>
      <c r="R1" s="412"/>
    </row>
    <row r="2" spans="1:21" s="539" customFormat="1" ht="16.5" thickBot="1" x14ac:dyDescent="0.3">
      <c r="A2" s="1741" t="str">
        <f>'Datos Generales'!C5</f>
        <v>Corporación Autónoma Regional de La Guajira – CORPOGUAJIRA</v>
      </c>
      <c r="B2" s="1742"/>
      <c r="C2" s="1742"/>
      <c r="D2" s="1742"/>
      <c r="E2" s="1742"/>
      <c r="F2" s="1742"/>
      <c r="G2" s="1742"/>
      <c r="H2" s="1742"/>
      <c r="I2" s="1742"/>
      <c r="J2" s="1742"/>
      <c r="K2" s="1742"/>
      <c r="L2" s="1742"/>
      <c r="M2" s="1742"/>
      <c r="N2" s="1742"/>
      <c r="O2" s="1742"/>
      <c r="P2" s="1743"/>
      <c r="Q2" s="412"/>
      <c r="R2" s="412"/>
    </row>
    <row r="3" spans="1:21" s="539" customFormat="1" ht="16.5" thickBot="1" x14ac:dyDescent="0.3">
      <c r="A3" s="1736" t="s">
        <v>1347</v>
      </c>
      <c r="B3" s="1737"/>
      <c r="C3" s="1737"/>
      <c r="D3" s="1737"/>
      <c r="E3" s="1737"/>
      <c r="F3" s="1737"/>
      <c r="G3" s="1737"/>
      <c r="H3" s="1737"/>
      <c r="I3" s="1737"/>
      <c r="J3" s="1737"/>
      <c r="K3" s="1737"/>
      <c r="L3" s="1737"/>
      <c r="M3" s="1737"/>
      <c r="N3" s="1737"/>
      <c r="O3" s="1737"/>
      <c r="P3" s="1738"/>
      <c r="Q3" s="412"/>
      <c r="R3" s="412"/>
    </row>
    <row r="4" spans="1:21" s="539" customFormat="1" ht="16.5" thickBot="1" x14ac:dyDescent="0.3">
      <c r="A4" s="1739" t="s">
        <v>1346</v>
      </c>
      <c r="B4" s="1740"/>
      <c r="C4" s="1740"/>
      <c r="D4" s="1740"/>
      <c r="E4" s="579" t="str">
        <f>'Datos Generales'!C6</f>
        <v>2021-I</v>
      </c>
      <c r="F4" s="579"/>
      <c r="G4" s="579"/>
      <c r="H4" s="579"/>
      <c r="I4" s="579"/>
      <c r="J4" s="579"/>
      <c r="K4" s="579"/>
      <c r="L4" s="581"/>
      <c r="M4" s="581"/>
      <c r="N4" s="581"/>
      <c r="O4" s="581"/>
      <c r="P4" s="582"/>
      <c r="Q4" s="412"/>
      <c r="R4" s="412"/>
    </row>
    <row r="5" spans="1:21" s="245" customFormat="1" ht="16.5" customHeight="1" thickBot="1" x14ac:dyDescent="0.3">
      <c r="A5" s="1736" t="s">
        <v>418</v>
      </c>
      <c r="B5" s="1737"/>
      <c r="C5" s="1737"/>
      <c r="D5" s="1737"/>
      <c r="E5" s="1737"/>
      <c r="F5" s="1737"/>
      <c r="G5" s="1737"/>
      <c r="H5" s="1737"/>
      <c r="I5" s="1737"/>
      <c r="J5" s="1737"/>
      <c r="K5" s="1737"/>
      <c r="L5" s="1737"/>
      <c r="M5" s="1737"/>
      <c r="N5" s="1737"/>
      <c r="O5" s="1737"/>
      <c r="P5" s="1738"/>
    </row>
    <row r="6" spans="1:21" x14ac:dyDescent="0.25">
      <c r="B6" s="2" t="s">
        <v>1</v>
      </c>
      <c r="C6" s="76"/>
      <c r="D6" s="6"/>
      <c r="E6" s="74"/>
      <c r="F6" s="6" t="s">
        <v>128</v>
      </c>
      <c r="G6" s="6"/>
      <c r="H6" s="6"/>
      <c r="I6" s="6"/>
      <c r="J6" s="6"/>
      <c r="K6" s="6"/>
      <c r="L6" s="6"/>
    </row>
    <row r="7" spans="1:21" ht="15.75" thickBot="1" x14ac:dyDescent="0.3">
      <c r="B7" s="75"/>
      <c r="C7" s="77"/>
      <c r="D7" s="6"/>
      <c r="E7" s="18"/>
      <c r="F7" s="6" t="s">
        <v>129</v>
      </c>
      <c r="G7" s="6"/>
      <c r="H7" s="6"/>
      <c r="I7" s="6"/>
      <c r="J7" s="6"/>
      <c r="K7" s="6" t="s">
        <v>1206</v>
      </c>
    </row>
    <row r="8" spans="1:21" ht="15.75" thickBot="1" x14ac:dyDescent="0.3">
      <c r="B8" s="178" t="s">
        <v>1185</v>
      </c>
      <c r="C8" s="222">
        <v>2020</v>
      </c>
      <c r="D8" s="226" t="str">
        <f>IF(E10="NO APLICA","NO APLICA",IF(E11="NO SE REPORTA","SIN INFORMACION",+M34))</f>
        <v>NO APLICA</v>
      </c>
      <c r="E8" s="223"/>
      <c r="F8" s="6" t="s">
        <v>130</v>
      </c>
      <c r="G8" s="6"/>
      <c r="H8" s="6"/>
      <c r="I8" s="6"/>
      <c r="J8" s="6"/>
      <c r="K8" s="6"/>
      <c r="L8" s="6"/>
    </row>
    <row r="9" spans="1:21" x14ac:dyDescent="0.25">
      <c r="B9" s="493" t="s">
        <v>1186</v>
      </c>
      <c r="C9" s="88"/>
      <c r="D9" s="6"/>
      <c r="E9" s="6"/>
      <c r="F9" s="6"/>
      <c r="G9" s="6"/>
      <c r="H9" s="6"/>
      <c r="I9" s="6"/>
    </row>
    <row r="10" spans="1:21" s="412" customFormat="1" x14ac:dyDescent="0.25">
      <c r="A10" s="245"/>
      <c r="B10" s="1789" t="s">
        <v>1241</v>
      </c>
      <c r="C10" s="1789"/>
      <c r="D10" s="1789"/>
      <c r="E10" s="499" t="s">
        <v>1237</v>
      </c>
      <c r="F10" s="17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EL CUAL DECIDE LA NO PROCEDENCIA DE LA APLICACIÓN DEL INDICADOR</v>
      </c>
      <c r="G10" s="1796"/>
      <c r="H10" s="1796"/>
      <c r="I10" s="1796"/>
      <c r="J10" s="1796"/>
      <c r="K10" s="1796"/>
      <c r="L10" s="1796"/>
      <c r="M10" s="1796"/>
      <c r="N10" s="1796"/>
      <c r="O10" s="1796"/>
      <c r="P10" s="1796"/>
      <c r="Q10" s="1796"/>
      <c r="R10" s="1796"/>
      <c r="S10" s="1796"/>
      <c r="T10" s="495"/>
      <c r="U10" s="495"/>
    </row>
    <row r="11" spans="1:21" s="412" customFormat="1" ht="14.45" customHeight="1" x14ac:dyDescent="0.25">
      <c r="A11" s="245"/>
      <c r="B11" s="496"/>
      <c r="C11" s="497"/>
      <c r="D11" s="498" t="str">
        <f>IF(E10="SI APLICA","¿El indicador no se reporta por limitaciones de información disponible? ","")</f>
        <v/>
      </c>
      <c r="E11" s="500" t="s">
        <v>1239</v>
      </c>
      <c r="F11" s="1790"/>
      <c r="G11" s="1791"/>
      <c r="H11" s="1791"/>
      <c r="I11" s="1791"/>
      <c r="J11" s="1791"/>
      <c r="K11" s="1791"/>
      <c r="L11" s="1791"/>
      <c r="M11" s="1791"/>
      <c r="N11" s="1791"/>
      <c r="O11" s="1791"/>
      <c r="P11" s="1791"/>
      <c r="Q11" s="1791"/>
      <c r="R11" s="1791"/>
      <c r="S11" s="1791"/>
    </row>
    <row r="12" spans="1:21" s="412" customFormat="1" ht="23.45" customHeight="1" x14ac:dyDescent="0.25">
      <c r="A12" s="245"/>
      <c r="B12" s="493"/>
      <c r="C12" s="304"/>
      <c r="D12" s="498" t="str">
        <f>IF(E11="SI SE REPORTA","¿Qué programas o proyectos del Plan de Acción están asociados al indicador? ","")</f>
        <v/>
      </c>
      <c r="E12" s="1799"/>
      <c r="F12" s="1799"/>
      <c r="G12" s="1799"/>
      <c r="H12" s="1799"/>
      <c r="I12" s="1799"/>
      <c r="J12" s="1799"/>
      <c r="K12" s="1799"/>
      <c r="L12" s="1799"/>
      <c r="M12" s="1799"/>
      <c r="N12" s="1799"/>
      <c r="O12" s="1799"/>
      <c r="P12" s="1799"/>
      <c r="Q12" s="1799"/>
      <c r="R12" s="1799"/>
    </row>
    <row r="13" spans="1:21" s="412" customFormat="1" ht="21.95" customHeight="1" x14ac:dyDescent="0.25">
      <c r="A13" s="245"/>
      <c r="B13" s="493"/>
      <c r="C13" s="304"/>
      <c r="D13" s="498" t="s">
        <v>1243</v>
      </c>
      <c r="E13" s="1792" t="s">
        <v>2830</v>
      </c>
      <c r="F13" s="1793"/>
      <c r="G13" s="1793"/>
      <c r="H13" s="1793"/>
      <c r="I13" s="1793"/>
      <c r="J13" s="1793"/>
      <c r="K13" s="1793"/>
      <c r="L13" s="1793"/>
      <c r="M13" s="1793"/>
      <c r="N13" s="1793"/>
      <c r="O13" s="1793"/>
      <c r="P13" s="1793"/>
      <c r="Q13" s="1793"/>
      <c r="R13" s="1794"/>
    </row>
    <row r="14" spans="1:21" s="412" customFormat="1" ht="6.95" customHeight="1" thickBot="1" x14ac:dyDescent="0.3">
      <c r="B14" s="493"/>
      <c r="C14" s="88"/>
      <c r="D14" s="6"/>
      <c r="E14" s="6"/>
      <c r="F14" s="6"/>
      <c r="G14" s="6"/>
      <c r="H14" s="6"/>
      <c r="I14" s="6"/>
    </row>
    <row r="15" spans="1:21" ht="15.6" customHeight="1" thickBot="1" x14ac:dyDescent="0.3">
      <c r="B15" s="1826" t="s">
        <v>2</v>
      </c>
      <c r="C15" s="89"/>
      <c r="D15" s="1837" t="s">
        <v>336</v>
      </c>
      <c r="E15" s="1838"/>
      <c r="F15" s="1838"/>
      <c r="G15" s="1838"/>
      <c r="H15" s="1838"/>
      <c r="I15" s="1839"/>
      <c r="K15" s="410" t="s">
        <v>412</v>
      </c>
      <c r="L15" s="410" t="s">
        <v>1219</v>
      </c>
      <c r="M15" s="410" t="s">
        <v>1062</v>
      </c>
      <c r="N15" s="410" t="s">
        <v>105</v>
      </c>
      <c r="O15" s="225"/>
    </row>
    <row r="16" spans="1:21" ht="21.6" customHeight="1" thickBot="1" x14ac:dyDescent="0.3">
      <c r="B16" s="1827"/>
      <c r="C16" s="98" t="s">
        <v>19</v>
      </c>
      <c r="D16" s="43" t="s">
        <v>150</v>
      </c>
      <c r="E16" s="39" t="s">
        <v>151</v>
      </c>
      <c r="F16" s="6"/>
      <c r="G16" s="6"/>
      <c r="I16" s="22"/>
      <c r="K16" s="410" t="s">
        <v>1211</v>
      </c>
      <c r="L16" s="433" t="s">
        <v>1220</v>
      </c>
      <c r="M16" s="413">
        <v>0.05</v>
      </c>
      <c r="N16" s="413">
        <v>0.05</v>
      </c>
      <c r="O16" s="225"/>
    </row>
    <row r="17" spans="2:18" ht="34.700000000000003" customHeight="1" thickBot="1" x14ac:dyDescent="0.3">
      <c r="B17" s="1827"/>
      <c r="C17" s="3" t="s">
        <v>152</v>
      </c>
      <c r="D17" s="41" t="s">
        <v>1769</v>
      </c>
      <c r="E17" s="218">
        <v>43480</v>
      </c>
      <c r="F17" s="6"/>
      <c r="G17" s="6"/>
      <c r="I17" s="22"/>
      <c r="K17" s="410" t="s">
        <v>1208</v>
      </c>
      <c r="L17" s="433" t="s">
        <v>1222</v>
      </c>
      <c r="M17" s="413">
        <v>0.15</v>
      </c>
      <c r="N17" s="413">
        <f>+M17+N16</f>
        <v>0.2</v>
      </c>
      <c r="O17" s="225"/>
    </row>
    <row r="18" spans="2:18" ht="34.700000000000003" customHeight="1" thickBot="1" x14ac:dyDescent="0.3">
      <c r="B18" s="1827"/>
      <c r="C18" s="3" t="s">
        <v>154</v>
      </c>
      <c r="D18" s="41" t="s">
        <v>430</v>
      </c>
      <c r="E18" s="218">
        <v>169000</v>
      </c>
      <c r="F18" s="6"/>
      <c r="G18" s="6"/>
      <c r="I18" s="22"/>
      <c r="K18" s="410" t="s">
        <v>1209</v>
      </c>
      <c r="L18" s="433" t="s">
        <v>1223</v>
      </c>
      <c r="M18" s="413">
        <v>0.15</v>
      </c>
      <c r="N18" s="413">
        <f>+M18+N17</f>
        <v>0.35</v>
      </c>
      <c r="O18" s="225"/>
    </row>
    <row r="19" spans="2:18" ht="34.700000000000003" customHeight="1" thickBot="1" x14ac:dyDescent="0.3">
      <c r="B19" s="1827"/>
      <c r="C19" s="3" t="s">
        <v>156</v>
      </c>
      <c r="D19" s="41" t="s">
        <v>431</v>
      </c>
      <c r="E19" s="218"/>
      <c r="F19" s="6"/>
      <c r="G19" s="6"/>
      <c r="I19" s="22"/>
      <c r="K19" s="410" t="s">
        <v>1210</v>
      </c>
      <c r="L19" s="433" t="s">
        <v>1224</v>
      </c>
      <c r="M19" s="413">
        <v>0.2</v>
      </c>
      <c r="N19" s="413">
        <f>+M19+N18</f>
        <v>0.55000000000000004</v>
      </c>
      <c r="O19" s="225"/>
    </row>
    <row r="20" spans="2:18" ht="34.700000000000003" customHeight="1" thickBot="1" x14ac:dyDescent="0.3">
      <c r="B20" s="1827"/>
      <c r="C20" s="3" t="s">
        <v>258</v>
      </c>
      <c r="D20" s="41" t="s">
        <v>432</v>
      </c>
      <c r="E20" s="141">
        <f>+E18+E19</f>
        <v>169000</v>
      </c>
      <c r="F20" s="6"/>
      <c r="G20" s="6"/>
      <c r="I20" s="22"/>
      <c r="K20" s="410" t="s">
        <v>1207</v>
      </c>
      <c r="L20" s="433" t="s">
        <v>1225</v>
      </c>
      <c r="M20" s="413">
        <v>0.2</v>
      </c>
      <c r="N20" s="413">
        <f>+M20+N19</f>
        <v>0.75</v>
      </c>
      <c r="O20" s="225"/>
    </row>
    <row r="21" spans="2:18" ht="34.700000000000003" customHeight="1" thickBot="1" x14ac:dyDescent="0.3">
      <c r="B21" s="1827"/>
      <c r="C21" s="3" t="s">
        <v>260</v>
      </c>
      <c r="D21" s="41" t="s">
        <v>1770</v>
      </c>
      <c r="E21" s="218">
        <v>169000</v>
      </c>
      <c r="F21" s="6"/>
      <c r="G21" s="6"/>
      <c r="I21" s="22"/>
      <c r="K21" s="410" t="s">
        <v>1227</v>
      </c>
      <c r="L21" s="433" t="s">
        <v>1226</v>
      </c>
      <c r="M21" s="413">
        <v>0.25</v>
      </c>
      <c r="N21" s="413">
        <f>+M21+N20</f>
        <v>1</v>
      </c>
      <c r="R21" t="s">
        <v>1221</v>
      </c>
    </row>
    <row r="22" spans="2:18" ht="15" customHeight="1" x14ac:dyDescent="0.25">
      <c r="B22" s="1827"/>
      <c r="C22" s="92"/>
      <c r="D22" s="1843"/>
      <c r="E22" s="1844"/>
      <c r="F22" s="1844"/>
      <c r="G22" s="1844"/>
      <c r="H22" s="1844"/>
      <c r="I22" s="1845"/>
      <c r="K22" s="410" t="s">
        <v>151</v>
      </c>
      <c r="L22" s="410"/>
      <c r="M22" s="413">
        <f>SUM(M16:M21)</f>
        <v>1</v>
      </c>
    </row>
    <row r="23" spans="2:18" ht="15.75" thickBot="1" x14ac:dyDescent="0.3">
      <c r="B23" s="1827"/>
      <c r="C23" s="92"/>
      <c r="D23" s="1881" t="s">
        <v>433</v>
      </c>
      <c r="E23" s="1882"/>
      <c r="F23" s="1882"/>
      <c r="G23" s="1882"/>
      <c r="H23" s="1882"/>
      <c r="I23" s="1883"/>
      <c r="J23" s="6"/>
      <c r="K23" s="6"/>
      <c r="L23" s="6"/>
    </row>
    <row r="24" spans="2:18" ht="15" customHeight="1" thickBot="1" x14ac:dyDescent="0.3">
      <c r="B24" s="1827"/>
      <c r="C24" s="94"/>
      <c r="D24" s="39" t="s">
        <v>150</v>
      </c>
      <c r="E24" s="39" t="s">
        <v>20</v>
      </c>
      <c r="F24" s="39" t="s">
        <v>21</v>
      </c>
      <c r="G24" s="39" t="s">
        <v>22</v>
      </c>
      <c r="H24" s="39" t="s">
        <v>23</v>
      </c>
      <c r="I24" s="39" t="s">
        <v>151</v>
      </c>
      <c r="J24" s="6"/>
      <c r="K24" s="1880" t="s">
        <v>412</v>
      </c>
      <c r="L24" s="1880" t="s">
        <v>1212</v>
      </c>
      <c r="M24" s="1880" t="s">
        <v>20</v>
      </c>
      <c r="N24" s="1880" t="s">
        <v>21</v>
      </c>
      <c r="O24" s="1880" t="s">
        <v>22</v>
      </c>
      <c r="P24" s="1880" t="s">
        <v>23</v>
      </c>
    </row>
    <row r="25" spans="2:18" ht="15" customHeight="1" thickBot="1" x14ac:dyDescent="0.3">
      <c r="B25" s="1827"/>
      <c r="C25" s="94"/>
      <c r="D25" s="40" t="s">
        <v>434</v>
      </c>
      <c r="E25" s="218">
        <v>0</v>
      </c>
      <c r="F25" s="218">
        <v>0</v>
      </c>
      <c r="G25" s="218">
        <v>169000</v>
      </c>
      <c r="H25" s="218">
        <v>0</v>
      </c>
      <c r="I25" s="407">
        <f>Formulas!$I$15</f>
        <v>169000</v>
      </c>
      <c r="J25" s="6"/>
      <c r="K25" s="1880"/>
      <c r="L25" s="1880"/>
      <c r="M25" s="1880"/>
      <c r="N25" s="1880"/>
      <c r="O25" s="1880"/>
      <c r="P25" s="1880"/>
    </row>
    <row r="26" spans="2:18" ht="15" customHeight="1" thickBot="1" x14ac:dyDescent="0.3">
      <c r="B26" s="1827"/>
      <c r="C26" s="94"/>
      <c r="D26" s="40" t="s">
        <v>370</v>
      </c>
      <c r="E26" s="218">
        <v>0</v>
      </c>
      <c r="F26" s="218">
        <v>0</v>
      </c>
      <c r="G26" s="218">
        <v>169000</v>
      </c>
      <c r="H26" s="218"/>
      <c r="I26" s="405"/>
      <c r="J26" s="6"/>
      <c r="K26" s="410" t="str">
        <f>+D26</f>
        <v>Sin iniciar</v>
      </c>
      <c r="L26" s="409"/>
      <c r="M26" s="406">
        <f>+$L26*E26</f>
        <v>0</v>
      </c>
      <c r="N26" s="406"/>
      <c r="O26" s="406"/>
      <c r="P26" s="406"/>
    </row>
    <row r="27" spans="2:18" ht="15" customHeight="1" thickBot="1" x14ac:dyDescent="0.3">
      <c r="B27" s="1827"/>
      <c r="C27" s="94"/>
      <c r="D27" s="40" t="s">
        <v>435</v>
      </c>
      <c r="E27" s="218">
        <v>0</v>
      </c>
      <c r="F27" s="218">
        <v>0</v>
      </c>
      <c r="G27" s="218"/>
      <c r="H27" s="218"/>
      <c r="I27" s="405"/>
      <c r="J27" s="6"/>
      <c r="K27" s="410" t="str">
        <f>+D27</f>
        <v>En formulación</v>
      </c>
      <c r="L27" s="409"/>
      <c r="M27" s="406">
        <f>+$L27*E27</f>
        <v>0</v>
      </c>
      <c r="N27" s="406"/>
      <c r="O27" s="406"/>
      <c r="P27" s="406"/>
    </row>
    <row r="28" spans="2:18" ht="15" customHeight="1" thickBot="1" x14ac:dyDescent="0.3">
      <c r="B28" s="1827"/>
      <c r="C28" s="94"/>
      <c r="D28" s="40" t="s">
        <v>436</v>
      </c>
      <c r="E28" s="218">
        <v>0</v>
      </c>
      <c r="F28" s="218">
        <v>0</v>
      </c>
      <c r="G28" s="218"/>
      <c r="H28" s="218"/>
      <c r="I28" s="405"/>
      <c r="J28" s="6"/>
      <c r="K28" s="410" t="str">
        <f>+D28</f>
        <v>En actualización</v>
      </c>
      <c r="L28" s="409"/>
      <c r="M28" s="406">
        <f>+$L28*E28</f>
        <v>0</v>
      </c>
      <c r="N28" s="406"/>
      <c r="O28" s="406"/>
      <c r="P28" s="406"/>
    </row>
    <row r="29" spans="2:18" ht="15.75" thickBot="1" x14ac:dyDescent="0.3">
      <c r="B29" s="1827"/>
      <c r="C29" s="94"/>
      <c r="D29" s="40" t="s">
        <v>437</v>
      </c>
      <c r="E29" s="218">
        <v>0</v>
      </c>
      <c r="F29" s="218">
        <v>0</v>
      </c>
      <c r="G29" s="218"/>
      <c r="H29" s="218"/>
      <c r="I29" s="405"/>
      <c r="J29" s="6"/>
      <c r="K29" s="410" t="str">
        <f>+D29</f>
        <v>Plan forestal adoptado</v>
      </c>
      <c r="L29" s="409"/>
      <c r="M29" s="406">
        <f>+$L29*E29</f>
        <v>0</v>
      </c>
      <c r="N29" s="406"/>
      <c r="O29" s="406"/>
      <c r="P29" s="406"/>
    </row>
    <row r="30" spans="2:18" ht="15" customHeight="1" thickBot="1" x14ac:dyDescent="0.3">
      <c r="B30" s="1827"/>
      <c r="C30" s="94"/>
      <c r="D30" s="40" t="s">
        <v>151</v>
      </c>
      <c r="E30" s="145" t="str">
        <f>Formulas!D15</f>
        <v>ERROR: LA SUMA DE LA COLUMNA DEBE SER IGUAL A LA META ANUAL</v>
      </c>
      <c r="F30" s="145" t="str">
        <f>Formulas!E15</f>
        <v>ERROR: LA SUMA DE LA COLUMNA DEBE SER IGUAL A LA META ANUAL</v>
      </c>
      <c r="G30" s="145">
        <f>Formulas!F15</f>
        <v>169000</v>
      </c>
      <c r="H30" s="145" t="str">
        <f>Formulas!G15</f>
        <v>ERROR: LA SUMA DE LA COLUMNA DEBE SER IGUAL A LA META ANUAL</v>
      </c>
      <c r="I30" s="405"/>
      <c r="J30" s="6"/>
      <c r="K30" s="410"/>
      <c r="L30" s="410" t="s">
        <v>1203</v>
      </c>
      <c r="M30" s="406">
        <f>SUM(M26:M29)</f>
        <v>0</v>
      </c>
      <c r="N30" s="406"/>
      <c r="O30" s="406"/>
      <c r="P30" s="406"/>
    </row>
    <row r="31" spans="2:18" ht="14.45" customHeight="1" x14ac:dyDescent="0.25">
      <c r="B31" s="1827"/>
      <c r="C31" s="92"/>
      <c r="D31" s="1837" t="s">
        <v>438</v>
      </c>
      <c r="E31" s="1838"/>
      <c r="F31" s="1838"/>
      <c r="G31" s="1838"/>
      <c r="H31" s="1838"/>
      <c r="I31" s="1839"/>
      <c r="J31" s="6"/>
      <c r="K31" s="410"/>
      <c r="L31" s="410" t="s">
        <v>1204</v>
      </c>
      <c r="M31" s="408">
        <f>+M30/$I$25</f>
        <v>0</v>
      </c>
      <c r="N31" s="408"/>
      <c r="O31" s="408"/>
      <c r="P31" s="408"/>
    </row>
    <row r="32" spans="2:18" ht="24" customHeight="1" x14ac:dyDescent="0.25">
      <c r="B32" s="1827"/>
      <c r="C32" s="92"/>
      <c r="D32" s="1843" t="s">
        <v>439</v>
      </c>
      <c r="E32" s="1844"/>
      <c r="F32" s="1844"/>
      <c r="G32" s="1844"/>
      <c r="H32" s="1844"/>
      <c r="I32" s="1845"/>
      <c r="J32" s="6"/>
      <c r="K32" s="410"/>
      <c r="L32" s="410" t="s">
        <v>1213</v>
      </c>
      <c r="M32" s="408" t="e">
        <f>+M45</f>
        <v>#DIV/0!</v>
      </c>
      <c r="N32" s="408"/>
      <c r="O32" s="408"/>
      <c r="P32" s="408"/>
    </row>
    <row r="33" spans="2:16" ht="15" customHeight="1" thickBot="1" x14ac:dyDescent="0.3">
      <c r="B33" s="1827"/>
      <c r="C33" s="92"/>
      <c r="D33" s="1840" t="s">
        <v>440</v>
      </c>
      <c r="E33" s="1841"/>
      <c r="F33" s="1841"/>
      <c r="G33" s="1841"/>
      <c r="H33" s="1841"/>
      <c r="I33" s="1842"/>
      <c r="J33" s="6"/>
      <c r="K33" s="410"/>
      <c r="L33" s="410" t="s">
        <v>1217</v>
      </c>
      <c r="M33" s="406">
        <f>+M46</f>
        <v>0</v>
      </c>
      <c r="N33" s="406"/>
      <c r="O33" s="406"/>
      <c r="P33" s="406"/>
    </row>
    <row r="34" spans="2:16" ht="48.75" thickBot="1" x14ac:dyDescent="0.3">
      <c r="B34" s="1827"/>
      <c r="C34" s="94"/>
      <c r="D34" s="43" t="s">
        <v>441</v>
      </c>
      <c r="E34" s="43" t="s">
        <v>442</v>
      </c>
      <c r="F34" s="43" t="s">
        <v>443</v>
      </c>
      <c r="G34" s="43" t="s">
        <v>444</v>
      </c>
      <c r="H34" s="43" t="s">
        <v>445</v>
      </c>
      <c r="I34" s="22"/>
      <c r="J34" s="6"/>
      <c r="K34" s="410"/>
      <c r="L34" s="410" t="s">
        <v>418</v>
      </c>
      <c r="M34" s="408" t="e">
        <f>+M30/M33</f>
        <v>#DIV/0!</v>
      </c>
      <c r="N34" s="408"/>
      <c r="O34" s="408"/>
      <c r="P34" s="408"/>
    </row>
    <row r="35" spans="2:16" ht="15" customHeight="1" thickBot="1" x14ac:dyDescent="0.3">
      <c r="B35" s="1827"/>
      <c r="C35" s="94"/>
      <c r="D35" s="31"/>
      <c r="E35" s="31"/>
      <c r="F35" s="218"/>
      <c r="G35" s="31"/>
      <c r="H35" s="31"/>
      <c r="I35" s="22"/>
      <c r="J35" s="6"/>
      <c r="K35" s="6"/>
      <c r="L35" s="6"/>
      <c r="M35" s="6"/>
      <c r="N35" s="6"/>
      <c r="O35" s="6"/>
      <c r="P35" s="6"/>
    </row>
    <row r="36" spans="2:16" ht="15" customHeight="1" thickBot="1" x14ac:dyDescent="0.3">
      <c r="B36" s="1827"/>
      <c r="C36" s="94"/>
      <c r="D36" s="31"/>
      <c r="E36" s="31"/>
      <c r="F36" s="218"/>
      <c r="G36" s="31"/>
      <c r="H36" s="31"/>
      <c r="I36" s="22"/>
      <c r="J36" s="6"/>
      <c r="K36" s="6"/>
      <c r="L36" s="6"/>
    </row>
    <row r="37" spans="2:16" ht="15" customHeight="1" thickBot="1" x14ac:dyDescent="0.3">
      <c r="B37" s="1827"/>
      <c r="C37" s="94"/>
      <c r="D37" s="31"/>
      <c r="E37" s="31"/>
      <c r="F37" s="218"/>
      <c r="G37" s="31"/>
      <c r="H37" s="31"/>
      <c r="I37" s="22"/>
      <c r="J37" s="6"/>
      <c r="K37" s="6"/>
      <c r="L37" s="412" t="s">
        <v>1214</v>
      </c>
    </row>
    <row r="38" spans="2:16" ht="15" customHeight="1" thickBot="1" x14ac:dyDescent="0.3">
      <c r="B38" s="1827"/>
      <c r="C38" s="94"/>
      <c r="D38" s="31"/>
      <c r="E38" s="31"/>
      <c r="F38" s="218"/>
      <c r="G38" s="31"/>
      <c r="H38" s="31"/>
      <c r="I38" s="22"/>
      <c r="J38" s="6"/>
      <c r="K38" s="6"/>
      <c r="L38" s="6"/>
      <c r="N38" s="412"/>
      <c r="O38" s="412"/>
      <c r="P38" s="412"/>
    </row>
    <row r="39" spans="2:16" ht="15" customHeight="1" thickBot="1" x14ac:dyDescent="0.3">
      <c r="B39" s="1827"/>
      <c r="C39" s="94"/>
      <c r="D39" s="31"/>
      <c r="E39" s="31"/>
      <c r="F39" s="218"/>
      <c r="G39" s="31"/>
      <c r="H39" s="31"/>
      <c r="I39" s="22"/>
      <c r="J39" s="6"/>
      <c r="K39" s="1880" t="s">
        <v>1205</v>
      </c>
      <c r="L39" s="1880" t="s">
        <v>1215</v>
      </c>
      <c r="M39" s="1880" t="s">
        <v>1216</v>
      </c>
      <c r="N39" s="412"/>
      <c r="O39" s="412"/>
      <c r="P39" s="412"/>
    </row>
    <row r="40" spans="2:16" ht="15" customHeight="1" thickBot="1" x14ac:dyDescent="0.3">
      <c r="B40" s="1827"/>
      <c r="C40" s="94"/>
      <c r="D40" s="31"/>
      <c r="E40" s="31"/>
      <c r="F40" s="218"/>
      <c r="G40" s="31"/>
      <c r="H40" s="31"/>
      <c r="I40" s="22"/>
      <c r="J40" s="6"/>
      <c r="K40" s="1880"/>
      <c r="L40" s="1880"/>
      <c r="M40" s="1880"/>
      <c r="N40" s="412"/>
      <c r="O40" s="412"/>
      <c r="P40" s="412"/>
    </row>
    <row r="41" spans="2:16" ht="15.75" thickBot="1" x14ac:dyDescent="0.3">
      <c r="B41" s="1827"/>
      <c r="C41" s="94"/>
      <c r="D41" s="31"/>
      <c r="E41" s="31"/>
      <c r="F41" s="218"/>
      <c r="G41" s="31"/>
      <c r="H41" s="31"/>
      <c r="I41" s="22"/>
      <c r="J41" s="6"/>
      <c r="K41" s="410" t="str">
        <f>+K26</f>
        <v>Sin iniciar</v>
      </c>
      <c r="L41" s="475"/>
      <c r="M41" s="408">
        <v>0</v>
      </c>
      <c r="N41" s="412"/>
      <c r="O41" s="412"/>
      <c r="P41" s="412"/>
    </row>
    <row r="42" spans="2:16" ht="15.75" thickBot="1" x14ac:dyDescent="0.3">
      <c r="B42" s="1827"/>
      <c r="C42" s="94"/>
      <c r="D42" s="31"/>
      <c r="E42" s="31"/>
      <c r="F42" s="218"/>
      <c r="G42" s="31"/>
      <c r="H42" s="31"/>
      <c r="I42" s="22"/>
      <c r="J42" s="6"/>
      <c r="K42" s="410" t="str">
        <f>+K27</f>
        <v>En formulación</v>
      </c>
      <c r="L42" s="475"/>
      <c r="M42" s="414"/>
      <c r="N42" s="412"/>
      <c r="O42" s="412"/>
      <c r="P42" s="412"/>
    </row>
    <row r="43" spans="2:16" ht="24" customHeight="1" thickBot="1" x14ac:dyDescent="0.3">
      <c r="B43" s="1828"/>
      <c r="C43" s="93"/>
      <c r="D43" s="1881" t="s">
        <v>446</v>
      </c>
      <c r="E43" s="1882"/>
      <c r="F43" s="1882"/>
      <c r="G43" s="1882"/>
      <c r="H43" s="1882"/>
      <c r="I43" s="1883"/>
      <c r="J43" s="6"/>
      <c r="K43" s="410" t="str">
        <f>+K28</f>
        <v>En actualización</v>
      </c>
      <c r="L43" s="475"/>
      <c r="M43" s="414"/>
      <c r="N43" s="412"/>
      <c r="O43" s="412"/>
      <c r="P43" s="412"/>
    </row>
    <row r="44" spans="2:16" ht="24" customHeight="1" thickBot="1" x14ac:dyDescent="0.3">
      <c r="B44" s="47" t="s">
        <v>34</v>
      </c>
      <c r="C44" s="93"/>
      <c r="D44" s="1832" t="s">
        <v>447</v>
      </c>
      <c r="E44" s="1833"/>
      <c r="F44" s="1833"/>
      <c r="G44" s="1833"/>
      <c r="H44" s="1833"/>
      <c r="I44" s="1834"/>
      <c r="J44" s="6"/>
      <c r="K44" s="410" t="str">
        <f>+K29</f>
        <v>Plan forestal adoptado</v>
      </c>
      <c r="L44" s="475"/>
      <c r="M44" s="414"/>
      <c r="N44" s="412"/>
      <c r="O44" s="412"/>
      <c r="P44" s="412"/>
    </row>
    <row r="45" spans="2:16" ht="24.75" thickBot="1" x14ac:dyDescent="0.3">
      <c r="B45" s="47" t="s">
        <v>36</v>
      </c>
      <c r="C45" s="93"/>
      <c r="D45" s="1832" t="s">
        <v>346</v>
      </c>
      <c r="E45" s="1833"/>
      <c r="F45" s="1833"/>
      <c r="G45" s="1833"/>
      <c r="H45" s="1833"/>
      <c r="I45" s="1834"/>
      <c r="J45" s="6"/>
      <c r="K45" s="410" t="s">
        <v>151</v>
      </c>
      <c r="L45" s="406">
        <f>SUM(L41:L44)</f>
        <v>0</v>
      </c>
      <c r="M45" s="408" t="e">
        <f>+M46/L45</f>
        <v>#DIV/0!</v>
      </c>
      <c r="N45" s="412"/>
      <c r="O45" s="412"/>
      <c r="P45" s="412"/>
    </row>
    <row r="46" spans="2:16" ht="15" customHeight="1" thickBot="1" x14ac:dyDescent="0.3">
      <c r="B46" s="2"/>
      <c r="C46" s="76"/>
      <c r="D46" s="6"/>
      <c r="E46" s="6"/>
      <c r="F46" s="6"/>
      <c r="G46" s="6"/>
      <c r="H46" s="6"/>
      <c r="I46" s="6"/>
      <c r="J46" s="6"/>
      <c r="K46" s="410"/>
      <c r="L46" s="410" t="s">
        <v>1218</v>
      </c>
      <c r="M46" s="406">
        <f>+L41*M41+L42*M42+L43*M43+L44*M44</f>
        <v>0</v>
      </c>
      <c r="N46" s="412"/>
      <c r="O46" s="412"/>
      <c r="P46" s="412"/>
    </row>
    <row r="47" spans="2:16" ht="24" customHeight="1" thickBot="1" x14ac:dyDescent="0.3">
      <c r="B47" s="1829" t="s">
        <v>38</v>
      </c>
      <c r="C47" s="1830"/>
      <c r="D47" s="1830"/>
      <c r="E47" s="1831"/>
      <c r="F47" s="6"/>
      <c r="G47" s="6"/>
      <c r="H47" s="6"/>
      <c r="I47" s="6"/>
      <c r="J47" s="6"/>
      <c r="K47" s="6"/>
      <c r="L47" s="6"/>
      <c r="M47" s="6"/>
      <c r="N47" s="6"/>
      <c r="O47" s="412"/>
      <c r="P47" s="412"/>
    </row>
    <row r="48" spans="2:16" ht="15" customHeight="1" thickBot="1" x14ac:dyDescent="0.3">
      <c r="B48" s="1826">
        <v>1</v>
      </c>
      <c r="C48" s="94"/>
      <c r="D48" s="48" t="s">
        <v>39</v>
      </c>
      <c r="E48" s="31" t="s">
        <v>2849</v>
      </c>
      <c r="F48" s="6"/>
      <c r="G48" s="6"/>
      <c r="H48" s="6"/>
      <c r="I48" s="6"/>
      <c r="J48" s="6"/>
      <c r="K48" s="6"/>
      <c r="L48" s="6"/>
      <c r="M48" s="6"/>
      <c r="N48" s="6"/>
      <c r="O48" s="412"/>
      <c r="P48" s="412"/>
    </row>
    <row r="49" spans="2:16" ht="15" customHeight="1" thickBot="1" x14ac:dyDescent="0.3">
      <c r="B49" s="1827"/>
      <c r="C49" s="94"/>
      <c r="D49" s="41" t="s">
        <v>40</v>
      </c>
      <c r="E49" s="31" t="s">
        <v>3269</v>
      </c>
      <c r="F49" s="6"/>
      <c r="G49" s="6"/>
      <c r="H49" s="6"/>
      <c r="I49" s="6"/>
      <c r="J49" s="6"/>
      <c r="K49" s="6"/>
      <c r="L49" s="6"/>
      <c r="M49" s="6"/>
      <c r="N49" s="6"/>
      <c r="O49" s="412"/>
      <c r="P49" s="412"/>
    </row>
    <row r="50" spans="2:16" ht="15" customHeight="1" thickBot="1" x14ac:dyDescent="0.3">
      <c r="B50" s="1827"/>
      <c r="C50" s="94"/>
      <c r="D50" s="41" t="s">
        <v>41</v>
      </c>
      <c r="E50" s="31" t="s">
        <v>3270</v>
      </c>
      <c r="F50" s="6"/>
      <c r="G50" s="6"/>
      <c r="H50" s="6"/>
      <c r="I50" s="6"/>
      <c r="J50" s="6"/>
      <c r="K50" s="6"/>
      <c r="L50" s="6"/>
      <c r="M50" s="6"/>
      <c r="N50" s="6"/>
      <c r="O50" s="412"/>
      <c r="P50" s="412"/>
    </row>
    <row r="51" spans="2:16" ht="15" customHeight="1" thickBot="1" x14ac:dyDescent="0.3">
      <c r="B51" s="1827"/>
      <c r="C51" s="94"/>
      <c r="D51" s="41" t="s">
        <v>42</v>
      </c>
      <c r="E51" s="31" t="s">
        <v>3218</v>
      </c>
      <c r="F51" s="6"/>
      <c r="G51" s="6"/>
      <c r="H51" s="6"/>
      <c r="I51" s="6"/>
      <c r="J51" s="6"/>
      <c r="K51" s="6"/>
      <c r="L51" s="6"/>
      <c r="M51" s="6"/>
      <c r="N51" s="6"/>
    </row>
    <row r="52" spans="2:16" ht="15" customHeight="1" thickBot="1" x14ac:dyDescent="0.3">
      <c r="B52" s="1827"/>
      <c r="C52" s="94"/>
      <c r="D52" s="41" t="s">
        <v>43</v>
      </c>
      <c r="E52" s="1219" t="s">
        <v>3271</v>
      </c>
      <c r="F52" s="6"/>
      <c r="G52" s="6"/>
      <c r="H52" s="6"/>
      <c r="I52" s="6"/>
      <c r="J52" s="6"/>
      <c r="K52" s="6"/>
      <c r="L52" s="6"/>
    </row>
    <row r="53" spans="2:16" ht="15" customHeight="1" thickBot="1" x14ac:dyDescent="0.3">
      <c r="B53" s="1827"/>
      <c r="C53" s="94"/>
      <c r="D53" s="41" t="s">
        <v>44</v>
      </c>
      <c r="E53" s="31" t="s">
        <v>3272</v>
      </c>
      <c r="F53" s="6"/>
      <c r="G53" s="6"/>
      <c r="H53" s="6"/>
      <c r="I53" s="6"/>
      <c r="J53" s="6"/>
      <c r="K53" s="6"/>
      <c r="L53" s="6"/>
    </row>
    <row r="54" spans="2:16" ht="15" customHeight="1" thickBot="1" x14ac:dyDescent="0.3">
      <c r="B54" s="1828"/>
      <c r="C54" s="3"/>
      <c r="D54" s="41" t="s">
        <v>45</v>
      </c>
      <c r="E54" s="31" t="s">
        <v>2870</v>
      </c>
      <c r="F54" s="6"/>
      <c r="G54" s="6"/>
      <c r="H54" s="6"/>
      <c r="I54" s="6"/>
      <c r="J54" s="6"/>
      <c r="K54" s="6"/>
      <c r="L54" s="6"/>
    </row>
    <row r="55" spans="2:16" ht="15" customHeight="1" thickBot="1" x14ac:dyDescent="0.3">
      <c r="B55" s="2"/>
      <c r="C55" s="76"/>
      <c r="D55" s="6"/>
      <c r="E55" s="6"/>
      <c r="F55" s="6"/>
      <c r="G55" s="6"/>
      <c r="H55" s="6"/>
      <c r="I55" s="6"/>
      <c r="J55" s="6"/>
      <c r="K55" s="6"/>
      <c r="L55" s="6"/>
    </row>
    <row r="56" spans="2:16" ht="15" customHeight="1" thickBot="1" x14ac:dyDescent="0.3">
      <c r="B56" s="1829" t="s">
        <v>46</v>
      </c>
      <c r="C56" s="1830"/>
      <c r="D56" s="1830"/>
      <c r="E56" s="1831"/>
      <c r="F56" s="6"/>
      <c r="G56" s="6"/>
      <c r="H56" s="6"/>
      <c r="I56" s="6"/>
      <c r="J56" s="6"/>
      <c r="K56" s="6"/>
      <c r="L56" s="6"/>
    </row>
    <row r="57" spans="2:16" ht="15" customHeight="1" thickBot="1" x14ac:dyDescent="0.3">
      <c r="B57" s="1826">
        <v>1</v>
      </c>
      <c r="C57" s="94"/>
      <c r="D57" s="48" t="s">
        <v>39</v>
      </c>
      <c r="E57" s="444" t="s">
        <v>47</v>
      </c>
      <c r="F57" s="6"/>
      <c r="G57" s="6"/>
      <c r="H57" s="6"/>
      <c r="I57" s="6"/>
      <c r="J57" s="6"/>
      <c r="K57" s="6"/>
      <c r="L57" s="6"/>
    </row>
    <row r="58" spans="2:16" ht="15" customHeight="1" thickBot="1" x14ac:dyDescent="0.3">
      <c r="B58" s="1827"/>
      <c r="C58" s="94"/>
      <c r="D58" s="41" t="s">
        <v>40</v>
      </c>
      <c r="E58" s="444" t="s">
        <v>160</v>
      </c>
      <c r="F58" s="6"/>
      <c r="G58" s="6"/>
      <c r="H58" s="6"/>
      <c r="I58" s="6"/>
      <c r="J58" s="6"/>
      <c r="K58" s="6"/>
      <c r="L58" s="6"/>
    </row>
    <row r="59" spans="2:16" ht="15" customHeight="1" thickBot="1" x14ac:dyDescent="0.3">
      <c r="B59" s="1827"/>
      <c r="C59" s="94"/>
      <c r="D59" s="41" t="s">
        <v>41</v>
      </c>
      <c r="E59" s="315"/>
      <c r="F59" s="6"/>
      <c r="G59" s="6"/>
      <c r="H59" s="6"/>
      <c r="I59" s="6"/>
      <c r="J59" s="6"/>
      <c r="K59" s="6"/>
      <c r="L59" s="6"/>
    </row>
    <row r="60" spans="2:16" ht="15" customHeight="1" thickBot="1" x14ac:dyDescent="0.3">
      <c r="B60" s="1827"/>
      <c r="C60" s="94"/>
      <c r="D60" s="41" t="s">
        <v>42</v>
      </c>
      <c r="E60" s="315"/>
      <c r="F60" s="6"/>
      <c r="G60" s="6"/>
      <c r="H60" s="6"/>
      <c r="I60" s="6"/>
      <c r="J60" s="6"/>
      <c r="K60" s="6"/>
      <c r="L60" s="6"/>
    </row>
    <row r="61" spans="2:16" ht="15.75" thickBot="1" x14ac:dyDescent="0.3">
      <c r="B61" s="1827"/>
      <c r="C61" s="94"/>
      <c r="D61" s="41" t="s">
        <v>43</v>
      </c>
      <c r="E61" s="315"/>
      <c r="F61" s="6"/>
      <c r="G61" s="6"/>
      <c r="H61" s="6"/>
      <c r="I61" s="6"/>
      <c r="J61" s="6"/>
      <c r="K61" s="6"/>
      <c r="L61" s="6"/>
    </row>
    <row r="62" spans="2:16" ht="15.75" thickBot="1" x14ac:dyDescent="0.3">
      <c r="B62" s="1827"/>
      <c r="C62" s="94"/>
      <c r="D62" s="41" t="s">
        <v>44</v>
      </c>
      <c r="E62" s="315"/>
      <c r="F62" s="6"/>
      <c r="G62" s="6"/>
      <c r="H62" s="6"/>
      <c r="I62" s="6"/>
      <c r="J62" s="6"/>
      <c r="K62" s="6"/>
      <c r="L62" s="6"/>
    </row>
    <row r="63" spans="2:16" ht="15" customHeight="1" thickBot="1" x14ac:dyDescent="0.3">
      <c r="B63" s="1828"/>
      <c r="C63" s="3"/>
      <c r="D63" s="41" t="s">
        <v>45</v>
      </c>
      <c r="E63" s="315"/>
      <c r="F63" s="6"/>
      <c r="G63" s="6"/>
      <c r="H63" s="6"/>
      <c r="I63" s="6"/>
      <c r="J63" s="6"/>
      <c r="K63" s="6"/>
      <c r="L63" s="6"/>
    </row>
    <row r="64" spans="2:16" ht="15" customHeight="1" thickBot="1" x14ac:dyDescent="0.3">
      <c r="B64" s="136"/>
      <c r="C64" s="131"/>
      <c r="D64" s="136"/>
      <c r="E64" s="6"/>
      <c r="F64" s="6"/>
      <c r="G64" s="6"/>
      <c r="H64" s="6"/>
      <c r="I64" s="6"/>
      <c r="J64" s="6"/>
      <c r="K64" s="6"/>
      <c r="L64" s="6"/>
    </row>
    <row r="65" spans="2:12" ht="15" customHeight="1" x14ac:dyDescent="0.25">
      <c r="B65" s="135" t="s">
        <v>417</v>
      </c>
      <c r="C65" s="96"/>
      <c r="D65" s="6"/>
      <c r="E65" s="6"/>
      <c r="F65" s="6"/>
      <c r="G65" s="6"/>
      <c r="H65" s="6"/>
      <c r="I65" s="6"/>
      <c r="J65" s="6"/>
      <c r="K65" s="6"/>
      <c r="L65" s="6"/>
    </row>
    <row r="66" spans="2:12" x14ac:dyDescent="0.25">
      <c r="B66" s="1809"/>
      <c r="C66" s="1810"/>
      <c r="D66" s="1811"/>
      <c r="E66" s="6"/>
      <c r="F66" s="6"/>
      <c r="G66" s="6"/>
      <c r="H66" s="6"/>
      <c r="I66" s="6"/>
      <c r="J66" s="6"/>
      <c r="K66" s="6"/>
      <c r="L66" s="6"/>
    </row>
    <row r="67" spans="2:12" x14ac:dyDescent="0.25">
      <c r="B67" s="1812"/>
      <c r="C67" s="1813"/>
      <c r="D67" s="1814"/>
      <c r="E67" s="6"/>
      <c r="F67" s="6"/>
      <c r="G67" s="6"/>
      <c r="H67" s="6"/>
      <c r="I67" s="6"/>
      <c r="J67" s="6"/>
      <c r="K67" s="6"/>
      <c r="L67" s="6"/>
    </row>
    <row r="68" spans="2:12" ht="15.75" thickBot="1" x14ac:dyDescent="0.3">
      <c r="B68" s="136"/>
      <c r="C68" s="131"/>
      <c r="D68" s="136"/>
      <c r="E68" s="6"/>
      <c r="F68" s="6"/>
      <c r="G68" s="6"/>
      <c r="H68" s="6"/>
      <c r="I68" s="6"/>
      <c r="J68" s="6"/>
      <c r="K68" s="6"/>
      <c r="L68" s="6"/>
    </row>
    <row r="69" spans="2:12" ht="15.75" thickBot="1" x14ac:dyDescent="0.3">
      <c r="B69" s="1829" t="s">
        <v>49</v>
      </c>
      <c r="C69" s="1830"/>
      <c r="D69" s="1830"/>
      <c r="E69" s="1830"/>
      <c r="F69" s="1831"/>
      <c r="G69" s="6"/>
      <c r="H69" s="6"/>
      <c r="I69" s="6"/>
      <c r="J69" s="6"/>
      <c r="K69" s="6"/>
      <c r="L69" s="6"/>
    </row>
    <row r="70" spans="2:12" ht="24.75" thickBot="1" x14ac:dyDescent="0.3">
      <c r="B70" s="47" t="s">
        <v>50</v>
      </c>
      <c r="C70" s="41" t="s">
        <v>51</v>
      </c>
      <c r="D70" s="41" t="s">
        <v>52</v>
      </c>
      <c r="E70" s="41" t="s">
        <v>53</v>
      </c>
      <c r="F70" s="6"/>
      <c r="G70" s="6"/>
      <c r="H70" s="6"/>
      <c r="I70" s="6"/>
      <c r="J70" s="6"/>
      <c r="K70" s="6"/>
      <c r="L70" s="6"/>
    </row>
    <row r="71" spans="2:12" ht="72.75" thickBot="1" x14ac:dyDescent="0.3">
      <c r="B71" s="49">
        <v>42401</v>
      </c>
      <c r="C71" s="41">
        <v>0.01</v>
      </c>
      <c r="D71" s="50" t="s">
        <v>448</v>
      </c>
      <c r="E71" s="41"/>
      <c r="F71" s="6"/>
      <c r="G71" s="6"/>
      <c r="H71" s="6"/>
      <c r="I71" s="6"/>
      <c r="J71" s="6"/>
      <c r="K71" s="6"/>
    </row>
    <row r="72" spans="2:12" x14ac:dyDescent="0.25">
      <c r="B72" s="2"/>
      <c r="C72" s="76"/>
      <c r="D72" s="6"/>
      <c r="E72" s="6"/>
      <c r="F72" s="6"/>
      <c r="G72" s="6"/>
      <c r="H72" s="6"/>
      <c r="I72" s="6"/>
      <c r="J72" s="6"/>
      <c r="K72" s="6"/>
    </row>
    <row r="73" spans="2:12" ht="15.75" thickBot="1" x14ac:dyDescent="0.3">
      <c r="B73" s="6"/>
      <c r="D73" s="6"/>
      <c r="E73" s="6"/>
      <c r="F73" s="6"/>
      <c r="G73" s="6"/>
      <c r="H73" s="6"/>
      <c r="I73" s="6"/>
      <c r="J73" s="6"/>
      <c r="K73" s="6"/>
      <c r="L73" s="6"/>
    </row>
    <row r="74" spans="2:12" ht="15.75" thickBot="1" x14ac:dyDescent="0.3">
      <c r="B74" s="1829" t="s">
        <v>56</v>
      </c>
      <c r="C74" s="1830"/>
      <c r="D74" s="1831"/>
      <c r="E74" s="6"/>
      <c r="F74" s="6"/>
      <c r="G74" s="6"/>
      <c r="H74" s="6"/>
      <c r="I74" s="6"/>
      <c r="J74" s="6"/>
      <c r="K74" s="6"/>
      <c r="L74" s="6"/>
    </row>
    <row r="75" spans="2:12" ht="60.75" thickBot="1" x14ac:dyDescent="0.3">
      <c r="B75" s="47" t="s">
        <v>57</v>
      </c>
      <c r="C75" s="3"/>
      <c r="D75" s="41" t="s">
        <v>419</v>
      </c>
      <c r="E75" s="6"/>
      <c r="F75" s="6"/>
      <c r="G75" s="6"/>
      <c r="H75" s="6"/>
      <c r="I75" s="6"/>
      <c r="J75" s="6"/>
      <c r="K75" s="6"/>
      <c r="L75" s="6"/>
    </row>
    <row r="76" spans="2:12" x14ac:dyDescent="0.25">
      <c r="B76" s="1826" t="s">
        <v>59</v>
      </c>
      <c r="C76" s="94"/>
      <c r="D76" s="53" t="s">
        <v>60</v>
      </c>
      <c r="E76" s="6"/>
      <c r="F76" s="6"/>
      <c r="G76" s="6"/>
      <c r="H76" s="6"/>
      <c r="I76" s="6"/>
      <c r="J76" s="6"/>
      <c r="K76" s="6"/>
      <c r="L76" s="6"/>
    </row>
    <row r="77" spans="2:12" ht="132" x14ac:dyDescent="0.25">
      <c r="B77" s="1827"/>
      <c r="C77" s="94"/>
      <c r="D77" s="46" t="s">
        <v>420</v>
      </c>
      <c r="E77" s="6"/>
      <c r="F77" s="6"/>
      <c r="G77" s="6"/>
      <c r="H77" s="6"/>
      <c r="I77" s="6"/>
      <c r="J77" s="6"/>
      <c r="K77" s="6"/>
      <c r="L77" s="6"/>
    </row>
    <row r="78" spans="2:12" x14ac:dyDescent="0.25">
      <c r="B78" s="1827"/>
      <c r="C78" s="94"/>
      <c r="D78" s="53" t="s">
        <v>63</v>
      </c>
      <c r="E78" s="6"/>
      <c r="F78" s="6"/>
      <c r="G78" s="6"/>
      <c r="H78" s="6"/>
      <c r="I78" s="6"/>
      <c r="J78" s="6"/>
      <c r="K78" s="6"/>
      <c r="L78" s="6"/>
    </row>
    <row r="79" spans="2:12" x14ac:dyDescent="0.25">
      <c r="B79" s="1827"/>
      <c r="C79" s="94"/>
      <c r="D79" s="61" t="s">
        <v>421</v>
      </c>
      <c r="E79" s="6"/>
      <c r="F79" s="6"/>
      <c r="G79" s="6"/>
      <c r="H79" s="6"/>
      <c r="I79" s="6"/>
      <c r="J79" s="6"/>
      <c r="K79" s="6"/>
      <c r="L79" s="6"/>
    </row>
    <row r="80" spans="2:12" x14ac:dyDescent="0.25">
      <c r="B80" s="1827"/>
      <c r="C80" s="94"/>
      <c r="D80" s="61" t="s">
        <v>422</v>
      </c>
      <c r="E80" s="6"/>
      <c r="F80" s="6"/>
      <c r="G80" s="6"/>
      <c r="H80" s="6"/>
      <c r="I80" s="6"/>
      <c r="J80" s="6"/>
      <c r="K80" s="6"/>
      <c r="L80" s="6"/>
    </row>
    <row r="81" spans="2:12" x14ac:dyDescent="0.25">
      <c r="B81" s="1827"/>
      <c r="C81" s="94"/>
      <c r="D81" s="61" t="s">
        <v>423</v>
      </c>
      <c r="E81" s="6"/>
      <c r="F81" s="6"/>
      <c r="G81" s="6"/>
      <c r="H81" s="6"/>
      <c r="I81" s="6"/>
      <c r="J81" s="6"/>
      <c r="K81" s="6"/>
      <c r="L81" s="6"/>
    </row>
    <row r="82" spans="2:12" x14ac:dyDescent="0.25">
      <c r="B82" s="1827"/>
      <c r="C82" s="94"/>
      <c r="D82" s="61" t="s">
        <v>424</v>
      </c>
      <c r="E82" s="6"/>
      <c r="F82" s="6"/>
      <c r="G82" s="6"/>
      <c r="H82" s="6"/>
      <c r="I82" s="6"/>
      <c r="J82" s="6"/>
      <c r="K82" s="6"/>
      <c r="L82" s="6"/>
    </row>
    <row r="83" spans="2:12" x14ac:dyDescent="0.25">
      <c r="B83" s="1827"/>
      <c r="C83" s="94"/>
      <c r="D83" s="53" t="s">
        <v>288</v>
      </c>
      <c r="E83" s="6"/>
      <c r="F83" s="6"/>
      <c r="G83" s="6"/>
      <c r="H83" s="6"/>
      <c r="I83" s="6"/>
      <c r="J83" s="6"/>
      <c r="K83" s="6"/>
      <c r="L83" s="6"/>
    </row>
    <row r="84" spans="2:12" ht="36.75" thickBot="1" x14ac:dyDescent="0.3">
      <c r="B84" s="1828"/>
      <c r="C84" s="3"/>
      <c r="D84" s="41" t="s">
        <v>353</v>
      </c>
      <c r="E84" s="6"/>
      <c r="F84" s="6"/>
      <c r="G84" s="6"/>
      <c r="H84" s="6"/>
      <c r="I84" s="6"/>
      <c r="J84" s="6"/>
      <c r="K84" s="6"/>
      <c r="L84" s="6"/>
    </row>
    <row r="85" spans="2:12" x14ac:dyDescent="0.25">
      <c r="B85" s="1826" t="s">
        <v>72</v>
      </c>
      <c r="C85" s="99"/>
      <c r="D85" s="1826"/>
      <c r="E85" s="6"/>
      <c r="F85" s="6"/>
      <c r="G85" s="6"/>
      <c r="H85" s="6"/>
      <c r="I85" s="6"/>
      <c r="J85" s="6"/>
      <c r="K85" s="6"/>
      <c r="L85" s="6"/>
    </row>
    <row r="86" spans="2:12" ht="15.75" thickBot="1" x14ac:dyDescent="0.3">
      <c r="B86" s="1828"/>
      <c r="C86" s="100"/>
      <c r="D86" s="1828"/>
      <c r="E86" s="6"/>
      <c r="F86" s="6"/>
      <c r="G86" s="6"/>
      <c r="H86" s="6"/>
      <c r="I86" s="6"/>
      <c r="J86" s="6"/>
      <c r="K86" s="6"/>
      <c r="L86" s="6"/>
    </row>
    <row r="87" spans="2:12" ht="132" x14ac:dyDescent="0.25">
      <c r="B87" s="1826" t="s">
        <v>73</v>
      </c>
      <c r="C87" s="94"/>
      <c r="D87" s="46" t="s">
        <v>425</v>
      </c>
      <c r="E87" s="6"/>
      <c r="F87" s="6"/>
      <c r="G87" s="6"/>
      <c r="H87" s="6"/>
      <c r="I87" s="6"/>
      <c r="J87" s="6"/>
      <c r="K87" s="6"/>
      <c r="L87" s="6"/>
    </row>
    <row r="88" spans="2:12" ht="120.75" thickBot="1" x14ac:dyDescent="0.3">
      <c r="B88" s="1828"/>
      <c r="C88" s="3"/>
      <c r="D88" s="41" t="s">
        <v>426</v>
      </c>
      <c r="E88" s="6"/>
      <c r="F88" s="6"/>
      <c r="G88" s="6"/>
      <c r="H88" s="6"/>
      <c r="I88" s="6"/>
      <c r="J88" s="6"/>
      <c r="K88" s="6"/>
      <c r="L88" s="6"/>
    </row>
    <row r="89" spans="2:12" ht="24" x14ac:dyDescent="0.25">
      <c r="B89" s="1826" t="s">
        <v>90</v>
      </c>
      <c r="C89" s="94"/>
      <c r="D89" s="53" t="s">
        <v>418</v>
      </c>
      <c r="E89" s="6"/>
      <c r="F89" s="6"/>
      <c r="G89" s="6"/>
      <c r="H89" s="6"/>
      <c r="I89" s="6"/>
      <c r="J89" s="6"/>
      <c r="K89" s="6"/>
      <c r="L89" s="6"/>
    </row>
    <row r="90" spans="2:12" x14ac:dyDescent="0.25">
      <c r="B90" s="1827"/>
      <c r="C90" s="94"/>
      <c r="D90" s="17"/>
      <c r="E90" s="6"/>
      <c r="F90" s="6"/>
      <c r="G90" s="6"/>
      <c r="H90" s="6"/>
      <c r="I90" s="6"/>
      <c r="J90" s="6"/>
      <c r="K90" s="6"/>
      <c r="L90" s="6"/>
    </row>
    <row r="91" spans="2:12" x14ac:dyDescent="0.25">
      <c r="B91" s="1827"/>
      <c r="C91" s="94"/>
      <c r="D91" s="46" t="s">
        <v>91</v>
      </c>
      <c r="E91" s="6"/>
      <c r="F91" s="6"/>
      <c r="G91" s="6"/>
      <c r="H91" s="6"/>
      <c r="I91" s="6"/>
      <c r="J91" s="6"/>
      <c r="K91" s="6"/>
      <c r="L91" s="6"/>
    </row>
    <row r="92" spans="2:12" ht="37.5" x14ac:dyDescent="0.25">
      <c r="B92" s="1827"/>
      <c r="C92" s="94"/>
      <c r="D92" s="46" t="s">
        <v>427</v>
      </c>
      <c r="E92" s="6"/>
      <c r="F92" s="6"/>
      <c r="G92" s="6"/>
      <c r="H92" s="6"/>
      <c r="I92" s="6"/>
      <c r="J92" s="6"/>
      <c r="K92" s="6"/>
      <c r="L92" s="6"/>
    </row>
    <row r="93" spans="2:12" ht="37.5" x14ac:dyDescent="0.25">
      <c r="B93" s="1827"/>
      <c r="C93" s="94"/>
      <c r="D93" s="46" t="s">
        <v>428</v>
      </c>
      <c r="E93" s="6"/>
      <c r="F93" s="6"/>
      <c r="G93" s="6"/>
      <c r="H93" s="6"/>
      <c r="I93" s="6"/>
      <c r="J93" s="6"/>
      <c r="K93" s="6"/>
      <c r="L93" s="6"/>
    </row>
    <row r="94" spans="2:12" ht="38.25" thickBot="1" x14ac:dyDescent="0.3">
      <c r="B94" s="1828"/>
      <c r="C94" s="3"/>
      <c r="D94" s="41" t="s">
        <v>429</v>
      </c>
      <c r="E94" s="6"/>
      <c r="F94" s="6"/>
      <c r="G94" s="6"/>
      <c r="H94" s="6"/>
      <c r="I94" s="6"/>
      <c r="J94" s="6"/>
      <c r="K94" s="6"/>
      <c r="L94" s="6"/>
    </row>
    <row r="95" spans="2:12" x14ac:dyDescent="0.25">
      <c r="B95" s="6"/>
      <c r="D95" s="6"/>
      <c r="E95" s="6"/>
      <c r="F95" s="6"/>
      <c r="G95" s="6"/>
      <c r="H95" s="6"/>
      <c r="I95" s="6"/>
      <c r="J95" s="6"/>
      <c r="K95" s="6"/>
      <c r="L95" s="6"/>
    </row>
    <row r="96" spans="2:12" x14ac:dyDescent="0.25">
      <c r="B96" s="6"/>
      <c r="D96" s="6"/>
      <c r="E96" s="6"/>
      <c r="F96" s="6"/>
      <c r="G96" s="6"/>
      <c r="H96" s="6"/>
      <c r="I96" s="6"/>
      <c r="J96" s="6"/>
      <c r="K96" s="6"/>
      <c r="L96" s="6"/>
    </row>
    <row r="97" spans="2:12" x14ac:dyDescent="0.25">
      <c r="B97" s="6"/>
      <c r="D97" s="6"/>
      <c r="E97" s="6"/>
      <c r="F97" s="6"/>
      <c r="G97" s="6"/>
      <c r="H97" s="6"/>
      <c r="I97" s="6"/>
      <c r="J97" s="6"/>
      <c r="K97" s="6"/>
      <c r="L97" s="6"/>
    </row>
    <row r="98" spans="2:12" x14ac:dyDescent="0.25">
      <c r="B98" s="6"/>
      <c r="D98" s="6"/>
      <c r="E98" s="6"/>
      <c r="F98" s="6"/>
      <c r="G98" s="6"/>
      <c r="H98" s="6"/>
      <c r="I98" s="6"/>
      <c r="J98" s="6"/>
      <c r="K98" s="6"/>
      <c r="L98" s="6"/>
    </row>
    <row r="99" spans="2:12" x14ac:dyDescent="0.25">
      <c r="B99" s="6"/>
      <c r="D99" s="6"/>
      <c r="E99" s="6"/>
      <c r="F99" s="6"/>
      <c r="G99" s="6"/>
      <c r="H99" s="6"/>
      <c r="I99" s="6"/>
      <c r="J99" s="6"/>
      <c r="K99" s="6"/>
      <c r="L99" s="6"/>
    </row>
    <row r="100" spans="2:12" x14ac:dyDescent="0.25">
      <c r="B100" s="6"/>
      <c r="D100" s="6"/>
      <c r="E100" s="6"/>
      <c r="F100" s="6"/>
      <c r="G100" s="6"/>
      <c r="H100" s="6"/>
      <c r="I100" s="6"/>
      <c r="J100" s="6"/>
      <c r="K100" s="6"/>
      <c r="L100" s="6"/>
    </row>
    <row r="101" spans="2:12" x14ac:dyDescent="0.25">
      <c r="B101" s="6"/>
      <c r="D101" s="6"/>
      <c r="E101" s="6"/>
      <c r="F101" s="6"/>
      <c r="G101" s="6"/>
      <c r="H101" s="6"/>
      <c r="I101" s="6"/>
      <c r="J101" s="6"/>
      <c r="K101" s="6"/>
      <c r="L101" s="6"/>
    </row>
    <row r="102" spans="2:12" x14ac:dyDescent="0.25">
      <c r="B102" s="6"/>
      <c r="D102" s="6"/>
      <c r="E102" s="6"/>
      <c r="F102" s="6"/>
      <c r="G102" s="6"/>
      <c r="H102" s="6"/>
      <c r="I102" s="6"/>
      <c r="J102" s="6"/>
      <c r="K102" s="6"/>
      <c r="L102" s="6"/>
    </row>
    <row r="103" spans="2:12" x14ac:dyDescent="0.25">
      <c r="B103" s="6"/>
      <c r="D103" s="6"/>
      <c r="E103" s="6"/>
      <c r="F103" s="6"/>
      <c r="G103" s="6"/>
      <c r="H103" s="6"/>
      <c r="I103" s="6"/>
      <c r="J103" s="6"/>
      <c r="K103" s="6"/>
      <c r="L103" s="6"/>
    </row>
    <row r="104" spans="2:12" x14ac:dyDescent="0.25">
      <c r="B104" s="6"/>
      <c r="D104" s="6"/>
      <c r="E104" s="6"/>
      <c r="F104" s="6"/>
      <c r="G104" s="6"/>
      <c r="H104" s="6"/>
      <c r="I104" s="6"/>
      <c r="J104" s="6"/>
      <c r="K104" s="6"/>
      <c r="L104" s="6"/>
    </row>
    <row r="105" spans="2:12" x14ac:dyDescent="0.25">
      <c r="B105" s="6"/>
      <c r="D105" s="6"/>
      <c r="E105" s="6"/>
      <c r="F105" s="6"/>
      <c r="G105" s="6"/>
      <c r="H105" s="6"/>
      <c r="I105" s="6"/>
      <c r="J105" s="6"/>
      <c r="K105" s="6"/>
      <c r="L105" s="6"/>
    </row>
    <row r="106" spans="2:12" x14ac:dyDescent="0.25">
      <c r="B106" s="6"/>
      <c r="D106" s="6"/>
      <c r="E106" s="6"/>
      <c r="F106" s="6"/>
      <c r="G106" s="6"/>
      <c r="H106" s="6"/>
      <c r="I106" s="6"/>
      <c r="J106" s="6"/>
      <c r="K106" s="6"/>
      <c r="L106" s="6"/>
    </row>
    <row r="107" spans="2:12" x14ac:dyDescent="0.25">
      <c r="B107" s="6"/>
      <c r="D107" s="6"/>
      <c r="E107" s="6"/>
      <c r="F107" s="6"/>
      <c r="G107" s="6"/>
      <c r="H107" s="6"/>
      <c r="I107" s="6"/>
      <c r="J107" s="6"/>
      <c r="K107" s="6"/>
      <c r="L107" s="6"/>
    </row>
    <row r="108" spans="2:12" x14ac:dyDescent="0.25">
      <c r="B108" s="6"/>
      <c r="D108" s="6"/>
      <c r="E108" s="6"/>
      <c r="F108" s="6"/>
      <c r="G108" s="6"/>
      <c r="H108" s="6"/>
      <c r="I108" s="6"/>
      <c r="J108" s="6"/>
      <c r="K108" s="6"/>
      <c r="L108" s="6"/>
    </row>
    <row r="109" spans="2:12" x14ac:dyDescent="0.25">
      <c r="B109" s="6"/>
      <c r="D109" s="6"/>
      <c r="E109" s="6"/>
      <c r="F109" s="6"/>
      <c r="G109" s="6"/>
      <c r="H109" s="6"/>
      <c r="I109" s="6"/>
      <c r="J109" s="6"/>
      <c r="K109" s="6"/>
      <c r="L109" s="6"/>
    </row>
    <row r="110" spans="2:12" x14ac:dyDescent="0.25">
      <c r="B110" s="6"/>
      <c r="D110" s="6"/>
      <c r="E110" s="6"/>
      <c r="F110" s="6"/>
      <c r="G110" s="6"/>
      <c r="H110" s="6"/>
      <c r="I110" s="6"/>
      <c r="J110" s="6"/>
      <c r="K110" s="6"/>
      <c r="L110" s="6"/>
    </row>
    <row r="111" spans="2:12" x14ac:dyDescent="0.25">
      <c r="B111" s="6"/>
      <c r="D111" s="6"/>
      <c r="E111" s="6"/>
      <c r="F111" s="6"/>
      <c r="G111" s="6"/>
      <c r="H111" s="6"/>
      <c r="I111" s="6"/>
      <c r="J111" s="6"/>
      <c r="K111" s="6"/>
      <c r="L111" s="6"/>
    </row>
    <row r="112" spans="2:12" x14ac:dyDescent="0.25">
      <c r="B112" s="6"/>
      <c r="D112" s="6"/>
      <c r="E112" s="6"/>
      <c r="F112" s="6"/>
      <c r="G112" s="6"/>
      <c r="H112" s="6"/>
      <c r="I112" s="6"/>
      <c r="J112" s="6"/>
      <c r="K112" s="6"/>
      <c r="L112" s="6"/>
    </row>
    <row r="113" spans="2:12" x14ac:dyDescent="0.25">
      <c r="B113" s="6"/>
      <c r="D113" s="6"/>
      <c r="E113" s="6"/>
      <c r="F113" s="6"/>
      <c r="G113" s="6"/>
      <c r="H113" s="6"/>
      <c r="I113" s="6"/>
      <c r="J113" s="6"/>
      <c r="K113" s="6"/>
      <c r="L113" s="6"/>
    </row>
    <row r="114" spans="2:12" x14ac:dyDescent="0.25">
      <c r="B114" s="6"/>
      <c r="D114" s="6"/>
      <c r="E114" s="6"/>
      <c r="F114" s="6"/>
      <c r="G114" s="6"/>
      <c r="H114" s="6"/>
      <c r="I114" s="6"/>
      <c r="J114" s="6"/>
      <c r="K114" s="6"/>
      <c r="L114" s="6"/>
    </row>
    <row r="115" spans="2:12" x14ac:dyDescent="0.25">
      <c r="B115" s="6"/>
      <c r="D115" s="6"/>
      <c r="E115" s="6"/>
      <c r="F115" s="6"/>
      <c r="G115" s="6"/>
      <c r="H115" s="6"/>
      <c r="I115" s="6"/>
      <c r="J115" s="6"/>
      <c r="K115" s="6"/>
      <c r="L115" s="6"/>
    </row>
    <row r="116" spans="2:12" x14ac:dyDescent="0.25">
      <c r="B116" s="6"/>
      <c r="D116" s="6"/>
      <c r="E116" s="6"/>
      <c r="F116" s="6"/>
      <c r="G116" s="6"/>
      <c r="H116" s="6"/>
      <c r="I116" s="6"/>
      <c r="J116" s="6"/>
      <c r="K116" s="6"/>
      <c r="L116" s="6"/>
    </row>
    <row r="117" spans="2:12" x14ac:dyDescent="0.25">
      <c r="B117" s="6"/>
      <c r="D117" s="6"/>
      <c r="E117" s="6"/>
      <c r="F117" s="6"/>
      <c r="G117" s="6"/>
      <c r="H117" s="6"/>
      <c r="I117" s="6"/>
      <c r="J117" s="6"/>
      <c r="K117" s="6"/>
      <c r="L117" s="6"/>
    </row>
    <row r="118" spans="2:12" x14ac:dyDescent="0.25">
      <c r="B118" s="6"/>
      <c r="D118" s="6"/>
      <c r="E118" s="6"/>
      <c r="F118" s="6"/>
      <c r="G118" s="6"/>
      <c r="H118" s="6"/>
      <c r="I118" s="6"/>
      <c r="J118" s="6"/>
      <c r="K118" s="6"/>
      <c r="L118" s="6"/>
    </row>
    <row r="119" spans="2:12" x14ac:dyDescent="0.25">
      <c r="B119" s="6"/>
      <c r="D119" s="6"/>
      <c r="E119" s="6"/>
      <c r="F119" s="6"/>
      <c r="G119" s="6"/>
      <c r="H119" s="6"/>
      <c r="I119" s="6"/>
      <c r="J119" s="6"/>
      <c r="K119" s="6"/>
      <c r="L119" s="6"/>
    </row>
    <row r="120" spans="2:12" x14ac:dyDescent="0.25">
      <c r="B120" s="6"/>
      <c r="D120" s="6"/>
      <c r="E120" s="6"/>
      <c r="F120" s="6"/>
      <c r="G120" s="6"/>
      <c r="H120" s="6"/>
      <c r="I120" s="6"/>
      <c r="J120" s="6"/>
      <c r="K120" s="6"/>
      <c r="L120" s="6"/>
    </row>
    <row r="121" spans="2:12" x14ac:dyDescent="0.25">
      <c r="B121" s="6"/>
      <c r="D121" s="6"/>
      <c r="E121" s="6"/>
      <c r="F121" s="6"/>
      <c r="G121" s="6"/>
      <c r="H121" s="6"/>
      <c r="I121" s="6"/>
      <c r="J121" s="6"/>
      <c r="K121" s="6"/>
      <c r="L121" s="6"/>
    </row>
    <row r="122" spans="2:12" x14ac:dyDescent="0.25">
      <c r="B122" s="6"/>
      <c r="D122" s="6"/>
      <c r="E122" s="6"/>
      <c r="F122" s="6"/>
      <c r="G122" s="6"/>
      <c r="H122" s="6"/>
      <c r="I122" s="6"/>
      <c r="J122" s="6"/>
      <c r="K122" s="6"/>
      <c r="L122" s="6"/>
    </row>
    <row r="123" spans="2:12" x14ac:dyDescent="0.25">
      <c r="B123" s="6"/>
      <c r="D123" s="6"/>
      <c r="E123" s="6"/>
      <c r="F123" s="6"/>
      <c r="G123" s="6"/>
      <c r="H123" s="6"/>
      <c r="I123" s="6"/>
      <c r="J123" s="6"/>
      <c r="K123" s="6"/>
      <c r="L123" s="6"/>
    </row>
    <row r="124" spans="2:12" x14ac:dyDescent="0.25">
      <c r="B124" s="6"/>
      <c r="D124" s="6"/>
      <c r="E124" s="6"/>
      <c r="F124" s="6"/>
      <c r="G124" s="6"/>
      <c r="H124" s="6"/>
      <c r="I124" s="6"/>
      <c r="J124" s="6"/>
      <c r="K124" s="6"/>
      <c r="L124" s="6"/>
    </row>
    <row r="125" spans="2:12" x14ac:dyDescent="0.25">
      <c r="B125" s="6"/>
      <c r="D125" s="6"/>
      <c r="E125" s="6"/>
      <c r="F125" s="6"/>
      <c r="G125" s="6"/>
      <c r="H125" s="6"/>
      <c r="I125" s="6"/>
      <c r="J125" s="6"/>
      <c r="K125" s="6"/>
      <c r="L125" s="6"/>
    </row>
    <row r="126" spans="2:12" x14ac:dyDescent="0.25">
      <c r="B126" s="6"/>
      <c r="D126" s="6"/>
      <c r="E126" s="6"/>
      <c r="F126" s="6"/>
      <c r="G126" s="6"/>
      <c r="H126" s="6"/>
      <c r="I126" s="6"/>
      <c r="J126" s="6"/>
      <c r="K126" s="6"/>
      <c r="L126" s="6"/>
    </row>
    <row r="127" spans="2:12" x14ac:dyDescent="0.25">
      <c r="B127" s="6"/>
      <c r="D127" s="6"/>
      <c r="E127" s="6"/>
      <c r="F127" s="6"/>
      <c r="G127" s="6"/>
      <c r="H127" s="6"/>
      <c r="I127" s="6"/>
      <c r="J127" s="6"/>
      <c r="K127" s="6"/>
      <c r="L127" s="6"/>
    </row>
    <row r="128" spans="2:12" x14ac:dyDescent="0.25">
      <c r="B128" s="6"/>
      <c r="D128" s="6"/>
      <c r="E128" s="6"/>
      <c r="F128" s="6"/>
      <c r="G128" s="6"/>
      <c r="H128" s="6"/>
      <c r="I128" s="6"/>
      <c r="J128" s="6"/>
      <c r="K128" s="6"/>
      <c r="L128" s="6"/>
    </row>
    <row r="129" spans="2:12" x14ac:dyDescent="0.25">
      <c r="B129" s="6"/>
      <c r="D129" s="6"/>
      <c r="E129" s="6"/>
      <c r="F129" s="6"/>
      <c r="G129" s="6"/>
      <c r="H129" s="6"/>
      <c r="I129" s="6"/>
      <c r="J129" s="6"/>
      <c r="K129" s="6"/>
      <c r="L129" s="6"/>
    </row>
    <row r="130" spans="2:12" x14ac:dyDescent="0.25">
      <c r="B130" s="6"/>
      <c r="D130" s="6"/>
      <c r="E130" s="6"/>
      <c r="F130" s="6"/>
      <c r="G130" s="6"/>
      <c r="H130" s="6"/>
      <c r="I130" s="6"/>
      <c r="J130" s="6"/>
      <c r="K130" s="6"/>
      <c r="L130" s="6"/>
    </row>
    <row r="131" spans="2:12" x14ac:dyDescent="0.25">
      <c r="B131" s="6"/>
      <c r="D131" s="6"/>
      <c r="E131" s="6"/>
      <c r="F131" s="6"/>
      <c r="G131" s="6"/>
      <c r="H131" s="6"/>
      <c r="I131" s="6"/>
      <c r="J131" s="6"/>
      <c r="K131" s="6"/>
      <c r="L131" s="6"/>
    </row>
    <row r="132" spans="2:12" x14ac:dyDescent="0.25">
      <c r="B132" s="6"/>
      <c r="D132" s="6"/>
      <c r="E132" s="6"/>
      <c r="F132" s="6"/>
      <c r="G132" s="6"/>
      <c r="H132" s="6"/>
      <c r="I132" s="6"/>
      <c r="J132" s="6"/>
      <c r="K132" s="6"/>
      <c r="L132" s="6"/>
    </row>
    <row r="133" spans="2:12" x14ac:dyDescent="0.25">
      <c r="B133" s="6"/>
      <c r="D133" s="6"/>
      <c r="E133" s="6"/>
      <c r="F133" s="6"/>
      <c r="G133" s="6"/>
      <c r="H133" s="6"/>
      <c r="I133" s="6"/>
      <c r="J133" s="6"/>
      <c r="K133" s="6"/>
      <c r="L133" s="6"/>
    </row>
    <row r="134" spans="2:12" x14ac:dyDescent="0.25">
      <c r="B134" s="6"/>
      <c r="D134" s="6"/>
      <c r="E134" s="6"/>
      <c r="F134" s="6"/>
      <c r="G134" s="6"/>
      <c r="H134" s="6"/>
      <c r="I134" s="6"/>
      <c r="J134" s="6"/>
      <c r="K134" s="6"/>
      <c r="L134" s="6"/>
    </row>
    <row r="135" spans="2:12" x14ac:dyDescent="0.25">
      <c r="B135" s="6"/>
      <c r="D135" s="6"/>
      <c r="E135" s="6"/>
      <c r="F135" s="6"/>
      <c r="G135" s="6"/>
      <c r="H135" s="6"/>
      <c r="I135" s="6"/>
      <c r="J135" s="6"/>
      <c r="K135" s="6"/>
      <c r="L135" s="6"/>
    </row>
    <row r="136" spans="2:12" x14ac:dyDescent="0.25">
      <c r="B136" s="6"/>
      <c r="D136" s="6"/>
      <c r="E136" s="6"/>
      <c r="F136" s="6"/>
      <c r="G136" s="6"/>
      <c r="H136" s="6"/>
      <c r="I136" s="6"/>
      <c r="J136" s="6"/>
      <c r="K136" s="6"/>
      <c r="L136" s="6"/>
    </row>
    <row r="137" spans="2:12" x14ac:dyDescent="0.25">
      <c r="B137" s="6"/>
      <c r="D137" s="6"/>
      <c r="E137" s="6"/>
      <c r="F137" s="6"/>
      <c r="G137" s="6"/>
      <c r="H137" s="6"/>
      <c r="I137" s="6"/>
      <c r="J137" s="6"/>
      <c r="K137" s="6"/>
      <c r="L137" s="6"/>
    </row>
    <row r="138" spans="2:12" x14ac:dyDescent="0.25">
      <c r="B138" s="6"/>
      <c r="D138" s="6"/>
      <c r="E138" s="6"/>
      <c r="F138" s="6"/>
      <c r="G138" s="6"/>
      <c r="H138" s="6"/>
      <c r="I138" s="6"/>
      <c r="J138" s="6"/>
      <c r="K138" s="6"/>
      <c r="L138" s="6"/>
    </row>
    <row r="139" spans="2:12" x14ac:dyDescent="0.25">
      <c r="B139" s="6"/>
      <c r="D139" s="6"/>
      <c r="E139" s="6"/>
      <c r="F139" s="6"/>
      <c r="G139" s="6"/>
      <c r="H139" s="6"/>
      <c r="I139" s="6"/>
      <c r="J139" s="6"/>
      <c r="K139" s="6"/>
      <c r="L139" s="6"/>
    </row>
    <row r="140" spans="2:12" x14ac:dyDescent="0.25">
      <c r="B140" s="6"/>
      <c r="D140" s="6"/>
      <c r="E140" s="6"/>
      <c r="F140" s="6"/>
      <c r="G140" s="6"/>
      <c r="H140" s="6"/>
      <c r="I140" s="6"/>
      <c r="J140" s="6"/>
      <c r="K140" s="6"/>
      <c r="L140" s="6"/>
    </row>
    <row r="141" spans="2:12" x14ac:dyDescent="0.25">
      <c r="B141" s="6"/>
      <c r="D141" s="6"/>
      <c r="E141" s="6"/>
      <c r="F141" s="6"/>
      <c r="G141" s="6"/>
      <c r="H141" s="6"/>
      <c r="I141" s="6"/>
      <c r="J141" s="6"/>
      <c r="K141" s="6"/>
      <c r="L141" s="6"/>
    </row>
    <row r="142" spans="2:12" x14ac:dyDescent="0.25">
      <c r="B142" s="6"/>
      <c r="D142" s="6"/>
      <c r="E142" s="6"/>
      <c r="F142" s="6"/>
      <c r="G142" s="6"/>
      <c r="H142" s="6"/>
      <c r="I142" s="6"/>
      <c r="J142" s="6"/>
      <c r="K142" s="6"/>
      <c r="L142" s="6"/>
    </row>
    <row r="143" spans="2:12" x14ac:dyDescent="0.25">
      <c r="B143" s="6"/>
      <c r="D143" s="6"/>
      <c r="E143" s="6"/>
      <c r="F143" s="6"/>
      <c r="G143" s="6"/>
      <c r="H143" s="6"/>
      <c r="I143" s="6"/>
      <c r="J143" s="6"/>
      <c r="K143" s="6"/>
      <c r="L143" s="6"/>
    </row>
    <row r="144" spans="2:12" x14ac:dyDescent="0.25">
      <c r="B144" s="6"/>
      <c r="D144" s="6"/>
      <c r="E144" s="6"/>
      <c r="F144" s="6"/>
      <c r="G144" s="6"/>
      <c r="H144" s="6"/>
      <c r="I144" s="6"/>
      <c r="J144" s="6"/>
      <c r="K144" s="6"/>
      <c r="L144" s="6"/>
    </row>
    <row r="145" spans="2:12" x14ac:dyDescent="0.25">
      <c r="B145" s="6"/>
      <c r="D145" s="6"/>
      <c r="E145" s="6"/>
      <c r="F145" s="6"/>
      <c r="G145" s="6"/>
      <c r="H145" s="6"/>
      <c r="I145" s="6"/>
      <c r="J145" s="6"/>
      <c r="K145" s="6"/>
      <c r="L145" s="6"/>
    </row>
    <row r="146" spans="2:12" x14ac:dyDescent="0.25">
      <c r="B146" s="6"/>
      <c r="D146" s="6"/>
      <c r="E146" s="6"/>
      <c r="F146" s="6"/>
      <c r="G146" s="6"/>
      <c r="H146" s="6"/>
      <c r="I146" s="6"/>
      <c r="J146" s="6"/>
      <c r="K146" s="6"/>
      <c r="L146" s="6"/>
    </row>
    <row r="147" spans="2:12" x14ac:dyDescent="0.25">
      <c r="B147" s="6"/>
      <c r="D147" s="6"/>
      <c r="E147" s="6"/>
      <c r="F147" s="6"/>
      <c r="G147" s="6"/>
      <c r="H147" s="6"/>
      <c r="I147" s="6"/>
      <c r="J147" s="6"/>
      <c r="K147" s="6"/>
      <c r="L147" s="6"/>
    </row>
    <row r="148" spans="2:12" x14ac:dyDescent="0.25">
      <c r="B148" s="6"/>
      <c r="D148" s="6"/>
      <c r="E148" s="6"/>
      <c r="F148" s="6"/>
      <c r="G148" s="6"/>
      <c r="H148" s="6"/>
      <c r="I148" s="6"/>
      <c r="J148" s="6"/>
      <c r="K148" s="6"/>
      <c r="L148" s="6"/>
    </row>
    <row r="149" spans="2:12" x14ac:dyDescent="0.25">
      <c r="B149" s="6"/>
      <c r="D149" s="6"/>
      <c r="E149" s="6"/>
      <c r="F149" s="6"/>
      <c r="G149" s="6"/>
      <c r="H149" s="6"/>
      <c r="I149" s="6"/>
      <c r="J149" s="6"/>
      <c r="K149" s="6"/>
      <c r="L149" s="6"/>
    </row>
    <row r="150" spans="2:12" x14ac:dyDescent="0.25">
      <c r="B150" s="6"/>
      <c r="D150" s="6"/>
      <c r="E150" s="6"/>
      <c r="F150" s="6"/>
      <c r="G150" s="6"/>
      <c r="H150" s="6"/>
      <c r="I150" s="6"/>
      <c r="J150" s="6"/>
      <c r="K150" s="6"/>
      <c r="L150" s="6"/>
    </row>
    <row r="151" spans="2:12" x14ac:dyDescent="0.25">
      <c r="B151" s="6"/>
      <c r="D151" s="6"/>
      <c r="E151" s="6"/>
      <c r="F151" s="6"/>
      <c r="G151" s="6"/>
      <c r="H151" s="6"/>
      <c r="I151" s="6"/>
      <c r="J151" s="6"/>
      <c r="K151" s="6"/>
      <c r="L151" s="6"/>
    </row>
    <row r="152" spans="2:12" x14ac:dyDescent="0.25">
      <c r="B152" s="6"/>
      <c r="D152" s="6"/>
      <c r="E152" s="6"/>
      <c r="F152" s="6"/>
      <c r="G152" s="6"/>
      <c r="H152" s="6"/>
      <c r="I152" s="6"/>
      <c r="J152" s="6"/>
      <c r="K152" s="6"/>
      <c r="L152" s="6"/>
    </row>
    <row r="153" spans="2:12" x14ac:dyDescent="0.25">
      <c r="B153" s="6"/>
      <c r="D153" s="6"/>
      <c r="E153" s="6"/>
      <c r="F153" s="6"/>
      <c r="G153" s="6"/>
      <c r="H153" s="6"/>
      <c r="I153" s="6"/>
      <c r="J153" s="6"/>
      <c r="K153" s="6"/>
      <c r="L153" s="6"/>
    </row>
    <row r="154" spans="2:12" x14ac:dyDescent="0.25">
      <c r="B154" s="6"/>
      <c r="D154" s="6"/>
      <c r="E154" s="6"/>
      <c r="F154" s="6"/>
      <c r="G154" s="6"/>
      <c r="H154" s="6"/>
      <c r="I154" s="6"/>
      <c r="J154" s="6"/>
      <c r="K154" s="6"/>
      <c r="L154" s="6"/>
    </row>
    <row r="155" spans="2:12" x14ac:dyDescent="0.25">
      <c r="B155" s="6"/>
      <c r="D155" s="6"/>
      <c r="E155" s="6"/>
      <c r="F155" s="6"/>
      <c r="G155" s="6"/>
      <c r="H155" s="6"/>
      <c r="I155" s="6"/>
      <c r="J155" s="6"/>
      <c r="K155" s="6"/>
      <c r="L155" s="6"/>
    </row>
    <row r="156" spans="2:12" x14ac:dyDescent="0.25">
      <c r="B156" s="6"/>
      <c r="D156" s="6"/>
      <c r="E156" s="6"/>
      <c r="F156" s="6"/>
      <c r="G156" s="6"/>
      <c r="H156" s="6"/>
      <c r="I156" s="6"/>
      <c r="J156" s="6"/>
      <c r="K156" s="6"/>
      <c r="L156" s="6"/>
    </row>
    <row r="157" spans="2:12" x14ac:dyDescent="0.25">
      <c r="B157" s="6"/>
      <c r="D157" s="6"/>
      <c r="E157" s="6"/>
      <c r="F157" s="6"/>
      <c r="G157" s="6"/>
      <c r="H157" s="6"/>
      <c r="I157" s="6"/>
      <c r="J157" s="6"/>
      <c r="K157" s="6"/>
      <c r="L157" s="6"/>
    </row>
    <row r="158" spans="2:12" x14ac:dyDescent="0.25">
      <c r="B158" s="6"/>
      <c r="D158" s="6"/>
      <c r="E158" s="6"/>
      <c r="F158" s="6"/>
      <c r="G158" s="6"/>
      <c r="H158" s="6"/>
      <c r="I158" s="6"/>
      <c r="J158" s="6"/>
      <c r="K158" s="6"/>
      <c r="L158" s="6"/>
    </row>
    <row r="159" spans="2:12" x14ac:dyDescent="0.25">
      <c r="B159" s="6"/>
      <c r="D159" s="6"/>
      <c r="E159" s="6"/>
      <c r="F159" s="6"/>
      <c r="G159" s="6"/>
      <c r="H159" s="6"/>
      <c r="I159" s="6"/>
      <c r="J159" s="6"/>
      <c r="K159" s="6"/>
      <c r="L159" s="6"/>
    </row>
    <row r="160" spans="2:12" x14ac:dyDescent="0.25">
      <c r="B160" s="6"/>
      <c r="D160" s="6"/>
      <c r="E160" s="6"/>
      <c r="F160" s="6"/>
      <c r="G160" s="6"/>
      <c r="H160" s="6"/>
      <c r="I160" s="6"/>
      <c r="J160" s="6"/>
      <c r="K160" s="6"/>
      <c r="L160" s="6"/>
    </row>
    <row r="161" spans="2:12" x14ac:dyDescent="0.25">
      <c r="B161" s="6"/>
      <c r="D161" s="6"/>
      <c r="E161" s="6"/>
      <c r="F161" s="6"/>
      <c r="G161" s="6"/>
      <c r="H161" s="6"/>
      <c r="I161" s="6"/>
      <c r="J161" s="6"/>
      <c r="K161" s="6"/>
      <c r="L161" s="6"/>
    </row>
    <row r="162" spans="2:12" x14ac:dyDescent="0.25">
      <c r="B162" s="6"/>
      <c r="D162" s="6"/>
      <c r="E162" s="6"/>
      <c r="F162" s="6"/>
      <c r="G162" s="6"/>
      <c r="H162" s="6"/>
      <c r="I162" s="6"/>
      <c r="J162" s="6"/>
      <c r="K162" s="6"/>
      <c r="L162" s="6"/>
    </row>
    <row r="163" spans="2:12" x14ac:dyDescent="0.25">
      <c r="B163" s="6"/>
      <c r="D163" s="6"/>
      <c r="E163" s="6"/>
      <c r="F163" s="6"/>
      <c r="G163" s="6"/>
      <c r="H163" s="6"/>
      <c r="I163" s="6"/>
      <c r="J163" s="6"/>
      <c r="K163" s="6"/>
      <c r="L163" s="6"/>
    </row>
    <row r="164" spans="2:12" x14ac:dyDescent="0.25">
      <c r="B164" s="6"/>
      <c r="D164" s="6"/>
      <c r="E164" s="6"/>
      <c r="F164" s="6"/>
      <c r="G164" s="6"/>
      <c r="H164" s="6"/>
      <c r="I164" s="6"/>
      <c r="J164" s="6"/>
      <c r="K164" s="6"/>
      <c r="L164" s="6"/>
    </row>
    <row r="165" spans="2:12" x14ac:dyDescent="0.25">
      <c r="B165" s="6"/>
      <c r="D165" s="6"/>
      <c r="E165" s="6"/>
      <c r="F165" s="6"/>
      <c r="G165" s="6"/>
      <c r="H165" s="6"/>
      <c r="I165" s="6"/>
      <c r="J165" s="6"/>
      <c r="K165" s="6"/>
      <c r="L165" s="6"/>
    </row>
    <row r="166" spans="2:12" x14ac:dyDescent="0.25">
      <c r="B166" s="6"/>
      <c r="D166" s="6"/>
      <c r="E166" s="6"/>
      <c r="F166" s="6"/>
      <c r="G166" s="6"/>
      <c r="H166" s="6"/>
      <c r="I166" s="6"/>
      <c r="J166" s="6"/>
      <c r="K166" s="6"/>
      <c r="L166" s="6"/>
    </row>
    <row r="167" spans="2:12" x14ac:dyDescent="0.25">
      <c r="B167" s="6"/>
      <c r="D167" s="6"/>
      <c r="E167" s="6"/>
      <c r="F167" s="6"/>
      <c r="G167" s="6"/>
      <c r="H167" s="6"/>
      <c r="I167" s="6"/>
      <c r="J167" s="6"/>
      <c r="K167" s="6"/>
      <c r="L167" s="6"/>
    </row>
    <row r="168" spans="2:12" x14ac:dyDescent="0.25">
      <c r="B168" s="6"/>
      <c r="D168" s="6"/>
      <c r="E168" s="6"/>
      <c r="F168" s="6"/>
      <c r="G168" s="6"/>
      <c r="H168" s="6"/>
      <c r="I168" s="6"/>
      <c r="J168" s="6"/>
      <c r="K168" s="6"/>
      <c r="L168" s="6"/>
    </row>
    <row r="169" spans="2:12" x14ac:dyDescent="0.25">
      <c r="B169" s="6"/>
      <c r="D169" s="6"/>
      <c r="E169" s="6"/>
      <c r="F169" s="6"/>
      <c r="G169" s="6"/>
      <c r="H169" s="6"/>
      <c r="I169" s="6"/>
      <c r="J169" s="6"/>
      <c r="K169" s="6"/>
      <c r="L169" s="6"/>
    </row>
    <row r="170" spans="2:12" x14ac:dyDescent="0.25">
      <c r="B170" s="6"/>
      <c r="D170" s="6"/>
      <c r="E170" s="6"/>
      <c r="F170" s="6"/>
      <c r="G170" s="6"/>
      <c r="H170" s="6"/>
      <c r="I170" s="6"/>
      <c r="J170" s="6"/>
      <c r="K170" s="6"/>
      <c r="L170" s="6"/>
    </row>
    <row r="171" spans="2:12" x14ac:dyDescent="0.25">
      <c r="B171" s="6"/>
      <c r="D171" s="6"/>
      <c r="E171" s="6"/>
      <c r="F171" s="6"/>
      <c r="G171" s="6"/>
      <c r="H171" s="6"/>
      <c r="I171" s="6"/>
      <c r="J171" s="6"/>
      <c r="K171" s="6"/>
      <c r="L171" s="6"/>
    </row>
    <row r="172" spans="2:12" x14ac:dyDescent="0.25">
      <c r="B172" s="6"/>
      <c r="D172" s="6"/>
      <c r="E172" s="6"/>
      <c r="F172" s="6"/>
      <c r="G172" s="6"/>
      <c r="H172" s="6"/>
      <c r="I172" s="6"/>
      <c r="J172" s="6"/>
      <c r="K172" s="6"/>
      <c r="L172" s="6"/>
    </row>
    <row r="173" spans="2:12" x14ac:dyDescent="0.25">
      <c r="B173" s="6"/>
      <c r="D173" s="6"/>
      <c r="E173" s="6"/>
      <c r="F173" s="6"/>
      <c r="G173" s="6"/>
      <c r="H173" s="6"/>
      <c r="I173" s="6"/>
      <c r="J173" s="6"/>
      <c r="K173" s="6"/>
      <c r="L173" s="6"/>
    </row>
    <row r="174" spans="2:12" x14ac:dyDescent="0.25">
      <c r="B174" s="6"/>
      <c r="D174" s="6"/>
      <c r="E174" s="6"/>
      <c r="F174" s="6"/>
      <c r="G174" s="6"/>
      <c r="H174" s="6"/>
      <c r="I174" s="6"/>
      <c r="J174" s="6"/>
      <c r="K174" s="6"/>
      <c r="L174" s="6"/>
    </row>
    <row r="175" spans="2:12" x14ac:dyDescent="0.25">
      <c r="B175" s="6"/>
      <c r="D175" s="6"/>
      <c r="E175" s="6"/>
      <c r="F175" s="6"/>
      <c r="G175" s="6"/>
      <c r="H175" s="6"/>
      <c r="I175" s="6"/>
      <c r="J175" s="6"/>
      <c r="K175" s="6"/>
      <c r="L175" s="6"/>
    </row>
    <row r="176" spans="2:12" x14ac:dyDescent="0.25">
      <c r="B176" s="6"/>
      <c r="D176" s="6"/>
      <c r="E176" s="6"/>
      <c r="F176" s="6"/>
      <c r="G176" s="6"/>
      <c r="H176" s="6"/>
      <c r="I176" s="6"/>
      <c r="J176" s="6"/>
      <c r="K176" s="6"/>
      <c r="L176" s="6"/>
    </row>
    <row r="177" spans="2:12" x14ac:dyDescent="0.25">
      <c r="B177" s="6"/>
      <c r="D177" s="6"/>
      <c r="E177" s="6"/>
      <c r="F177" s="6"/>
      <c r="G177" s="6"/>
      <c r="H177" s="6"/>
      <c r="I177" s="6"/>
      <c r="J177" s="6"/>
      <c r="K177" s="6"/>
      <c r="L177" s="6"/>
    </row>
    <row r="178" spans="2:12" x14ac:dyDescent="0.25">
      <c r="B178" s="6"/>
      <c r="D178" s="6"/>
      <c r="E178" s="6"/>
      <c r="F178" s="6"/>
      <c r="G178" s="6"/>
      <c r="H178" s="6"/>
      <c r="I178" s="6"/>
      <c r="J178" s="6"/>
      <c r="K178" s="6"/>
      <c r="L178" s="6"/>
    </row>
    <row r="179" spans="2:12" x14ac:dyDescent="0.25">
      <c r="B179" s="6"/>
      <c r="D179" s="6"/>
      <c r="E179" s="6"/>
      <c r="F179" s="6"/>
      <c r="G179" s="6"/>
      <c r="H179" s="6"/>
      <c r="I179" s="6"/>
      <c r="J179" s="6"/>
      <c r="K179" s="6"/>
      <c r="L179" s="6"/>
    </row>
    <row r="180" spans="2:12" x14ac:dyDescent="0.25">
      <c r="B180" s="6"/>
      <c r="D180" s="6"/>
      <c r="E180" s="6"/>
      <c r="F180" s="6"/>
      <c r="G180" s="6"/>
      <c r="H180" s="6"/>
      <c r="I180" s="6"/>
      <c r="J180" s="6"/>
      <c r="K180" s="6"/>
      <c r="L180" s="6"/>
    </row>
    <row r="181" spans="2:12" x14ac:dyDescent="0.25">
      <c r="B181" s="6"/>
      <c r="D181" s="6"/>
      <c r="E181" s="6"/>
      <c r="F181" s="6"/>
      <c r="G181" s="6"/>
      <c r="H181" s="6"/>
      <c r="I181" s="6"/>
      <c r="J181" s="6"/>
      <c r="K181" s="6"/>
      <c r="L181" s="6"/>
    </row>
    <row r="182" spans="2:12" x14ac:dyDescent="0.25">
      <c r="B182" s="6"/>
      <c r="D182" s="6"/>
      <c r="E182" s="6"/>
      <c r="F182" s="6"/>
      <c r="G182" s="6"/>
      <c r="H182" s="6"/>
      <c r="I182" s="6"/>
      <c r="J182" s="6"/>
      <c r="K182" s="6"/>
      <c r="L182" s="6"/>
    </row>
    <row r="183" spans="2:12" x14ac:dyDescent="0.25">
      <c r="B183" s="6"/>
      <c r="D183" s="6"/>
      <c r="E183" s="6"/>
      <c r="F183" s="6"/>
      <c r="G183" s="6"/>
      <c r="H183" s="6"/>
      <c r="I183" s="6"/>
      <c r="J183" s="6"/>
      <c r="K183" s="6"/>
      <c r="L183" s="6"/>
    </row>
    <row r="184" spans="2:12" x14ac:dyDescent="0.25">
      <c r="K184" s="6"/>
      <c r="L184" s="6"/>
    </row>
  </sheetData>
  <mergeCells count="41">
    <mergeCell ref="A1:P1"/>
    <mergeCell ref="A2:P2"/>
    <mergeCell ref="A3:P3"/>
    <mergeCell ref="A4:D4"/>
    <mergeCell ref="A5:P5"/>
    <mergeCell ref="B69:F69"/>
    <mergeCell ref="D44:I44"/>
    <mergeCell ref="D45:I45"/>
    <mergeCell ref="B47:E47"/>
    <mergeCell ref="B48:B54"/>
    <mergeCell ref="B56:E56"/>
    <mergeCell ref="B57:B63"/>
    <mergeCell ref="B66:D67"/>
    <mergeCell ref="B15:B43"/>
    <mergeCell ref="D15:I15"/>
    <mergeCell ref="D22:I22"/>
    <mergeCell ref="D23:I23"/>
    <mergeCell ref="D31:I31"/>
    <mergeCell ref="D32:I32"/>
    <mergeCell ref="D33:I33"/>
    <mergeCell ref="D43:I43"/>
    <mergeCell ref="B89:B94"/>
    <mergeCell ref="B74:D74"/>
    <mergeCell ref="B76:B84"/>
    <mergeCell ref="B85:B86"/>
    <mergeCell ref="D85:D86"/>
    <mergeCell ref="B87:B88"/>
    <mergeCell ref="N24:N25"/>
    <mergeCell ref="O24:O25"/>
    <mergeCell ref="P24:P25"/>
    <mergeCell ref="K24:K25"/>
    <mergeCell ref="K39:K40"/>
    <mergeCell ref="L39:L40"/>
    <mergeCell ref="M39:M40"/>
    <mergeCell ref="L24:L25"/>
    <mergeCell ref="M24:M25"/>
    <mergeCell ref="B10:D10"/>
    <mergeCell ref="F10:S10"/>
    <mergeCell ref="F11:S11"/>
    <mergeCell ref="E12:R12"/>
    <mergeCell ref="E13:R13"/>
  </mergeCells>
  <conditionalFormatting sqref="I20">
    <cfRule type="containsErrors" dxfId="89" priority="6">
      <formula>ISERROR(I20)</formula>
    </cfRule>
  </conditionalFormatting>
  <conditionalFormatting sqref="I25">
    <cfRule type="containsText" dxfId="88" priority="5" operator="containsText" text="debe">
      <formula>NOT(ISERROR(SEARCH("debe",I25)))</formula>
    </cfRule>
  </conditionalFormatting>
  <conditionalFormatting sqref="F10">
    <cfRule type="notContainsBlanks" dxfId="87" priority="4">
      <formula>LEN(TRIM(F10))&gt;0</formula>
    </cfRule>
  </conditionalFormatting>
  <conditionalFormatting sqref="F11:S11">
    <cfRule type="expression" dxfId="86" priority="2">
      <formula>E11="NO SE REPORTA"</formula>
    </cfRule>
    <cfRule type="expression" dxfId="85" priority="3">
      <formula>E10="NO APLICA"</formula>
    </cfRule>
  </conditionalFormatting>
  <conditionalFormatting sqref="E12:R12">
    <cfRule type="expression" dxfId="84" priority="1">
      <formula>E11="SI SE REPORTA"</formula>
    </cfRule>
  </conditionalFormatting>
  <dataValidations count="6">
    <dataValidation type="whole" operator="greaterThanOrEqual" allowBlank="1" showInputMessage="1" showErrorMessage="1" errorTitle="ERROR" error="Valor en HECTAREAS (sin decimales)" sqref="L41:L45 E17:E19 E21 F35:F42 I26:I30 E25:H29" xr:uid="{00000000-0002-0000-1500-000000000000}">
      <formula1>0</formula1>
    </dataValidation>
    <dataValidation allowBlank="1" showInputMessage="1" showErrorMessage="1" promptTitle="ESTADO" prompt="en formulación_x000a_en actualización_x000a_en adopción_x000a_adoptado" sqref="G35:G42" xr:uid="{00000000-0002-0000-1500-000001000000}"/>
    <dataValidation type="whole" errorStyle="warning" operator="equal" allowBlank="1" showInputMessage="1" showErrorMessage="1" error="LA SUMA DEBE SER IGUAL A LA META CUATRIENAL" promptTitle="OJO" prompt="LA SUMA DEBE SER IGUAL A LA META CUATRIENAL" sqref="I25" xr:uid="{00000000-0002-0000-1500-000002000000}">
      <formula1>E20</formula1>
    </dataValidation>
    <dataValidation type="decimal" allowBlank="1" showInputMessage="1" showErrorMessage="1" errorTitle="ERROR" error="Escriba un valor entre 0% y 100%" sqref="L26:L29" xr:uid="{00000000-0002-0000-1500-000003000000}">
      <formula1>0</formula1>
      <formula2>1</formula2>
    </dataValidation>
    <dataValidation type="list" allowBlank="1" showInputMessage="1" showErrorMessage="1" sqref="E11" xr:uid="{00000000-0002-0000-1500-000004000000}">
      <formula1>REPORTE</formula1>
    </dataValidation>
    <dataValidation type="list" allowBlank="1" showInputMessage="1" showErrorMessage="1" sqref="E10" xr:uid="{00000000-0002-0000-1500-000005000000}">
      <formula1>SI</formula1>
    </dataValidation>
  </dataValidations>
  <hyperlinks>
    <hyperlink ref="B9" location="'ANEXO 3'!A1" display="VOLVER AL INDICE" xr:uid="{00000000-0004-0000-1500-000000000000}"/>
    <hyperlink ref="E52" r:id="rId1" xr:uid="{00000000-0004-0000-1500-000001000000}"/>
  </hyperlinks>
  <pageMargins left="0.25" right="0.25" top="0.75" bottom="0.75" header="0.3" footer="0.3"/>
  <pageSetup paperSize="178"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2"/>
  <dimension ref="A1:U190"/>
  <sheetViews>
    <sheetView showGridLines="0" topLeftCell="B37" zoomScale="70" zoomScaleNormal="70" workbookViewId="0">
      <selection activeCell="J40" sqref="J40"/>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538" customFormat="1" ht="100.5" customHeight="1" thickBot="1" x14ac:dyDescent="0.3">
      <c r="A1" s="1733"/>
      <c r="B1" s="1734"/>
      <c r="C1" s="1734"/>
      <c r="D1" s="1734"/>
      <c r="E1" s="1734"/>
      <c r="F1" s="1734"/>
      <c r="G1" s="1734"/>
      <c r="H1" s="1734"/>
      <c r="I1" s="1734"/>
      <c r="J1" s="1734"/>
      <c r="K1" s="1734"/>
      <c r="L1" s="1734"/>
      <c r="M1" s="1734"/>
      <c r="N1" s="1734"/>
      <c r="O1" s="1734"/>
      <c r="P1" s="1735"/>
      <c r="Q1" s="412"/>
      <c r="R1" s="412"/>
    </row>
    <row r="2" spans="1:21" s="539" customFormat="1" ht="16.5" thickBot="1" x14ac:dyDescent="0.3">
      <c r="A2" s="1741" t="str">
        <f>'Datos Generales'!C5</f>
        <v>Corporación Autónoma Regional de La Guajira – CORPOGUAJIRA</v>
      </c>
      <c r="B2" s="1742"/>
      <c r="C2" s="1742"/>
      <c r="D2" s="1742"/>
      <c r="E2" s="1742"/>
      <c r="F2" s="1742"/>
      <c r="G2" s="1742"/>
      <c r="H2" s="1742"/>
      <c r="I2" s="1742"/>
      <c r="J2" s="1742"/>
      <c r="K2" s="1742"/>
      <c r="L2" s="1742"/>
      <c r="M2" s="1742"/>
      <c r="N2" s="1742"/>
      <c r="O2" s="1742"/>
      <c r="P2" s="1743"/>
      <c r="Q2" s="412"/>
      <c r="R2" s="412"/>
    </row>
    <row r="3" spans="1:21" s="539" customFormat="1" ht="16.5" thickBot="1" x14ac:dyDescent="0.3">
      <c r="A3" s="1736" t="s">
        <v>1347</v>
      </c>
      <c r="B3" s="1737"/>
      <c r="C3" s="1737"/>
      <c r="D3" s="1737"/>
      <c r="E3" s="1737"/>
      <c r="F3" s="1737"/>
      <c r="G3" s="1737"/>
      <c r="H3" s="1737"/>
      <c r="I3" s="1737"/>
      <c r="J3" s="1737"/>
      <c r="K3" s="1737"/>
      <c r="L3" s="1737"/>
      <c r="M3" s="1737"/>
      <c r="N3" s="1737"/>
      <c r="O3" s="1737"/>
      <c r="P3" s="1738"/>
      <c r="Q3" s="412"/>
      <c r="R3" s="412"/>
    </row>
    <row r="4" spans="1:21" s="539" customFormat="1" ht="16.5" thickBot="1" x14ac:dyDescent="0.3">
      <c r="A4" s="1739" t="s">
        <v>1346</v>
      </c>
      <c r="B4" s="1740"/>
      <c r="C4" s="1740"/>
      <c r="D4" s="1740"/>
      <c r="E4" s="579" t="str">
        <f>'Datos Generales'!C6</f>
        <v>2021-I</v>
      </c>
      <c r="F4" s="579"/>
      <c r="G4" s="579"/>
      <c r="H4" s="579"/>
      <c r="I4" s="579"/>
      <c r="J4" s="579"/>
      <c r="K4" s="579"/>
      <c r="L4" s="581"/>
      <c r="M4" s="581"/>
      <c r="N4" s="581"/>
      <c r="O4" s="581"/>
      <c r="P4" s="582"/>
      <c r="Q4" s="412"/>
      <c r="R4" s="412"/>
    </row>
    <row r="5" spans="1:21" s="245" customFormat="1" ht="16.5" customHeight="1" thickBot="1" x14ac:dyDescent="0.3">
      <c r="A5" s="1736" t="s">
        <v>449</v>
      </c>
      <c r="B5" s="1737"/>
      <c r="C5" s="1737"/>
      <c r="D5" s="1737"/>
      <c r="E5" s="1737"/>
      <c r="F5" s="1737"/>
      <c r="G5" s="1737"/>
      <c r="H5" s="1737"/>
      <c r="I5" s="1737"/>
      <c r="J5" s="1737"/>
      <c r="K5" s="1737"/>
      <c r="L5" s="1737"/>
      <c r="M5" s="1737"/>
      <c r="N5" s="1737"/>
      <c r="O5" s="1737"/>
      <c r="P5" s="1738"/>
    </row>
    <row r="6" spans="1:21" x14ac:dyDescent="0.25">
      <c r="B6" s="2" t="s">
        <v>1</v>
      </c>
      <c r="C6" s="76"/>
      <c r="D6" s="6"/>
      <c r="E6" s="74"/>
      <c r="F6" s="6" t="s">
        <v>128</v>
      </c>
      <c r="G6" s="6"/>
      <c r="H6" s="6"/>
      <c r="I6" s="6"/>
      <c r="J6" s="6"/>
      <c r="K6" s="6"/>
    </row>
    <row r="7" spans="1:21" ht="15.75" thickBot="1" x14ac:dyDescent="0.3">
      <c r="B7" s="75"/>
      <c r="C7" s="77"/>
      <c r="D7" s="6"/>
      <c r="E7" s="18"/>
      <c r="F7" s="6" t="s">
        <v>129</v>
      </c>
      <c r="G7" s="6"/>
      <c r="H7" s="6"/>
      <c r="I7" s="6"/>
      <c r="J7" s="6"/>
      <c r="K7" s="6"/>
    </row>
    <row r="8" spans="1:21" ht="15.75" thickBot="1" x14ac:dyDescent="0.3">
      <c r="B8" s="177" t="s">
        <v>1185</v>
      </c>
      <c r="C8" s="222">
        <v>2021</v>
      </c>
      <c r="D8" s="226">
        <f>IF(E10="NO APLICA","NO APLICA",IF(E11="NO SE REPORTA","SIN INFORMACION",+G20))</f>
        <v>0.83333333333333337</v>
      </c>
      <c r="E8" s="223"/>
      <c r="F8" s="6" t="s">
        <v>130</v>
      </c>
      <c r="G8" s="6"/>
      <c r="H8" s="6"/>
      <c r="I8" s="6"/>
      <c r="J8" s="6"/>
      <c r="K8" s="6"/>
    </row>
    <row r="9" spans="1:21" x14ac:dyDescent="0.25">
      <c r="B9" s="493" t="s">
        <v>1186</v>
      </c>
      <c r="D9" s="6"/>
      <c r="E9" s="6"/>
      <c r="F9" s="6"/>
      <c r="G9" s="6"/>
      <c r="H9" s="6"/>
      <c r="I9" s="6"/>
      <c r="J9" s="6"/>
      <c r="K9" s="6"/>
    </row>
    <row r="10" spans="1:21" s="412" customFormat="1" x14ac:dyDescent="0.25">
      <c r="A10" s="245"/>
      <c r="B10" s="1789" t="s">
        <v>1241</v>
      </c>
      <c r="C10" s="1789"/>
      <c r="D10" s="1789"/>
      <c r="E10" s="499" t="s">
        <v>1238</v>
      </c>
      <c r="F10" s="17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96"/>
      <c r="H10" s="1796"/>
      <c r="I10" s="1796"/>
      <c r="J10" s="1796"/>
      <c r="K10" s="1796"/>
      <c r="L10" s="1796"/>
      <c r="M10" s="1796"/>
      <c r="N10" s="1796"/>
      <c r="O10" s="1796"/>
      <c r="P10" s="1796"/>
      <c r="Q10" s="1796"/>
      <c r="R10" s="1796"/>
      <c r="S10" s="1796"/>
      <c r="T10" s="495"/>
      <c r="U10" s="495"/>
    </row>
    <row r="11" spans="1:21" s="412" customFormat="1" ht="14.45" customHeight="1" x14ac:dyDescent="0.25">
      <c r="A11" s="245"/>
      <c r="B11" s="496"/>
      <c r="C11" s="497"/>
      <c r="D11" s="498" t="str">
        <f>IF(E10="SI APLICA","¿El indicador no se reporta por limitaciones de información disponible? ","")</f>
        <v xml:space="preserve">¿El indicador no se reporta por limitaciones de información disponible? </v>
      </c>
      <c r="E11" s="500" t="s">
        <v>1240</v>
      </c>
      <c r="F11" s="1790"/>
      <c r="G11" s="1791"/>
      <c r="H11" s="1791"/>
      <c r="I11" s="1791"/>
      <c r="J11" s="1791"/>
      <c r="K11" s="1791"/>
      <c r="L11" s="1791"/>
      <c r="M11" s="1791"/>
      <c r="N11" s="1791"/>
      <c r="O11" s="1791"/>
      <c r="P11" s="1791"/>
      <c r="Q11" s="1791"/>
      <c r="R11" s="1791"/>
      <c r="S11" s="1791"/>
    </row>
    <row r="12" spans="1:21" s="412" customFormat="1" ht="23.45" customHeight="1" x14ac:dyDescent="0.25">
      <c r="A12" s="245"/>
      <c r="B12" s="493"/>
      <c r="C12" s="304"/>
      <c r="D12" s="498" t="str">
        <f>IF(E11="SI SE REPORTA","¿Qué programas o proyectos del Plan de Acción están asociados al indicador? ","")</f>
        <v xml:space="preserve">¿Qué programas o proyectos del Plan de Acción están asociados al indicador? </v>
      </c>
      <c r="E12" s="1799" t="str">
        <f>'Anexo 1 Matriz Inf Gestión'!A67</f>
        <v>Proyecto No 3.1. Ecosistemas estratégicos continentales.</v>
      </c>
      <c r="F12" s="1799"/>
      <c r="G12" s="1799"/>
      <c r="H12" s="1799"/>
      <c r="I12" s="1799"/>
      <c r="J12" s="1799"/>
      <c r="K12" s="1799"/>
      <c r="L12" s="1799"/>
      <c r="M12" s="1799"/>
      <c r="N12" s="1799"/>
      <c r="O12" s="1799"/>
      <c r="P12" s="1799"/>
      <c r="Q12" s="1799"/>
      <c r="R12" s="1799"/>
    </row>
    <row r="13" spans="1:21" s="412" customFormat="1" ht="21.95" customHeight="1" x14ac:dyDescent="0.25">
      <c r="A13" s="245"/>
      <c r="B13" s="493"/>
      <c r="C13" s="304"/>
      <c r="D13" s="498" t="s">
        <v>1243</v>
      </c>
      <c r="E13" s="1792" t="s">
        <v>3057</v>
      </c>
      <c r="F13" s="1793"/>
      <c r="G13" s="1793"/>
      <c r="H13" s="1793"/>
      <c r="I13" s="1793"/>
      <c r="J13" s="1793"/>
      <c r="K13" s="1793"/>
      <c r="L13" s="1793"/>
      <c r="M13" s="1793"/>
      <c r="N13" s="1793"/>
      <c r="O13" s="1793"/>
      <c r="P13" s="1793"/>
      <c r="Q13" s="1793"/>
      <c r="R13" s="1794"/>
    </row>
    <row r="14" spans="1:21" s="412" customFormat="1" ht="6.95" customHeight="1" thickBot="1" x14ac:dyDescent="0.3">
      <c r="B14" s="493"/>
      <c r="C14" s="87"/>
      <c r="D14" s="6"/>
      <c r="E14" s="6"/>
      <c r="F14" s="6"/>
      <c r="G14" s="6"/>
      <c r="H14" s="6"/>
      <c r="I14" s="6"/>
      <c r="J14" s="6"/>
      <c r="K14" s="6"/>
    </row>
    <row r="15" spans="1:21" ht="15.6" customHeight="1" thickTop="1" thickBot="1" x14ac:dyDescent="0.3">
      <c r="B15" s="1884" t="s">
        <v>2</v>
      </c>
      <c r="C15" s="89"/>
      <c r="D15" s="1837" t="s">
        <v>336</v>
      </c>
      <c r="E15" s="1838"/>
      <c r="F15" s="1838"/>
      <c r="G15" s="1838"/>
      <c r="H15" s="1838"/>
      <c r="I15" s="1838"/>
      <c r="J15" s="1838"/>
      <c r="K15" s="1838"/>
      <c r="L15" s="1896"/>
    </row>
    <row r="16" spans="1:21" ht="36.75" thickBot="1" x14ac:dyDescent="0.3">
      <c r="B16" s="1885"/>
      <c r="C16" s="94"/>
      <c r="D16" s="43" t="s">
        <v>463</v>
      </c>
      <c r="E16" s="43" t="s">
        <v>464</v>
      </c>
      <c r="F16" s="43" t="s">
        <v>465</v>
      </c>
      <c r="G16" s="43" t="s">
        <v>466</v>
      </c>
      <c r="H16" s="6"/>
      <c r="I16" s="6"/>
      <c r="J16" s="6"/>
      <c r="K16" s="6"/>
      <c r="L16" s="14"/>
    </row>
    <row r="17" spans="2:12" ht="36.75" thickBot="1" x14ac:dyDescent="0.3">
      <c r="B17" s="1885"/>
      <c r="C17" s="94"/>
      <c r="D17" s="41" t="s">
        <v>467</v>
      </c>
      <c r="E17" s="976">
        <v>6</v>
      </c>
      <c r="F17" s="217"/>
      <c r="G17" s="151">
        <f>+E17+F17</f>
        <v>6</v>
      </c>
      <c r="H17" s="6"/>
      <c r="I17" s="6"/>
      <c r="J17" s="6"/>
      <c r="K17" s="6"/>
      <c r="L17" s="14"/>
    </row>
    <row r="18" spans="2:12" ht="24.75" thickBot="1" x14ac:dyDescent="0.3">
      <c r="B18" s="1885"/>
      <c r="C18" s="94"/>
      <c r="D18" s="41" t="s">
        <v>468</v>
      </c>
      <c r="E18" s="976">
        <v>6</v>
      </c>
      <c r="F18" s="217"/>
      <c r="G18" s="151">
        <f>+E18+F18</f>
        <v>6</v>
      </c>
      <c r="H18" s="6"/>
      <c r="I18" s="6"/>
      <c r="J18" s="6"/>
      <c r="K18" s="6"/>
      <c r="L18" s="14"/>
    </row>
    <row r="19" spans="2:12" ht="24.75" thickBot="1" x14ac:dyDescent="0.3">
      <c r="B19" s="1885"/>
      <c r="C19" s="94"/>
      <c r="D19" s="41" t="s">
        <v>469</v>
      </c>
      <c r="E19" s="976">
        <v>5</v>
      </c>
      <c r="F19" s="217"/>
      <c r="G19" s="151">
        <f>+E19+F19</f>
        <v>5</v>
      </c>
      <c r="H19" s="6"/>
      <c r="I19" s="6"/>
      <c r="J19" s="6"/>
      <c r="K19" s="6"/>
      <c r="L19" s="14"/>
    </row>
    <row r="20" spans="2:12" ht="24.75" thickBot="1" x14ac:dyDescent="0.3">
      <c r="B20" s="1885"/>
      <c r="C20" s="94"/>
      <c r="D20" s="41" t="s">
        <v>449</v>
      </c>
      <c r="E20" s="196">
        <f>IFERROR(E19/E18,"N.A.")</f>
        <v>0.83333333333333337</v>
      </c>
      <c r="F20" s="196" t="str">
        <f>IFERROR(F19/F18,"N.A.")</f>
        <v>N.A.</v>
      </c>
      <c r="G20" s="144">
        <f>IFERROR(G19/G18,0)</f>
        <v>0.83333333333333337</v>
      </c>
      <c r="H20" s="6"/>
      <c r="I20" s="6"/>
      <c r="J20" s="6"/>
      <c r="K20" s="6"/>
      <c r="L20" s="14"/>
    </row>
    <row r="21" spans="2:12" x14ac:dyDescent="0.25">
      <c r="B21" s="1885"/>
      <c r="C21" s="92"/>
      <c r="D21" s="1843"/>
      <c r="E21" s="1844"/>
      <c r="F21" s="1844"/>
      <c r="G21" s="1844"/>
      <c r="H21" s="1844"/>
      <c r="I21" s="1844"/>
      <c r="J21" s="1844"/>
      <c r="K21" s="1844"/>
      <c r="L21" s="1897"/>
    </row>
    <row r="22" spans="2:12" x14ac:dyDescent="0.25">
      <c r="B22" s="1885"/>
      <c r="C22" s="92"/>
      <c r="D22" s="1840" t="s">
        <v>246</v>
      </c>
      <c r="E22" s="1841"/>
      <c r="F22" s="1841"/>
      <c r="G22" s="1841"/>
      <c r="H22" s="1841"/>
      <c r="I22" s="1841"/>
      <c r="J22" s="1841"/>
      <c r="K22" s="1841"/>
      <c r="L22" s="1898"/>
    </row>
    <row r="23" spans="2:12" x14ac:dyDescent="0.25">
      <c r="B23" s="1885"/>
      <c r="C23" s="92"/>
      <c r="D23" s="1840" t="s">
        <v>470</v>
      </c>
      <c r="E23" s="1841"/>
      <c r="F23" s="1841"/>
      <c r="G23" s="1841"/>
      <c r="H23" s="1841"/>
      <c r="I23" s="1841"/>
      <c r="J23" s="1841"/>
      <c r="K23" s="1841"/>
      <c r="L23" s="1898"/>
    </row>
    <row r="24" spans="2:12" ht="15.75" thickBot="1" x14ac:dyDescent="0.3">
      <c r="B24" s="1885"/>
      <c r="C24" s="92"/>
      <c r="D24" s="1881" t="s">
        <v>340</v>
      </c>
      <c r="E24" s="1882"/>
      <c r="F24" s="1882"/>
      <c r="G24" s="1882"/>
      <c r="H24" s="1882"/>
      <c r="I24" s="1882"/>
      <c r="J24" s="1882"/>
      <c r="K24" s="1882"/>
      <c r="L24" s="1899"/>
    </row>
    <row r="25" spans="2:12" ht="15.6" customHeight="1" x14ac:dyDescent="0.25">
      <c r="B25" s="436"/>
      <c r="C25" s="1894" t="s">
        <v>19</v>
      </c>
      <c r="D25" s="1886" t="s">
        <v>270</v>
      </c>
      <c r="E25" s="1886" t="s">
        <v>471</v>
      </c>
      <c r="F25" s="1886" t="s">
        <v>382</v>
      </c>
      <c r="G25" s="1886" t="s">
        <v>472</v>
      </c>
      <c r="H25" s="73" t="s">
        <v>473</v>
      </c>
      <c r="I25" s="73" t="s">
        <v>475</v>
      </c>
      <c r="J25" s="1886" t="s">
        <v>274</v>
      </c>
      <c r="K25" s="1886" t="s">
        <v>275</v>
      </c>
      <c r="L25" s="1886" t="s">
        <v>55</v>
      </c>
    </row>
    <row r="26" spans="2:12" ht="15.75" thickBot="1" x14ac:dyDescent="0.3">
      <c r="B26" s="436"/>
      <c r="C26" s="1895"/>
      <c r="D26" s="1887"/>
      <c r="E26" s="1887"/>
      <c r="F26" s="1887"/>
      <c r="G26" s="1887"/>
      <c r="H26" s="65" t="s">
        <v>474</v>
      </c>
      <c r="I26" s="65" t="s">
        <v>476</v>
      </c>
      <c r="J26" s="1887"/>
      <c r="K26" s="1887"/>
      <c r="L26" s="1887"/>
    </row>
    <row r="27" spans="2:12" ht="48" x14ac:dyDescent="0.25">
      <c r="B27" s="436"/>
      <c r="C27" s="1478">
        <v>1</v>
      </c>
      <c r="D27" s="1479" t="s">
        <v>3486</v>
      </c>
      <c r="E27" s="1917" t="s">
        <v>3487</v>
      </c>
      <c r="F27" s="1917" t="s">
        <v>3234</v>
      </c>
      <c r="G27" s="1917" t="s">
        <v>3273</v>
      </c>
      <c r="H27" s="1901">
        <v>35170618.93333333</v>
      </c>
      <c r="I27" s="1901">
        <v>35170618.93333333</v>
      </c>
      <c r="J27" s="1901">
        <v>30296096.933333334</v>
      </c>
      <c r="K27" s="1901">
        <v>29382985.866666663</v>
      </c>
      <c r="L27" s="1904" t="s">
        <v>3274</v>
      </c>
    </row>
    <row r="28" spans="2:12" s="757" customFormat="1" ht="48" x14ac:dyDescent="0.25">
      <c r="B28" s="1216"/>
      <c r="C28" s="1220">
        <v>2</v>
      </c>
      <c r="D28" s="1479" t="s">
        <v>3488</v>
      </c>
      <c r="E28" s="1917"/>
      <c r="F28" s="1917"/>
      <c r="G28" s="1917"/>
      <c r="H28" s="1902"/>
      <c r="I28" s="1902"/>
      <c r="J28" s="1902"/>
      <c r="K28" s="1902"/>
      <c r="L28" s="1905"/>
    </row>
    <row r="29" spans="2:12" s="757" customFormat="1" ht="60.75" thickBot="1" x14ac:dyDescent="0.3">
      <c r="B29" s="1216"/>
      <c r="C29" s="1480">
        <v>3</v>
      </c>
      <c r="D29" s="1481" t="s">
        <v>3489</v>
      </c>
      <c r="E29" s="1917"/>
      <c r="F29" s="1917"/>
      <c r="G29" s="1917"/>
      <c r="H29" s="1903"/>
      <c r="I29" s="1903"/>
      <c r="J29" s="1903"/>
      <c r="K29" s="1903"/>
      <c r="L29" s="1906"/>
    </row>
    <row r="30" spans="2:12" s="757" customFormat="1" ht="96" x14ac:dyDescent="0.25">
      <c r="B30" s="1216"/>
      <c r="C30" s="1482">
        <v>1</v>
      </c>
      <c r="D30" s="1483" t="s">
        <v>3490</v>
      </c>
      <c r="E30" s="1907" t="s">
        <v>3277</v>
      </c>
      <c r="F30" s="1910" t="s">
        <v>3234</v>
      </c>
      <c r="G30" s="1910" t="s">
        <v>3229</v>
      </c>
      <c r="H30" s="1913">
        <v>35170618.93333333</v>
      </c>
      <c r="I30" s="1913">
        <v>35170618.93333333</v>
      </c>
      <c r="J30" s="1913">
        <v>30296096.933333334</v>
      </c>
      <c r="K30" s="1913">
        <v>29382985.866666663</v>
      </c>
      <c r="L30" s="1915" t="s">
        <v>3274</v>
      </c>
    </row>
    <row r="31" spans="2:12" s="757" customFormat="1" ht="48" x14ac:dyDescent="0.25">
      <c r="B31" s="1216"/>
      <c r="C31" s="1484">
        <v>2</v>
      </c>
      <c r="D31" s="1485" t="s">
        <v>3491</v>
      </c>
      <c r="E31" s="1908"/>
      <c r="F31" s="1911"/>
      <c r="G31" s="1911"/>
      <c r="H31" s="1902"/>
      <c r="I31" s="1902"/>
      <c r="J31" s="1902"/>
      <c r="K31" s="1902"/>
      <c r="L31" s="1905"/>
    </row>
    <row r="32" spans="2:12" s="757" customFormat="1" ht="72.75" thickBot="1" x14ac:dyDescent="0.3">
      <c r="B32" s="1216"/>
      <c r="C32" s="1486">
        <v>3</v>
      </c>
      <c r="D32" s="1487" t="s">
        <v>3492</v>
      </c>
      <c r="E32" s="1909"/>
      <c r="F32" s="1912"/>
      <c r="G32" s="1912"/>
      <c r="H32" s="1914"/>
      <c r="I32" s="1914"/>
      <c r="J32" s="1914"/>
      <c r="K32" s="1914"/>
      <c r="L32" s="1916"/>
    </row>
    <row r="33" spans="2:12" s="757" customFormat="1" ht="84" x14ac:dyDescent="0.25">
      <c r="B33" s="1216"/>
      <c r="C33" s="1488">
        <v>1</v>
      </c>
      <c r="D33" s="1489" t="s">
        <v>3493</v>
      </c>
      <c r="E33" s="1922" t="s">
        <v>3276</v>
      </c>
      <c r="F33" s="1922" t="s">
        <v>3234</v>
      </c>
      <c r="G33" s="1922" t="s">
        <v>3229</v>
      </c>
      <c r="H33" s="1913">
        <v>35170618.93333333</v>
      </c>
      <c r="I33" s="1913">
        <v>35170618.93333333</v>
      </c>
      <c r="J33" s="1913">
        <v>30296096.933333334</v>
      </c>
      <c r="K33" s="1913">
        <v>29382985.866666663</v>
      </c>
      <c r="L33" s="1915" t="s">
        <v>3274</v>
      </c>
    </row>
    <row r="34" spans="2:12" s="757" customFormat="1" ht="48" x14ac:dyDescent="0.25">
      <c r="B34" s="1216"/>
      <c r="C34" s="1490">
        <v>2</v>
      </c>
      <c r="D34" s="1491" t="s">
        <v>3491</v>
      </c>
      <c r="E34" s="1923"/>
      <c r="F34" s="1923"/>
      <c r="G34" s="1923"/>
      <c r="H34" s="1903"/>
      <c r="I34" s="1903"/>
      <c r="J34" s="1903"/>
      <c r="K34" s="1903"/>
      <c r="L34" s="1906"/>
    </row>
    <row r="35" spans="2:12" s="757" customFormat="1" ht="72.75" thickBot="1" x14ac:dyDescent="0.3">
      <c r="B35" s="1216"/>
      <c r="C35" s="1492">
        <v>3</v>
      </c>
      <c r="D35" s="1493" t="s">
        <v>3494</v>
      </c>
      <c r="E35" s="1924"/>
      <c r="F35" s="1924"/>
      <c r="G35" s="1924"/>
      <c r="H35" s="1494">
        <v>390407459</v>
      </c>
      <c r="I35" s="1494">
        <v>390407459</v>
      </c>
      <c r="J35" s="1494">
        <v>390407459</v>
      </c>
      <c r="K35" s="1494">
        <v>0</v>
      </c>
      <c r="L35" s="1495" t="s">
        <v>3495</v>
      </c>
    </row>
    <row r="36" spans="2:12" s="757" customFormat="1" ht="240.75" thickBot="1" x14ac:dyDescent="0.3">
      <c r="B36" s="1216"/>
      <c r="C36" s="1496">
        <v>1</v>
      </c>
      <c r="D36" s="1497" t="s">
        <v>3496</v>
      </c>
      <c r="E36" s="1498" t="s">
        <v>3275</v>
      </c>
      <c r="F36" s="1499" t="s">
        <v>3234</v>
      </c>
      <c r="G36" s="1499" t="s">
        <v>3229</v>
      </c>
      <c r="H36" s="1494">
        <v>35170618.93333333</v>
      </c>
      <c r="I36" s="1494">
        <v>35170618.93333333</v>
      </c>
      <c r="J36" s="1494">
        <v>30296096.933333334</v>
      </c>
      <c r="K36" s="1494">
        <v>29382985.866666663</v>
      </c>
      <c r="L36" s="1495" t="s">
        <v>3274</v>
      </c>
    </row>
    <row r="37" spans="2:12" s="757" customFormat="1" ht="48" x14ac:dyDescent="0.25">
      <c r="B37" s="1216"/>
      <c r="C37" s="1500">
        <v>1</v>
      </c>
      <c r="D37" s="1501" t="s">
        <v>3497</v>
      </c>
      <c r="E37" s="1918" t="s">
        <v>3498</v>
      </c>
      <c r="F37" s="1918" t="s">
        <v>3234</v>
      </c>
      <c r="G37" s="1918" t="s">
        <v>3229</v>
      </c>
      <c r="H37" s="1920">
        <v>35170618.93333333</v>
      </c>
      <c r="I37" s="1920">
        <v>35170618.93333333</v>
      </c>
      <c r="J37" s="1920">
        <v>30296096.933333334</v>
      </c>
      <c r="K37" s="1920">
        <v>29382985.866666663</v>
      </c>
      <c r="L37" s="1921" t="s">
        <v>3274</v>
      </c>
    </row>
    <row r="38" spans="2:12" s="757" customFormat="1" ht="60" x14ac:dyDescent="0.25">
      <c r="B38" s="1216"/>
      <c r="C38" s="1502">
        <v>2</v>
      </c>
      <c r="D38" s="1503" t="s">
        <v>3499</v>
      </c>
      <c r="E38" s="1919"/>
      <c r="F38" s="1919"/>
      <c r="G38" s="1919"/>
      <c r="H38" s="1920"/>
      <c r="I38" s="1920"/>
      <c r="J38" s="1920"/>
      <c r="K38" s="1920"/>
      <c r="L38" s="1921"/>
    </row>
    <row r="39" spans="2:12" s="757" customFormat="1" ht="168.75" thickBot="1" x14ac:dyDescent="0.3">
      <c r="B39" s="1216"/>
      <c r="C39" s="1504">
        <v>3</v>
      </c>
      <c r="D39" s="1505" t="s">
        <v>3500</v>
      </c>
      <c r="E39" s="1919"/>
      <c r="F39" s="1919"/>
      <c r="G39" s="1919"/>
      <c r="H39" s="1920"/>
      <c r="I39" s="1920"/>
      <c r="J39" s="1920"/>
      <c r="K39" s="1920"/>
      <c r="L39" s="1921"/>
    </row>
    <row r="40" spans="2:12" s="757" customFormat="1" ht="45.75" thickBot="1" x14ac:dyDescent="0.3">
      <c r="B40" s="1216"/>
      <c r="C40" s="1506">
        <v>1</v>
      </c>
      <c r="D40" s="1507" t="s">
        <v>3501</v>
      </c>
      <c r="E40" s="1508" t="s">
        <v>3502</v>
      </c>
      <c r="F40" s="1508" t="s">
        <v>3234</v>
      </c>
      <c r="G40" s="1508" t="s">
        <v>3229</v>
      </c>
      <c r="H40" s="1509">
        <v>35170618.93333333</v>
      </c>
      <c r="I40" s="1509">
        <v>35170618.93333333</v>
      </c>
      <c r="J40" s="1509">
        <v>30296096.933333334</v>
      </c>
      <c r="K40" s="1509">
        <v>29382985.866666663</v>
      </c>
      <c r="L40" s="1510" t="s">
        <v>3274</v>
      </c>
    </row>
    <row r="41" spans="2:12" ht="15.75" thickBot="1" x14ac:dyDescent="0.3">
      <c r="B41" s="437"/>
      <c r="C41" s="111"/>
      <c r="D41" s="40" t="s">
        <v>151</v>
      </c>
      <c r="E41" s="27"/>
      <c r="F41" s="27"/>
      <c r="G41" s="27"/>
      <c r="H41" s="142">
        <f>SUM(H27:H40)</f>
        <v>601431172.5999999</v>
      </c>
      <c r="I41" s="142">
        <f>SUM(I27:I40)</f>
        <v>601431172.5999999</v>
      </c>
      <c r="J41" s="142">
        <f>SUM(J27:J40)</f>
        <v>572184040.5999999</v>
      </c>
      <c r="K41" s="142">
        <f>SUM(K27:K40)</f>
        <v>176297915.19999999</v>
      </c>
      <c r="L41" s="13"/>
    </row>
    <row r="42" spans="2:12" ht="24" customHeight="1" thickBot="1" x14ac:dyDescent="0.3">
      <c r="B42" s="72" t="s">
        <v>34</v>
      </c>
      <c r="C42" s="108"/>
      <c r="D42" s="1832" t="s">
        <v>477</v>
      </c>
      <c r="E42" s="1833"/>
      <c r="F42" s="1833"/>
      <c r="G42" s="1833"/>
      <c r="H42" s="1833"/>
      <c r="I42" s="1833"/>
      <c r="J42" s="1833"/>
      <c r="K42" s="1833"/>
      <c r="L42" s="1900"/>
    </row>
    <row r="43" spans="2:12" ht="24" customHeight="1" thickBot="1" x14ac:dyDescent="0.3">
      <c r="B43" s="72" t="s">
        <v>36</v>
      </c>
      <c r="C43" s="108"/>
      <c r="D43" s="1832" t="s">
        <v>346</v>
      </c>
      <c r="E43" s="1833"/>
      <c r="F43" s="1833"/>
      <c r="G43" s="1833"/>
      <c r="H43" s="1833"/>
      <c r="I43" s="1833"/>
      <c r="J43" s="1833"/>
      <c r="K43" s="1833"/>
      <c r="L43" s="1900"/>
    </row>
    <row r="44" spans="2:12" ht="15.75" thickBot="1" x14ac:dyDescent="0.3">
      <c r="B44" s="2"/>
      <c r="C44" s="76"/>
      <c r="D44" s="6"/>
      <c r="E44" s="6"/>
      <c r="F44" s="6"/>
      <c r="G44" s="6"/>
      <c r="H44" s="6"/>
      <c r="I44" s="6"/>
      <c r="J44" s="6"/>
      <c r="K44" s="6"/>
    </row>
    <row r="45" spans="2:12" ht="24" customHeight="1" thickBot="1" x14ac:dyDescent="0.3">
      <c r="B45" s="1829" t="s">
        <v>38</v>
      </c>
      <c r="C45" s="1830"/>
      <c r="D45" s="1830"/>
      <c r="E45" s="1831"/>
      <c r="F45" s="6"/>
      <c r="G45" s="6"/>
      <c r="H45" s="6"/>
      <c r="I45" s="6"/>
      <c r="J45" s="6"/>
      <c r="K45" s="6"/>
    </row>
    <row r="46" spans="2:12" ht="15.75" thickBot="1" x14ac:dyDescent="0.3">
      <c r="B46" s="1826">
        <v>1</v>
      </c>
      <c r="C46" s="94"/>
      <c r="D46" s="48" t="s">
        <v>39</v>
      </c>
      <c r="E46" s="31" t="s">
        <v>2849</v>
      </c>
      <c r="F46" s="6"/>
      <c r="G46" s="6"/>
      <c r="H46" s="6"/>
      <c r="I46" s="6"/>
      <c r="J46" s="6"/>
      <c r="K46" s="6"/>
    </row>
    <row r="47" spans="2:12" ht="15.75" thickBot="1" x14ac:dyDescent="0.3">
      <c r="B47" s="1827"/>
      <c r="C47" s="94"/>
      <c r="D47" s="41" t="s">
        <v>40</v>
      </c>
      <c r="E47" s="31" t="s">
        <v>3278</v>
      </c>
      <c r="F47" s="6"/>
      <c r="G47" s="6"/>
      <c r="H47" s="6"/>
      <c r="I47" s="6"/>
      <c r="J47" s="6"/>
      <c r="K47" s="6"/>
    </row>
    <row r="48" spans="2:12" ht="15.75" thickBot="1" x14ac:dyDescent="0.3">
      <c r="B48" s="1827"/>
      <c r="C48" s="94"/>
      <c r="D48" s="41" t="s">
        <v>41</v>
      </c>
      <c r="E48" s="31" t="s">
        <v>3270</v>
      </c>
      <c r="F48" s="6"/>
      <c r="G48" s="6"/>
      <c r="H48" s="6"/>
      <c r="I48" s="6"/>
      <c r="J48" s="6"/>
      <c r="K48" s="6"/>
    </row>
    <row r="49" spans="2:11" ht="15.75" thickBot="1" x14ac:dyDescent="0.3">
      <c r="B49" s="1827"/>
      <c r="C49" s="94"/>
      <c r="D49" s="41" t="s">
        <v>42</v>
      </c>
      <c r="E49" s="31" t="s">
        <v>3218</v>
      </c>
      <c r="F49" s="6"/>
      <c r="G49" s="6"/>
      <c r="H49" s="6"/>
      <c r="I49" s="6"/>
      <c r="J49" s="6"/>
      <c r="K49" s="6"/>
    </row>
    <row r="50" spans="2:11" ht="15.75" thickBot="1" x14ac:dyDescent="0.3">
      <c r="B50" s="1827"/>
      <c r="C50" s="94"/>
      <c r="D50" s="41" t="s">
        <v>43</v>
      </c>
      <c r="E50" s="1219" t="s">
        <v>3271</v>
      </c>
      <c r="F50" s="6"/>
      <c r="G50" s="6"/>
      <c r="H50" s="6"/>
      <c r="I50" s="6"/>
      <c r="J50" s="6"/>
      <c r="K50" s="6"/>
    </row>
    <row r="51" spans="2:11" ht="15.75" thickBot="1" x14ac:dyDescent="0.3">
      <c r="B51" s="1827"/>
      <c r="C51" s="94"/>
      <c r="D51" s="41" t="s">
        <v>44</v>
      </c>
      <c r="E51" s="31" t="s">
        <v>3279</v>
      </c>
      <c r="F51" s="6"/>
      <c r="G51" s="6"/>
      <c r="H51" s="6"/>
      <c r="I51" s="6"/>
      <c r="J51" s="6"/>
      <c r="K51" s="6"/>
    </row>
    <row r="52" spans="2:11" ht="15.75" thickBot="1" x14ac:dyDescent="0.3">
      <c r="B52" s="1828"/>
      <c r="C52" s="3"/>
      <c r="D52" s="41" t="s">
        <v>45</v>
      </c>
      <c r="E52" s="31"/>
      <c r="F52" s="6"/>
      <c r="G52" s="6"/>
      <c r="H52" s="6"/>
      <c r="I52" s="6"/>
      <c r="J52" s="6"/>
      <c r="K52" s="6"/>
    </row>
    <row r="53" spans="2:11" ht="15.75" thickBot="1" x14ac:dyDescent="0.3">
      <c r="B53" s="2"/>
      <c r="C53" s="76"/>
      <c r="D53" s="6"/>
      <c r="E53" s="6"/>
      <c r="F53" s="6"/>
      <c r="G53" s="6"/>
      <c r="H53" s="6"/>
      <c r="I53" s="6"/>
      <c r="J53" s="6"/>
      <c r="K53" s="6"/>
    </row>
    <row r="54" spans="2:11" ht="15.75" thickBot="1" x14ac:dyDescent="0.3">
      <c r="B54" s="1829" t="s">
        <v>46</v>
      </c>
      <c r="C54" s="1830"/>
      <c r="D54" s="1830"/>
      <c r="E54" s="1831"/>
      <c r="F54" s="6"/>
      <c r="G54" s="6"/>
      <c r="H54" s="6"/>
      <c r="I54" s="6"/>
      <c r="J54" s="6"/>
      <c r="K54" s="6"/>
    </row>
    <row r="55" spans="2:11" ht="15.75" thickBot="1" x14ac:dyDescent="0.3">
      <c r="B55" s="1826">
        <v>1</v>
      </c>
      <c r="C55" s="94"/>
      <c r="D55" s="48" t="s">
        <v>39</v>
      </c>
      <c r="E55" s="444" t="s">
        <v>47</v>
      </c>
      <c r="F55" s="6"/>
      <c r="G55" s="6"/>
      <c r="H55" s="6"/>
      <c r="I55" s="6"/>
      <c r="J55" s="6"/>
      <c r="K55" s="6"/>
    </row>
    <row r="56" spans="2:11" ht="15.75" thickBot="1" x14ac:dyDescent="0.3">
      <c r="B56" s="1827"/>
      <c r="C56" s="94"/>
      <c r="D56" s="41" t="s">
        <v>40</v>
      </c>
      <c r="E56" s="444" t="s">
        <v>48</v>
      </c>
      <c r="F56" s="6"/>
      <c r="G56" s="6"/>
      <c r="H56" s="6"/>
      <c r="I56" s="6"/>
      <c r="J56" s="6"/>
      <c r="K56" s="6"/>
    </row>
    <row r="57" spans="2:11" ht="15.75" thickBot="1" x14ac:dyDescent="0.3">
      <c r="B57" s="1827"/>
      <c r="C57" s="94"/>
      <c r="D57" s="41" t="s">
        <v>41</v>
      </c>
      <c r="E57" s="315"/>
      <c r="F57" s="6"/>
      <c r="G57" s="6"/>
      <c r="H57" s="6"/>
      <c r="I57" s="6"/>
      <c r="J57" s="6"/>
      <c r="K57" s="6"/>
    </row>
    <row r="58" spans="2:11" ht="15.75" thickBot="1" x14ac:dyDescent="0.3">
      <c r="B58" s="1827"/>
      <c r="C58" s="94"/>
      <c r="D58" s="41" t="s">
        <v>42</v>
      </c>
      <c r="E58" s="315"/>
      <c r="F58" s="6"/>
      <c r="G58" s="6"/>
      <c r="H58" s="6"/>
      <c r="I58" s="6"/>
      <c r="J58" s="6"/>
      <c r="K58" s="6"/>
    </row>
    <row r="59" spans="2:11" ht="15.75" thickBot="1" x14ac:dyDescent="0.3">
      <c r="B59" s="1827"/>
      <c r="C59" s="94"/>
      <c r="D59" s="41" t="s">
        <v>43</v>
      </c>
      <c r="E59" s="315"/>
      <c r="F59" s="6"/>
      <c r="G59" s="6"/>
      <c r="H59" s="6"/>
      <c r="I59" s="6"/>
      <c r="J59" s="6"/>
      <c r="K59" s="6"/>
    </row>
    <row r="60" spans="2:11" ht="15.75" thickBot="1" x14ac:dyDescent="0.3">
      <c r="B60" s="1827"/>
      <c r="C60" s="94"/>
      <c r="D60" s="41" t="s">
        <v>44</v>
      </c>
      <c r="E60" s="315"/>
      <c r="F60" s="6"/>
      <c r="G60" s="6"/>
      <c r="H60" s="6"/>
      <c r="I60" s="6"/>
      <c r="J60" s="6"/>
      <c r="K60" s="6"/>
    </row>
    <row r="61" spans="2:11" ht="15.75" thickBot="1" x14ac:dyDescent="0.3">
      <c r="B61" s="1828"/>
      <c r="C61" s="3"/>
      <c r="D61" s="41" t="s">
        <v>45</v>
      </c>
      <c r="E61" s="315"/>
      <c r="F61" s="6"/>
      <c r="G61" s="6"/>
      <c r="H61" s="6"/>
      <c r="I61" s="6"/>
      <c r="J61" s="6"/>
      <c r="K61" s="6"/>
    </row>
    <row r="62" spans="2:11" ht="15.75" thickBot="1" x14ac:dyDescent="0.3">
      <c r="B62" s="2"/>
      <c r="C62" s="76"/>
      <c r="D62" s="6"/>
      <c r="E62" s="6"/>
      <c r="F62" s="6"/>
      <c r="G62" s="6"/>
      <c r="H62" s="6"/>
      <c r="I62" s="6"/>
      <c r="J62" s="6"/>
      <c r="K62" s="6"/>
    </row>
    <row r="63" spans="2:11" ht="15" customHeight="1" thickBot="1" x14ac:dyDescent="0.3">
      <c r="B63" s="125" t="s">
        <v>49</v>
      </c>
      <c r="C63" s="126"/>
      <c r="D63" s="126"/>
      <c r="E63" s="127"/>
      <c r="F63" s="6"/>
      <c r="G63" s="6"/>
      <c r="H63" s="6"/>
      <c r="I63" s="6"/>
      <c r="J63" s="6"/>
      <c r="K63" s="6"/>
    </row>
    <row r="64" spans="2:11" ht="24.75" thickBot="1" x14ac:dyDescent="0.3">
      <c r="B64" s="47" t="s">
        <v>50</v>
      </c>
      <c r="C64" s="41" t="s">
        <v>51</v>
      </c>
      <c r="D64" s="41" t="s">
        <v>52</v>
      </c>
      <c r="E64" s="41" t="s">
        <v>53</v>
      </c>
      <c r="F64" s="6"/>
      <c r="G64" s="6"/>
      <c r="H64" s="6"/>
      <c r="I64" s="6"/>
      <c r="J64" s="6"/>
    </row>
    <row r="65" spans="2:11" ht="72.75" thickBot="1" x14ac:dyDescent="0.3">
      <c r="B65" s="49">
        <v>42401</v>
      </c>
      <c r="C65" s="41">
        <v>0.01</v>
      </c>
      <c r="D65" s="50" t="s">
        <v>478</v>
      </c>
      <c r="E65" s="41"/>
      <c r="F65" s="6"/>
      <c r="G65" s="6"/>
      <c r="H65" s="6"/>
      <c r="I65" s="6"/>
      <c r="J65" s="6"/>
    </row>
    <row r="66" spans="2:11" ht="15.75" thickBot="1" x14ac:dyDescent="0.3">
      <c r="B66" s="2"/>
      <c r="C66" s="76"/>
      <c r="D66" s="6"/>
      <c r="E66" s="6"/>
      <c r="F66" s="6"/>
      <c r="G66" s="6"/>
      <c r="H66" s="6"/>
      <c r="I66" s="6"/>
      <c r="J66" s="6"/>
      <c r="K66" s="6"/>
    </row>
    <row r="67" spans="2:11" x14ac:dyDescent="0.25">
      <c r="B67" s="135" t="s">
        <v>55</v>
      </c>
      <c r="C67" s="96"/>
      <c r="D67" s="6"/>
      <c r="E67" s="6"/>
      <c r="F67" s="6"/>
      <c r="G67" s="6"/>
      <c r="H67" s="6"/>
      <c r="I67" s="6"/>
      <c r="J67" s="6"/>
      <c r="K67" s="6"/>
    </row>
    <row r="68" spans="2:11" ht="14.45" customHeight="1" x14ac:dyDescent="0.25">
      <c r="B68" s="1888" t="s">
        <v>479</v>
      </c>
      <c r="C68" s="1889"/>
      <c r="D68" s="1889"/>
      <c r="E68" s="1889"/>
      <c r="F68" s="1889"/>
      <c r="G68" s="1890"/>
      <c r="H68" s="6"/>
      <c r="I68" s="6"/>
      <c r="J68" s="6"/>
      <c r="K68" s="6"/>
    </row>
    <row r="69" spans="2:11" x14ac:dyDescent="0.25">
      <c r="B69" s="1891"/>
      <c r="C69" s="1892"/>
      <c r="D69" s="1892"/>
      <c r="E69" s="1892"/>
      <c r="F69" s="1892"/>
      <c r="G69" s="1893"/>
      <c r="H69" s="6"/>
      <c r="I69" s="6"/>
      <c r="J69" s="6"/>
      <c r="K69" s="6"/>
    </row>
    <row r="70" spans="2:11" x14ac:dyDescent="0.25">
      <c r="B70" s="168"/>
      <c r="C70" s="169"/>
      <c r="D70" s="169"/>
      <c r="E70" s="169"/>
      <c r="F70" s="169"/>
      <c r="G70" s="170"/>
      <c r="H70" s="6"/>
      <c r="I70" s="6"/>
      <c r="J70" s="6"/>
      <c r="K70" s="6"/>
    </row>
    <row r="71" spans="2:11" ht="15.75" thickBot="1" x14ac:dyDescent="0.3">
      <c r="B71" s="6"/>
      <c r="D71" s="6"/>
      <c r="E71" s="6"/>
      <c r="F71" s="6"/>
      <c r="G71" s="6"/>
      <c r="H71" s="6"/>
      <c r="I71" s="6"/>
      <c r="J71" s="6"/>
      <c r="K71" s="6"/>
    </row>
    <row r="72" spans="2:11" ht="15.75" thickBot="1" x14ac:dyDescent="0.3">
      <c r="B72" s="1829" t="s">
        <v>450</v>
      </c>
      <c r="C72" s="1830"/>
      <c r="D72" s="1831"/>
      <c r="E72" s="6"/>
      <c r="F72" s="6"/>
      <c r="G72" s="6"/>
      <c r="H72" s="6"/>
      <c r="I72" s="6"/>
      <c r="J72" s="6"/>
      <c r="K72" s="6"/>
    </row>
    <row r="73" spans="2:11" ht="108.75" thickBot="1" x14ac:dyDescent="0.3">
      <c r="B73" s="47" t="s">
        <v>57</v>
      </c>
      <c r="C73" s="3"/>
      <c r="D73" s="41" t="s">
        <v>451</v>
      </c>
      <c r="E73" s="6"/>
      <c r="F73" s="6"/>
      <c r="G73" s="6"/>
      <c r="H73" s="6"/>
      <c r="I73" s="6"/>
      <c r="J73" s="6"/>
      <c r="K73" s="6"/>
    </row>
    <row r="74" spans="2:11" x14ac:dyDescent="0.25">
      <c r="B74" s="1826" t="s">
        <v>59</v>
      </c>
      <c r="C74" s="94"/>
      <c r="D74" s="53" t="s">
        <v>60</v>
      </c>
      <c r="E74" s="6"/>
      <c r="F74" s="6"/>
      <c r="G74" s="6"/>
      <c r="H74" s="6"/>
      <c r="I74" s="6"/>
      <c r="J74" s="6"/>
      <c r="K74" s="6"/>
    </row>
    <row r="75" spans="2:11" ht="120" x14ac:dyDescent="0.25">
      <c r="B75" s="1827"/>
      <c r="C75" s="94"/>
      <c r="D75" s="46" t="s">
        <v>452</v>
      </c>
      <c r="E75" s="6"/>
      <c r="F75" s="6"/>
      <c r="G75" s="6"/>
      <c r="H75" s="6"/>
      <c r="I75" s="6"/>
      <c r="J75" s="6"/>
      <c r="K75" s="6"/>
    </row>
    <row r="76" spans="2:11" x14ac:dyDescent="0.25">
      <c r="B76" s="1827"/>
      <c r="C76" s="94"/>
      <c r="D76" s="53" t="s">
        <v>63</v>
      </c>
      <c r="E76" s="6"/>
      <c r="F76" s="6"/>
      <c r="G76" s="6"/>
      <c r="H76" s="6"/>
      <c r="I76" s="6"/>
      <c r="J76" s="6"/>
      <c r="K76" s="6"/>
    </row>
    <row r="77" spans="2:11" x14ac:dyDescent="0.25">
      <c r="B77" s="1827"/>
      <c r="C77" s="94"/>
      <c r="D77" s="46" t="s">
        <v>65</v>
      </c>
      <c r="E77" s="6"/>
      <c r="F77" s="6"/>
      <c r="G77" s="6"/>
      <c r="H77" s="6"/>
      <c r="I77" s="6"/>
      <c r="J77" s="6"/>
      <c r="K77" s="6"/>
    </row>
    <row r="78" spans="2:11" x14ac:dyDescent="0.25">
      <c r="B78" s="1827"/>
      <c r="C78" s="94"/>
      <c r="D78" s="53" t="s">
        <v>288</v>
      </c>
      <c r="E78" s="6"/>
      <c r="F78" s="6"/>
      <c r="G78" s="6"/>
      <c r="H78" s="6"/>
      <c r="I78" s="6"/>
      <c r="J78" s="6"/>
      <c r="K78" s="6"/>
    </row>
    <row r="79" spans="2:11" ht="36.75" thickBot="1" x14ac:dyDescent="0.3">
      <c r="B79" s="1828"/>
      <c r="C79" s="3"/>
      <c r="D79" s="41" t="s">
        <v>453</v>
      </c>
      <c r="E79" s="6"/>
      <c r="F79" s="6"/>
      <c r="G79" s="6"/>
      <c r="H79" s="6"/>
      <c r="I79" s="6"/>
      <c r="J79" s="6"/>
      <c r="K79" s="6"/>
    </row>
    <row r="80" spans="2:11" x14ac:dyDescent="0.25">
      <c r="B80" s="1826" t="s">
        <v>72</v>
      </c>
      <c r="C80" s="99"/>
      <c r="D80" s="1826"/>
      <c r="E80" s="6"/>
      <c r="F80" s="6"/>
      <c r="G80" s="6"/>
      <c r="H80" s="6"/>
      <c r="I80" s="6"/>
      <c r="J80" s="6"/>
      <c r="K80" s="6"/>
    </row>
    <row r="81" spans="2:11" ht="15.75" thickBot="1" x14ac:dyDescent="0.3">
      <c r="B81" s="1828"/>
      <c r="C81" s="100"/>
      <c r="D81" s="1828"/>
      <c r="E81" s="6"/>
      <c r="F81" s="6"/>
      <c r="G81" s="6"/>
      <c r="H81" s="6"/>
      <c r="I81" s="6"/>
      <c r="J81" s="6"/>
      <c r="K81" s="6"/>
    </row>
    <row r="82" spans="2:11" ht="108" x14ac:dyDescent="0.25">
      <c r="B82" s="1826" t="s">
        <v>73</v>
      </c>
      <c r="C82" s="94"/>
      <c r="D82" s="46" t="s">
        <v>356</v>
      </c>
      <c r="E82" s="6"/>
      <c r="F82" s="6"/>
      <c r="G82" s="6"/>
      <c r="H82" s="6"/>
      <c r="I82" s="6"/>
      <c r="J82" s="6"/>
      <c r="K82" s="6"/>
    </row>
    <row r="83" spans="2:11" ht="144" x14ac:dyDescent="0.25">
      <c r="B83" s="1827"/>
      <c r="C83" s="94"/>
      <c r="D83" s="46" t="s">
        <v>357</v>
      </c>
      <c r="E83" s="6"/>
      <c r="F83" s="6"/>
      <c r="G83" s="6"/>
      <c r="H83" s="6"/>
      <c r="I83" s="6"/>
      <c r="J83" s="6"/>
      <c r="K83" s="6"/>
    </row>
    <row r="84" spans="2:11" ht="72" x14ac:dyDescent="0.25">
      <c r="B84" s="1827"/>
      <c r="C84" s="94"/>
      <c r="D84" s="46" t="s">
        <v>359</v>
      </c>
      <c r="E84" s="6"/>
      <c r="F84" s="6"/>
      <c r="G84" s="6"/>
      <c r="H84" s="6"/>
      <c r="I84" s="6"/>
      <c r="J84" s="6"/>
      <c r="K84" s="6"/>
    </row>
    <row r="85" spans="2:11" ht="36" x14ac:dyDescent="0.25">
      <c r="B85" s="1827"/>
      <c r="C85" s="94"/>
      <c r="D85" s="46" t="s">
        <v>454</v>
      </c>
      <c r="E85" s="6"/>
      <c r="F85" s="6"/>
      <c r="G85" s="6"/>
      <c r="H85" s="6"/>
      <c r="I85" s="6"/>
      <c r="J85" s="6"/>
      <c r="K85" s="6"/>
    </row>
    <row r="86" spans="2:11" ht="192.75" thickBot="1" x14ac:dyDescent="0.3">
      <c r="B86" s="1828"/>
      <c r="C86" s="3"/>
      <c r="D86" s="41" t="s">
        <v>455</v>
      </c>
      <c r="E86" s="6"/>
      <c r="F86" s="6"/>
      <c r="G86" s="6"/>
      <c r="H86" s="6"/>
      <c r="I86" s="6"/>
      <c r="J86" s="6"/>
      <c r="K86" s="6"/>
    </row>
    <row r="87" spans="2:11" ht="24" x14ac:dyDescent="0.25">
      <c r="B87" s="1826" t="s">
        <v>90</v>
      </c>
      <c r="C87" s="94"/>
      <c r="D87" s="53" t="s">
        <v>456</v>
      </c>
      <c r="E87" s="6"/>
      <c r="F87" s="6"/>
      <c r="G87" s="6"/>
      <c r="H87" s="6"/>
      <c r="I87" s="6"/>
      <c r="J87" s="6"/>
      <c r="K87" s="6"/>
    </row>
    <row r="88" spans="2:11" x14ac:dyDescent="0.25">
      <c r="B88" s="1827"/>
      <c r="C88" s="94"/>
      <c r="D88" s="17"/>
      <c r="E88" s="6"/>
      <c r="F88" s="6"/>
      <c r="G88" s="6"/>
      <c r="H88" s="6"/>
      <c r="I88" s="6"/>
      <c r="J88" s="6"/>
      <c r="K88" s="6"/>
    </row>
    <row r="89" spans="2:11" x14ac:dyDescent="0.25">
      <c r="B89" s="1827"/>
      <c r="C89" s="94"/>
      <c r="D89" s="46" t="s">
        <v>91</v>
      </c>
      <c r="E89" s="6"/>
      <c r="F89" s="6"/>
      <c r="G89" s="6"/>
      <c r="H89" s="6"/>
      <c r="I89" s="6"/>
      <c r="J89" s="6"/>
      <c r="K89" s="6"/>
    </row>
    <row r="90" spans="2:11" ht="37.5" x14ac:dyDescent="0.25">
      <c r="B90" s="1827"/>
      <c r="C90" s="94"/>
      <c r="D90" s="46" t="s">
        <v>457</v>
      </c>
      <c r="E90" s="6"/>
      <c r="F90" s="6"/>
      <c r="G90" s="6"/>
      <c r="H90" s="6"/>
      <c r="I90" s="6"/>
      <c r="J90" s="6"/>
      <c r="K90" s="6"/>
    </row>
    <row r="91" spans="2:11" ht="37.5" x14ac:dyDescent="0.25">
      <c r="B91" s="1827"/>
      <c r="C91" s="94"/>
      <c r="D91" s="46" t="s">
        <v>458</v>
      </c>
      <c r="E91" s="6"/>
      <c r="F91" s="6"/>
      <c r="G91" s="6"/>
      <c r="H91" s="6"/>
      <c r="I91" s="6"/>
      <c r="J91" s="6"/>
      <c r="K91" s="6"/>
    </row>
    <row r="92" spans="2:11" ht="49.5" x14ac:dyDescent="0.25">
      <c r="B92" s="1827"/>
      <c r="C92" s="94"/>
      <c r="D92" s="46" t="s">
        <v>459</v>
      </c>
      <c r="E92" s="6"/>
      <c r="F92" s="6"/>
      <c r="G92" s="6"/>
      <c r="H92" s="6"/>
      <c r="I92" s="6"/>
      <c r="J92" s="6"/>
      <c r="K92" s="6"/>
    </row>
    <row r="93" spans="2:11" x14ac:dyDescent="0.25">
      <c r="B93" s="1827"/>
      <c r="C93" s="94"/>
      <c r="D93" s="53" t="s">
        <v>246</v>
      </c>
      <c r="E93" s="6"/>
      <c r="F93" s="6"/>
      <c r="G93" s="6"/>
      <c r="H93" s="6"/>
      <c r="I93" s="6"/>
      <c r="J93" s="6"/>
      <c r="K93" s="6"/>
    </row>
    <row r="94" spans="2:11" ht="24" x14ac:dyDescent="0.25">
      <c r="B94" s="1827"/>
      <c r="C94" s="94"/>
      <c r="D94" s="53" t="s">
        <v>460</v>
      </c>
      <c r="E94" s="6"/>
      <c r="F94" s="6"/>
      <c r="G94" s="6"/>
      <c r="H94" s="6"/>
      <c r="I94" s="6"/>
      <c r="J94" s="6"/>
      <c r="K94" s="6"/>
    </row>
    <row r="95" spans="2:11" x14ac:dyDescent="0.25">
      <c r="B95" s="1827"/>
      <c r="C95" s="94"/>
      <c r="D95" s="17"/>
      <c r="E95" s="6"/>
      <c r="F95" s="6"/>
      <c r="G95" s="6"/>
      <c r="H95" s="6"/>
      <c r="I95" s="6"/>
      <c r="J95" s="6"/>
      <c r="K95" s="6"/>
    </row>
    <row r="96" spans="2:11" x14ac:dyDescent="0.25">
      <c r="B96" s="1827"/>
      <c r="C96" s="94"/>
      <c r="D96" s="46" t="s">
        <v>91</v>
      </c>
      <c r="E96" s="6"/>
      <c r="F96" s="6"/>
      <c r="G96" s="6"/>
      <c r="H96" s="6"/>
      <c r="I96" s="6"/>
      <c r="J96" s="6"/>
      <c r="K96" s="6"/>
    </row>
    <row r="97" spans="2:11" ht="61.5" x14ac:dyDescent="0.25">
      <c r="B97" s="1827"/>
      <c r="C97" s="94"/>
      <c r="D97" s="46" t="s">
        <v>461</v>
      </c>
      <c r="E97" s="6"/>
      <c r="F97" s="6"/>
      <c r="G97" s="6"/>
      <c r="H97" s="6"/>
      <c r="I97" s="6"/>
      <c r="J97" s="6"/>
      <c r="K97" s="6"/>
    </row>
    <row r="98" spans="2:11" ht="38.25" thickBot="1" x14ac:dyDescent="0.3">
      <c r="B98" s="1828"/>
      <c r="C98" s="3"/>
      <c r="D98" s="41" t="s">
        <v>462</v>
      </c>
      <c r="E98" s="6"/>
      <c r="F98" s="6"/>
      <c r="G98" s="6"/>
      <c r="H98" s="6"/>
      <c r="I98" s="6"/>
      <c r="J98" s="6"/>
      <c r="K98" s="6"/>
    </row>
    <row r="99" spans="2:11" x14ac:dyDescent="0.25">
      <c r="B99" s="6"/>
      <c r="D99" s="6"/>
      <c r="E99" s="6"/>
      <c r="F99" s="6"/>
      <c r="G99" s="6"/>
      <c r="H99" s="6"/>
      <c r="I99" s="6"/>
      <c r="J99" s="6"/>
      <c r="K99" s="6"/>
    </row>
    <row r="100" spans="2:11" x14ac:dyDescent="0.25">
      <c r="B100" s="6"/>
      <c r="D100" s="6"/>
      <c r="E100" s="6"/>
      <c r="F100" s="6"/>
      <c r="G100" s="6"/>
      <c r="H100" s="6"/>
      <c r="I100" s="6"/>
      <c r="J100" s="6"/>
      <c r="K100" s="6"/>
    </row>
    <row r="101" spans="2:11" x14ac:dyDescent="0.25">
      <c r="B101" s="6"/>
      <c r="D101" s="6"/>
      <c r="E101" s="6"/>
      <c r="F101" s="6"/>
      <c r="G101" s="6"/>
      <c r="H101" s="6"/>
      <c r="I101" s="6"/>
      <c r="J101" s="6"/>
      <c r="K101" s="6"/>
    </row>
    <row r="102" spans="2:11" x14ac:dyDescent="0.25">
      <c r="B102" s="6"/>
      <c r="D102" s="6"/>
      <c r="E102" s="6"/>
      <c r="F102" s="6"/>
      <c r="G102" s="6"/>
      <c r="H102" s="6"/>
      <c r="I102" s="6"/>
      <c r="J102" s="6"/>
      <c r="K102" s="6"/>
    </row>
    <row r="103" spans="2:11" x14ac:dyDescent="0.25">
      <c r="B103" s="6"/>
      <c r="D103" s="6"/>
      <c r="E103" s="6"/>
      <c r="F103" s="6"/>
      <c r="G103" s="6"/>
      <c r="H103" s="6"/>
      <c r="I103" s="6"/>
      <c r="J103" s="6"/>
      <c r="K103" s="6"/>
    </row>
    <row r="104" spans="2:11" x14ac:dyDescent="0.25">
      <c r="B104" s="6"/>
      <c r="D104" s="6"/>
      <c r="E104" s="6"/>
      <c r="F104" s="6"/>
      <c r="G104" s="6"/>
      <c r="H104" s="6"/>
      <c r="I104" s="6"/>
      <c r="J104" s="6"/>
      <c r="K104" s="6"/>
    </row>
    <row r="105" spans="2:11" x14ac:dyDescent="0.25">
      <c r="B105" s="6"/>
      <c r="D105" s="6"/>
      <c r="E105" s="6"/>
      <c r="F105" s="6"/>
      <c r="G105" s="6"/>
      <c r="H105" s="6"/>
      <c r="I105" s="6"/>
      <c r="J105" s="6"/>
      <c r="K105" s="6"/>
    </row>
    <row r="106" spans="2:11" x14ac:dyDescent="0.25">
      <c r="B106" s="6"/>
      <c r="D106" s="6"/>
      <c r="E106" s="6"/>
      <c r="F106" s="6"/>
      <c r="G106" s="6"/>
      <c r="H106" s="6"/>
      <c r="I106" s="6"/>
      <c r="J106" s="6"/>
      <c r="K106" s="6"/>
    </row>
    <row r="107" spans="2:11" x14ac:dyDescent="0.25">
      <c r="B107" s="6"/>
      <c r="D107" s="6"/>
      <c r="E107" s="6"/>
      <c r="F107" s="6"/>
      <c r="G107" s="6"/>
      <c r="H107" s="6"/>
      <c r="I107" s="6"/>
      <c r="J107" s="6"/>
      <c r="K107" s="6"/>
    </row>
    <row r="108" spans="2:11" x14ac:dyDescent="0.25">
      <c r="B108" s="6"/>
      <c r="D108" s="6"/>
      <c r="E108" s="6"/>
      <c r="F108" s="6"/>
      <c r="G108" s="6"/>
      <c r="H108" s="6"/>
      <c r="I108" s="6"/>
      <c r="J108" s="6"/>
      <c r="K108" s="6"/>
    </row>
    <row r="109" spans="2:11" x14ac:dyDescent="0.25">
      <c r="B109" s="6"/>
      <c r="D109" s="6"/>
      <c r="E109" s="6"/>
      <c r="F109" s="6"/>
      <c r="G109" s="6"/>
      <c r="H109" s="6"/>
      <c r="I109" s="6"/>
      <c r="J109" s="6"/>
      <c r="K109" s="6"/>
    </row>
    <row r="110" spans="2:11" x14ac:dyDescent="0.25">
      <c r="B110" s="6"/>
      <c r="D110" s="6"/>
      <c r="E110" s="6"/>
      <c r="F110" s="6"/>
      <c r="G110" s="6"/>
      <c r="H110" s="6"/>
      <c r="I110" s="6"/>
      <c r="J110" s="6"/>
      <c r="K110" s="6"/>
    </row>
    <row r="111" spans="2:11" x14ac:dyDescent="0.25">
      <c r="B111" s="6"/>
      <c r="D111" s="6"/>
      <c r="E111" s="6"/>
      <c r="F111" s="6"/>
      <c r="G111" s="6"/>
      <c r="H111" s="6"/>
      <c r="I111" s="6"/>
      <c r="J111" s="6"/>
      <c r="K111" s="6"/>
    </row>
    <row r="112" spans="2:11" x14ac:dyDescent="0.25">
      <c r="B112" s="6"/>
      <c r="D112" s="6"/>
      <c r="E112" s="6"/>
      <c r="F112" s="6"/>
      <c r="G112" s="6"/>
      <c r="H112" s="6"/>
      <c r="I112" s="6"/>
      <c r="J112" s="6"/>
      <c r="K112" s="6"/>
    </row>
    <row r="113" spans="2:11" x14ac:dyDescent="0.25">
      <c r="B113" s="6"/>
      <c r="D113" s="6"/>
      <c r="E113" s="6"/>
      <c r="F113" s="6"/>
      <c r="G113" s="6"/>
      <c r="H113" s="6"/>
      <c r="I113" s="6"/>
      <c r="J113" s="6"/>
      <c r="K113" s="6"/>
    </row>
    <row r="114" spans="2:11" x14ac:dyDescent="0.25">
      <c r="B114" s="6"/>
      <c r="D114" s="6"/>
      <c r="E114" s="6"/>
      <c r="F114" s="6"/>
      <c r="G114" s="6"/>
      <c r="H114" s="6"/>
      <c r="I114" s="6"/>
      <c r="J114" s="6"/>
      <c r="K114" s="6"/>
    </row>
    <row r="115" spans="2:11" x14ac:dyDescent="0.25">
      <c r="B115" s="6"/>
      <c r="D115" s="6"/>
      <c r="E115" s="6"/>
      <c r="F115" s="6"/>
      <c r="G115" s="6"/>
      <c r="H115" s="6"/>
      <c r="I115" s="6"/>
      <c r="J115" s="6"/>
      <c r="K115" s="6"/>
    </row>
    <row r="116" spans="2:11" x14ac:dyDescent="0.25">
      <c r="B116" s="6"/>
      <c r="D116" s="6"/>
      <c r="E116" s="6"/>
      <c r="F116" s="6"/>
      <c r="G116" s="6"/>
      <c r="H116" s="6"/>
      <c r="I116" s="6"/>
      <c r="J116" s="6"/>
      <c r="K116" s="6"/>
    </row>
    <row r="117" spans="2:11" x14ac:dyDescent="0.25">
      <c r="B117" s="6"/>
      <c r="D117" s="6"/>
      <c r="E117" s="6"/>
      <c r="F117" s="6"/>
      <c r="G117" s="6"/>
      <c r="H117" s="6"/>
      <c r="I117" s="6"/>
      <c r="J117" s="6"/>
      <c r="K117" s="6"/>
    </row>
    <row r="118" spans="2:11" x14ac:dyDescent="0.25">
      <c r="B118" s="6"/>
      <c r="D118" s="6"/>
      <c r="E118" s="6"/>
      <c r="F118" s="6"/>
      <c r="G118" s="6"/>
      <c r="H118" s="6"/>
      <c r="I118" s="6"/>
      <c r="J118" s="6"/>
      <c r="K118" s="6"/>
    </row>
    <row r="119" spans="2:11" x14ac:dyDescent="0.25">
      <c r="B119" s="6"/>
      <c r="D119" s="6"/>
      <c r="E119" s="6"/>
      <c r="F119" s="6"/>
      <c r="G119" s="6"/>
      <c r="H119" s="6"/>
      <c r="I119" s="6"/>
      <c r="J119" s="6"/>
      <c r="K119" s="6"/>
    </row>
    <row r="120" spans="2:11" x14ac:dyDescent="0.25">
      <c r="B120" s="6"/>
      <c r="D120" s="6"/>
      <c r="E120" s="6"/>
      <c r="F120" s="6"/>
      <c r="G120" s="6"/>
      <c r="H120" s="6"/>
      <c r="I120" s="6"/>
      <c r="J120" s="6"/>
      <c r="K120" s="6"/>
    </row>
    <row r="121" spans="2:11" x14ac:dyDescent="0.25">
      <c r="B121" s="6"/>
      <c r="D121" s="6"/>
      <c r="E121" s="6"/>
      <c r="F121" s="6"/>
      <c r="G121" s="6"/>
      <c r="H121" s="6"/>
      <c r="I121" s="6"/>
      <c r="J121" s="6"/>
      <c r="K121" s="6"/>
    </row>
    <row r="122" spans="2:11" x14ac:dyDescent="0.25">
      <c r="B122" s="6"/>
      <c r="D122" s="6"/>
      <c r="E122" s="6"/>
      <c r="F122" s="6"/>
      <c r="G122" s="6"/>
      <c r="H122" s="6"/>
      <c r="I122" s="6"/>
      <c r="J122" s="6"/>
      <c r="K122" s="6"/>
    </row>
    <row r="123" spans="2:11" x14ac:dyDescent="0.25">
      <c r="B123" s="6"/>
      <c r="D123" s="6"/>
      <c r="E123" s="6"/>
      <c r="F123" s="6"/>
      <c r="G123" s="6"/>
      <c r="H123" s="6"/>
      <c r="I123" s="6"/>
      <c r="J123" s="6"/>
      <c r="K123" s="6"/>
    </row>
    <row r="124" spans="2:11" x14ac:dyDescent="0.25">
      <c r="B124" s="6"/>
      <c r="D124" s="6"/>
      <c r="E124" s="6"/>
      <c r="F124" s="6"/>
      <c r="G124" s="6"/>
      <c r="H124" s="6"/>
      <c r="I124" s="6"/>
      <c r="J124" s="6"/>
      <c r="K124" s="6"/>
    </row>
    <row r="125" spans="2:11" x14ac:dyDescent="0.25">
      <c r="B125" s="6"/>
      <c r="D125" s="6"/>
      <c r="E125" s="6"/>
      <c r="F125" s="6"/>
      <c r="G125" s="6"/>
      <c r="H125" s="6"/>
      <c r="I125" s="6"/>
      <c r="J125" s="6"/>
      <c r="K125" s="6"/>
    </row>
    <row r="126" spans="2:11" x14ac:dyDescent="0.25">
      <c r="B126" s="6"/>
      <c r="D126" s="6"/>
      <c r="E126" s="6"/>
      <c r="F126" s="6"/>
      <c r="G126" s="6"/>
      <c r="H126" s="6"/>
      <c r="I126" s="6"/>
      <c r="J126" s="6"/>
      <c r="K126" s="6"/>
    </row>
    <row r="127" spans="2:11" x14ac:dyDescent="0.25">
      <c r="B127" s="6"/>
      <c r="D127" s="6"/>
      <c r="E127" s="6"/>
      <c r="F127" s="6"/>
      <c r="G127" s="6"/>
      <c r="H127" s="6"/>
      <c r="I127" s="6"/>
      <c r="J127" s="6"/>
      <c r="K127" s="6"/>
    </row>
    <row r="128" spans="2:11" x14ac:dyDescent="0.25">
      <c r="B128" s="6"/>
      <c r="D128" s="6"/>
      <c r="E128" s="6"/>
      <c r="F128" s="6"/>
      <c r="G128" s="6"/>
      <c r="H128" s="6"/>
      <c r="I128" s="6"/>
      <c r="J128" s="6"/>
      <c r="K128" s="6"/>
    </row>
    <row r="129" spans="2:11" x14ac:dyDescent="0.25">
      <c r="B129" s="6"/>
      <c r="D129" s="6"/>
      <c r="E129" s="6"/>
      <c r="F129" s="6"/>
      <c r="G129" s="6"/>
      <c r="H129" s="6"/>
      <c r="I129" s="6"/>
      <c r="J129" s="6"/>
      <c r="K129" s="6"/>
    </row>
    <row r="130" spans="2:11" x14ac:dyDescent="0.25">
      <c r="B130" s="6"/>
      <c r="D130" s="6"/>
      <c r="E130" s="6"/>
      <c r="F130" s="6"/>
      <c r="G130" s="6"/>
      <c r="H130" s="6"/>
      <c r="I130" s="6"/>
      <c r="J130" s="6"/>
      <c r="K130" s="6"/>
    </row>
    <row r="131" spans="2:11" x14ac:dyDescent="0.25">
      <c r="B131" s="6"/>
      <c r="D131" s="6"/>
      <c r="E131" s="6"/>
      <c r="F131" s="6"/>
      <c r="G131" s="6"/>
      <c r="H131" s="6"/>
      <c r="I131" s="6"/>
      <c r="J131" s="6"/>
      <c r="K131" s="6"/>
    </row>
    <row r="132" spans="2:11" x14ac:dyDescent="0.25">
      <c r="B132" s="6"/>
      <c r="D132" s="6"/>
      <c r="E132" s="6"/>
      <c r="F132" s="6"/>
      <c r="G132" s="6"/>
      <c r="H132" s="6"/>
      <c r="I132" s="6"/>
      <c r="J132" s="6"/>
      <c r="K132" s="6"/>
    </row>
    <row r="133" spans="2:11" x14ac:dyDescent="0.25">
      <c r="B133" s="6"/>
      <c r="D133" s="6"/>
      <c r="E133" s="6"/>
      <c r="F133" s="6"/>
      <c r="G133" s="6"/>
      <c r="H133" s="6"/>
      <c r="I133" s="6"/>
      <c r="J133" s="6"/>
      <c r="K133" s="6"/>
    </row>
    <row r="134" spans="2:11" x14ac:dyDescent="0.25">
      <c r="B134" s="6"/>
      <c r="D134" s="6"/>
      <c r="E134" s="6"/>
      <c r="F134" s="6"/>
      <c r="G134" s="6"/>
      <c r="H134" s="6"/>
      <c r="I134" s="6"/>
      <c r="J134" s="6"/>
      <c r="K134" s="6"/>
    </row>
    <row r="135" spans="2:11" x14ac:dyDescent="0.25">
      <c r="B135" s="6"/>
      <c r="D135" s="6"/>
      <c r="E135" s="6"/>
      <c r="F135" s="6"/>
      <c r="G135" s="6"/>
      <c r="H135" s="6"/>
      <c r="I135" s="6"/>
      <c r="J135" s="6"/>
      <c r="K135" s="6"/>
    </row>
    <row r="136" spans="2:11" x14ac:dyDescent="0.25">
      <c r="B136" s="6"/>
      <c r="D136" s="6"/>
      <c r="E136" s="6"/>
      <c r="F136" s="6"/>
      <c r="G136" s="6"/>
      <c r="H136" s="6"/>
      <c r="I136" s="6"/>
      <c r="J136" s="6"/>
      <c r="K136" s="6"/>
    </row>
    <row r="137" spans="2:11" x14ac:dyDescent="0.25">
      <c r="B137" s="6"/>
      <c r="D137" s="6"/>
      <c r="E137" s="6"/>
      <c r="F137" s="6"/>
      <c r="G137" s="6"/>
      <c r="H137" s="6"/>
      <c r="I137" s="6"/>
      <c r="J137" s="6"/>
      <c r="K137" s="6"/>
    </row>
    <row r="138" spans="2:11" x14ac:dyDescent="0.25">
      <c r="B138" s="6"/>
      <c r="D138" s="6"/>
      <c r="E138" s="6"/>
      <c r="F138" s="6"/>
      <c r="G138" s="6"/>
      <c r="H138" s="6"/>
      <c r="I138" s="6"/>
      <c r="J138" s="6"/>
      <c r="K138" s="6"/>
    </row>
    <row r="139" spans="2:11" x14ac:dyDescent="0.25">
      <c r="B139" s="6"/>
      <c r="D139" s="6"/>
      <c r="E139" s="6"/>
      <c r="F139" s="6"/>
      <c r="G139" s="6"/>
      <c r="H139" s="6"/>
      <c r="I139" s="6"/>
      <c r="J139" s="6"/>
      <c r="K139" s="6"/>
    </row>
    <row r="140" spans="2:11" x14ac:dyDescent="0.25">
      <c r="B140" s="6"/>
      <c r="D140" s="6"/>
      <c r="E140" s="6"/>
      <c r="F140" s="6"/>
      <c r="G140" s="6"/>
      <c r="H140" s="6"/>
      <c r="I140" s="6"/>
      <c r="J140" s="6"/>
      <c r="K140" s="6"/>
    </row>
    <row r="141" spans="2:11" x14ac:dyDescent="0.25">
      <c r="B141" s="6"/>
      <c r="D141" s="6"/>
      <c r="E141" s="6"/>
      <c r="F141" s="6"/>
      <c r="G141" s="6"/>
      <c r="H141" s="6"/>
      <c r="I141" s="6"/>
      <c r="J141" s="6"/>
      <c r="K141" s="6"/>
    </row>
    <row r="142" spans="2:11" x14ac:dyDescent="0.25">
      <c r="B142" s="6"/>
      <c r="D142" s="6"/>
      <c r="E142" s="6"/>
      <c r="F142" s="6"/>
      <c r="G142" s="6"/>
      <c r="H142" s="6"/>
      <c r="I142" s="6"/>
      <c r="J142" s="6"/>
      <c r="K142" s="6"/>
    </row>
    <row r="143" spans="2:11" x14ac:dyDescent="0.25">
      <c r="B143" s="6"/>
      <c r="D143" s="6"/>
      <c r="E143" s="6"/>
      <c r="F143" s="6"/>
      <c r="G143" s="6"/>
      <c r="H143" s="6"/>
      <c r="I143" s="6"/>
      <c r="J143" s="6"/>
      <c r="K143" s="6"/>
    </row>
    <row r="144" spans="2:11" x14ac:dyDescent="0.25">
      <c r="B144" s="6"/>
      <c r="D144" s="6"/>
      <c r="E144" s="6"/>
      <c r="F144" s="6"/>
      <c r="G144" s="6"/>
      <c r="H144" s="6"/>
      <c r="I144" s="6"/>
      <c r="J144" s="6"/>
      <c r="K144" s="6"/>
    </row>
    <row r="145" spans="2:11" x14ac:dyDescent="0.25">
      <c r="B145" s="6"/>
      <c r="D145" s="6"/>
      <c r="E145" s="6"/>
      <c r="F145" s="6"/>
      <c r="G145" s="6"/>
      <c r="H145" s="6"/>
      <c r="I145" s="6"/>
      <c r="J145" s="6"/>
      <c r="K145" s="6"/>
    </row>
    <row r="146" spans="2:11" x14ac:dyDescent="0.25">
      <c r="B146" s="6"/>
      <c r="D146" s="6"/>
      <c r="E146" s="6"/>
      <c r="F146" s="6"/>
      <c r="G146" s="6"/>
      <c r="H146" s="6"/>
      <c r="I146" s="6"/>
      <c r="J146" s="6"/>
      <c r="K146" s="6"/>
    </row>
    <row r="147" spans="2:11" x14ac:dyDescent="0.25">
      <c r="B147" s="6"/>
      <c r="D147" s="6"/>
      <c r="E147" s="6"/>
      <c r="F147" s="6"/>
      <c r="G147" s="6"/>
      <c r="H147" s="6"/>
      <c r="I147" s="6"/>
      <c r="J147" s="6"/>
      <c r="K147" s="6"/>
    </row>
    <row r="148" spans="2:11" x14ac:dyDescent="0.25">
      <c r="B148" s="6"/>
      <c r="D148" s="6"/>
      <c r="E148" s="6"/>
      <c r="F148" s="6"/>
      <c r="G148" s="6"/>
      <c r="H148" s="6"/>
      <c r="I148" s="6"/>
      <c r="J148" s="6"/>
      <c r="K148" s="6"/>
    </row>
    <row r="149" spans="2:11" x14ac:dyDescent="0.25">
      <c r="B149" s="6"/>
      <c r="D149" s="6"/>
      <c r="E149" s="6"/>
      <c r="F149" s="6"/>
      <c r="G149" s="6"/>
      <c r="H149" s="6"/>
      <c r="I149" s="6"/>
      <c r="J149" s="6"/>
      <c r="K149" s="6"/>
    </row>
    <row r="150" spans="2:11" x14ac:dyDescent="0.25">
      <c r="B150" s="6"/>
      <c r="D150" s="6"/>
      <c r="E150" s="6"/>
      <c r="F150" s="6"/>
      <c r="G150" s="6"/>
      <c r="H150" s="6"/>
      <c r="I150" s="6"/>
      <c r="J150" s="6"/>
      <c r="K150" s="6"/>
    </row>
    <row r="151" spans="2:11" x14ac:dyDescent="0.25">
      <c r="B151" s="6"/>
      <c r="D151" s="6"/>
      <c r="E151" s="6"/>
      <c r="F151" s="6"/>
      <c r="G151" s="6"/>
      <c r="H151" s="6"/>
      <c r="I151" s="6"/>
      <c r="J151" s="6"/>
      <c r="K151" s="6"/>
    </row>
    <row r="152" spans="2:11" x14ac:dyDescent="0.25">
      <c r="B152" s="6"/>
      <c r="D152" s="6"/>
      <c r="E152" s="6"/>
      <c r="F152" s="6"/>
      <c r="G152" s="6"/>
      <c r="H152" s="6"/>
      <c r="I152" s="6"/>
      <c r="J152" s="6"/>
      <c r="K152" s="6"/>
    </row>
    <row r="153" spans="2:11" x14ac:dyDescent="0.25">
      <c r="B153" s="6"/>
      <c r="D153" s="6"/>
      <c r="E153" s="6"/>
      <c r="F153" s="6"/>
      <c r="G153" s="6"/>
      <c r="H153" s="6"/>
      <c r="I153" s="6"/>
      <c r="J153" s="6"/>
      <c r="K153" s="6"/>
    </row>
    <row r="154" spans="2:11" x14ac:dyDescent="0.25">
      <c r="B154" s="6"/>
      <c r="D154" s="6"/>
      <c r="E154" s="6"/>
      <c r="F154" s="6"/>
      <c r="G154" s="6"/>
      <c r="H154" s="6"/>
      <c r="I154" s="6"/>
      <c r="J154" s="6"/>
      <c r="K154" s="6"/>
    </row>
    <row r="155" spans="2:11" x14ac:dyDescent="0.25">
      <c r="B155" s="6"/>
      <c r="D155" s="6"/>
      <c r="E155" s="6"/>
      <c r="F155" s="6"/>
      <c r="G155" s="6"/>
      <c r="H155" s="6"/>
      <c r="I155" s="6"/>
      <c r="J155" s="6"/>
      <c r="K155" s="6"/>
    </row>
    <row r="156" spans="2:11" x14ac:dyDescent="0.25">
      <c r="B156" s="6"/>
      <c r="D156" s="6"/>
      <c r="E156" s="6"/>
      <c r="F156" s="6"/>
      <c r="G156" s="6"/>
      <c r="H156" s="6"/>
      <c r="I156" s="6"/>
      <c r="J156" s="6"/>
      <c r="K156" s="6"/>
    </row>
    <row r="157" spans="2:11" x14ac:dyDescent="0.25">
      <c r="B157" s="6"/>
      <c r="D157" s="6"/>
      <c r="E157" s="6"/>
      <c r="F157" s="6"/>
      <c r="G157" s="6"/>
      <c r="H157" s="6"/>
      <c r="I157" s="6"/>
      <c r="J157" s="6"/>
      <c r="K157" s="6"/>
    </row>
    <row r="158" spans="2:11" x14ac:dyDescent="0.25">
      <c r="B158" s="6"/>
      <c r="D158" s="6"/>
      <c r="E158" s="6"/>
      <c r="F158" s="6"/>
      <c r="G158" s="6"/>
      <c r="H158" s="6"/>
      <c r="I158" s="6"/>
      <c r="J158" s="6"/>
      <c r="K158" s="6"/>
    </row>
    <row r="159" spans="2:11" x14ac:dyDescent="0.25">
      <c r="B159" s="6"/>
      <c r="D159" s="6"/>
      <c r="E159" s="6"/>
      <c r="F159" s="6"/>
      <c r="G159" s="6"/>
      <c r="H159" s="6"/>
      <c r="I159" s="6"/>
      <c r="J159" s="6"/>
      <c r="K159" s="6"/>
    </row>
    <row r="160" spans="2:11" x14ac:dyDescent="0.25">
      <c r="B160" s="6"/>
      <c r="D160" s="6"/>
      <c r="E160" s="6"/>
      <c r="F160" s="6"/>
      <c r="G160" s="6"/>
      <c r="H160" s="6"/>
      <c r="I160" s="6"/>
      <c r="J160" s="6"/>
      <c r="K160" s="6"/>
    </row>
    <row r="161" spans="2:11" x14ac:dyDescent="0.25">
      <c r="B161" s="6"/>
      <c r="D161" s="6"/>
      <c r="E161" s="6"/>
      <c r="F161" s="6"/>
      <c r="G161" s="6"/>
      <c r="H161" s="6"/>
      <c r="I161" s="6"/>
      <c r="J161" s="6"/>
      <c r="K161" s="6"/>
    </row>
    <row r="162" spans="2:11" x14ac:dyDescent="0.25">
      <c r="B162" s="6"/>
      <c r="D162" s="6"/>
      <c r="E162" s="6"/>
      <c r="F162" s="6"/>
      <c r="G162" s="6"/>
      <c r="H162" s="6"/>
      <c r="I162" s="6"/>
      <c r="J162" s="6"/>
      <c r="K162" s="6"/>
    </row>
    <row r="163" spans="2:11" x14ac:dyDescent="0.25">
      <c r="B163" s="6"/>
      <c r="D163" s="6"/>
      <c r="E163" s="6"/>
      <c r="F163" s="6"/>
      <c r="G163" s="6"/>
      <c r="H163" s="6"/>
      <c r="I163" s="6"/>
      <c r="J163" s="6"/>
      <c r="K163" s="6"/>
    </row>
    <row r="164" spans="2:11" x14ac:dyDescent="0.25">
      <c r="B164" s="6"/>
      <c r="D164" s="6"/>
      <c r="E164" s="6"/>
      <c r="F164" s="6"/>
      <c r="G164" s="6"/>
      <c r="H164" s="6"/>
      <c r="I164" s="6"/>
      <c r="J164" s="6"/>
      <c r="K164" s="6"/>
    </row>
    <row r="165" spans="2:11" x14ac:dyDescent="0.25">
      <c r="B165" s="6"/>
      <c r="D165" s="6"/>
      <c r="E165" s="6"/>
      <c r="F165" s="6"/>
      <c r="G165" s="6"/>
      <c r="H165" s="6"/>
      <c r="I165" s="6"/>
      <c r="J165" s="6"/>
      <c r="K165" s="6"/>
    </row>
    <row r="166" spans="2:11" x14ac:dyDescent="0.25">
      <c r="B166" s="6"/>
      <c r="D166" s="6"/>
      <c r="E166" s="6"/>
      <c r="F166" s="6"/>
      <c r="G166" s="6"/>
      <c r="H166" s="6"/>
      <c r="I166" s="6"/>
      <c r="J166" s="6"/>
      <c r="K166" s="6"/>
    </row>
    <row r="167" spans="2:11" x14ac:dyDescent="0.25">
      <c r="B167" s="6"/>
      <c r="D167" s="6"/>
      <c r="E167" s="6"/>
      <c r="F167" s="6"/>
      <c r="G167" s="6"/>
      <c r="H167" s="6"/>
      <c r="I167" s="6"/>
      <c r="J167" s="6"/>
      <c r="K167" s="6"/>
    </row>
    <row r="168" spans="2:11" x14ac:dyDescent="0.25">
      <c r="B168" s="6"/>
      <c r="D168" s="6"/>
      <c r="E168" s="6"/>
      <c r="F168" s="6"/>
      <c r="G168" s="6"/>
      <c r="H168" s="6"/>
      <c r="I168" s="6"/>
      <c r="J168" s="6"/>
      <c r="K168" s="6"/>
    </row>
    <row r="169" spans="2:11" x14ac:dyDescent="0.25">
      <c r="B169" s="6"/>
      <c r="D169" s="6"/>
      <c r="E169" s="6"/>
      <c r="F169" s="6"/>
      <c r="G169" s="6"/>
      <c r="H169" s="6"/>
      <c r="I169" s="6"/>
      <c r="J169" s="6"/>
      <c r="K169" s="6"/>
    </row>
    <row r="170" spans="2:11" x14ac:dyDescent="0.25">
      <c r="B170" s="6"/>
      <c r="D170" s="6"/>
      <c r="E170" s="6"/>
      <c r="F170" s="6"/>
      <c r="G170" s="6"/>
      <c r="H170" s="6"/>
      <c r="I170" s="6"/>
      <c r="J170" s="6"/>
      <c r="K170" s="6"/>
    </row>
    <row r="171" spans="2:11" x14ac:dyDescent="0.25">
      <c r="B171" s="6"/>
      <c r="D171" s="6"/>
      <c r="E171" s="6"/>
      <c r="F171" s="6"/>
      <c r="G171" s="6"/>
      <c r="H171" s="6"/>
      <c r="I171" s="6"/>
      <c r="J171" s="6"/>
      <c r="K171" s="6"/>
    </row>
    <row r="172" spans="2:11" x14ac:dyDescent="0.25">
      <c r="B172" s="6"/>
      <c r="D172" s="6"/>
      <c r="E172" s="6"/>
      <c r="F172" s="6"/>
      <c r="G172" s="6"/>
      <c r="H172" s="6"/>
      <c r="I172" s="6"/>
      <c r="J172" s="6"/>
      <c r="K172" s="6"/>
    </row>
    <row r="173" spans="2:11" x14ac:dyDescent="0.25">
      <c r="B173" s="6"/>
      <c r="D173" s="6"/>
      <c r="E173" s="6"/>
      <c r="F173" s="6"/>
      <c r="G173" s="6"/>
      <c r="H173" s="6"/>
      <c r="I173" s="6"/>
      <c r="J173" s="6"/>
      <c r="K173" s="6"/>
    </row>
    <row r="174" spans="2:11" x14ac:dyDescent="0.25">
      <c r="B174" s="6"/>
      <c r="D174" s="6"/>
      <c r="E174" s="6"/>
      <c r="F174" s="6"/>
      <c r="G174" s="6"/>
      <c r="H174" s="6"/>
      <c r="I174" s="6"/>
      <c r="J174" s="6"/>
      <c r="K174" s="6"/>
    </row>
    <row r="175" spans="2:11" x14ac:dyDescent="0.25">
      <c r="B175" s="6"/>
      <c r="D175" s="6"/>
      <c r="E175" s="6"/>
      <c r="F175" s="6"/>
      <c r="G175" s="6"/>
      <c r="H175" s="6"/>
      <c r="I175" s="6"/>
      <c r="J175" s="6"/>
      <c r="K175" s="6"/>
    </row>
    <row r="176" spans="2:11" x14ac:dyDescent="0.25">
      <c r="B176" s="6"/>
      <c r="D176" s="6"/>
      <c r="E176" s="6"/>
      <c r="F176" s="6"/>
      <c r="G176" s="6"/>
      <c r="H176" s="6"/>
      <c r="I176" s="6"/>
      <c r="J176" s="6"/>
      <c r="K176" s="6"/>
    </row>
    <row r="177" spans="2:11" x14ac:dyDescent="0.25">
      <c r="B177" s="6"/>
      <c r="D177" s="6"/>
      <c r="E177" s="6"/>
      <c r="F177" s="6"/>
      <c r="G177" s="6"/>
      <c r="H177" s="6"/>
      <c r="I177" s="6"/>
      <c r="J177" s="6"/>
      <c r="K177" s="6"/>
    </row>
    <row r="178" spans="2:11" x14ac:dyDescent="0.25">
      <c r="B178" s="6"/>
      <c r="D178" s="6"/>
      <c r="E178" s="6"/>
      <c r="F178" s="6"/>
      <c r="G178" s="6"/>
      <c r="H178" s="6"/>
      <c r="I178" s="6"/>
      <c r="J178" s="6"/>
      <c r="K178" s="6"/>
    </row>
    <row r="179" spans="2:11" x14ac:dyDescent="0.25">
      <c r="B179" s="6"/>
      <c r="D179" s="6"/>
      <c r="E179" s="6"/>
      <c r="F179" s="6"/>
      <c r="G179" s="6"/>
      <c r="H179" s="6"/>
      <c r="I179" s="6"/>
      <c r="J179" s="6"/>
      <c r="K179" s="6"/>
    </row>
    <row r="180" spans="2:11" x14ac:dyDescent="0.25">
      <c r="B180" s="6"/>
      <c r="D180" s="6"/>
      <c r="E180" s="6"/>
      <c r="F180" s="6"/>
      <c r="G180" s="6"/>
      <c r="H180" s="6"/>
      <c r="I180" s="6"/>
      <c r="J180" s="6"/>
      <c r="K180" s="6"/>
    </row>
    <row r="181" spans="2:11" x14ac:dyDescent="0.25">
      <c r="B181" s="6"/>
      <c r="D181" s="6"/>
      <c r="E181" s="6"/>
      <c r="F181" s="6"/>
      <c r="G181" s="6"/>
      <c r="H181" s="6"/>
      <c r="I181" s="6"/>
      <c r="J181" s="6"/>
      <c r="K181" s="6"/>
    </row>
    <row r="182" spans="2:11" x14ac:dyDescent="0.25">
      <c r="B182" s="6"/>
      <c r="D182" s="6"/>
      <c r="E182" s="6"/>
      <c r="F182" s="6"/>
      <c r="G182" s="6"/>
      <c r="H182" s="6"/>
      <c r="I182" s="6"/>
      <c r="J182" s="6"/>
      <c r="K182" s="6"/>
    </row>
    <row r="183" spans="2:11" x14ac:dyDescent="0.25">
      <c r="B183" s="6"/>
      <c r="D183" s="6"/>
      <c r="E183" s="6"/>
      <c r="F183" s="6"/>
      <c r="G183" s="6"/>
      <c r="H183" s="6"/>
      <c r="I183" s="6"/>
      <c r="J183" s="6"/>
      <c r="K183" s="6"/>
    </row>
    <row r="184" spans="2:11" x14ac:dyDescent="0.25">
      <c r="B184" s="6"/>
      <c r="D184" s="6"/>
      <c r="E184" s="6"/>
      <c r="F184" s="6"/>
      <c r="G184" s="6"/>
      <c r="H184" s="6"/>
      <c r="I184" s="6"/>
      <c r="J184" s="6"/>
      <c r="K184" s="6"/>
    </row>
    <row r="185" spans="2:11" x14ac:dyDescent="0.25">
      <c r="B185" s="6"/>
      <c r="D185" s="6"/>
      <c r="E185" s="6"/>
      <c r="F185" s="6"/>
      <c r="G185" s="6"/>
      <c r="H185" s="6"/>
      <c r="I185" s="6"/>
      <c r="J185" s="6"/>
      <c r="K185" s="6"/>
    </row>
    <row r="186" spans="2:11" x14ac:dyDescent="0.25">
      <c r="B186" s="6"/>
      <c r="D186" s="6"/>
      <c r="E186" s="6"/>
      <c r="F186" s="6"/>
      <c r="G186" s="6"/>
      <c r="H186" s="6"/>
      <c r="I186" s="6"/>
      <c r="J186" s="6"/>
      <c r="K186" s="6"/>
    </row>
    <row r="187" spans="2:11" x14ac:dyDescent="0.25">
      <c r="B187" s="6"/>
      <c r="D187" s="6"/>
      <c r="E187" s="6"/>
      <c r="F187" s="6"/>
      <c r="G187" s="6"/>
      <c r="H187" s="6"/>
      <c r="I187" s="6"/>
      <c r="J187" s="6"/>
      <c r="K187" s="6"/>
    </row>
    <row r="188" spans="2:11" x14ac:dyDescent="0.25">
      <c r="B188" s="6"/>
      <c r="D188" s="6"/>
      <c r="E188" s="6"/>
      <c r="F188" s="6"/>
      <c r="G188" s="6"/>
      <c r="H188" s="6"/>
      <c r="I188" s="6"/>
      <c r="J188" s="6"/>
      <c r="K188" s="6"/>
    </row>
    <row r="189" spans="2:11" x14ac:dyDescent="0.25">
      <c r="B189" s="6"/>
      <c r="D189" s="6"/>
      <c r="E189" s="6"/>
      <c r="F189" s="6"/>
      <c r="G189" s="6"/>
      <c r="H189" s="6"/>
      <c r="I189" s="6"/>
      <c r="J189" s="6"/>
      <c r="K189" s="6"/>
    </row>
    <row r="190" spans="2:11" x14ac:dyDescent="0.25">
      <c r="B190" s="6"/>
      <c r="D190" s="6"/>
      <c r="E190" s="6"/>
      <c r="F190" s="6"/>
      <c r="G190" s="6"/>
      <c r="H190" s="6"/>
      <c r="I190" s="6"/>
      <c r="J190" s="6"/>
      <c r="K190" s="6"/>
    </row>
  </sheetData>
  <mergeCells count="69">
    <mergeCell ref="J33:J34"/>
    <mergeCell ref="K33:K34"/>
    <mergeCell ref="L33:L34"/>
    <mergeCell ref="E37:E39"/>
    <mergeCell ref="F37:F39"/>
    <mergeCell ref="G37:G39"/>
    <mergeCell ref="H37:H39"/>
    <mergeCell ref="I37:I39"/>
    <mergeCell ref="J37:J39"/>
    <mergeCell ref="K37:K39"/>
    <mergeCell ref="L37:L39"/>
    <mergeCell ref="E33:E35"/>
    <mergeCell ref="F33:F35"/>
    <mergeCell ref="G33:G35"/>
    <mergeCell ref="H33:H34"/>
    <mergeCell ref="I33:I34"/>
    <mergeCell ref="J27:J29"/>
    <mergeCell ref="K27:K29"/>
    <mergeCell ref="L27:L29"/>
    <mergeCell ref="E30:E32"/>
    <mergeCell ref="F30:F32"/>
    <mergeCell ref="G30:G32"/>
    <mergeCell ref="H30:H32"/>
    <mergeCell ref="I30:I32"/>
    <mergeCell ref="J30:J32"/>
    <mergeCell ref="K30:K32"/>
    <mergeCell ref="L30:L32"/>
    <mergeCell ref="E27:E29"/>
    <mergeCell ref="F27:F29"/>
    <mergeCell ref="G27:G29"/>
    <mergeCell ref="H27:H29"/>
    <mergeCell ref="I27:I29"/>
    <mergeCell ref="A1:P1"/>
    <mergeCell ref="A2:P2"/>
    <mergeCell ref="A3:P3"/>
    <mergeCell ref="A4:D4"/>
    <mergeCell ref="A5:P5"/>
    <mergeCell ref="B55:B61"/>
    <mergeCell ref="D42:L42"/>
    <mergeCell ref="D43:L43"/>
    <mergeCell ref="B45:E45"/>
    <mergeCell ref="B46:B52"/>
    <mergeCell ref="B54:E54"/>
    <mergeCell ref="D21:L21"/>
    <mergeCell ref="D22:L22"/>
    <mergeCell ref="D23:L23"/>
    <mergeCell ref="D24:L24"/>
    <mergeCell ref="J25:J26"/>
    <mergeCell ref="B15:B24"/>
    <mergeCell ref="L25:L26"/>
    <mergeCell ref="B68:G69"/>
    <mergeCell ref="B87:B98"/>
    <mergeCell ref="B72:D72"/>
    <mergeCell ref="B74:B79"/>
    <mergeCell ref="B80:B81"/>
    <mergeCell ref="D80:D81"/>
    <mergeCell ref="B82:B86"/>
    <mergeCell ref="C25:C26"/>
    <mergeCell ref="D25:D26"/>
    <mergeCell ref="E25:E26"/>
    <mergeCell ref="F25:F26"/>
    <mergeCell ref="G25:G26"/>
    <mergeCell ref="K25:K26"/>
    <mergeCell ref="D15:L15"/>
    <mergeCell ref="B10:D10"/>
    <mergeCell ref="F10:S10"/>
    <mergeCell ref="F11:S11"/>
    <mergeCell ref="E12:R12"/>
    <mergeCell ref="E13:R13"/>
  </mergeCells>
  <conditionalFormatting sqref="F10">
    <cfRule type="notContainsBlanks" dxfId="83" priority="4">
      <formula>LEN(TRIM(F10))&gt;0</formula>
    </cfRule>
  </conditionalFormatting>
  <conditionalFormatting sqref="F11:S11">
    <cfRule type="expression" dxfId="82" priority="2">
      <formula>E11="NO SE REPORTA"</formula>
    </cfRule>
    <cfRule type="expression" dxfId="81" priority="3">
      <formula>E10="NO APLICA"</formula>
    </cfRule>
  </conditionalFormatting>
  <conditionalFormatting sqref="E12:R12">
    <cfRule type="expression" dxfId="80"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7:F19" xr:uid="{00000000-0002-0000-1600-000000000000}">
      <formula1>0</formula1>
    </dataValidation>
    <dataValidation type="list" allowBlank="1" showInputMessage="1" showErrorMessage="1" sqref="E11" xr:uid="{00000000-0002-0000-1600-000002000000}">
      <formula1>REPORTE</formula1>
    </dataValidation>
    <dataValidation type="list" allowBlank="1" showInputMessage="1" showErrorMessage="1" sqref="E10" xr:uid="{00000000-0002-0000-1600-000003000000}">
      <formula1>SI</formula1>
    </dataValidation>
  </dataValidations>
  <hyperlinks>
    <hyperlink ref="B9" location="'ANEXO 3'!A1" display="VOLVER AL INDICE" xr:uid="{00000000-0004-0000-1600-000000000000}"/>
    <hyperlink ref="E50" r:id="rId1" xr:uid="{00000000-0004-0000-1600-000001000000}"/>
  </hyperlinks>
  <pageMargins left="0.25" right="0.25" top="0.75" bottom="0.75" header="0.3" footer="0.3"/>
  <pageSetup paperSize="178"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3"/>
  <dimension ref="A1:U203"/>
  <sheetViews>
    <sheetView showGridLines="0" zoomScale="60" zoomScaleNormal="60" workbookViewId="0">
      <selection activeCell="Q25" sqref="Q25"/>
    </sheetView>
  </sheetViews>
  <sheetFormatPr baseColWidth="10" defaultRowHeight="15" x14ac:dyDescent="0.25"/>
  <cols>
    <col min="1" max="1" width="1.85546875" customWidth="1"/>
    <col min="2" max="2" width="10.85546875" customWidth="1"/>
    <col min="3" max="3" width="5" style="87" bestFit="1" customWidth="1"/>
    <col min="4" max="4" width="34.85546875" customWidth="1"/>
    <col min="5" max="5" width="12.140625" customWidth="1"/>
    <col min="8" max="8" width="20" customWidth="1"/>
    <col min="9" max="9" width="18.7109375" customWidth="1"/>
  </cols>
  <sheetData>
    <row r="1" spans="1:21" s="538" customFormat="1" ht="100.5" customHeight="1" thickBot="1" x14ac:dyDescent="0.3">
      <c r="A1" s="1733"/>
      <c r="B1" s="1734"/>
      <c r="C1" s="1734"/>
      <c r="D1" s="1734"/>
      <c r="E1" s="1734"/>
      <c r="F1" s="1734"/>
      <c r="G1" s="1734"/>
      <c r="H1" s="1734"/>
      <c r="I1" s="1734"/>
      <c r="J1" s="1734"/>
      <c r="K1" s="1734"/>
      <c r="L1" s="1734"/>
      <c r="M1" s="1734"/>
      <c r="N1" s="1734"/>
      <c r="O1" s="1734"/>
      <c r="P1" s="1735"/>
      <c r="Q1" s="412"/>
      <c r="R1" s="412"/>
    </row>
    <row r="2" spans="1:21" s="539" customFormat="1" ht="16.5" thickBot="1" x14ac:dyDescent="0.3">
      <c r="A2" s="1741" t="str">
        <f>'Datos Generales'!C5</f>
        <v>Corporación Autónoma Regional de La Guajira – CORPOGUAJIRA</v>
      </c>
      <c r="B2" s="1742"/>
      <c r="C2" s="1742"/>
      <c r="D2" s="1742"/>
      <c r="E2" s="1742"/>
      <c r="F2" s="1742"/>
      <c r="G2" s="1742"/>
      <c r="H2" s="1742"/>
      <c r="I2" s="1742"/>
      <c r="J2" s="1742"/>
      <c r="K2" s="1742"/>
      <c r="L2" s="1742"/>
      <c r="M2" s="1742"/>
      <c r="N2" s="1742"/>
      <c r="O2" s="1742"/>
      <c r="P2" s="1743"/>
      <c r="Q2" s="412"/>
      <c r="R2" s="412"/>
    </row>
    <row r="3" spans="1:21" s="539" customFormat="1" ht="16.5" thickBot="1" x14ac:dyDescent="0.3">
      <c r="A3" s="1736" t="s">
        <v>1347</v>
      </c>
      <c r="B3" s="1737"/>
      <c r="C3" s="1737"/>
      <c r="D3" s="1737"/>
      <c r="E3" s="1737"/>
      <c r="F3" s="1737"/>
      <c r="G3" s="1737"/>
      <c r="H3" s="1737"/>
      <c r="I3" s="1737"/>
      <c r="J3" s="1737"/>
      <c r="K3" s="1737"/>
      <c r="L3" s="1737"/>
      <c r="M3" s="1737"/>
      <c r="N3" s="1737"/>
      <c r="O3" s="1737"/>
      <c r="P3" s="1738"/>
      <c r="Q3" s="412"/>
      <c r="R3" s="412"/>
    </row>
    <row r="4" spans="1:21" s="539" customFormat="1" ht="16.5" thickBot="1" x14ac:dyDescent="0.3">
      <c r="A4" s="1739" t="s">
        <v>1346</v>
      </c>
      <c r="B4" s="1740"/>
      <c r="C4" s="1740"/>
      <c r="D4" s="1740"/>
      <c r="E4" s="579" t="str">
        <f>'Datos Generales'!C6</f>
        <v>2021-I</v>
      </c>
      <c r="F4" s="579"/>
      <c r="G4" s="579"/>
      <c r="H4" s="579"/>
      <c r="I4" s="579"/>
      <c r="J4" s="579"/>
      <c r="K4" s="579"/>
      <c r="L4" s="581"/>
      <c r="M4" s="581"/>
      <c r="N4" s="581"/>
      <c r="O4" s="581"/>
      <c r="P4" s="582"/>
      <c r="Q4" s="412"/>
      <c r="R4" s="412"/>
    </row>
    <row r="5" spans="1:21" s="245" customFormat="1" ht="16.5" customHeight="1" thickBot="1" x14ac:dyDescent="0.3">
      <c r="A5" s="1736" t="s">
        <v>480</v>
      </c>
      <c r="B5" s="1737"/>
      <c r="C5" s="1737"/>
      <c r="D5" s="1737"/>
      <c r="E5" s="1737"/>
      <c r="F5" s="1737"/>
      <c r="G5" s="1737"/>
      <c r="H5" s="1737"/>
      <c r="I5" s="1737"/>
      <c r="J5" s="1737"/>
      <c r="K5" s="1737"/>
      <c r="L5" s="1737"/>
      <c r="M5" s="1737"/>
      <c r="N5" s="1737"/>
      <c r="O5" s="1737"/>
      <c r="P5" s="1738"/>
    </row>
    <row r="6" spans="1:21" x14ac:dyDescent="0.25">
      <c r="B6" s="2" t="s">
        <v>1</v>
      </c>
      <c r="C6" s="76"/>
      <c r="D6" s="6"/>
      <c r="E6" s="74"/>
      <c r="F6" s="6" t="s">
        <v>128</v>
      </c>
      <c r="G6" s="6"/>
      <c r="H6" s="6"/>
      <c r="I6" s="6"/>
      <c r="J6" s="6"/>
      <c r="K6" s="6"/>
    </row>
    <row r="7" spans="1:21" ht="15.75" thickBot="1" x14ac:dyDescent="0.3">
      <c r="B7" s="75"/>
      <c r="C7" s="77"/>
      <c r="D7" s="6"/>
      <c r="E7" s="18"/>
      <c r="F7" s="6" t="s">
        <v>129</v>
      </c>
      <c r="G7" s="6"/>
      <c r="H7" s="6"/>
      <c r="I7" s="6"/>
      <c r="J7" s="6"/>
      <c r="K7" s="6"/>
    </row>
    <row r="8" spans="1:21" ht="15.75" thickBot="1" x14ac:dyDescent="0.3">
      <c r="B8" s="177" t="s">
        <v>1185</v>
      </c>
      <c r="C8" s="222">
        <v>2021</v>
      </c>
      <c r="D8" s="226">
        <f>IF(E10="NO APLICA","NO APLICA",IF(E11="NO SE REPORTA","SIN INFORMACION",+Q22))</f>
        <v>0.60869565217391308</v>
      </c>
      <c r="E8" s="223"/>
      <c r="F8" s="6" t="s">
        <v>130</v>
      </c>
      <c r="G8" s="6"/>
      <c r="H8" s="6"/>
      <c r="I8" s="6"/>
      <c r="J8" s="6"/>
      <c r="K8" s="6"/>
    </row>
    <row r="9" spans="1:21" x14ac:dyDescent="0.25">
      <c r="B9" s="493" t="s">
        <v>1186</v>
      </c>
      <c r="D9" s="6"/>
      <c r="E9" s="6"/>
      <c r="F9" s="6"/>
      <c r="G9" s="6"/>
      <c r="H9" s="6"/>
      <c r="I9" s="6"/>
      <c r="J9" s="6"/>
      <c r="K9" s="6"/>
    </row>
    <row r="10" spans="1:21" s="412" customFormat="1" x14ac:dyDescent="0.25">
      <c r="A10" s="245"/>
      <c r="B10" s="1789" t="s">
        <v>1241</v>
      </c>
      <c r="C10" s="1789"/>
      <c r="D10" s="1789"/>
      <c r="E10" s="499" t="s">
        <v>1238</v>
      </c>
      <c r="F10" s="17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96"/>
      <c r="H10" s="1796"/>
      <c r="I10" s="1796"/>
      <c r="J10" s="1796"/>
      <c r="K10" s="1796"/>
      <c r="L10" s="1796"/>
      <c r="M10" s="1796"/>
      <c r="N10" s="1796"/>
      <c r="O10" s="1796"/>
      <c r="P10" s="1796"/>
      <c r="Q10" s="1796"/>
      <c r="R10" s="1796"/>
      <c r="S10" s="1796"/>
      <c r="T10" s="495"/>
      <c r="U10" s="495"/>
    </row>
    <row r="11" spans="1:21" s="412" customFormat="1" ht="14.45" customHeight="1" x14ac:dyDescent="0.25">
      <c r="A11" s="245"/>
      <c r="B11" s="496"/>
      <c r="C11" s="497"/>
      <c r="D11" s="498" t="str">
        <f>IF(E10="SI APLICA","¿El indicador no se reporta por limitaciones de información disponible? ","")</f>
        <v xml:space="preserve">¿El indicador no se reporta por limitaciones de información disponible? </v>
      </c>
      <c r="E11" s="500" t="s">
        <v>1240</v>
      </c>
      <c r="F11" s="1790"/>
      <c r="G11" s="1791"/>
      <c r="H11" s="1791"/>
      <c r="I11" s="1791"/>
      <c r="J11" s="1791"/>
      <c r="K11" s="1791"/>
      <c r="L11" s="1791"/>
      <c r="M11" s="1791"/>
      <c r="N11" s="1791"/>
      <c r="O11" s="1791"/>
      <c r="P11" s="1791"/>
      <c r="Q11" s="1791"/>
      <c r="R11" s="1791"/>
      <c r="S11" s="1791"/>
    </row>
    <row r="12" spans="1:21" s="412" customFormat="1" ht="23.45" customHeight="1" x14ac:dyDescent="0.25">
      <c r="A12" s="245"/>
      <c r="B12" s="493"/>
      <c r="C12" s="304"/>
      <c r="D12" s="498" t="str">
        <f>IF(E11="SI SE REPORTA","¿Qué programas o proyectos del Plan de Acción están asociados al indicador? ","")</f>
        <v xml:space="preserve">¿Qué programas o proyectos del Plan de Acción están asociados al indicador? </v>
      </c>
      <c r="E12" s="1853" t="str">
        <f>+'Anexo 1 Matriz Inf Gestión'!A90</f>
        <v>Proyecto No 3.3. Protección y conservación de la biodiversidad</v>
      </c>
      <c r="F12" s="1853"/>
      <c r="G12" s="1853"/>
      <c r="H12" s="1853"/>
      <c r="I12" s="1853"/>
      <c r="J12" s="1853"/>
      <c r="K12" s="1798" t="str">
        <f>+'Anexo 1 Matriz Inf Gestión'!A75</f>
        <v>Proyecto No 3.2. Ecosistemas marino costeros.</v>
      </c>
      <c r="L12" s="1798"/>
      <c r="M12" s="1798"/>
      <c r="N12" s="1798"/>
      <c r="O12" s="1798"/>
      <c r="P12" s="1798"/>
      <c r="Q12" s="1349"/>
      <c r="R12" s="1349"/>
    </row>
    <row r="13" spans="1:21" s="412" customFormat="1" ht="21.95" customHeight="1" x14ac:dyDescent="0.25">
      <c r="A13" s="245"/>
      <c r="B13" s="493"/>
      <c r="C13" s="304"/>
      <c r="D13" s="498" t="s">
        <v>1243</v>
      </c>
      <c r="E13" s="1792" t="s">
        <v>2830</v>
      </c>
      <c r="F13" s="1793"/>
      <c r="G13" s="1793"/>
      <c r="H13" s="1793"/>
      <c r="I13" s="1793"/>
      <c r="J13" s="1793"/>
      <c r="K13" s="1793"/>
      <c r="L13" s="1793"/>
      <c r="M13" s="1793"/>
      <c r="N13" s="1793"/>
      <c r="O13" s="1793"/>
      <c r="P13" s="1793"/>
      <c r="Q13" s="1793"/>
      <c r="R13" s="1794"/>
    </row>
    <row r="14" spans="1:21" s="412" customFormat="1" ht="6.95" customHeight="1" thickBot="1" x14ac:dyDescent="0.3">
      <c r="B14" s="493"/>
      <c r="C14" s="87"/>
      <c r="D14" s="6"/>
      <c r="E14" s="6"/>
      <c r="F14" s="6"/>
      <c r="G14" s="6"/>
      <c r="H14" s="6"/>
      <c r="I14" s="6"/>
      <c r="J14" s="6"/>
      <c r="K14" s="6"/>
    </row>
    <row r="15" spans="1:21" ht="15.75" thickBot="1" x14ac:dyDescent="0.3">
      <c r="B15" s="1886" t="s">
        <v>2</v>
      </c>
      <c r="C15" s="102"/>
      <c r="D15" s="1832" t="s">
        <v>336</v>
      </c>
      <c r="E15" s="1833"/>
      <c r="F15" s="1833"/>
      <c r="G15" s="1833"/>
      <c r="H15" s="1833"/>
      <c r="I15" s="1833"/>
      <c r="J15" s="1833"/>
      <c r="K15" s="1833"/>
      <c r="L15" s="1936"/>
      <c r="M15" s="1936"/>
      <c r="N15" s="1936"/>
      <c r="O15" s="1936"/>
      <c r="P15" s="1900"/>
      <c r="Q15" s="1925" t="s">
        <v>151</v>
      </c>
    </row>
    <row r="16" spans="1:21" ht="15.75" thickBot="1" x14ac:dyDescent="0.3">
      <c r="B16" s="1935"/>
      <c r="C16" s="109"/>
      <c r="D16" s="1839" t="s">
        <v>150</v>
      </c>
      <c r="E16" s="1928" t="s">
        <v>504</v>
      </c>
      <c r="F16" s="1933"/>
      <c r="G16" s="1933"/>
      <c r="H16" s="1933"/>
      <c r="I16" s="1933"/>
      <c r="J16" s="1934"/>
      <c r="K16" s="1928" t="s">
        <v>505</v>
      </c>
      <c r="L16" s="1929"/>
      <c r="M16" s="1929"/>
      <c r="N16" s="1929"/>
      <c r="O16" s="1929"/>
      <c r="P16" s="1930"/>
      <c r="Q16" s="1926"/>
    </row>
    <row r="17" spans="2:18" ht="15.75" thickBot="1" x14ac:dyDescent="0.3">
      <c r="B17" s="1935"/>
      <c r="C17" s="109"/>
      <c r="D17" s="1845"/>
      <c r="E17" s="1928" t="s">
        <v>506</v>
      </c>
      <c r="F17" s="1933"/>
      <c r="G17" s="1934"/>
      <c r="H17" s="1928" t="s">
        <v>507</v>
      </c>
      <c r="I17" s="1933"/>
      <c r="J17" s="1934"/>
      <c r="K17" s="1928" t="s">
        <v>506</v>
      </c>
      <c r="L17" s="1929"/>
      <c r="M17" s="1930"/>
      <c r="N17" s="1931" t="s">
        <v>507</v>
      </c>
      <c r="O17" s="1929"/>
      <c r="P17" s="1930"/>
      <c r="Q17" s="1926"/>
    </row>
    <row r="18" spans="2:18" ht="15.75" thickBot="1" x14ac:dyDescent="0.3">
      <c r="B18" s="1935"/>
      <c r="C18" s="109"/>
      <c r="D18" s="1932"/>
      <c r="E18" s="41" t="s">
        <v>508</v>
      </c>
      <c r="F18" s="41" t="s">
        <v>509</v>
      </c>
      <c r="G18" s="41" t="s">
        <v>510</v>
      </c>
      <c r="H18" s="41" t="s">
        <v>508</v>
      </c>
      <c r="I18" s="41" t="s">
        <v>509</v>
      </c>
      <c r="J18" s="41" t="s">
        <v>510</v>
      </c>
      <c r="K18" s="41" t="s">
        <v>508</v>
      </c>
      <c r="L18" s="16" t="s">
        <v>509</v>
      </c>
      <c r="M18" s="16" t="s">
        <v>510</v>
      </c>
      <c r="N18" s="16" t="s">
        <v>508</v>
      </c>
      <c r="O18" s="16" t="s">
        <v>509</v>
      </c>
      <c r="P18" s="16" t="s">
        <v>510</v>
      </c>
      <c r="Q18" s="1927"/>
    </row>
    <row r="19" spans="2:18" ht="24.75" thickBot="1" x14ac:dyDescent="0.3">
      <c r="B19" s="1935"/>
      <c r="C19" s="109"/>
      <c r="D19" s="41" t="s">
        <v>511</v>
      </c>
      <c r="E19" s="7">
        <v>5</v>
      </c>
      <c r="F19" s="7">
        <v>8</v>
      </c>
      <c r="G19" s="7">
        <v>7</v>
      </c>
      <c r="H19" s="993">
        <v>8</v>
      </c>
      <c r="I19" s="993">
        <v>8</v>
      </c>
      <c r="J19" s="993">
        <v>8</v>
      </c>
      <c r="K19" s="7"/>
      <c r="L19" s="7"/>
      <c r="M19" s="7"/>
      <c r="N19" s="993">
        <v>4</v>
      </c>
      <c r="O19" s="993">
        <v>2</v>
      </c>
      <c r="P19" s="993">
        <v>2</v>
      </c>
      <c r="Q19" s="415">
        <f>SUM(E19:P19)</f>
        <v>52</v>
      </c>
    </row>
    <row r="20" spans="2:18" ht="36.75" thickBot="1" x14ac:dyDescent="0.3">
      <c r="B20" s="1935"/>
      <c r="C20" s="109"/>
      <c r="D20" s="41" t="s">
        <v>512</v>
      </c>
      <c r="E20" s="7">
        <v>3</v>
      </c>
      <c r="F20" s="7">
        <v>6</v>
      </c>
      <c r="G20" s="7">
        <v>5</v>
      </c>
      <c r="H20" s="993">
        <v>8</v>
      </c>
      <c r="I20" s="993">
        <v>8</v>
      </c>
      <c r="J20" s="993">
        <v>8</v>
      </c>
      <c r="K20" s="7"/>
      <c r="L20" s="7"/>
      <c r="M20" s="7"/>
      <c r="N20" s="993">
        <v>4</v>
      </c>
      <c r="O20" s="993">
        <v>2</v>
      </c>
      <c r="P20" s="993">
        <v>2</v>
      </c>
      <c r="Q20" s="415">
        <f>SUM(E20:P20)</f>
        <v>46</v>
      </c>
    </row>
    <row r="21" spans="2:18" ht="36.75" thickBot="1" x14ac:dyDescent="0.3">
      <c r="B21" s="1935"/>
      <c r="C21" s="109"/>
      <c r="D21" s="41" t="s">
        <v>513</v>
      </c>
      <c r="E21" s="7">
        <v>3</v>
      </c>
      <c r="F21" s="7">
        <v>6</v>
      </c>
      <c r="G21" s="7">
        <v>5</v>
      </c>
      <c r="H21" s="993">
        <v>3</v>
      </c>
      <c r="I21" s="993">
        <v>1</v>
      </c>
      <c r="J21" s="993">
        <v>2</v>
      </c>
      <c r="K21" s="7"/>
      <c r="L21" s="7"/>
      <c r="M21" s="7"/>
      <c r="N21" s="994">
        <v>4</v>
      </c>
      <c r="O21" s="994">
        <v>2</v>
      </c>
      <c r="P21" s="994">
        <v>2</v>
      </c>
      <c r="Q21" s="415">
        <f>SUM(E21:P21)</f>
        <v>28</v>
      </c>
    </row>
    <row r="22" spans="2:18" ht="36.75" thickBot="1" x14ac:dyDescent="0.3">
      <c r="B22" s="1935"/>
      <c r="C22" s="109"/>
      <c r="D22" s="41" t="s">
        <v>480</v>
      </c>
      <c r="E22" s="144">
        <f>IFERROR(E21/E20,"N.A.")</f>
        <v>1</v>
      </c>
      <c r="F22" s="144">
        <f t="shared" ref="F22:P22" si="0">IFERROR(F21/F20,"N.A.")</f>
        <v>1</v>
      </c>
      <c r="G22" s="144">
        <f t="shared" si="0"/>
        <v>1</v>
      </c>
      <c r="H22" s="144">
        <f t="shared" si="0"/>
        <v>0.375</v>
      </c>
      <c r="I22" s="144">
        <f t="shared" si="0"/>
        <v>0.125</v>
      </c>
      <c r="J22" s="144">
        <f t="shared" si="0"/>
        <v>0.25</v>
      </c>
      <c r="K22" s="144" t="str">
        <f t="shared" si="0"/>
        <v>N.A.</v>
      </c>
      <c r="L22" s="144" t="str">
        <f t="shared" si="0"/>
        <v>N.A.</v>
      </c>
      <c r="M22" s="144" t="str">
        <f t="shared" si="0"/>
        <v>N.A.</v>
      </c>
      <c r="N22" s="144">
        <f t="shared" si="0"/>
        <v>1</v>
      </c>
      <c r="O22" s="144">
        <f t="shared" si="0"/>
        <v>1</v>
      </c>
      <c r="P22" s="144">
        <f t="shared" si="0"/>
        <v>1</v>
      </c>
      <c r="Q22" s="144">
        <f>IFERROR(Q21/Q20,"N.A.")</f>
        <v>0.60869565217391308</v>
      </c>
    </row>
    <row r="23" spans="2:18" x14ac:dyDescent="0.25">
      <c r="B23" s="1935"/>
      <c r="C23" s="103"/>
      <c r="D23" s="1837" t="s">
        <v>514</v>
      </c>
      <c r="E23" s="1838"/>
      <c r="F23" s="1838"/>
      <c r="G23" s="1838"/>
      <c r="H23" s="1838"/>
      <c r="I23" s="1838"/>
      <c r="J23" s="1838"/>
      <c r="K23" s="1838"/>
      <c r="L23" s="1937"/>
      <c r="M23" s="1937"/>
      <c r="N23" s="1937"/>
      <c r="O23" s="1937"/>
      <c r="P23" s="1896"/>
      <c r="Q23" s="225">
        <f>+(N22+O22+P22)/3</f>
        <v>1</v>
      </c>
      <c r="R23" t="s">
        <v>3482</v>
      </c>
    </row>
    <row r="24" spans="2:18" x14ac:dyDescent="0.25">
      <c r="B24" s="1935"/>
      <c r="C24" s="103"/>
      <c r="D24" s="1843" t="s">
        <v>515</v>
      </c>
      <c r="E24" s="1844"/>
      <c r="F24" s="1844"/>
      <c r="G24" s="1844"/>
      <c r="H24" s="1844"/>
      <c r="I24" s="1844"/>
      <c r="J24" s="1844"/>
      <c r="K24" s="1844"/>
      <c r="L24" s="1938"/>
      <c r="M24" s="1938"/>
      <c r="N24" s="1938"/>
      <c r="O24" s="1938"/>
      <c r="P24" s="1897"/>
      <c r="Q24" s="225">
        <f>+(E22+F22+G22+H22+I22+J22)/6</f>
        <v>0.625</v>
      </c>
      <c r="R24" t="s">
        <v>464</v>
      </c>
    </row>
    <row r="25" spans="2:18" x14ac:dyDescent="0.25">
      <c r="B25" s="1935"/>
      <c r="C25" s="103"/>
      <c r="D25" s="1843" t="s">
        <v>516</v>
      </c>
      <c r="E25" s="1844"/>
      <c r="F25" s="1844"/>
      <c r="G25" s="1844"/>
      <c r="H25" s="1844"/>
      <c r="I25" s="1844"/>
      <c r="J25" s="1844"/>
      <c r="K25" s="1844"/>
      <c r="L25" s="1938"/>
      <c r="M25" s="1938"/>
      <c r="N25" s="1938"/>
      <c r="O25" s="1938"/>
      <c r="P25" s="1897"/>
    </row>
    <row r="26" spans="2:18" x14ac:dyDescent="0.25">
      <c r="B26" s="1935"/>
      <c r="C26" s="103"/>
      <c r="D26" s="1840" t="s">
        <v>246</v>
      </c>
      <c r="E26" s="1841"/>
      <c r="F26" s="1841"/>
      <c r="G26" s="1841"/>
      <c r="H26" s="1841"/>
      <c r="I26" s="1841"/>
      <c r="J26" s="1841"/>
      <c r="K26" s="1841"/>
      <c r="L26" s="1939"/>
      <c r="M26" s="1939"/>
      <c r="N26" s="1939"/>
      <c r="O26" s="1939"/>
      <c r="P26" s="1898"/>
    </row>
    <row r="27" spans="2:18" x14ac:dyDescent="0.25">
      <c r="B27" s="1935"/>
      <c r="C27" s="103"/>
      <c r="D27" s="1840" t="s">
        <v>517</v>
      </c>
      <c r="E27" s="1841"/>
      <c r="F27" s="1841"/>
      <c r="G27" s="1841"/>
      <c r="H27" s="1841"/>
      <c r="I27" s="1841"/>
      <c r="J27" s="1841"/>
      <c r="K27" s="1841"/>
      <c r="L27" s="1939"/>
      <c r="M27" s="1939"/>
      <c r="N27" s="1939"/>
      <c r="O27" s="1939"/>
      <c r="P27" s="1898"/>
    </row>
    <row r="28" spans="2:18" ht="15.75" thickBot="1" x14ac:dyDescent="0.3">
      <c r="B28" s="1935"/>
      <c r="C28" s="103"/>
      <c r="D28" s="1843" t="s">
        <v>340</v>
      </c>
      <c r="E28" s="1844"/>
      <c r="F28" s="1844"/>
      <c r="G28" s="1844"/>
      <c r="H28" s="1844"/>
      <c r="I28" s="1844"/>
      <c r="J28" s="1844"/>
      <c r="K28" s="1844"/>
      <c r="L28" s="1938"/>
      <c r="M28" s="1938"/>
      <c r="N28" s="1938"/>
      <c r="O28" s="1938"/>
      <c r="P28" s="1897"/>
    </row>
    <row r="29" spans="2:18" ht="21" customHeight="1" x14ac:dyDescent="0.25">
      <c r="B29" s="1935"/>
      <c r="C29" s="1944" t="s">
        <v>19</v>
      </c>
      <c r="D29" s="1925" t="s">
        <v>270</v>
      </c>
      <c r="E29" s="1925" t="s">
        <v>518</v>
      </c>
      <c r="F29" s="1925" t="s">
        <v>519</v>
      </c>
      <c r="G29" s="1925" t="s">
        <v>520</v>
      </c>
      <c r="H29" s="210" t="s">
        <v>473</v>
      </c>
      <c r="I29" s="210" t="s">
        <v>475</v>
      </c>
      <c r="J29" s="1925" t="s">
        <v>274</v>
      </c>
      <c r="K29" s="1925" t="s">
        <v>275</v>
      </c>
      <c r="L29" s="1925" t="s">
        <v>55</v>
      </c>
      <c r="P29" s="14"/>
    </row>
    <row r="30" spans="2:18" ht="15.75" thickBot="1" x14ac:dyDescent="0.3">
      <c r="B30" s="1935"/>
      <c r="C30" s="1945"/>
      <c r="D30" s="1927"/>
      <c r="E30" s="1927"/>
      <c r="F30" s="1927"/>
      <c r="G30" s="1927"/>
      <c r="H30" s="211" t="s">
        <v>474</v>
      </c>
      <c r="I30" s="211" t="s">
        <v>476</v>
      </c>
      <c r="J30" s="1927"/>
      <c r="K30" s="1927"/>
      <c r="L30" s="1927"/>
      <c r="P30" s="14"/>
    </row>
    <row r="31" spans="2:18" ht="45.75" customHeight="1" thickBot="1" x14ac:dyDescent="0.3">
      <c r="B31" s="1935"/>
      <c r="C31" s="380"/>
      <c r="D31" s="1946" t="s">
        <v>3394</v>
      </c>
      <c r="E31" s="995" t="s">
        <v>2871</v>
      </c>
      <c r="F31" s="995" t="s">
        <v>2872</v>
      </c>
      <c r="G31" s="996" t="s">
        <v>2873</v>
      </c>
      <c r="H31" s="1952">
        <v>730317457</v>
      </c>
      <c r="I31" s="197"/>
      <c r="J31" s="197"/>
      <c r="K31" s="1952">
        <v>365039387</v>
      </c>
      <c r="L31" s="1949" t="s">
        <v>3393</v>
      </c>
      <c r="P31" s="14"/>
    </row>
    <row r="32" spans="2:18" ht="34.5" thickBot="1" x14ac:dyDescent="0.3">
      <c r="B32" s="1935"/>
      <c r="C32" s="380"/>
      <c r="D32" s="1947"/>
      <c r="E32" s="995" t="s">
        <v>2871</v>
      </c>
      <c r="F32" s="995" t="s">
        <v>2872</v>
      </c>
      <c r="G32" s="996" t="s">
        <v>2874</v>
      </c>
      <c r="H32" s="1953"/>
      <c r="I32" s="197"/>
      <c r="J32" s="197"/>
      <c r="K32" s="1953"/>
      <c r="L32" s="1950"/>
      <c r="P32" s="14"/>
    </row>
    <row r="33" spans="2:16" ht="45.75" thickBot="1" x14ac:dyDescent="0.3">
      <c r="B33" s="1935"/>
      <c r="C33" s="380"/>
      <c r="D33" s="1947"/>
      <c r="E33" s="995" t="s">
        <v>2871</v>
      </c>
      <c r="F33" s="995" t="s">
        <v>2872</v>
      </c>
      <c r="G33" s="996" t="s">
        <v>2875</v>
      </c>
      <c r="H33" s="1953"/>
      <c r="I33" s="197"/>
      <c r="J33" s="197"/>
      <c r="K33" s="1953"/>
      <c r="L33" s="1950"/>
      <c r="P33" s="14"/>
    </row>
    <row r="34" spans="2:16" ht="45.75" thickBot="1" x14ac:dyDescent="0.3">
      <c r="B34" s="1935"/>
      <c r="C34" s="380"/>
      <c r="D34" s="1947"/>
      <c r="E34" s="995" t="s">
        <v>2871</v>
      </c>
      <c r="F34" s="995" t="s">
        <v>2872</v>
      </c>
      <c r="G34" s="996" t="s">
        <v>2876</v>
      </c>
      <c r="H34" s="1953"/>
      <c r="I34" s="197"/>
      <c r="J34" s="197"/>
      <c r="K34" s="1953"/>
      <c r="L34" s="1950"/>
      <c r="P34" s="14"/>
    </row>
    <row r="35" spans="2:16" ht="34.5" thickBot="1" x14ac:dyDescent="0.3">
      <c r="B35" s="1935"/>
      <c r="C35" s="380"/>
      <c r="D35" s="1947"/>
      <c r="E35" s="995" t="s">
        <v>2871</v>
      </c>
      <c r="F35" s="995" t="s">
        <v>2872</v>
      </c>
      <c r="G35" s="996" t="s">
        <v>2877</v>
      </c>
      <c r="H35" s="1953"/>
      <c r="I35" s="197"/>
      <c r="J35" s="197"/>
      <c r="K35" s="1953"/>
      <c r="L35" s="1950"/>
      <c r="P35" s="14"/>
    </row>
    <row r="36" spans="2:16" ht="34.5" thickBot="1" x14ac:dyDescent="0.3">
      <c r="B36" s="1935"/>
      <c r="C36" s="380"/>
      <c r="D36" s="1948"/>
      <c r="E36" s="995" t="s">
        <v>2871</v>
      </c>
      <c r="F36" s="995" t="s">
        <v>2872</v>
      </c>
      <c r="G36" s="997" t="s">
        <v>2878</v>
      </c>
      <c r="H36" s="1954"/>
      <c r="I36" s="197"/>
      <c r="J36" s="197"/>
      <c r="K36" s="1954"/>
      <c r="L36" s="1951"/>
      <c r="P36" s="14"/>
    </row>
    <row r="37" spans="2:16" s="757" customFormat="1" ht="214.5" thickBot="1" x14ac:dyDescent="0.3">
      <c r="B37" s="1935"/>
      <c r="C37" s="380"/>
      <c r="D37" s="989" t="s">
        <v>3395</v>
      </c>
      <c r="E37" s="998" t="s">
        <v>2871</v>
      </c>
      <c r="F37" s="998" t="s">
        <v>2872</v>
      </c>
      <c r="G37" s="1353" t="s">
        <v>2879</v>
      </c>
      <c r="H37" s="1351"/>
      <c r="I37" s="1351"/>
      <c r="J37" s="1351"/>
      <c r="K37" s="1393"/>
      <c r="L37" s="1350"/>
      <c r="P37" s="14"/>
    </row>
    <row r="38" spans="2:16" s="757" customFormat="1" ht="34.5" customHeight="1" x14ac:dyDescent="0.25">
      <c r="B38" s="1935"/>
      <c r="C38" s="1511" t="s">
        <v>156</v>
      </c>
      <c r="D38" s="1959" t="s">
        <v>3290</v>
      </c>
      <c r="E38" s="1512" t="s">
        <v>3234</v>
      </c>
      <c r="F38" s="1513" t="s">
        <v>3503</v>
      </c>
      <c r="G38" s="1513" t="s">
        <v>3504</v>
      </c>
      <c r="H38" s="1956">
        <v>3800409861</v>
      </c>
      <c r="I38" s="1956">
        <v>3800409861</v>
      </c>
      <c r="J38" s="1956">
        <v>3800409861</v>
      </c>
      <c r="K38" s="1956">
        <v>1900204930.5</v>
      </c>
      <c r="L38" s="1955" t="s">
        <v>3505</v>
      </c>
      <c r="P38" s="14"/>
    </row>
    <row r="39" spans="2:16" s="757" customFormat="1" ht="34.5" customHeight="1" x14ac:dyDescent="0.25">
      <c r="B39" s="1935"/>
      <c r="C39" s="1511"/>
      <c r="D39" s="1960"/>
      <c r="E39" s="1512" t="s">
        <v>3234</v>
      </c>
      <c r="F39" s="1513" t="s">
        <v>3503</v>
      </c>
      <c r="G39" s="1513" t="s">
        <v>3506</v>
      </c>
      <c r="H39" s="1956"/>
      <c r="I39" s="1956"/>
      <c r="J39" s="1956"/>
      <c r="K39" s="1956"/>
      <c r="L39" s="1955"/>
      <c r="P39" s="14"/>
    </row>
    <row r="40" spans="2:16" s="757" customFormat="1" ht="34.5" customHeight="1" x14ac:dyDescent="0.25">
      <c r="B40" s="1935"/>
      <c r="C40" s="1511"/>
      <c r="D40" s="1960"/>
      <c r="E40" s="1512" t="s">
        <v>3234</v>
      </c>
      <c r="F40" s="1513" t="s">
        <v>3503</v>
      </c>
      <c r="G40" s="1514" t="s">
        <v>3507</v>
      </c>
      <c r="H40" s="1956"/>
      <c r="I40" s="1956"/>
      <c r="J40" s="1956"/>
      <c r="K40" s="1956"/>
      <c r="L40" s="1955"/>
      <c r="P40" s="14"/>
    </row>
    <row r="41" spans="2:16" s="757" customFormat="1" ht="34.5" customHeight="1" x14ac:dyDescent="0.25">
      <c r="B41" s="1935"/>
      <c r="C41" s="1511"/>
      <c r="D41" s="1960"/>
      <c r="E41" s="1512" t="s">
        <v>3234</v>
      </c>
      <c r="F41" s="1513" t="s">
        <v>3503</v>
      </c>
      <c r="G41" s="1514" t="s">
        <v>3508</v>
      </c>
      <c r="H41" s="1956"/>
      <c r="I41" s="1956"/>
      <c r="J41" s="1956"/>
      <c r="K41" s="1956"/>
      <c r="L41" s="1955"/>
      <c r="P41" s="14"/>
    </row>
    <row r="42" spans="2:16" s="757" customFormat="1" ht="34.5" customHeight="1" x14ac:dyDescent="0.25">
      <c r="B42" s="1935"/>
      <c r="C42" s="1511"/>
      <c r="D42" s="1960"/>
      <c r="E42" s="1512" t="s">
        <v>3234</v>
      </c>
      <c r="F42" s="1513" t="s">
        <v>3503</v>
      </c>
      <c r="G42" s="1514" t="s">
        <v>3509</v>
      </c>
      <c r="H42" s="1956"/>
      <c r="I42" s="1956"/>
      <c r="J42" s="1956"/>
      <c r="K42" s="1956"/>
      <c r="L42" s="1955"/>
      <c r="P42" s="14"/>
    </row>
    <row r="43" spans="2:16" s="757" customFormat="1" ht="34.5" customHeight="1" x14ac:dyDescent="0.25">
      <c r="B43" s="1935"/>
      <c r="C43" s="1511"/>
      <c r="D43" s="1960"/>
      <c r="E43" s="1512" t="s">
        <v>3234</v>
      </c>
      <c r="F43" s="1513" t="s">
        <v>3503</v>
      </c>
      <c r="G43" s="1514" t="s">
        <v>3510</v>
      </c>
      <c r="H43" s="1956"/>
      <c r="I43" s="1956"/>
      <c r="J43" s="1956"/>
      <c r="K43" s="1956"/>
      <c r="L43" s="1955"/>
      <c r="P43" s="14"/>
    </row>
    <row r="44" spans="2:16" s="757" customFormat="1" ht="34.5" customHeight="1" x14ac:dyDescent="0.25">
      <c r="B44" s="1935"/>
      <c r="C44" s="1511"/>
      <c r="D44" s="1960"/>
      <c r="E44" s="1512" t="s">
        <v>3234</v>
      </c>
      <c r="F44" s="1513" t="s">
        <v>3503</v>
      </c>
      <c r="G44" s="1514" t="s">
        <v>3511</v>
      </c>
      <c r="H44" s="1956"/>
      <c r="I44" s="1956"/>
      <c r="J44" s="1956"/>
      <c r="K44" s="1956"/>
      <c r="L44" s="1955"/>
      <c r="P44" s="14"/>
    </row>
    <row r="45" spans="2:16" s="757" customFormat="1" ht="34.5" customHeight="1" x14ac:dyDescent="0.25">
      <c r="B45" s="1935"/>
      <c r="C45" s="1511"/>
      <c r="D45" s="1960"/>
      <c r="E45" s="1512" t="s">
        <v>3234</v>
      </c>
      <c r="F45" s="1513" t="s">
        <v>3503</v>
      </c>
      <c r="G45" s="1514" t="s">
        <v>3512</v>
      </c>
      <c r="H45" s="1956"/>
      <c r="I45" s="1956"/>
      <c r="J45" s="1956"/>
      <c r="K45" s="1956"/>
      <c r="L45" s="1955"/>
      <c r="P45" s="14"/>
    </row>
    <row r="46" spans="2:16" s="757" customFormat="1" ht="34.5" customHeight="1" x14ac:dyDescent="0.25">
      <c r="B46" s="1935"/>
      <c r="C46" s="1511"/>
      <c r="D46" s="1960"/>
      <c r="E46" s="1512" t="s">
        <v>3234</v>
      </c>
      <c r="F46" s="1513" t="s">
        <v>3503</v>
      </c>
      <c r="G46" s="1514" t="s">
        <v>3513</v>
      </c>
      <c r="H46" s="1956"/>
      <c r="I46" s="1956"/>
      <c r="J46" s="1956"/>
      <c r="K46" s="1956"/>
      <c r="L46" s="1955"/>
      <c r="P46" s="14"/>
    </row>
    <row r="47" spans="2:16" s="757" customFormat="1" ht="34.5" customHeight="1" x14ac:dyDescent="0.25">
      <c r="B47" s="1935"/>
      <c r="C47" s="1511"/>
      <c r="D47" s="1960"/>
      <c r="E47" s="1512" t="s">
        <v>3234</v>
      </c>
      <c r="F47" s="1513" t="s">
        <v>3503</v>
      </c>
      <c r="G47" s="1514" t="s">
        <v>3514</v>
      </c>
      <c r="H47" s="1956"/>
      <c r="I47" s="1956"/>
      <c r="J47" s="1956"/>
      <c r="K47" s="1956"/>
      <c r="L47" s="1955"/>
      <c r="P47" s="14"/>
    </row>
    <row r="48" spans="2:16" s="757" customFormat="1" ht="34.5" customHeight="1" x14ac:dyDescent="0.25">
      <c r="B48" s="1935"/>
      <c r="C48" s="1511"/>
      <c r="D48" s="1960"/>
      <c r="E48" s="1512" t="s">
        <v>3234</v>
      </c>
      <c r="F48" s="1513" t="s">
        <v>3503</v>
      </c>
      <c r="G48" s="1514" t="s">
        <v>3515</v>
      </c>
      <c r="H48" s="1956"/>
      <c r="I48" s="1956"/>
      <c r="J48" s="1956"/>
      <c r="K48" s="1956"/>
      <c r="L48" s="1955"/>
      <c r="P48" s="14"/>
    </row>
    <row r="49" spans="2:16" s="757" customFormat="1" ht="34.5" customHeight="1" x14ac:dyDescent="0.25">
      <c r="B49" s="1935"/>
      <c r="C49" s="1511"/>
      <c r="D49" s="1960"/>
      <c r="E49" s="1512" t="s">
        <v>3234</v>
      </c>
      <c r="F49" s="1513" t="s">
        <v>3503</v>
      </c>
      <c r="G49" s="1514" t="s">
        <v>3516</v>
      </c>
      <c r="H49" s="1956"/>
      <c r="I49" s="1956"/>
      <c r="J49" s="1956"/>
      <c r="K49" s="1956"/>
      <c r="L49" s="1955"/>
      <c r="P49" s="14"/>
    </row>
    <row r="50" spans="2:16" s="757" customFormat="1" ht="34.5" customHeight="1" x14ac:dyDescent="0.25">
      <c r="B50" s="1935"/>
      <c r="C50" s="1511"/>
      <c r="D50" s="1960"/>
      <c r="E50" s="1512" t="s">
        <v>3234</v>
      </c>
      <c r="F50" s="1513" t="s">
        <v>3503</v>
      </c>
      <c r="G50" s="1514" t="s">
        <v>3517</v>
      </c>
      <c r="H50" s="1956"/>
      <c r="I50" s="1956"/>
      <c r="J50" s="1956"/>
      <c r="K50" s="1956"/>
      <c r="L50" s="1955"/>
      <c r="P50" s="14"/>
    </row>
    <row r="51" spans="2:16" s="757" customFormat="1" ht="34.5" customHeight="1" x14ac:dyDescent="0.25">
      <c r="B51" s="1935"/>
      <c r="C51" s="1511"/>
      <c r="D51" s="1960"/>
      <c r="E51" s="1512" t="s">
        <v>3234</v>
      </c>
      <c r="F51" s="1513" t="s">
        <v>3503</v>
      </c>
      <c r="G51" s="1514" t="s">
        <v>3518</v>
      </c>
      <c r="H51" s="1956"/>
      <c r="I51" s="1956"/>
      <c r="J51" s="1956"/>
      <c r="K51" s="1956"/>
      <c r="L51" s="1955"/>
      <c r="P51" s="14"/>
    </row>
    <row r="52" spans="2:16" s="757" customFormat="1" ht="34.5" customHeight="1" x14ac:dyDescent="0.25">
      <c r="B52" s="1935"/>
      <c r="C52" s="1511"/>
      <c r="D52" s="1960"/>
      <c r="E52" s="1512" t="s">
        <v>3234</v>
      </c>
      <c r="F52" s="1513" t="s">
        <v>3503</v>
      </c>
      <c r="G52" s="1514" t="s">
        <v>3519</v>
      </c>
      <c r="H52" s="1956"/>
      <c r="I52" s="1956"/>
      <c r="J52" s="1956"/>
      <c r="K52" s="1956"/>
      <c r="L52" s="1955"/>
      <c r="P52" s="14"/>
    </row>
    <row r="53" spans="2:16" s="757" customFormat="1" ht="34.5" customHeight="1" x14ac:dyDescent="0.25">
      <c r="B53" s="1935"/>
      <c r="C53" s="1511"/>
      <c r="D53" s="1960"/>
      <c r="E53" s="1512" t="s">
        <v>3234</v>
      </c>
      <c r="F53" s="1513" t="s">
        <v>3503</v>
      </c>
      <c r="G53" s="1514" t="s">
        <v>3520</v>
      </c>
      <c r="H53" s="1956"/>
      <c r="I53" s="1956"/>
      <c r="J53" s="1956"/>
      <c r="K53" s="1956"/>
      <c r="L53" s="1955"/>
      <c r="P53" s="14"/>
    </row>
    <row r="54" spans="2:16" s="757" customFormat="1" ht="34.5" customHeight="1" x14ac:dyDescent="0.25">
      <c r="B54" s="1935"/>
      <c r="C54" s="1511"/>
      <c r="D54" s="1960"/>
      <c r="E54" s="1512" t="s">
        <v>3234</v>
      </c>
      <c r="F54" s="1513" t="s">
        <v>3503</v>
      </c>
      <c r="G54" s="1514" t="s">
        <v>3521</v>
      </c>
      <c r="H54" s="1956"/>
      <c r="I54" s="1956"/>
      <c r="J54" s="1956"/>
      <c r="K54" s="1956"/>
      <c r="L54" s="1955"/>
      <c r="P54" s="14"/>
    </row>
    <row r="55" spans="2:16" s="757" customFormat="1" ht="34.5" customHeight="1" x14ac:dyDescent="0.25">
      <c r="B55" s="1935"/>
      <c r="C55" s="1511"/>
      <c r="D55" s="1960"/>
      <c r="E55" s="1512" t="s">
        <v>3234</v>
      </c>
      <c r="F55" s="1513" t="s">
        <v>3503</v>
      </c>
      <c r="G55" s="1514" t="s">
        <v>3522</v>
      </c>
      <c r="H55" s="1956"/>
      <c r="I55" s="1956"/>
      <c r="J55" s="1956"/>
      <c r="K55" s="1956"/>
      <c r="L55" s="1955"/>
      <c r="P55" s="14"/>
    </row>
    <row r="56" spans="2:16" s="757" customFormat="1" ht="34.5" customHeight="1" x14ac:dyDescent="0.25">
      <c r="B56" s="1935"/>
      <c r="C56" s="1511"/>
      <c r="D56" s="1960"/>
      <c r="E56" s="1512" t="s">
        <v>3234</v>
      </c>
      <c r="F56" s="1513" t="s">
        <v>3503</v>
      </c>
      <c r="G56" s="1514" t="s">
        <v>3523</v>
      </c>
      <c r="H56" s="1956"/>
      <c r="I56" s="1956"/>
      <c r="J56" s="1956"/>
      <c r="K56" s="1956"/>
      <c r="L56" s="1955"/>
      <c r="P56" s="14"/>
    </row>
    <row r="57" spans="2:16" s="757" customFormat="1" ht="34.5" customHeight="1" thickBot="1" x14ac:dyDescent="0.3">
      <c r="B57" s="1935"/>
      <c r="C57" s="1511"/>
      <c r="D57" s="1960"/>
      <c r="E57" s="1512" t="s">
        <v>3234</v>
      </c>
      <c r="F57" s="1513" t="s">
        <v>3524</v>
      </c>
      <c r="G57" s="1514" t="s">
        <v>3525</v>
      </c>
      <c r="H57" s="1515">
        <v>529850005</v>
      </c>
      <c r="I57" s="1515">
        <v>506408789</v>
      </c>
      <c r="J57" s="1515">
        <v>506408789</v>
      </c>
      <c r="K57" s="1515">
        <v>506408789</v>
      </c>
      <c r="L57" s="1516" t="s">
        <v>3526</v>
      </c>
      <c r="P57" s="14"/>
    </row>
    <row r="58" spans="2:16" s="757" customFormat="1" ht="34.5" customHeight="1" thickBot="1" x14ac:dyDescent="0.3">
      <c r="B58" s="1935"/>
      <c r="C58" s="1957">
        <v>1</v>
      </c>
      <c r="D58" s="1958"/>
      <c r="E58" s="1517" t="s">
        <v>3234</v>
      </c>
      <c r="F58" s="1517" t="s">
        <v>2872</v>
      </c>
      <c r="G58" s="1518" t="s">
        <v>3291</v>
      </c>
      <c r="H58" s="1519">
        <v>16880293</v>
      </c>
      <c r="I58" s="1519">
        <v>16880293</v>
      </c>
      <c r="J58" s="1519"/>
      <c r="K58" s="1519"/>
      <c r="L58" s="1516" t="s">
        <v>3526</v>
      </c>
      <c r="P58" s="14"/>
    </row>
    <row r="59" spans="2:16" s="757" customFormat="1" ht="34.5" customHeight="1" thickBot="1" x14ac:dyDescent="0.3">
      <c r="B59" s="1935"/>
      <c r="C59" s="1958"/>
      <c r="D59" s="1958"/>
      <c r="E59" s="1517" t="s">
        <v>3234</v>
      </c>
      <c r="F59" s="1517" t="s">
        <v>2872</v>
      </c>
      <c r="G59" s="1518" t="s">
        <v>3292</v>
      </c>
      <c r="H59" s="1519">
        <v>16880293</v>
      </c>
      <c r="I59" s="1519">
        <v>16880293</v>
      </c>
      <c r="J59" s="1519"/>
      <c r="K59" s="1519"/>
      <c r="L59" s="1516" t="s">
        <v>3526</v>
      </c>
      <c r="P59" s="14"/>
    </row>
    <row r="60" spans="2:16" s="757" customFormat="1" ht="48.75" thickBot="1" x14ac:dyDescent="0.3">
      <c r="B60" s="1935"/>
      <c r="C60" s="1958"/>
      <c r="D60" s="1958"/>
      <c r="E60" s="1517" t="s">
        <v>3234</v>
      </c>
      <c r="F60" s="1517" t="s">
        <v>2872</v>
      </c>
      <c r="G60" s="1518" t="s">
        <v>3293</v>
      </c>
      <c r="H60" s="1519">
        <v>16880293</v>
      </c>
      <c r="I60" s="1519">
        <v>16880293</v>
      </c>
      <c r="J60" s="1519"/>
      <c r="K60" s="1519"/>
      <c r="L60" s="1516" t="s">
        <v>3526</v>
      </c>
      <c r="P60" s="14"/>
    </row>
    <row r="61" spans="2:16" s="757" customFormat="1" ht="48.75" thickBot="1" x14ac:dyDescent="0.3">
      <c r="B61" s="1935"/>
      <c r="C61" s="1958"/>
      <c r="D61" s="1958"/>
      <c r="E61" s="1517" t="s">
        <v>3234</v>
      </c>
      <c r="F61" s="1517" t="s">
        <v>2872</v>
      </c>
      <c r="G61" s="1518" t="s">
        <v>3294</v>
      </c>
      <c r="H61" s="1519">
        <v>16880293</v>
      </c>
      <c r="I61" s="1519">
        <v>16880293</v>
      </c>
      <c r="J61" s="1519"/>
      <c r="K61" s="1519"/>
      <c r="L61" s="1516" t="s">
        <v>3526</v>
      </c>
      <c r="P61" s="14"/>
    </row>
    <row r="62" spans="2:16" s="757" customFormat="1" ht="48" x14ac:dyDescent="0.25">
      <c r="B62" s="1935"/>
      <c r="C62" s="1958"/>
      <c r="D62" s="1958"/>
      <c r="E62" s="1520" t="s">
        <v>3234</v>
      </c>
      <c r="F62" s="1520" t="s">
        <v>2872</v>
      </c>
      <c r="G62" s="1521" t="s">
        <v>3295</v>
      </c>
      <c r="H62" s="1519">
        <v>16880293</v>
      </c>
      <c r="I62" s="1519">
        <v>16880293</v>
      </c>
      <c r="J62" s="1519"/>
      <c r="K62" s="1519"/>
      <c r="L62" s="1516" t="s">
        <v>3526</v>
      </c>
      <c r="P62" s="14"/>
    </row>
    <row r="63" spans="2:16" s="757" customFormat="1" ht="48" x14ac:dyDescent="0.25">
      <c r="B63" s="1935"/>
      <c r="C63" s="1958"/>
      <c r="D63" s="1960"/>
      <c r="E63" s="1522" t="s">
        <v>3234</v>
      </c>
      <c r="F63" s="1522" t="s">
        <v>2872</v>
      </c>
      <c r="G63" s="1523" t="s">
        <v>3296</v>
      </c>
      <c r="H63" s="1519">
        <v>16880293</v>
      </c>
      <c r="I63" s="1519">
        <v>16880293</v>
      </c>
      <c r="J63" s="1519"/>
      <c r="K63" s="1519"/>
      <c r="L63" s="1516" t="s">
        <v>3526</v>
      </c>
      <c r="P63" s="14"/>
    </row>
    <row r="64" spans="2:16" ht="15.75" thickBot="1" x14ac:dyDescent="0.3">
      <c r="B64" s="1887"/>
      <c r="C64" s="111"/>
      <c r="D64" s="40" t="s">
        <v>151</v>
      </c>
      <c r="E64" s="27"/>
      <c r="F64" s="27"/>
      <c r="G64" s="27"/>
      <c r="H64" s="142">
        <f>SUM(H31:H63)</f>
        <v>5161859081</v>
      </c>
      <c r="I64" s="142">
        <f>SUM(I31:I63)</f>
        <v>4408100408</v>
      </c>
      <c r="J64" s="142">
        <f>SUM(J31:J63)</f>
        <v>4306818650</v>
      </c>
      <c r="K64" s="142">
        <f>SUM(K31:K63)</f>
        <v>2771653106.5</v>
      </c>
      <c r="L64" s="197"/>
      <c r="M64" s="15"/>
      <c r="N64" s="15"/>
      <c r="P64" s="11"/>
    </row>
    <row r="65" spans="2:16" ht="24" customHeight="1" thickBot="1" x14ac:dyDescent="0.3">
      <c r="B65" s="72" t="s">
        <v>34</v>
      </c>
      <c r="C65" s="108"/>
      <c r="D65" s="1832" t="s">
        <v>521</v>
      </c>
      <c r="E65" s="1833"/>
      <c r="F65" s="1833"/>
      <c r="G65" s="1833"/>
      <c r="H65" s="1833"/>
      <c r="I65" s="1833"/>
      <c r="J65" s="1833"/>
      <c r="K65" s="1833"/>
      <c r="L65" s="1936"/>
      <c r="M65" s="1936"/>
      <c r="N65" s="1936"/>
      <c r="O65" s="1936"/>
      <c r="P65" s="1900"/>
    </row>
    <row r="66" spans="2:16" ht="23.25" thickBot="1" x14ac:dyDescent="0.3">
      <c r="B66" s="72" t="s">
        <v>36</v>
      </c>
      <c r="C66" s="108"/>
      <c r="D66" s="1832" t="s">
        <v>346</v>
      </c>
      <c r="E66" s="1833"/>
      <c r="F66" s="1833"/>
      <c r="G66" s="1833"/>
      <c r="H66" s="1833"/>
      <c r="I66" s="1833"/>
      <c r="J66" s="1833"/>
      <c r="K66" s="1833"/>
      <c r="L66" s="1936"/>
      <c r="M66" s="1936"/>
      <c r="N66" s="1936"/>
      <c r="O66" s="1936"/>
      <c r="P66" s="1900"/>
    </row>
    <row r="67" spans="2:16" ht="15.75" thickBot="1" x14ac:dyDescent="0.3">
      <c r="B67" s="2"/>
      <c r="C67" s="76"/>
      <c r="D67" s="6"/>
      <c r="E67" s="6"/>
      <c r="F67" s="6"/>
      <c r="G67" s="6"/>
      <c r="H67" s="6"/>
      <c r="I67" s="6"/>
      <c r="J67" s="6"/>
      <c r="K67" s="6"/>
    </row>
    <row r="68" spans="2:16" ht="24" customHeight="1" thickBot="1" x14ac:dyDescent="0.3">
      <c r="B68" s="1829" t="s">
        <v>38</v>
      </c>
      <c r="C68" s="1830"/>
      <c r="D68" s="1830"/>
      <c r="E68" s="1831"/>
      <c r="F68" s="6"/>
      <c r="G68" s="6"/>
      <c r="H68" s="6"/>
      <c r="I68" s="6"/>
      <c r="J68" s="6"/>
      <c r="K68" s="6"/>
    </row>
    <row r="69" spans="2:16" ht="15.75" thickBot="1" x14ac:dyDescent="0.3">
      <c r="B69" s="1826">
        <v>1</v>
      </c>
      <c r="C69" s="94"/>
      <c r="D69" s="48" t="s">
        <v>39</v>
      </c>
      <c r="E69" s="31" t="s">
        <v>2849</v>
      </c>
      <c r="F69" s="6"/>
      <c r="G69" s="6"/>
      <c r="H69" s="6"/>
      <c r="I69" s="6"/>
      <c r="J69" s="6"/>
      <c r="K69" s="6"/>
    </row>
    <row r="70" spans="2:16" ht="15.75" thickBot="1" x14ac:dyDescent="0.3">
      <c r="B70" s="1827"/>
      <c r="C70" s="94"/>
      <c r="D70" s="41" t="s">
        <v>40</v>
      </c>
      <c r="E70" s="31" t="s">
        <v>3297</v>
      </c>
      <c r="F70" s="6"/>
      <c r="G70" s="6"/>
      <c r="H70" s="6"/>
      <c r="I70" s="6"/>
      <c r="J70" s="6"/>
      <c r="K70" s="6"/>
    </row>
    <row r="71" spans="2:16" ht="15.75" thickBot="1" x14ac:dyDescent="0.3">
      <c r="B71" s="1827"/>
      <c r="C71" s="94"/>
      <c r="D71" s="41" t="s">
        <v>41</v>
      </c>
      <c r="E71" s="31" t="s">
        <v>3287</v>
      </c>
      <c r="F71" s="6"/>
      <c r="G71" s="6"/>
      <c r="H71" s="6"/>
      <c r="I71" s="6"/>
      <c r="J71" s="6"/>
      <c r="K71" s="6"/>
    </row>
    <row r="72" spans="2:16" ht="15.75" thickBot="1" x14ac:dyDescent="0.3">
      <c r="B72" s="1827"/>
      <c r="C72" s="94"/>
      <c r="D72" s="41" t="s">
        <v>42</v>
      </c>
      <c r="E72" s="31" t="s">
        <v>3218</v>
      </c>
      <c r="F72" s="6"/>
      <c r="G72" s="6"/>
      <c r="H72" s="6"/>
      <c r="I72" s="6"/>
      <c r="J72" s="6"/>
      <c r="K72" s="6"/>
    </row>
    <row r="73" spans="2:16" ht="15.75" thickBot="1" x14ac:dyDescent="0.3">
      <c r="B73" s="1827"/>
      <c r="C73" s="94"/>
      <c r="D73" s="41" t="s">
        <v>43</v>
      </c>
      <c r="E73" s="31" t="s">
        <v>3298</v>
      </c>
      <c r="F73" s="6"/>
      <c r="G73" s="6"/>
      <c r="H73" s="6"/>
      <c r="I73" s="6"/>
      <c r="J73" s="6"/>
      <c r="K73" s="6"/>
    </row>
    <row r="74" spans="2:16" ht="15.75" thickBot="1" x14ac:dyDescent="0.3">
      <c r="B74" s="1827"/>
      <c r="C74" s="94"/>
      <c r="D74" s="41" t="s">
        <v>44</v>
      </c>
      <c r="E74" s="31" t="s">
        <v>2881</v>
      </c>
      <c r="F74" s="6"/>
      <c r="G74" s="6"/>
      <c r="H74" s="6"/>
      <c r="I74" s="6"/>
      <c r="J74" s="6"/>
      <c r="K74" s="6"/>
    </row>
    <row r="75" spans="2:16" ht="15.75" thickBot="1" x14ac:dyDescent="0.3">
      <c r="B75" s="1828"/>
      <c r="C75" s="3"/>
      <c r="D75" s="41" t="s">
        <v>45</v>
      </c>
      <c r="E75" s="31" t="s">
        <v>2852</v>
      </c>
      <c r="F75" s="6"/>
      <c r="G75" s="6"/>
      <c r="H75" s="6"/>
      <c r="I75" s="6"/>
      <c r="J75" s="6"/>
      <c r="K75" s="6"/>
    </row>
    <row r="76" spans="2:16" ht="15.75" thickBot="1" x14ac:dyDescent="0.3">
      <c r="B76" s="2"/>
      <c r="C76" s="76"/>
      <c r="D76" s="6"/>
      <c r="E76" s="6"/>
      <c r="F76" s="6"/>
      <c r="G76" s="6"/>
      <c r="H76" s="6"/>
      <c r="I76" s="6"/>
      <c r="J76" s="6"/>
      <c r="K76" s="6"/>
    </row>
    <row r="77" spans="2:16" ht="15.75" thickBot="1" x14ac:dyDescent="0.3">
      <c r="B77" s="1829" t="s">
        <v>46</v>
      </c>
      <c r="C77" s="1830"/>
      <c r="D77" s="1830"/>
      <c r="E77" s="1831"/>
      <c r="F77" s="6"/>
      <c r="G77" s="6"/>
      <c r="H77" s="6"/>
      <c r="I77" s="6"/>
      <c r="J77" s="6"/>
      <c r="K77" s="6"/>
    </row>
    <row r="78" spans="2:16" ht="15.75" thickBot="1" x14ac:dyDescent="0.3">
      <c r="B78" s="1826">
        <v>1</v>
      </c>
      <c r="C78" s="94"/>
      <c r="D78" s="48" t="s">
        <v>39</v>
      </c>
      <c r="E78" s="444" t="s">
        <v>522</v>
      </c>
      <c r="F78" s="6"/>
      <c r="G78" s="6"/>
      <c r="H78" s="6"/>
      <c r="I78" s="6"/>
      <c r="J78" s="6"/>
      <c r="K78" s="6"/>
    </row>
    <row r="79" spans="2:16" ht="15.75" thickBot="1" x14ac:dyDescent="0.3">
      <c r="B79" s="1827"/>
      <c r="C79" s="94"/>
      <c r="D79" s="41" t="s">
        <v>40</v>
      </c>
      <c r="E79" s="444" t="s">
        <v>48</v>
      </c>
      <c r="F79" s="6"/>
      <c r="G79" s="6"/>
      <c r="H79" s="6"/>
      <c r="I79" s="6"/>
      <c r="J79" s="6"/>
      <c r="K79" s="6"/>
    </row>
    <row r="80" spans="2:16" ht="15.75" thickBot="1" x14ac:dyDescent="0.3">
      <c r="B80" s="1827"/>
      <c r="C80" s="94"/>
      <c r="D80" s="41" t="s">
        <v>41</v>
      </c>
      <c r="E80" s="315"/>
      <c r="F80" s="6"/>
      <c r="G80" s="6"/>
      <c r="H80" s="6"/>
      <c r="I80" s="6"/>
      <c r="J80" s="6"/>
      <c r="K80" s="6"/>
    </row>
    <row r="81" spans="2:11" ht="15.75" thickBot="1" x14ac:dyDescent="0.3">
      <c r="B81" s="1827"/>
      <c r="C81" s="94"/>
      <c r="D81" s="41" t="s">
        <v>42</v>
      </c>
      <c r="E81" s="315"/>
      <c r="F81" s="6"/>
      <c r="G81" s="6"/>
      <c r="H81" s="6"/>
      <c r="I81" s="6"/>
      <c r="J81" s="6"/>
      <c r="K81" s="6"/>
    </row>
    <row r="82" spans="2:11" ht="15.75" thickBot="1" x14ac:dyDescent="0.3">
      <c r="B82" s="1827"/>
      <c r="C82" s="94"/>
      <c r="D82" s="41" t="s">
        <v>43</v>
      </c>
      <c r="E82" s="315"/>
      <c r="F82" s="6"/>
      <c r="G82" s="6"/>
      <c r="H82" s="6"/>
      <c r="I82" s="6"/>
      <c r="J82" s="6"/>
      <c r="K82" s="6"/>
    </row>
    <row r="83" spans="2:11" ht="15.75" thickBot="1" x14ac:dyDescent="0.3">
      <c r="B83" s="1827"/>
      <c r="C83" s="94"/>
      <c r="D83" s="41" t="s">
        <v>44</v>
      </c>
      <c r="E83" s="315"/>
      <c r="F83" s="6"/>
      <c r="G83" s="6"/>
      <c r="H83" s="6"/>
      <c r="I83" s="6"/>
      <c r="J83" s="6"/>
      <c r="K83" s="6"/>
    </row>
    <row r="84" spans="2:11" ht="15.75" thickBot="1" x14ac:dyDescent="0.3">
      <c r="B84" s="1828"/>
      <c r="C84" s="3"/>
      <c r="D84" s="41" t="s">
        <v>45</v>
      </c>
      <c r="E84" s="315"/>
      <c r="F84" s="6"/>
      <c r="G84" s="6"/>
      <c r="H84" s="6"/>
      <c r="I84" s="6"/>
      <c r="J84" s="6"/>
      <c r="K84" s="6"/>
    </row>
    <row r="85" spans="2:11" x14ac:dyDescent="0.25">
      <c r="B85" s="2"/>
      <c r="C85" s="76"/>
      <c r="D85" s="6"/>
      <c r="E85" s="6"/>
      <c r="F85" s="6"/>
      <c r="G85" s="6"/>
      <c r="H85" s="6"/>
      <c r="I85" s="6"/>
      <c r="J85" s="6"/>
      <c r="K85" s="6"/>
    </row>
    <row r="86" spans="2:11" ht="15.75" thickBot="1" x14ac:dyDescent="0.3">
      <c r="B86" s="2"/>
      <c r="C86" s="76"/>
      <c r="D86" s="6"/>
      <c r="E86" s="6"/>
      <c r="F86" s="6"/>
      <c r="G86" s="6"/>
      <c r="H86" s="6"/>
      <c r="I86" s="6"/>
      <c r="J86" s="6"/>
      <c r="K86" s="6"/>
    </row>
    <row r="87" spans="2:11" ht="15.75" thickBot="1" x14ac:dyDescent="0.3">
      <c r="B87" s="1829" t="s">
        <v>49</v>
      </c>
      <c r="C87" s="1830"/>
      <c r="D87" s="1830"/>
      <c r="E87" s="1830"/>
      <c r="F87" s="1831"/>
      <c r="G87" s="6"/>
      <c r="H87" s="6"/>
      <c r="I87" s="6"/>
      <c r="J87" s="6"/>
      <c r="K87" s="6"/>
    </row>
    <row r="88" spans="2:11" ht="24.75" thickBot="1" x14ac:dyDescent="0.3">
      <c r="B88" s="47" t="s">
        <v>50</v>
      </c>
      <c r="C88" s="41" t="s">
        <v>51</v>
      </c>
      <c r="D88" s="41" t="s">
        <v>52</v>
      </c>
      <c r="E88" s="41" t="s">
        <v>53</v>
      </c>
      <c r="F88" s="6"/>
      <c r="G88" s="6"/>
      <c r="H88" s="6"/>
      <c r="I88" s="6"/>
      <c r="J88" s="6"/>
    </row>
    <row r="89" spans="2:11" ht="72.75" thickBot="1" x14ac:dyDescent="0.3">
      <c r="B89" s="49">
        <v>42401</v>
      </c>
      <c r="C89" s="41">
        <v>0.01</v>
      </c>
      <c r="D89" s="50" t="s">
        <v>523</v>
      </c>
      <c r="E89" s="41"/>
      <c r="F89" s="6"/>
      <c r="G89" s="6"/>
      <c r="H89" s="6"/>
      <c r="I89" s="6"/>
      <c r="J89" s="6"/>
    </row>
    <row r="90" spans="2:11" ht="15.75" thickBot="1" x14ac:dyDescent="0.3">
      <c r="B90" s="4"/>
      <c r="C90" s="95"/>
      <c r="D90" s="6"/>
      <c r="E90" s="6"/>
      <c r="F90" s="6"/>
      <c r="G90" s="6"/>
      <c r="H90" s="6"/>
      <c r="I90" s="6"/>
      <c r="J90" s="6"/>
      <c r="K90" s="6"/>
    </row>
    <row r="91" spans="2:11" ht="24.75" thickBot="1" x14ac:dyDescent="0.3">
      <c r="B91" s="5" t="s">
        <v>55</v>
      </c>
      <c r="C91" s="96"/>
      <c r="D91" s="6"/>
      <c r="E91" s="6"/>
      <c r="F91" s="6"/>
      <c r="G91" s="6"/>
      <c r="H91" s="6"/>
      <c r="I91" s="6"/>
      <c r="J91" s="6"/>
      <c r="K91" s="6"/>
    </row>
    <row r="92" spans="2:11" s="138" customFormat="1" x14ac:dyDescent="0.25">
      <c r="B92" s="1940" t="s">
        <v>524</v>
      </c>
      <c r="C92" s="1941"/>
      <c r="D92" s="1941"/>
      <c r="E92" s="1941"/>
      <c r="F92" s="1941"/>
      <c r="G92" s="1941"/>
      <c r="H92" s="137"/>
      <c r="I92" s="137"/>
      <c r="J92" s="137"/>
      <c r="K92" s="137"/>
    </row>
    <row r="93" spans="2:11" s="138" customFormat="1" x14ac:dyDescent="0.25">
      <c r="B93" s="1940" t="s">
        <v>525</v>
      </c>
      <c r="C93" s="1941"/>
      <c r="D93" s="1941"/>
      <c r="E93" s="1941"/>
      <c r="F93" s="1941"/>
      <c r="G93" s="1941"/>
      <c r="H93" s="137"/>
      <c r="I93" s="137"/>
      <c r="J93" s="137"/>
      <c r="K93" s="137"/>
    </row>
    <row r="94" spans="2:11" s="138" customFormat="1" ht="35.450000000000003" customHeight="1" x14ac:dyDescent="0.25">
      <c r="B94" s="1942"/>
      <c r="C94" s="1943"/>
      <c r="D94" s="1943"/>
      <c r="E94" s="1943"/>
      <c r="F94" s="1943"/>
      <c r="G94" s="1943"/>
      <c r="H94" s="137"/>
      <c r="I94" s="137"/>
      <c r="J94" s="137"/>
      <c r="K94" s="137"/>
    </row>
    <row r="95" spans="2:11" ht="15.75" thickBot="1" x14ac:dyDescent="0.3">
      <c r="B95" s="2"/>
      <c r="C95" s="76"/>
      <c r="D95" s="6"/>
      <c r="E95" s="6"/>
      <c r="F95" s="6"/>
      <c r="G95" s="6"/>
      <c r="H95" s="6"/>
      <c r="I95" s="6"/>
      <c r="J95" s="6"/>
      <c r="K95" s="6"/>
    </row>
    <row r="96" spans="2:11" ht="24.75" thickBot="1" x14ac:dyDescent="0.3">
      <c r="B96" s="51" t="s">
        <v>56</v>
      </c>
      <c r="C96" s="97"/>
      <c r="D96" s="6"/>
      <c r="E96" s="6"/>
      <c r="F96" s="6"/>
      <c r="G96" s="6"/>
      <c r="H96" s="6"/>
      <c r="I96" s="6"/>
      <c r="J96" s="6"/>
      <c r="K96" s="6"/>
    </row>
    <row r="97" spans="2:11" ht="15.75" thickBot="1" x14ac:dyDescent="0.3">
      <c r="B97" s="38"/>
      <c r="C97" s="88"/>
      <c r="D97" s="6"/>
      <c r="E97" s="6"/>
      <c r="F97" s="6"/>
      <c r="G97" s="6"/>
      <c r="H97" s="6"/>
      <c r="I97" s="6"/>
      <c r="J97" s="6"/>
      <c r="K97" s="6"/>
    </row>
    <row r="98" spans="2:11" ht="84.75" thickBot="1" x14ac:dyDescent="0.3">
      <c r="B98" s="52" t="s">
        <v>57</v>
      </c>
      <c r="C98" s="98"/>
      <c r="D98" s="43" t="s">
        <v>481</v>
      </c>
      <c r="E98" s="6"/>
      <c r="F98" s="6"/>
      <c r="G98" s="6"/>
      <c r="H98" s="6"/>
      <c r="I98" s="6"/>
      <c r="J98" s="6"/>
      <c r="K98" s="6"/>
    </row>
    <row r="99" spans="2:11" x14ac:dyDescent="0.25">
      <c r="B99" s="1826" t="s">
        <v>59</v>
      </c>
      <c r="C99" s="94"/>
      <c r="D99" s="53" t="s">
        <v>60</v>
      </c>
      <c r="E99" s="6"/>
      <c r="F99" s="6"/>
      <c r="G99" s="6"/>
      <c r="H99" s="6"/>
      <c r="I99" s="6"/>
      <c r="J99" s="6"/>
      <c r="K99" s="6"/>
    </row>
    <row r="100" spans="2:11" ht="120" x14ac:dyDescent="0.25">
      <c r="B100" s="1827"/>
      <c r="C100" s="94"/>
      <c r="D100" s="46" t="s">
        <v>482</v>
      </c>
      <c r="E100" s="6"/>
      <c r="F100" s="6"/>
      <c r="G100" s="6"/>
      <c r="H100" s="6"/>
      <c r="I100" s="6"/>
      <c r="J100" s="6"/>
      <c r="K100" s="6"/>
    </row>
    <row r="101" spans="2:11" x14ac:dyDescent="0.25">
      <c r="B101" s="1827"/>
      <c r="C101" s="94"/>
      <c r="D101" s="53" t="s">
        <v>63</v>
      </c>
      <c r="E101" s="6"/>
      <c r="F101" s="6"/>
      <c r="G101" s="6"/>
      <c r="H101" s="6"/>
      <c r="I101" s="6"/>
      <c r="J101" s="6"/>
      <c r="K101" s="6"/>
    </row>
    <row r="102" spans="2:11" ht="72" x14ac:dyDescent="0.25">
      <c r="B102" s="1827"/>
      <c r="C102" s="94"/>
      <c r="D102" s="46" t="s">
        <v>483</v>
      </c>
      <c r="E102" s="6"/>
      <c r="F102" s="6"/>
      <c r="G102" s="6"/>
      <c r="H102" s="6"/>
      <c r="I102" s="6"/>
      <c r="J102" s="6"/>
      <c r="K102" s="6"/>
    </row>
    <row r="103" spans="2:11" x14ac:dyDescent="0.25">
      <c r="B103" s="1827"/>
      <c r="C103" s="94"/>
      <c r="D103" s="46" t="s">
        <v>65</v>
      </c>
      <c r="E103" s="6"/>
      <c r="F103" s="6"/>
      <c r="G103" s="6"/>
      <c r="H103" s="6"/>
      <c r="I103" s="6"/>
      <c r="J103" s="6"/>
      <c r="K103" s="6"/>
    </row>
    <row r="104" spans="2:11" x14ac:dyDescent="0.25">
      <c r="B104" s="1827"/>
      <c r="C104" s="94"/>
      <c r="D104" s="46" t="s">
        <v>484</v>
      </c>
      <c r="E104" s="6"/>
      <c r="F104" s="6"/>
      <c r="G104" s="6"/>
      <c r="H104" s="6"/>
      <c r="I104" s="6"/>
      <c r="J104" s="6"/>
      <c r="K104" s="6"/>
    </row>
    <row r="105" spans="2:11" x14ac:dyDescent="0.25">
      <c r="B105" s="1827"/>
      <c r="C105" s="94"/>
      <c r="D105" s="46" t="s">
        <v>485</v>
      </c>
      <c r="E105" s="6"/>
      <c r="F105" s="6"/>
      <c r="G105" s="6"/>
      <c r="H105" s="6"/>
      <c r="I105" s="6"/>
      <c r="J105" s="6"/>
      <c r="K105" s="6"/>
    </row>
    <row r="106" spans="2:11" x14ac:dyDescent="0.25">
      <c r="B106" s="1827"/>
      <c r="C106" s="94"/>
      <c r="D106" s="53" t="s">
        <v>288</v>
      </c>
      <c r="E106" s="6"/>
      <c r="F106" s="6"/>
      <c r="G106" s="6"/>
      <c r="H106" s="6"/>
      <c r="I106" s="6"/>
      <c r="J106" s="6"/>
      <c r="K106" s="6"/>
    </row>
    <row r="107" spans="2:11" ht="36.75" thickBot="1" x14ac:dyDescent="0.3">
      <c r="B107" s="1828"/>
      <c r="C107" s="3"/>
      <c r="D107" s="41" t="s">
        <v>453</v>
      </c>
      <c r="E107" s="6"/>
      <c r="F107" s="6"/>
      <c r="G107" s="6"/>
      <c r="H107" s="6"/>
      <c r="I107" s="6"/>
      <c r="J107" s="6"/>
      <c r="K107" s="6"/>
    </row>
    <row r="108" spans="2:11" ht="24.75" thickBot="1" x14ac:dyDescent="0.3">
      <c r="B108" s="47" t="s">
        <v>72</v>
      </c>
      <c r="C108" s="3"/>
      <c r="D108" s="41"/>
      <c r="E108" s="6"/>
      <c r="F108" s="6"/>
      <c r="G108" s="6"/>
      <c r="H108" s="6"/>
      <c r="I108" s="6"/>
      <c r="J108" s="6"/>
      <c r="K108" s="6"/>
    </row>
    <row r="109" spans="2:11" ht="48" x14ac:dyDescent="0.25">
      <c r="B109" s="1826" t="s">
        <v>73</v>
      </c>
      <c r="C109" s="94"/>
      <c r="D109" s="46" t="s">
        <v>486</v>
      </c>
      <c r="E109" s="6"/>
      <c r="F109" s="6"/>
      <c r="G109" s="6"/>
      <c r="H109" s="6"/>
      <c r="I109" s="6"/>
      <c r="J109" s="6"/>
      <c r="K109" s="6"/>
    </row>
    <row r="110" spans="2:11" ht="60" x14ac:dyDescent="0.25">
      <c r="B110" s="1827"/>
      <c r="C110" s="94"/>
      <c r="D110" s="26" t="s">
        <v>487</v>
      </c>
      <c r="E110" s="6"/>
      <c r="F110" s="6"/>
      <c r="G110" s="6"/>
      <c r="H110" s="6"/>
      <c r="I110" s="6"/>
      <c r="J110" s="6"/>
      <c r="K110" s="6"/>
    </row>
    <row r="111" spans="2:11" ht="36" x14ac:dyDescent="0.25">
      <c r="B111" s="1827"/>
      <c r="C111" s="94"/>
      <c r="D111" s="26" t="s">
        <v>488</v>
      </c>
      <c r="E111" s="6"/>
      <c r="F111" s="6"/>
      <c r="G111" s="6"/>
      <c r="H111" s="6"/>
      <c r="I111" s="6"/>
      <c r="J111" s="6"/>
      <c r="K111" s="6"/>
    </row>
    <row r="112" spans="2:11" ht="48" x14ac:dyDescent="0.25">
      <c r="B112" s="1827"/>
      <c r="C112" s="94"/>
      <c r="D112" s="26" t="s">
        <v>489</v>
      </c>
      <c r="E112" s="6"/>
      <c r="F112" s="6"/>
      <c r="G112" s="6"/>
      <c r="H112" s="6"/>
      <c r="I112" s="6"/>
      <c r="J112" s="6"/>
      <c r="K112" s="6"/>
    </row>
    <row r="113" spans="2:11" ht="36" x14ac:dyDescent="0.25">
      <c r="B113" s="1827"/>
      <c r="C113" s="94"/>
      <c r="D113" s="26" t="s">
        <v>490</v>
      </c>
      <c r="E113" s="6"/>
      <c r="F113" s="6"/>
      <c r="G113" s="6"/>
      <c r="H113" s="6"/>
      <c r="I113" s="6"/>
      <c r="J113" s="6"/>
      <c r="K113" s="6"/>
    </row>
    <row r="114" spans="2:11" ht="96" x14ac:dyDescent="0.25">
      <c r="B114" s="1827"/>
      <c r="C114" s="94"/>
      <c r="D114" s="46" t="s">
        <v>491</v>
      </c>
      <c r="E114" s="6"/>
      <c r="F114" s="6"/>
      <c r="G114" s="6"/>
      <c r="H114" s="6"/>
      <c r="I114" s="6"/>
      <c r="J114" s="6"/>
      <c r="K114" s="6"/>
    </row>
    <row r="115" spans="2:11" ht="48" x14ac:dyDescent="0.25">
      <c r="B115" s="1827"/>
      <c r="C115" s="94"/>
      <c r="D115" s="46" t="s">
        <v>492</v>
      </c>
      <c r="E115" s="6"/>
      <c r="F115" s="6"/>
      <c r="G115" s="6"/>
      <c r="H115" s="6"/>
      <c r="I115" s="6"/>
      <c r="J115" s="6"/>
      <c r="K115" s="6"/>
    </row>
    <row r="116" spans="2:11" ht="36" x14ac:dyDescent="0.25">
      <c r="B116" s="1827"/>
      <c r="C116" s="94"/>
      <c r="D116" s="46" t="s">
        <v>493</v>
      </c>
      <c r="E116" s="6"/>
      <c r="F116" s="6"/>
      <c r="G116" s="6"/>
      <c r="H116" s="6"/>
      <c r="I116" s="6"/>
      <c r="J116" s="6"/>
      <c r="K116" s="6"/>
    </row>
    <row r="117" spans="2:11" ht="36" x14ac:dyDescent="0.25">
      <c r="B117" s="1827"/>
      <c r="C117" s="94"/>
      <c r="D117" s="46" t="s">
        <v>494</v>
      </c>
      <c r="E117" s="6"/>
      <c r="F117" s="6"/>
      <c r="G117" s="6"/>
      <c r="H117" s="6"/>
      <c r="I117" s="6"/>
      <c r="J117" s="6"/>
      <c r="K117" s="6"/>
    </row>
    <row r="118" spans="2:11" ht="96.75" thickBot="1" x14ac:dyDescent="0.3">
      <c r="B118" s="1828"/>
      <c r="C118" s="3"/>
      <c r="D118" s="41" t="s">
        <v>495</v>
      </c>
      <c r="E118" s="6"/>
      <c r="F118" s="6"/>
      <c r="G118" s="6"/>
      <c r="H118" s="6"/>
      <c r="I118" s="6"/>
      <c r="J118" s="6"/>
      <c r="K118" s="6"/>
    </row>
    <row r="119" spans="2:11" ht="24" x14ac:dyDescent="0.25">
      <c r="B119" s="1826" t="s">
        <v>90</v>
      </c>
      <c r="C119" s="94"/>
      <c r="D119" s="53" t="s">
        <v>496</v>
      </c>
      <c r="E119" s="6"/>
      <c r="F119" s="6"/>
      <c r="G119" s="6"/>
      <c r="H119" s="6"/>
      <c r="I119" s="6"/>
      <c r="J119" s="6"/>
      <c r="K119" s="6"/>
    </row>
    <row r="120" spans="2:11" x14ac:dyDescent="0.25">
      <c r="B120" s="1827"/>
      <c r="C120" s="94"/>
      <c r="D120" s="46" t="s">
        <v>497</v>
      </c>
      <c r="E120" s="6"/>
      <c r="F120" s="6"/>
      <c r="G120" s="6"/>
      <c r="H120" s="6"/>
      <c r="I120" s="6"/>
      <c r="J120" s="6"/>
      <c r="K120" s="6"/>
    </row>
    <row r="121" spans="2:11" x14ac:dyDescent="0.25">
      <c r="B121" s="1827"/>
      <c r="C121" s="94"/>
      <c r="D121" s="46" t="s">
        <v>91</v>
      </c>
      <c r="E121" s="6"/>
      <c r="F121" s="6"/>
      <c r="G121" s="6"/>
      <c r="H121" s="6"/>
      <c r="I121" s="6"/>
      <c r="J121" s="6"/>
      <c r="K121" s="6"/>
    </row>
    <row r="122" spans="2:11" ht="49.5" x14ac:dyDescent="0.25">
      <c r="B122" s="1827"/>
      <c r="C122" s="94"/>
      <c r="D122" s="46" t="s">
        <v>498</v>
      </c>
      <c r="E122" s="6"/>
      <c r="F122" s="6"/>
      <c r="G122" s="6"/>
      <c r="H122" s="6"/>
      <c r="I122" s="6"/>
      <c r="J122" s="6"/>
      <c r="K122" s="6"/>
    </row>
    <row r="123" spans="2:11" ht="49.5" x14ac:dyDescent="0.25">
      <c r="B123" s="1827"/>
      <c r="C123" s="94"/>
      <c r="D123" s="46" t="s">
        <v>499</v>
      </c>
      <c r="E123" s="6"/>
      <c r="F123" s="6"/>
      <c r="G123" s="6"/>
      <c r="H123" s="6"/>
      <c r="I123" s="6"/>
      <c r="J123" s="6"/>
      <c r="K123" s="6"/>
    </row>
    <row r="124" spans="2:11" ht="49.5" x14ac:dyDescent="0.25">
      <c r="B124" s="1827"/>
      <c r="C124" s="94"/>
      <c r="D124" s="46" t="s">
        <v>500</v>
      </c>
      <c r="E124" s="6"/>
      <c r="F124" s="6"/>
      <c r="G124" s="6"/>
      <c r="H124" s="6"/>
      <c r="I124" s="6"/>
      <c r="J124" s="6"/>
      <c r="K124" s="6"/>
    </row>
    <row r="125" spans="2:11" x14ac:dyDescent="0.25">
      <c r="B125" s="1827"/>
      <c r="C125" s="94"/>
      <c r="D125" s="53" t="s">
        <v>246</v>
      </c>
      <c r="E125" s="6"/>
      <c r="F125" s="6"/>
      <c r="G125" s="6"/>
      <c r="H125" s="6"/>
      <c r="I125" s="6"/>
      <c r="J125" s="6"/>
      <c r="K125" s="6"/>
    </row>
    <row r="126" spans="2:11" ht="36" x14ac:dyDescent="0.25">
      <c r="B126" s="1827"/>
      <c r="C126" s="94"/>
      <c r="D126" s="53" t="s">
        <v>501</v>
      </c>
      <c r="E126" s="6"/>
      <c r="F126" s="6"/>
      <c r="G126" s="6"/>
      <c r="H126" s="6"/>
      <c r="I126" s="6"/>
      <c r="J126" s="6"/>
      <c r="K126" s="6"/>
    </row>
    <row r="127" spans="2:11" x14ac:dyDescent="0.25">
      <c r="B127" s="1827"/>
      <c r="C127" s="94"/>
      <c r="D127" s="17"/>
      <c r="E127" s="6"/>
      <c r="F127" s="6"/>
      <c r="G127" s="6"/>
      <c r="H127" s="6"/>
      <c r="I127" s="6"/>
      <c r="J127" s="6"/>
      <c r="K127" s="6"/>
    </row>
    <row r="128" spans="2:11" x14ac:dyDescent="0.25">
      <c r="B128" s="1827"/>
      <c r="C128" s="94"/>
      <c r="D128" s="46" t="s">
        <v>91</v>
      </c>
      <c r="E128" s="6"/>
      <c r="F128" s="6"/>
      <c r="G128" s="6"/>
      <c r="H128" s="6"/>
      <c r="I128" s="6"/>
      <c r="J128" s="6"/>
      <c r="K128" s="6"/>
    </row>
    <row r="129" spans="2:11" ht="49.5" x14ac:dyDescent="0.25">
      <c r="B129" s="1827"/>
      <c r="C129" s="94"/>
      <c r="D129" s="46" t="s">
        <v>502</v>
      </c>
      <c r="E129" s="6"/>
      <c r="F129" s="6"/>
      <c r="G129" s="6"/>
      <c r="H129" s="6"/>
      <c r="I129" s="6"/>
      <c r="J129" s="6"/>
      <c r="K129" s="6"/>
    </row>
    <row r="130" spans="2:11" ht="50.25" thickBot="1" x14ac:dyDescent="0.3">
      <c r="B130" s="1828"/>
      <c r="C130" s="3"/>
      <c r="D130" s="41" t="s">
        <v>503</v>
      </c>
      <c r="E130" s="6"/>
      <c r="F130" s="6"/>
      <c r="G130" s="6"/>
      <c r="H130" s="6"/>
      <c r="I130" s="6"/>
      <c r="J130" s="6"/>
      <c r="K130" s="6"/>
    </row>
    <row r="131" spans="2:11" x14ac:dyDescent="0.25">
      <c r="B131" s="6"/>
      <c r="D131" s="6"/>
      <c r="E131" s="6"/>
      <c r="F131" s="6"/>
      <c r="G131" s="6"/>
      <c r="H131" s="6"/>
      <c r="I131" s="6"/>
      <c r="J131" s="6"/>
      <c r="K131" s="6"/>
    </row>
    <row r="132" spans="2:11" x14ac:dyDescent="0.25">
      <c r="B132" s="6"/>
      <c r="D132" s="6"/>
      <c r="E132" s="6"/>
      <c r="F132" s="6"/>
      <c r="G132" s="6"/>
      <c r="H132" s="6"/>
      <c r="I132" s="6"/>
      <c r="J132" s="6"/>
      <c r="K132" s="6"/>
    </row>
    <row r="133" spans="2:11" x14ac:dyDescent="0.25">
      <c r="B133" s="6"/>
      <c r="D133" s="6"/>
      <c r="E133" s="6"/>
      <c r="F133" s="6"/>
      <c r="G133" s="6"/>
      <c r="H133" s="6"/>
      <c r="I133" s="6"/>
      <c r="J133" s="6"/>
      <c r="K133" s="6"/>
    </row>
    <row r="134" spans="2:11" x14ac:dyDescent="0.25">
      <c r="B134" s="6"/>
      <c r="D134" s="6"/>
      <c r="E134" s="6"/>
      <c r="F134" s="6"/>
      <c r="G134" s="6"/>
      <c r="H134" s="6"/>
      <c r="I134" s="6"/>
      <c r="J134" s="6"/>
      <c r="K134" s="6"/>
    </row>
    <row r="135" spans="2:11" x14ac:dyDescent="0.25">
      <c r="B135" s="6"/>
      <c r="D135" s="6"/>
      <c r="E135" s="6"/>
      <c r="F135" s="6"/>
      <c r="G135" s="6"/>
      <c r="H135" s="6"/>
      <c r="I135" s="6"/>
      <c r="J135" s="6"/>
      <c r="K135" s="6"/>
    </row>
    <row r="136" spans="2:11" x14ac:dyDescent="0.25">
      <c r="B136" s="6"/>
      <c r="D136" s="6"/>
      <c r="E136" s="6"/>
      <c r="F136" s="6"/>
      <c r="G136" s="6"/>
      <c r="H136" s="6"/>
      <c r="I136" s="6"/>
      <c r="J136" s="6"/>
      <c r="K136" s="6"/>
    </row>
    <row r="137" spans="2:11" x14ac:dyDescent="0.25">
      <c r="B137" s="6"/>
      <c r="D137" s="6"/>
      <c r="E137" s="6"/>
      <c r="F137" s="6"/>
      <c r="G137" s="6"/>
      <c r="H137" s="6"/>
      <c r="I137" s="6"/>
      <c r="J137" s="6"/>
      <c r="K137" s="6"/>
    </row>
    <row r="138" spans="2:11" x14ac:dyDescent="0.25">
      <c r="B138" s="6"/>
      <c r="D138" s="6"/>
      <c r="E138" s="6"/>
      <c r="F138" s="6"/>
      <c r="G138" s="6"/>
      <c r="H138" s="6"/>
      <c r="I138" s="6"/>
      <c r="J138" s="6"/>
      <c r="K138" s="6"/>
    </row>
    <row r="139" spans="2:11" x14ac:dyDescent="0.25">
      <c r="B139" s="6"/>
      <c r="D139" s="6"/>
      <c r="E139" s="6"/>
      <c r="F139" s="6"/>
      <c r="G139" s="6"/>
      <c r="H139" s="6"/>
      <c r="I139" s="6"/>
      <c r="J139" s="6"/>
      <c r="K139" s="6"/>
    </row>
    <row r="140" spans="2:11" x14ac:dyDescent="0.25">
      <c r="B140" s="6"/>
      <c r="D140" s="6"/>
      <c r="E140" s="6"/>
      <c r="F140" s="6"/>
      <c r="G140" s="6"/>
      <c r="H140" s="6"/>
      <c r="I140" s="6"/>
      <c r="J140" s="6"/>
      <c r="K140" s="6"/>
    </row>
    <row r="141" spans="2:11" x14ac:dyDescent="0.25">
      <c r="B141" s="6"/>
      <c r="D141" s="6"/>
      <c r="E141" s="6"/>
      <c r="F141" s="6"/>
      <c r="G141" s="6"/>
      <c r="H141" s="6"/>
      <c r="I141" s="6"/>
      <c r="J141" s="6"/>
      <c r="K141" s="6"/>
    </row>
    <row r="142" spans="2:11" x14ac:dyDescent="0.25">
      <c r="B142" s="6"/>
      <c r="D142" s="6"/>
      <c r="E142" s="6"/>
      <c r="F142" s="6"/>
      <c r="G142" s="6"/>
      <c r="H142" s="6"/>
      <c r="I142" s="6"/>
      <c r="J142" s="6"/>
      <c r="K142" s="6"/>
    </row>
    <row r="143" spans="2:11" x14ac:dyDescent="0.25">
      <c r="B143" s="6"/>
      <c r="D143" s="6"/>
      <c r="E143" s="6"/>
      <c r="F143" s="6"/>
      <c r="G143" s="6"/>
      <c r="H143" s="6"/>
      <c r="I143" s="6"/>
      <c r="J143" s="6"/>
      <c r="K143" s="6"/>
    </row>
    <row r="144" spans="2:11" x14ac:dyDescent="0.25">
      <c r="B144" s="6"/>
      <c r="D144" s="6"/>
      <c r="E144" s="6"/>
      <c r="F144" s="6"/>
      <c r="G144" s="6"/>
      <c r="H144" s="6"/>
      <c r="I144" s="6"/>
      <c r="J144" s="6"/>
      <c r="K144" s="6"/>
    </row>
    <row r="145" spans="2:11" x14ac:dyDescent="0.25">
      <c r="B145" s="6"/>
      <c r="D145" s="6"/>
      <c r="E145" s="6"/>
      <c r="F145" s="6"/>
      <c r="G145" s="6"/>
      <c r="H145" s="6"/>
      <c r="I145" s="6"/>
      <c r="J145" s="6"/>
      <c r="K145" s="6"/>
    </row>
    <row r="146" spans="2:11" x14ac:dyDescent="0.25">
      <c r="B146" s="6"/>
      <c r="D146" s="6"/>
      <c r="E146" s="6"/>
      <c r="F146" s="6"/>
      <c r="G146" s="6"/>
      <c r="H146" s="6"/>
      <c r="I146" s="6"/>
      <c r="J146" s="6"/>
      <c r="K146" s="6"/>
    </row>
    <row r="147" spans="2:11" x14ac:dyDescent="0.25">
      <c r="B147" s="6"/>
      <c r="D147" s="6"/>
      <c r="E147" s="6"/>
      <c r="F147" s="6"/>
      <c r="G147" s="6"/>
      <c r="H147" s="6"/>
      <c r="I147" s="6"/>
      <c r="J147" s="6"/>
      <c r="K147" s="6"/>
    </row>
    <row r="148" spans="2:11" x14ac:dyDescent="0.25">
      <c r="B148" s="6"/>
      <c r="D148" s="6"/>
      <c r="E148" s="6"/>
      <c r="F148" s="6"/>
      <c r="G148" s="6"/>
      <c r="H148" s="6"/>
      <c r="I148" s="6"/>
      <c r="J148" s="6"/>
      <c r="K148" s="6"/>
    </row>
    <row r="149" spans="2:11" x14ac:dyDescent="0.25">
      <c r="B149" s="6"/>
      <c r="D149" s="6"/>
      <c r="E149" s="6"/>
      <c r="F149" s="6"/>
      <c r="G149" s="6"/>
      <c r="H149" s="6"/>
      <c r="I149" s="6"/>
      <c r="J149" s="6"/>
      <c r="K149" s="6"/>
    </row>
    <row r="150" spans="2:11" x14ac:dyDescent="0.25">
      <c r="B150" s="6"/>
      <c r="D150" s="6"/>
      <c r="E150" s="6"/>
      <c r="F150" s="6"/>
      <c r="G150" s="6"/>
      <c r="H150" s="6"/>
      <c r="I150" s="6"/>
      <c r="J150" s="6"/>
      <c r="K150" s="6"/>
    </row>
    <row r="151" spans="2:11" x14ac:dyDescent="0.25">
      <c r="B151" s="6"/>
      <c r="D151" s="6"/>
      <c r="E151" s="6"/>
      <c r="F151" s="6"/>
      <c r="G151" s="6"/>
      <c r="H151" s="6"/>
      <c r="I151" s="6"/>
      <c r="J151" s="6"/>
      <c r="K151" s="6"/>
    </row>
    <row r="152" spans="2:11" x14ac:dyDescent="0.25">
      <c r="B152" s="6"/>
      <c r="D152" s="6"/>
      <c r="E152" s="6"/>
      <c r="F152" s="6"/>
      <c r="G152" s="6"/>
      <c r="H152" s="6"/>
      <c r="I152" s="6"/>
      <c r="J152" s="6"/>
      <c r="K152" s="6"/>
    </row>
    <row r="153" spans="2:11" x14ac:dyDescent="0.25">
      <c r="B153" s="6"/>
      <c r="D153" s="6"/>
      <c r="E153" s="6"/>
      <c r="F153" s="6"/>
      <c r="G153" s="6"/>
      <c r="H153" s="6"/>
      <c r="I153" s="6"/>
      <c r="J153" s="6"/>
      <c r="K153" s="6"/>
    </row>
    <row r="154" spans="2:11" x14ac:dyDescent="0.25">
      <c r="B154" s="6"/>
      <c r="D154" s="6"/>
      <c r="E154" s="6"/>
      <c r="F154" s="6"/>
      <c r="G154" s="6"/>
      <c r="H154" s="6"/>
      <c r="I154" s="6"/>
      <c r="J154" s="6"/>
      <c r="K154" s="6"/>
    </row>
    <row r="155" spans="2:11" x14ac:dyDescent="0.25">
      <c r="B155" s="6"/>
      <c r="D155" s="6"/>
      <c r="E155" s="6"/>
      <c r="F155" s="6"/>
      <c r="G155" s="6"/>
      <c r="H155" s="6"/>
      <c r="I155" s="6"/>
      <c r="J155" s="6"/>
      <c r="K155" s="6"/>
    </row>
    <row r="156" spans="2:11" x14ac:dyDescent="0.25">
      <c r="B156" s="6"/>
      <c r="D156" s="6"/>
      <c r="E156" s="6"/>
      <c r="F156" s="6"/>
      <c r="G156" s="6"/>
      <c r="H156" s="6"/>
      <c r="I156" s="6"/>
      <c r="J156" s="6"/>
      <c r="K156" s="6"/>
    </row>
    <row r="157" spans="2:11" x14ac:dyDescent="0.25">
      <c r="B157" s="6"/>
      <c r="D157" s="6"/>
      <c r="E157" s="6"/>
      <c r="F157" s="6"/>
      <c r="G157" s="6"/>
      <c r="H157" s="6"/>
      <c r="I157" s="6"/>
      <c r="J157" s="6"/>
      <c r="K157" s="6"/>
    </row>
    <row r="158" spans="2:11" x14ac:dyDescent="0.25">
      <c r="B158" s="6"/>
      <c r="D158" s="6"/>
      <c r="E158" s="6"/>
      <c r="F158" s="6"/>
      <c r="G158" s="6"/>
      <c r="H158" s="6"/>
      <c r="I158" s="6"/>
      <c r="J158" s="6"/>
      <c r="K158" s="6"/>
    </row>
    <row r="159" spans="2:11" x14ac:dyDescent="0.25">
      <c r="B159" s="6"/>
      <c r="D159" s="6"/>
      <c r="E159" s="6"/>
      <c r="F159" s="6"/>
      <c r="G159" s="6"/>
      <c r="H159" s="6"/>
      <c r="I159" s="6"/>
      <c r="J159" s="6"/>
      <c r="K159" s="6"/>
    </row>
    <row r="160" spans="2:11" x14ac:dyDescent="0.25">
      <c r="B160" s="6"/>
      <c r="D160" s="6"/>
      <c r="E160" s="6"/>
      <c r="F160" s="6"/>
      <c r="G160" s="6"/>
      <c r="H160" s="6"/>
      <c r="I160" s="6"/>
      <c r="J160" s="6"/>
      <c r="K160" s="6"/>
    </row>
    <row r="161" spans="2:11" x14ac:dyDescent="0.25">
      <c r="B161" s="6"/>
      <c r="D161" s="6"/>
      <c r="E161" s="6"/>
      <c r="F161" s="6"/>
      <c r="G161" s="6"/>
      <c r="H161" s="6"/>
      <c r="I161" s="6"/>
      <c r="J161" s="6"/>
      <c r="K161" s="6"/>
    </row>
    <row r="162" spans="2:11" x14ac:dyDescent="0.25">
      <c r="B162" s="6"/>
      <c r="D162" s="6"/>
      <c r="E162" s="6"/>
      <c r="F162" s="6"/>
      <c r="G162" s="6"/>
      <c r="H162" s="6"/>
      <c r="I162" s="6"/>
      <c r="J162" s="6"/>
      <c r="K162" s="6"/>
    </row>
    <row r="163" spans="2:11" x14ac:dyDescent="0.25">
      <c r="B163" s="6"/>
      <c r="D163" s="6"/>
      <c r="E163" s="6"/>
      <c r="F163" s="6"/>
      <c r="G163" s="6"/>
      <c r="H163" s="6"/>
      <c r="I163" s="6"/>
      <c r="J163" s="6"/>
      <c r="K163" s="6"/>
    </row>
    <row r="164" spans="2:11" x14ac:dyDescent="0.25">
      <c r="B164" s="6"/>
      <c r="D164" s="6"/>
      <c r="E164" s="6"/>
      <c r="F164" s="6"/>
      <c r="G164" s="6"/>
      <c r="H164" s="6"/>
      <c r="I164" s="6"/>
      <c r="J164" s="6"/>
      <c r="K164" s="6"/>
    </row>
    <row r="165" spans="2:11" x14ac:dyDescent="0.25">
      <c r="B165" s="6"/>
      <c r="D165" s="6"/>
      <c r="E165" s="6"/>
      <c r="F165" s="6"/>
      <c r="G165" s="6"/>
      <c r="H165" s="6"/>
      <c r="I165" s="6"/>
      <c r="J165" s="6"/>
      <c r="K165" s="6"/>
    </row>
    <row r="166" spans="2:11" x14ac:dyDescent="0.25">
      <c r="B166" s="6"/>
      <c r="D166" s="6"/>
      <c r="E166" s="6"/>
      <c r="F166" s="6"/>
      <c r="G166" s="6"/>
      <c r="H166" s="6"/>
      <c r="I166" s="6"/>
      <c r="J166" s="6"/>
      <c r="K166" s="6"/>
    </row>
    <row r="167" spans="2:11" x14ac:dyDescent="0.25">
      <c r="B167" s="6"/>
      <c r="D167" s="6"/>
      <c r="E167" s="6"/>
      <c r="F167" s="6"/>
      <c r="G167" s="6"/>
      <c r="H167" s="6"/>
      <c r="I167" s="6"/>
      <c r="J167" s="6"/>
      <c r="K167" s="6"/>
    </row>
    <row r="168" spans="2:11" x14ac:dyDescent="0.25">
      <c r="B168" s="6"/>
      <c r="D168" s="6"/>
      <c r="E168" s="6"/>
      <c r="F168" s="6"/>
      <c r="G168" s="6"/>
      <c r="H168" s="6"/>
      <c r="I168" s="6"/>
      <c r="J168" s="6"/>
      <c r="K168" s="6"/>
    </row>
    <row r="169" spans="2:11" x14ac:dyDescent="0.25">
      <c r="B169" s="6"/>
      <c r="D169" s="6"/>
      <c r="E169" s="6"/>
      <c r="F169" s="6"/>
      <c r="G169" s="6"/>
      <c r="H169" s="6"/>
      <c r="I169" s="6"/>
      <c r="J169" s="6"/>
      <c r="K169" s="6"/>
    </row>
    <row r="170" spans="2:11" x14ac:dyDescent="0.25">
      <c r="B170" s="6"/>
      <c r="D170" s="6"/>
      <c r="E170" s="6"/>
      <c r="F170" s="6"/>
      <c r="G170" s="6"/>
      <c r="H170" s="6"/>
      <c r="I170" s="6"/>
      <c r="J170" s="6"/>
      <c r="K170" s="6"/>
    </row>
    <row r="171" spans="2:11" x14ac:dyDescent="0.25">
      <c r="B171" s="6"/>
      <c r="D171" s="6"/>
      <c r="E171" s="6"/>
      <c r="F171" s="6"/>
      <c r="G171" s="6"/>
      <c r="H171" s="6"/>
      <c r="I171" s="6"/>
      <c r="J171" s="6"/>
      <c r="K171" s="6"/>
    </row>
    <row r="172" spans="2:11" x14ac:dyDescent="0.25">
      <c r="B172" s="6"/>
      <c r="D172" s="6"/>
      <c r="E172" s="6"/>
      <c r="F172" s="6"/>
      <c r="G172" s="6"/>
      <c r="H172" s="6"/>
      <c r="I172" s="6"/>
      <c r="J172" s="6"/>
      <c r="K172" s="6"/>
    </row>
    <row r="173" spans="2:11" x14ac:dyDescent="0.25">
      <c r="B173" s="6"/>
      <c r="D173" s="6"/>
      <c r="E173" s="6"/>
      <c r="F173" s="6"/>
      <c r="G173" s="6"/>
      <c r="H173" s="6"/>
      <c r="I173" s="6"/>
      <c r="J173" s="6"/>
      <c r="K173" s="6"/>
    </row>
    <row r="174" spans="2:11" x14ac:dyDescent="0.25">
      <c r="B174" s="6"/>
      <c r="D174" s="6"/>
      <c r="E174" s="6"/>
      <c r="F174" s="6"/>
      <c r="G174" s="6"/>
      <c r="H174" s="6"/>
      <c r="I174" s="6"/>
      <c r="J174" s="6"/>
      <c r="K174" s="6"/>
    </row>
    <row r="175" spans="2:11" x14ac:dyDescent="0.25">
      <c r="B175" s="6"/>
      <c r="D175" s="6"/>
      <c r="E175" s="6"/>
      <c r="F175" s="6"/>
      <c r="G175" s="6"/>
      <c r="H175" s="6"/>
      <c r="I175" s="6"/>
      <c r="J175" s="6"/>
      <c r="K175" s="6"/>
    </row>
    <row r="176" spans="2:11" x14ac:dyDescent="0.25">
      <c r="B176" s="6"/>
      <c r="D176" s="6"/>
      <c r="E176" s="6"/>
      <c r="F176" s="6"/>
      <c r="G176" s="6"/>
      <c r="H176" s="6"/>
      <c r="I176" s="6"/>
      <c r="J176" s="6"/>
      <c r="K176" s="6"/>
    </row>
    <row r="177" spans="2:11" x14ac:dyDescent="0.25">
      <c r="B177" s="6"/>
      <c r="D177" s="6"/>
      <c r="E177" s="6"/>
      <c r="F177" s="6"/>
      <c r="G177" s="6"/>
      <c r="H177" s="6"/>
      <c r="I177" s="6"/>
      <c r="J177" s="6"/>
      <c r="K177" s="6"/>
    </row>
    <row r="178" spans="2:11" x14ac:dyDescent="0.25">
      <c r="B178" s="6"/>
      <c r="D178" s="6"/>
      <c r="E178" s="6"/>
      <c r="F178" s="6"/>
      <c r="G178" s="6"/>
      <c r="H178" s="6"/>
      <c r="I178" s="6"/>
      <c r="J178" s="6"/>
      <c r="K178" s="6"/>
    </row>
    <row r="179" spans="2:11" x14ac:dyDescent="0.25">
      <c r="B179" s="6"/>
      <c r="D179" s="6"/>
      <c r="E179" s="6"/>
      <c r="F179" s="6"/>
      <c r="G179" s="6"/>
      <c r="H179" s="6"/>
      <c r="I179" s="6"/>
      <c r="J179" s="6"/>
      <c r="K179" s="6"/>
    </row>
    <row r="180" spans="2:11" x14ac:dyDescent="0.25">
      <c r="B180" s="6"/>
      <c r="D180" s="6"/>
      <c r="E180" s="6"/>
      <c r="F180" s="6"/>
      <c r="G180" s="6"/>
      <c r="H180" s="6"/>
      <c r="I180" s="6"/>
      <c r="J180" s="6"/>
      <c r="K180" s="6"/>
    </row>
    <row r="181" spans="2:11" x14ac:dyDescent="0.25">
      <c r="B181" s="6"/>
      <c r="D181" s="6"/>
      <c r="E181" s="6"/>
      <c r="F181" s="6"/>
      <c r="G181" s="6"/>
      <c r="H181" s="6"/>
      <c r="I181" s="6"/>
      <c r="J181" s="6"/>
      <c r="K181" s="6"/>
    </row>
    <row r="182" spans="2:11" x14ac:dyDescent="0.25">
      <c r="B182" s="6"/>
      <c r="D182" s="6"/>
      <c r="E182" s="6"/>
      <c r="F182" s="6"/>
      <c r="G182" s="6"/>
      <c r="H182" s="6"/>
      <c r="I182" s="6"/>
      <c r="J182" s="6"/>
      <c r="K182" s="6"/>
    </row>
    <row r="183" spans="2:11" x14ac:dyDescent="0.25">
      <c r="B183" s="6"/>
      <c r="D183" s="6"/>
      <c r="E183" s="6"/>
      <c r="F183" s="6"/>
      <c r="G183" s="6"/>
      <c r="H183" s="6"/>
      <c r="I183" s="6"/>
      <c r="J183" s="6"/>
      <c r="K183" s="6"/>
    </row>
    <row r="184" spans="2:11" x14ac:dyDescent="0.25">
      <c r="B184" s="6"/>
      <c r="D184" s="6"/>
      <c r="E184" s="6"/>
      <c r="F184" s="6"/>
      <c r="G184" s="6"/>
      <c r="H184" s="6"/>
      <c r="I184" s="6"/>
      <c r="J184" s="6"/>
      <c r="K184" s="6"/>
    </row>
    <row r="185" spans="2:11" x14ac:dyDescent="0.25">
      <c r="B185" s="6"/>
      <c r="D185" s="6"/>
      <c r="E185" s="6"/>
      <c r="F185" s="6"/>
      <c r="G185" s="6"/>
      <c r="H185" s="6"/>
      <c r="I185" s="6"/>
      <c r="J185" s="6"/>
      <c r="K185" s="6"/>
    </row>
    <row r="186" spans="2:11" x14ac:dyDescent="0.25">
      <c r="B186" s="6"/>
      <c r="D186" s="6"/>
      <c r="E186" s="6"/>
      <c r="F186" s="6"/>
      <c r="G186" s="6"/>
      <c r="H186" s="6"/>
      <c r="I186" s="6"/>
      <c r="J186" s="6"/>
      <c r="K186" s="6"/>
    </row>
    <row r="187" spans="2:11" x14ac:dyDescent="0.25">
      <c r="B187" s="6"/>
      <c r="D187" s="6"/>
      <c r="E187" s="6"/>
      <c r="F187" s="6"/>
      <c r="G187" s="6"/>
      <c r="H187" s="6"/>
      <c r="I187" s="6"/>
      <c r="J187" s="6"/>
      <c r="K187" s="6"/>
    </row>
    <row r="188" spans="2:11" x14ac:dyDescent="0.25">
      <c r="B188" s="6"/>
      <c r="D188" s="6"/>
      <c r="E188" s="6"/>
      <c r="F188" s="6"/>
      <c r="G188" s="6"/>
      <c r="H188" s="6"/>
      <c r="I188" s="6"/>
      <c r="J188" s="6"/>
      <c r="K188" s="6"/>
    </row>
    <row r="189" spans="2:11" x14ac:dyDescent="0.25">
      <c r="B189" s="6"/>
      <c r="D189" s="6"/>
      <c r="E189" s="6"/>
      <c r="F189" s="6"/>
      <c r="G189" s="6"/>
      <c r="H189" s="6"/>
      <c r="I189" s="6"/>
      <c r="J189" s="6"/>
      <c r="K189" s="6"/>
    </row>
    <row r="190" spans="2:11" x14ac:dyDescent="0.25">
      <c r="B190" s="6"/>
      <c r="D190" s="6"/>
      <c r="E190" s="6"/>
      <c r="F190" s="6"/>
      <c r="G190" s="6"/>
      <c r="H190" s="6"/>
      <c r="I190" s="6"/>
      <c r="J190" s="6"/>
      <c r="K190" s="6"/>
    </row>
    <row r="191" spans="2:11" x14ac:dyDescent="0.25">
      <c r="B191" s="6"/>
      <c r="D191" s="6"/>
      <c r="E191" s="6"/>
      <c r="F191" s="6"/>
      <c r="G191" s="6"/>
      <c r="H191" s="6"/>
      <c r="I191" s="6"/>
      <c r="J191" s="6"/>
      <c r="K191" s="6"/>
    </row>
    <row r="192" spans="2:11" x14ac:dyDescent="0.25">
      <c r="B192" s="6"/>
      <c r="D192" s="6"/>
      <c r="E192" s="6"/>
      <c r="F192" s="6"/>
      <c r="G192" s="6"/>
      <c r="H192" s="6"/>
      <c r="I192" s="6"/>
      <c r="J192" s="6"/>
      <c r="K192" s="6"/>
    </row>
    <row r="193" spans="2:11" x14ac:dyDescent="0.25">
      <c r="B193" s="6"/>
      <c r="D193" s="6"/>
      <c r="E193" s="6"/>
      <c r="F193" s="6"/>
      <c r="G193" s="6"/>
      <c r="H193" s="6"/>
      <c r="I193" s="6"/>
      <c r="J193" s="6"/>
      <c r="K193" s="6"/>
    </row>
    <row r="194" spans="2:11" x14ac:dyDescent="0.25">
      <c r="B194" s="6"/>
      <c r="D194" s="6"/>
      <c r="E194" s="6"/>
      <c r="F194" s="6"/>
      <c r="G194" s="6"/>
      <c r="H194" s="6"/>
      <c r="I194" s="6"/>
      <c r="J194" s="6"/>
      <c r="K194" s="6"/>
    </row>
    <row r="195" spans="2:11" x14ac:dyDescent="0.25">
      <c r="B195" s="6"/>
      <c r="D195" s="6"/>
      <c r="E195" s="6"/>
      <c r="F195" s="6"/>
      <c r="G195" s="6"/>
      <c r="H195" s="6"/>
      <c r="I195" s="6"/>
      <c r="J195" s="6"/>
      <c r="K195" s="6"/>
    </row>
    <row r="196" spans="2:11" x14ac:dyDescent="0.25">
      <c r="B196" s="6"/>
      <c r="D196" s="6"/>
      <c r="E196" s="6"/>
      <c r="F196" s="6"/>
      <c r="G196" s="6"/>
      <c r="H196" s="6"/>
      <c r="I196" s="6"/>
      <c r="J196" s="6"/>
      <c r="K196" s="6"/>
    </row>
    <row r="197" spans="2:11" x14ac:dyDescent="0.25">
      <c r="B197" s="6"/>
      <c r="D197" s="6"/>
      <c r="E197" s="6"/>
      <c r="F197" s="6"/>
      <c r="G197" s="6"/>
      <c r="H197" s="6"/>
      <c r="I197" s="6"/>
      <c r="J197" s="6"/>
      <c r="K197" s="6"/>
    </row>
    <row r="198" spans="2:11" x14ac:dyDescent="0.25">
      <c r="B198" s="6"/>
      <c r="D198" s="6"/>
      <c r="E198" s="6"/>
      <c r="F198" s="6"/>
      <c r="G198" s="6"/>
      <c r="H198" s="6"/>
      <c r="I198" s="6"/>
      <c r="J198" s="6"/>
      <c r="K198" s="6"/>
    </row>
    <row r="199" spans="2:11" x14ac:dyDescent="0.25">
      <c r="B199" s="6"/>
      <c r="D199" s="6"/>
      <c r="E199" s="6"/>
      <c r="F199" s="6"/>
      <c r="G199" s="6"/>
      <c r="H199" s="6"/>
      <c r="I199" s="6"/>
      <c r="J199" s="6"/>
      <c r="K199" s="6"/>
    </row>
    <row r="200" spans="2:11" x14ac:dyDescent="0.25">
      <c r="B200" s="6"/>
      <c r="D200" s="6"/>
      <c r="E200" s="6"/>
      <c r="F200" s="6"/>
      <c r="G200" s="6"/>
      <c r="H200" s="6"/>
      <c r="I200" s="6"/>
      <c r="J200" s="6"/>
      <c r="K200" s="6"/>
    </row>
    <row r="201" spans="2:11" x14ac:dyDescent="0.25">
      <c r="B201" s="6"/>
      <c r="D201" s="6"/>
      <c r="E201" s="6"/>
      <c r="F201" s="6"/>
      <c r="G201" s="6"/>
      <c r="H201" s="6"/>
      <c r="I201" s="6"/>
      <c r="J201" s="6"/>
      <c r="K201" s="6"/>
    </row>
    <row r="202" spans="2:11" x14ac:dyDescent="0.25">
      <c r="B202" s="6"/>
      <c r="D202" s="6"/>
      <c r="E202" s="6"/>
      <c r="F202" s="6"/>
      <c r="G202" s="6"/>
      <c r="H202" s="6"/>
      <c r="I202" s="6"/>
      <c r="J202" s="6"/>
      <c r="K202" s="6"/>
    </row>
    <row r="203" spans="2:11" x14ac:dyDescent="0.25">
      <c r="B203" s="6"/>
      <c r="D203" s="6"/>
      <c r="E203" s="6"/>
      <c r="F203" s="6"/>
      <c r="G203" s="6"/>
      <c r="H203" s="6"/>
      <c r="I203" s="6"/>
      <c r="J203" s="6"/>
      <c r="K203" s="6"/>
    </row>
  </sheetData>
  <mergeCells count="59">
    <mergeCell ref="K38:K56"/>
    <mergeCell ref="C58:C63"/>
    <mergeCell ref="D38:D63"/>
    <mergeCell ref="H38:H56"/>
    <mergeCell ref="I38:I56"/>
    <mergeCell ref="J38:J56"/>
    <mergeCell ref="A1:P1"/>
    <mergeCell ref="A2:P2"/>
    <mergeCell ref="A3:P3"/>
    <mergeCell ref="A4:D4"/>
    <mergeCell ref="A5:P5"/>
    <mergeCell ref="D66:P66"/>
    <mergeCell ref="B68:E68"/>
    <mergeCell ref="D27:P27"/>
    <mergeCell ref="D28:P28"/>
    <mergeCell ref="C29:C30"/>
    <mergeCell ref="D29:D30"/>
    <mergeCell ref="D31:D36"/>
    <mergeCell ref="E29:E30"/>
    <mergeCell ref="F29:F30"/>
    <mergeCell ref="G29:G30"/>
    <mergeCell ref="J29:J30"/>
    <mergeCell ref="L29:L30"/>
    <mergeCell ref="L31:L36"/>
    <mergeCell ref="H31:H36"/>
    <mergeCell ref="K31:K36"/>
    <mergeCell ref="L38:L56"/>
    <mergeCell ref="B99:B107"/>
    <mergeCell ref="B109:B118"/>
    <mergeCell ref="B94:G94"/>
    <mergeCell ref="B69:B75"/>
    <mergeCell ref="B77:E77"/>
    <mergeCell ref="B78:B84"/>
    <mergeCell ref="B119:B130"/>
    <mergeCell ref="D16:D18"/>
    <mergeCell ref="E16:J16"/>
    <mergeCell ref="E17:G17"/>
    <mergeCell ref="H17:J17"/>
    <mergeCell ref="B15:B64"/>
    <mergeCell ref="D15:P15"/>
    <mergeCell ref="D23:P23"/>
    <mergeCell ref="D24:P24"/>
    <mergeCell ref="D25:P25"/>
    <mergeCell ref="D26:P26"/>
    <mergeCell ref="K16:P16"/>
    <mergeCell ref="B87:F87"/>
    <mergeCell ref="D65:P65"/>
    <mergeCell ref="B92:G92"/>
    <mergeCell ref="B93:G93"/>
    <mergeCell ref="Q15:Q18"/>
    <mergeCell ref="K17:M17"/>
    <mergeCell ref="N17:P17"/>
    <mergeCell ref="K29:K30"/>
    <mergeCell ref="B10:D10"/>
    <mergeCell ref="F10:S10"/>
    <mergeCell ref="F11:S11"/>
    <mergeCell ref="E13:R13"/>
    <mergeCell ref="E12:J12"/>
    <mergeCell ref="K12:P12"/>
  </mergeCells>
  <conditionalFormatting sqref="F10">
    <cfRule type="notContainsBlanks" dxfId="79" priority="4">
      <formula>LEN(TRIM(F10))&gt;0</formula>
    </cfRule>
  </conditionalFormatting>
  <conditionalFormatting sqref="F11:S11">
    <cfRule type="expression" dxfId="78" priority="2">
      <formula>E11="NO SE REPORTA"</formula>
    </cfRule>
    <cfRule type="expression" dxfId="77" priority="3">
      <formula>E10="NO APLICA"</formula>
    </cfRule>
  </conditionalFormatting>
  <conditionalFormatting sqref="E12 Q12:R12 K12">
    <cfRule type="expression" dxfId="76"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9:P21" xr:uid="{00000000-0002-0000-1700-000000000000}">
      <formula1>0</formula1>
    </dataValidation>
    <dataValidation type="whole" operator="greaterThanOrEqual" allowBlank="1" showInputMessage="1" showErrorMessage="1" errorTitle="ERROR" error="Valor en PESOS (sin centavos)" sqref="K31 I31:J36 H59:I63 H58:K58" xr:uid="{00000000-0002-0000-1700-000001000000}">
      <formula1>0</formula1>
    </dataValidation>
    <dataValidation type="list" allowBlank="1" showInputMessage="1" showErrorMessage="1" sqref="E11" xr:uid="{00000000-0002-0000-1700-000002000000}">
      <formula1>REPORTE</formula1>
    </dataValidation>
    <dataValidation type="list" allowBlank="1" showInputMessage="1" showErrorMessage="1" sqref="E10" xr:uid="{00000000-0002-0000-1700-000003000000}">
      <formula1>SI</formula1>
    </dataValidation>
  </dataValidations>
  <hyperlinks>
    <hyperlink ref="B9" location="'ANEXO 3'!A1" display="VOLVER AL INDICE" xr:uid="{00000000-0004-0000-1700-000000000000}"/>
  </hyperlinks>
  <pageMargins left="0.25" right="0.25" top="0.75" bottom="0.75" header="0.3" footer="0.3"/>
  <pageSetup paperSize="178" orientation="landscape" horizontalDpi="1200" verticalDpi="12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4"/>
  <dimension ref="A1:U178"/>
  <sheetViews>
    <sheetView showGridLines="0" zoomScale="60" zoomScaleNormal="60" workbookViewId="0">
      <selection activeCell="G51" sqref="G51"/>
    </sheetView>
  </sheetViews>
  <sheetFormatPr baseColWidth="10" defaultRowHeight="15" x14ac:dyDescent="0.25"/>
  <cols>
    <col min="1" max="1" width="1.85546875" customWidth="1"/>
    <col min="2" max="2" width="12.140625" customWidth="1"/>
    <col min="3" max="3" width="6.85546875" style="87" customWidth="1"/>
    <col min="4" max="4" width="34.85546875" customWidth="1"/>
    <col min="5" max="5" width="12.140625" customWidth="1"/>
  </cols>
  <sheetData>
    <row r="1" spans="1:21" s="538" customFormat="1" ht="100.5" customHeight="1" thickBot="1" x14ac:dyDescent="0.3">
      <c r="A1" s="1733"/>
      <c r="B1" s="1734"/>
      <c r="C1" s="1734"/>
      <c r="D1" s="1734"/>
      <c r="E1" s="1734"/>
      <c r="F1" s="1734"/>
      <c r="G1" s="1734"/>
      <c r="H1" s="1734"/>
      <c r="I1" s="1734"/>
      <c r="J1" s="1734"/>
      <c r="K1" s="1734"/>
      <c r="L1" s="1734"/>
      <c r="M1" s="1734"/>
      <c r="N1" s="1734"/>
      <c r="O1" s="1734"/>
      <c r="P1" s="1735"/>
      <c r="Q1" s="412"/>
      <c r="R1" s="412"/>
    </row>
    <row r="2" spans="1:21" s="539" customFormat="1" ht="16.5" thickBot="1" x14ac:dyDescent="0.3">
      <c r="A2" s="1741" t="str">
        <f>'Datos Generales'!C5</f>
        <v>Corporación Autónoma Regional de La Guajira – CORPOGUAJIRA</v>
      </c>
      <c r="B2" s="1742"/>
      <c r="C2" s="1742"/>
      <c r="D2" s="1742"/>
      <c r="E2" s="1742"/>
      <c r="F2" s="1742"/>
      <c r="G2" s="1742"/>
      <c r="H2" s="1742"/>
      <c r="I2" s="1742"/>
      <c r="J2" s="1742"/>
      <c r="K2" s="1742"/>
      <c r="L2" s="1742"/>
      <c r="M2" s="1742"/>
      <c r="N2" s="1742"/>
      <c r="O2" s="1742"/>
      <c r="P2" s="1743"/>
      <c r="Q2" s="412"/>
      <c r="R2" s="412"/>
    </row>
    <row r="3" spans="1:21" s="539" customFormat="1" ht="16.5" thickBot="1" x14ac:dyDescent="0.3">
      <c r="A3" s="1736" t="s">
        <v>1347</v>
      </c>
      <c r="B3" s="1737"/>
      <c r="C3" s="1737"/>
      <c r="D3" s="1737"/>
      <c r="E3" s="1737"/>
      <c r="F3" s="1737"/>
      <c r="G3" s="1737"/>
      <c r="H3" s="1737"/>
      <c r="I3" s="1737"/>
      <c r="J3" s="1737"/>
      <c r="K3" s="1737"/>
      <c r="L3" s="1737"/>
      <c r="M3" s="1737"/>
      <c r="N3" s="1737"/>
      <c r="O3" s="1737"/>
      <c r="P3" s="1738"/>
      <c r="Q3" s="412"/>
      <c r="R3" s="412"/>
    </row>
    <row r="4" spans="1:21" s="539" customFormat="1" ht="16.5" thickBot="1" x14ac:dyDescent="0.3">
      <c r="A4" s="1739" t="s">
        <v>1346</v>
      </c>
      <c r="B4" s="1740"/>
      <c r="C4" s="1740"/>
      <c r="D4" s="1740"/>
      <c r="E4" s="579" t="str">
        <f>'Datos Generales'!C6</f>
        <v>2021-I</v>
      </c>
      <c r="F4" s="579"/>
      <c r="G4" s="579"/>
      <c r="H4" s="579"/>
      <c r="I4" s="579"/>
      <c r="J4" s="579"/>
      <c r="K4" s="579"/>
      <c r="L4" s="581"/>
      <c r="M4" s="581"/>
      <c r="N4" s="581"/>
      <c r="O4" s="581"/>
      <c r="P4" s="582"/>
      <c r="Q4" s="412"/>
      <c r="R4" s="412"/>
    </row>
    <row r="5" spans="1:21" s="245" customFormat="1" ht="16.5" customHeight="1" thickBot="1" x14ac:dyDescent="0.3">
      <c r="A5" s="1736" t="s">
        <v>526</v>
      </c>
      <c r="B5" s="1737"/>
      <c r="C5" s="1737"/>
      <c r="D5" s="1737"/>
      <c r="E5" s="1737"/>
      <c r="F5" s="1737"/>
      <c r="G5" s="1737"/>
      <c r="H5" s="1737"/>
      <c r="I5" s="1737"/>
      <c r="J5" s="1737"/>
      <c r="K5" s="1737"/>
      <c r="L5" s="1737"/>
      <c r="M5" s="1737"/>
      <c r="N5" s="1737"/>
      <c r="O5" s="1737"/>
      <c r="P5" s="1738"/>
    </row>
    <row r="6" spans="1:21" x14ac:dyDescent="0.25">
      <c r="B6" s="2" t="s">
        <v>1</v>
      </c>
      <c r="C6" s="76"/>
      <c r="D6" s="6"/>
      <c r="E6" s="74"/>
      <c r="F6" s="6" t="s">
        <v>128</v>
      </c>
      <c r="G6" s="6"/>
      <c r="H6" s="6"/>
      <c r="I6" s="6"/>
      <c r="J6" s="6"/>
      <c r="K6" s="6"/>
    </row>
    <row r="7" spans="1:21" ht="15.75" thickBot="1" x14ac:dyDescent="0.3">
      <c r="B7" s="75"/>
      <c r="C7" s="77"/>
      <c r="D7" s="6"/>
      <c r="E7" s="18"/>
      <c r="F7" s="6" t="s">
        <v>129</v>
      </c>
      <c r="G7" s="6"/>
      <c r="H7" s="6"/>
      <c r="I7" s="6"/>
      <c r="J7" s="6"/>
      <c r="K7" s="6"/>
    </row>
    <row r="8" spans="1:21" ht="15.75" thickBot="1" x14ac:dyDescent="0.3">
      <c r="B8" s="178" t="s">
        <v>1185</v>
      </c>
      <c r="C8" s="222">
        <v>2021</v>
      </c>
      <c r="D8" s="226">
        <f>IF(E10="NO APLICA","NO APLICA",IF(E11="NO SE REPORTA","SIN INFORMACION",+K21))</f>
        <v>1</v>
      </c>
      <c r="E8" s="223"/>
      <c r="F8" s="6" t="s">
        <v>130</v>
      </c>
      <c r="G8" s="6"/>
      <c r="H8" s="6"/>
      <c r="I8" s="6"/>
      <c r="J8" s="6"/>
      <c r="K8" s="6"/>
    </row>
    <row r="9" spans="1:21" x14ac:dyDescent="0.25">
      <c r="B9" s="493" t="s">
        <v>1186</v>
      </c>
      <c r="C9" s="88"/>
      <c r="D9" s="6"/>
      <c r="E9" s="6"/>
      <c r="F9" s="6"/>
      <c r="G9" s="6"/>
      <c r="H9" s="6"/>
      <c r="I9" s="6"/>
      <c r="J9" s="6"/>
      <c r="K9" s="6"/>
    </row>
    <row r="10" spans="1:21" s="412" customFormat="1" x14ac:dyDescent="0.25">
      <c r="A10" s="245"/>
      <c r="B10" s="1789" t="s">
        <v>1241</v>
      </c>
      <c r="C10" s="1789"/>
      <c r="D10" s="1789"/>
      <c r="E10" s="499" t="s">
        <v>1238</v>
      </c>
      <c r="F10" s="17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96"/>
      <c r="H10" s="1796"/>
      <c r="I10" s="1796"/>
      <c r="J10" s="1796"/>
      <c r="K10" s="1796"/>
      <c r="L10" s="1796"/>
      <c r="M10" s="1796"/>
      <c r="N10" s="1796"/>
      <c r="O10" s="1796"/>
      <c r="P10" s="1796"/>
      <c r="Q10" s="1796"/>
      <c r="R10" s="1796"/>
      <c r="S10" s="1796"/>
      <c r="T10" s="495"/>
      <c r="U10" s="495"/>
    </row>
    <row r="11" spans="1:21" s="412" customFormat="1" ht="14.45" customHeight="1" thickBot="1" x14ac:dyDescent="0.3">
      <c r="A11" s="245"/>
      <c r="B11" s="496"/>
      <c r="C11" s="497"/>
      <c r="D11" s="498" t="str">
        <f>IF(E10="SI APLICA","¿El indicador no se reporta por limitaciones de información disponible? ","")</f>
        <v xml:space="preserve">¿El indicador no se reporta por limitaciones de información disponible? </v>
      </c>
      <c r="E11" s="1000" t="s">
        <v>1240</v>
      </c>
      <c r="F11" s="1790"/>
      <c r="G11" s="1791"/>
      <c r="H11" s="1791"/>
      <c r="I11" s="1791"/>
      <c r="J11" s="1791"/>
      <c r="K11" s="1791"/>
      <c r="L11" s="1791"/>
      <c r="M11" s="1791"/>
      <c r="N11" s="1791"/>
      <c r="O11" s="1791"/>
      <c r="P11" s="1791"/>
      <c r="Q11" s="1791"/>
      <c r="R11" s="1791"/>
      <c r="S11" s="1791"/>
    </row>
    <row r="12" spans="1:21" s="412" customFormat="1" ht="23.45" customHeight="1" thickBot="1" x14ac:dyDescent="0.3">
      <c r="A12" s="245"/>
      <c r="B12" s="493"/>
      <c r="C12" s="304"/>
      <c r="D12" s="498" t="str">
        <f>IF(E11="SI SE REPORTA","¿Qué programas o proyectos del Plan de Acción están asociados al indicador? ","")</f>
        <v xml:space="preserve">¿Qué programas o proyectos del Plan de Acción están asociados al indicador? </v>
      </c>
      <c r="E12" s="1961" t="str">
        <f>+'Anexo 1 Matriz Inf Gestión'!A90</f>
        <v>Proyecto No 3.3. Protección y conservación de la biodiversidad</v>
      </c>
      <c r="F12" s="1962"/>
      <c r="G12" s="1962"/>
      <c r="H12" s="1962"/>
      <c r="I12" s="1962"/>
      <c r="J12" s="1963"/>
      <c r="K12" s="1798" t="str">
        <f>+'Anexo 1 Matriz Inf Gestión'!A75</f>
        <v>Proyecto No 3.2. Ecosistemas marino costeros.</v>
      </c>
      <c r="L12" s="1798"/>
      <c r="M12" s="1798"/>
      <c r="N12" s="1798"/>
      <c r="O12" s="1798"/>
      <c r="P12" s="1798"/>
      <c r="Q12" s="1798"/>
      <c r="R12" s="1798"/>
    </row>
    <row r="13" spans="1:21" s="412" customFormat="1" ht="21.95" customHeight="1" x14ac:dyDescent="0.25">
      <c r="A13" s="245"/>
      <c r="B13" s="493"/>
      <c r="C13" s="304"/>
      <c r="D13" s="498" t="s">
        <v>1243</v>
      </c>
      <c r="E13" s="1792" t="s">
        <v>2830</v>
      </c>
      <c r="F13" s="1793"/>
      <c r="G13" s="1793"/>
      <c r="H13" s="1793"/>
      <c r="I13" s="1793"/>
      <c r="J13" s="1793"/>
      <c r="K13" s="1793"/>
      <c r="L13" s="1793"/>
      <c r="M13" s="1793"/>
      <c r="N13" s="1793"/>
      <c r="O13" s="1793"/>
      <c r="P13" s="1793"/>
      <c r="Q13" s="1793"/>
      <c r="R13" s="1794"/>
    </row>
    <row r="14" spans="1:21" s="412" customFormat="1" ht="6.95" customHeight="1" thickBot="1" x14ac:dyDescent="0.3">
      <c r="B14" s="493"/>
      <c r="C14" s="88"/>
      <c r="D14" s="6"/>
      <c r="E14" s="6"/>
      <c r="F14" s="6"/>
      <c r="G14" s="6"/>
      <c r="H14" s="6"/>
      <c r="I14" s="6"/>
      <c r="J14" s="6"/>
      <c r="K14" s="6"/>
    </row>
    <row r="15" spans="1:21" ht="15.75" thickBot="1" x14ac:dyDescent="0.3">
      <c r="B15" s="1886" t="s">
        <v>2</v>
      </c>
      <c r="C15" s="102"/>
      <c r="D15" s="1837" t="s">
        <v>336</v>
      </c>
      <c r="E15" s="1838"/>
      <c r="F15" s="1838"/>
      <c r="G15" s="1838"/>
      <c r="H15" s="1838"/>
      <c r="I15" s="1838"/>
      <c r="J15" s="1838"/>
      <c r="K15" s="1838"/>
      <c r="L15" s="1896"/>
    </row>
    <row r="16" spans="1:21" ht="15.75" thickBot="1" x14ac:dyDescent="0.3">
      <c r="B16" s="1935"/>
      <c r="C16" s="109"/>
      <c r="D16" s="1839"/>
      <c r="E16" s="1832" t="s">
        <v>546</v>
      </c>
      <c r="F16" s="1833"/>
      <c r="G16" s="1834"/>
      <c r="H16" s="1832" t="s">
        <v>547</v>
      </c>
      <c r="I16" s="1833"/>
      <c r="J16" s="1834"/>
      <c r="K16" s="1826" t="s">
        <v>466</v>
      </c>
      <c r="L16" s="14"/>
    </row>
    <row r="17" spans="2:12" ht="15.75" thickBot="1" x14ac:dyDescent="0.3">
      <c r="B17" s="1935"/>
      <c r="C17" s="109"/>
      <c r="D17" s="1883"/>
      <c r="E17" s="65" t="s">
        <v>506</v>
      </c>
      <c r="F17" s="65" t="s">
        <v>507</v>
      </c>
      <c r="G17" s="65" t="s">
        <v>548</v>
      </c>
      <c r="H17" s="65" t="s">
        <v>506</v>
      </c>
      <c r="I17" s="65" t="s">
        <v>507</v>
      </c>
      <c r="J17" s="65" t="s">
        <v>548</v>
      </c>
      <c r="K17" s="1828"/>
      <c r="L17" s="14"/>
    </row>
    <row r="18" spans="2:12" ht="24.75" thickBot="1" x14ac:dyDescent="0.3">
      <c r="B18" s="1935"/>
      <c r="C18" s="109"/>
      <c r="D18" s="41" t="s">
        <v>549</v>
      </c>
      <c r="E18" s="7"/>
      <c r="F18" s="7">
        <v>2</v>
      </c>
      <c r="G18" s="42">
        <f>+E18+F18</f>
        <v>2</v>
      </c>
      <c r="H18" s="7"/>
      <c r="I18" s="7">
        <v>2</v>
      </c>
      <c r="J18" s="42">
        <f>+H18+I18</f>
        <v>2</v>
      </c>
      <c r="K18" s="42">
        <f>+G18+J18</f>
        <v>4</v>
      </c>
      <c r="L18" s="14"/>
    </row>
    <row r="19" spans="2:12" ht="36.75" thickBot="1" x14ac:dyDescent="0.3">
      <c r="B19" s="1935"/>
      <c r="C19" s="109"/>
      <c r="D19" s="41" t="s">
        <v>550</v>
      </c>
      <c r="E19" s="7"/>
      <c r="F19" s="7">
        <v>2</v>
      </c>
      <c r="G19" s="42">
        <f>+E19+F19</f>
        <v>2</v>
      </c>
      <c r="H19" s="7"/>
      <c r="I19" s="7">
        <v>2</v>
      </c>
      <c r="J19" s="42">
        <f>+H19+I19</f>
        <v>2</v>
      </c>
      <c r="K19" s="42">
        <f>+G19+J19</f>
        <v>4</v>
      </c>
      <c r="L19" s="14"/>
    </row>
    <row r="20" spans="2:12" ht="36.75" thickBot="1" x14ac:dyDescent="0.3">
      <c r="B20" s="1935"/>
      <c r="C20" s="109"/>
      <c r="D20" s="41" t="s">
        <v>551</v>
      </c>
      <c r="E20" s="7"/>
      <c r="F20" s="7">
        <v>2</v>
      </c>
      <c r="G20" s="42">
        <f>+E20+F20</f>
        <v>2</v>
      </c>
      <c r="H20" s="7"/>
      <c r="I20" s="999">
        <v>2</v>
      </c>
      <c r="J20" s="42">
        <f>+H20+I20</f>
        <v>2</v>
      </c>
      <c r="K20" s="42">
        <f>+G20+J20</f>
        <v>4</v>
      </c>
      <c r="L20" s="14"/>
    </row>
    <row r="21" spans="2:12" ht="36.75" thickBot="1" x14ac:dyDescent="0.3">
      <c r="B21" s="1935"/>
      <c r="C21" s="109"/>
      <c r="D21" s="41" t="s">
        <v>526</v>
      </c>
      <c r="E21" s="196" t="str">
        <f>IFERROR(E20/E19,"N.A.")</f>
        <v>N.A.</v>
      </c>
      <c r="F21" s="196">
        <f t="shared" ref="F21:K21" si="0">IFERROR(F20/F19,"N.A.")</f>
        <v>1</v>
      </c>
      <c r="G21" s="196">
        <f t="shared" si="0"/>
        <v>1</v>
      </c>
      <c r="H21" s="196" t="str">
        <f t="shared" si="0"/>
        <v>N.A.</v>
      </c>
      <c r="I21" s="196">
        <f t="shared" si="0"/>
        <v>1</v>
      </c>
      <c r="J21" s="144">
        <f t="shared" si="0"/>
        <v>1</v>
      </c>
      <c r="K21" s="144">
        <f t="shared" si="0"/>
        <v>1</v>
      </c>
      <c r="L21" s="14"/>
    </row>
    <row r="22" spans="2:12" x14ac:dyDescent="0.25">
      <c r="B22" s="1935"/>
      <c r="C22" s="103"/>
      <c r="D22" s="1843"/>
      <c r="E22" s="1844"/>
      <c r="F22" s="1844"/>
      <c r="G22" s="1844"/>
      <c r="H22" s="1844"/>
      <c r="I22" s="1844"/>
      <c r="J22" s="1844"/>
      <c r="K22" s="1844"/>
      <c r="L22" s="1897"/>
    </row>
    <row r="23" spans="2:12" x14ac:dyDescent="0.25">
      <c r="B23" s="1935"/>
      <c r="C23" s="103"/>
      <c r="D23" s="1840" t="s">
        <v>246</v>
      </c>
      <c r="E23" s="1841"/>
      <c r="F23" s="1841"/>
      <c r="G23" s="1841"/>
      <c r="H23" s="1841"/>
      <c r="I23" s="1841"/>
      <c r="J23" s="1841"/>
      <c r="K23" s="1841"/>
      <c r="L23" s="1898"/>
    </row>
    <row r="24" spans="2:12" x14ac:dyDescent="0.25">
      <c r="B24" s="1935"/>
      <c r="C24" s="103"/>
      <c r="D24" s="1840" t="s">
        <v>552</v>
      </c>
      <c r="E24" s="1841"/>
      <c r="F24" s="1841"/>
      <c r="G24" s="1841"/>
      <c r="H24" s="1841"/>
      <c r="I24" s="1841"/>
      <c r="J24" s="1841"/>
      <c r="K24" s="1841"/>
      <c r="L24" s="1898"/>
    </row>
    <row r="25" spans="2:12" ht="15.75" thickBot="1" x14ac:dyDescent="0.3">
      <c r="B25" s="1935"/>
      <c r="C25" s="103"/>
      <c r="D25" s="1881" t="s">
        <v>340</v>
      </c>
      <c r="E25" s="1882"/>
      <c r="F25" s="1882"/>
      <c r="G25" s="1882"/>
      <c r="H25" s="1882"/>
      <c r="I25" s="1882"/>
      <c r="J25" s="1882"/>
      <c r="K25" s="1882"/>
      <c r="L25" s="1899"/>
    </row>
    <row r="26" spans="2:12" ht="21" customHeight="1" x14ac:dyDescent="0.25">
      <c r="B26" s="1935"/>
      <c r="C26" s="1944" t="s">
        <v>19</v>
      </c>
      <c r="D26" s="1925" t="s">
        <v>270</v>
      </c>
      <c r="E26" s="1970" t="s">
        <v>518</v>
      </c>
      <c r="F26" s="1970" t="s">
        <v>519</v>
      </c>
      <c r="G26" s="1970" t="s">
        <v>520</v>
      </c>
      <c r="H26" s="212" t="s">
        <v>473</v>
      </c>
      <c r="I26" s="212" t="s">
        <v>475</v>
      </c>
      <c r="J26" s="1970" t="s">
        <v>274</v>
      </c>
      <c r="K26" s="1970" t="s">
        <v>275</v>
      </c>
      <c r="L26" s="1970" t="s">
        <v>55</v>
      </c>
    </row>
    <row r="27" spans="2:12" ht="15.75" thickBot="1" x14ac:dyDescent="0.3">
      <c r="B27" s="1935"/>
      <c r="C27" s="1945"/>
      <c r="D27" s="1927"/>
      <c r="E27" s="1971"/>
      <c r="F27" s="1971"/>
      <c r="G27" s="1971"/>
      <c r="H27" s="213" t="s">
        <v>474</v>
      </c>
      <c r="I27" s="213" t="s">
        <v>476</v>
      </c>
      <c r="J27" s="1971"/>
      <c r="K27" s="1971"/>
      <c r="L27" s="1971"/>
    </row>
    <row r="28" spans="2:12" ht="180.75" thickBot="1" x14ac:dyDescent="0.3">
      <c r="B28" s="1935"/>
      <c r="C28" s="379"/>
      <c r="D28" s="1001" t="s">
        <v>3396</v>
      </c>
      <c r="E28" s="1003" t="s">
        <v>2871</v>
      </c>
      <c r="F28" s="1003" t="s">
        <v>2872</v>
      </c>
      <c r="G28" s="1001" t="s">
        <v>2882</v>
      </c>
      <c r="H28" s="1396">
        <v>40204742</v>
      </c>
      <c r="I28" s="1396"/>
      <c r="J28" s="1395">
        <v>13634821</v>
      </c>
      <c r="K28" s="1396"/>
      <c r="L28" s="1394" t="s">
        <v>2880</v>
      </c>
    </row>
    <row r="29" spans="2:12" ht="60.75" thickBot="1" x14ac:dyDescent="0.3">
      <c r="B29" s="1935"/>
      <c r="C29" s="379"/>
      <c r="D29" s="1002" t="s">
        <v>3280</v>
      </c>
      <c r="E29" s="1003" t="s">
        <v>3234</v>
      </c>
      <c r="F29" s="1003" t="s">
        <v>2872</v>
      </c>
      <c r="G29" s="479" t="s">
        <v>3281</v>
      </c>
      <c r="H29" s="1221">
        <v>35393070.5</v>
      </c>
      <c r="I29" s="1221">
        <v>35393070.5</v>
      </c>
      <c r="J29" s="978">
        <v>8589893</v>
      </c>
      <c r="K29" s="978">
        <v>6780088</v>
      </c>
      <c r="L29" s="1214" t="s">
        <v>3282</v>
      </c>
    </row>
    <row r="30" spans="2:12" ht="48.75" thickBot="1" x14ac:dyDescent="0.3">
      <c r="B30" s="1935"/>
      <c r="C30" s="379"/>
      <c r="D30" s="1002" t="s">
        <v>3283</v>
      </c>
      <c r="E30" s="1003" t="s">
        <v>3234</v>
      </c>
      <c r="F30" s="1003" t="s">
        <v>2872</v>
      </c>
      <c r="G30" s="1222" t="s">
        <v>3284</v>
      </c>
      <c r="H30" s="1221">
        <v>35393070.5</v>
      </c>
      <c r="I30" s="1221">
        <v>35393070.5</v>
      </c>
      <c r="J30" s="978">
        <v>8589893</v>
      </c>
      <c r="K30" s="978">
        <v>6780088</v>
      </c>
      <c r="L30" s="1214" t="s">
        <v>3285</v>
      </c>
    </row>
    <row r="31" spans="2:12" ht="15.75" thickBot="1" x14ac:dyDescent="0.3">
      <c r="B31" s="1935"/>
      <c r="C31" s="379"/>
      <c r="D31" s="31"/>
      <c r="E31" s="31"/>
      <c r="F31" s="31"/>
      <c r="G31" s="31"/>
      <c r="H31" s="218"/>
      <c r="I31" s="218"/>
      <c r="J31" s="218"/>
      <c r="K31" s="218"/>
      <c r="L31" s="218"/>
    </row>
    <row r="32" spans="2:12" ht="15.75" thickBot="1" x14ac:dyDescent="0.3">
      <c r="B32" s="1935"/>
      <c r="C32" s="379"/>
      <c r="D32" s="31"/>
      <c r="E32" s="31"/>
      <c r="F32" s="31"/>
      <c r="G32" s="31"/>
      <c r="H32" s="218"/>
      <c r="I32" s="218"/>
      <c r="J32" s="218"/>
      <c r="K32" s="218"/>
      <c r="L32" s="218"/>
    </row>
    <row r="33" spans="2:12" ht="15.75" thickBot="1" x14ac:dyDescent="0.3">
      <c r="B33" s="1935"/>
      <c r="C33" s="379"/>
      <c r="D33" s="31"/>
      <c r="E33" s="31"/>
      <c r="F33" s="31"/>
      <c r="G33" s="31"/>
      <c r="H33" s="218"/>
      <c r="I33" s="218"/>
      <c r="J33" s="218"/>
      <c r="K33" s="218"/>
      <c r="L33" s="218"/>
    </row>
    <row r="34" spans="2:12" ht="15.75" thickBot="1" x14ac:dyDescent="0.3">
      <c r="B34" s="1935"/>
      <c r="C34" s="379"/>
      <c r="D34" s="31"/>
      <c r="E34" s="31"/>
      <c r="F34" s="31"/>
      <c r="G34" s="31"/>
      <c r="H34" s="218"/>
      <c r="I34" s="218"/>
      <c r="J34" s="218"/>
      <c r="K34" s="218"/>
      <c r="L34" s="218"/>
    </row>
    <row r="35" spans="2:12" ht="15.75" thickBot="1" x14ac:dyDescent="0.3">
      <c r="B35" s="1887"/>
      <c r="C35" s="110"/>
      <c r="D35" s="27"/>
      <c r="E35" s="40" t="s">
        <v>151</v>
      </c>
      <c r="F35" s="27"/>
      <c r="G35" s="27"/>
      <c r="H35" s="201">
        <f>SUM(H28:H34)</f>
        <v>110990883</v>
      </c>
      <c r="I35" s="201">
        <f>SUM(I28:I34)</f>
        <v>70786141</v>
      </c>
      <c r="J35" s="201">
        <f>SUM(J28:J34)</f>
        <v>30814607</v>
      </c>
      <c r="K35" s="201">
        <f>SUM(K28:K34)</f>
        <v>13560176</v>
      </c>
      <c r="L35" s="218"/>
    </row>
    <row r="36" spans="2:12" ht="36" customHeight="1" thickBot="1" x14ac:dyDescent="0.3">
      <c r="B36" s="72" t="s">
        <v>34</v>
      </c>
      <c r="C36" s="108"/>
      <c r="D36" s="1832" t="s">
        <v>553</v>
      </c>
      <c r="E36" s="1833"/>
      <c r="F36" s="1833"/>
      <c r="G36" s="1833"/>
      <c r="H36" s="1833"/>
      <c r="I36" s="1833"/>
      <c r="J36" s="1833"/>
      <c r="K36" s="1833"/>
      <c r="L36" s="1900"/>
    </row>
    <row r="37" spans="2:12" ht="24" customHeight="1" thickBot="1" x14ac:dyDescent="0.3">
      <c r="B37" s="72" t="s">
        <v>36</v>
      </c>
      <c r="C37" s="108"/>
      <c r="D37" s="1832" t="s">
        <v>554</v>
      </c>
      <c r="E37" s="1833"/>
      <c r="F37" s="1833"/>
      <c r="G37" s="1833"/>
      <c r="H37" s="1833"/>
      <c r="I37" s="1833"/>
      <c r="J37" s="1833"/>
      <c r="K37" s="1833"/>
      <c r="L37" s="1900"/>
    </row>
    <row r="38" spans="2:12" ht="15.75" thickBot="1" x14ac:dyDescent="0.3">
      <c r="B38" s="2"/>
      <c r="C38" s="76"/>
      <c r="D38" s="6"/>
      <c r="E38" s="6"/>
      <c r="F38" s="6"/>
      <c r="G38" s="6"/>
      <c r="H38" s="6"/>
      <c r="I38" s="6"/>
      <c r="J38" s="6"/>
      <c r="K38" s="6"/>
    </row>
    <row r="39" spans="2:12" ht="24" customHeight="1" thickBot="1" x14ac:dyDescent="0.3">
      <c r="B39" s="1829" t="s">
        <v>38</v>
      </c>
      <c r="C39" s="1830"/>
      <c r="D39" s="1830"/>
      <c r="E39" s="1831"/>
      <c r="F39" s="6"/>
      <c r="G39" s="6"/>
      <c r="H39" s="6"/>
      <c r="I39" s="6"/>
      <c r="J39" s="6"/>
      <c r="K39" s="6"/>
    </row>
    <row r="40" spans="2:12" ht="15.75" thickBot="1" x14ac:dyDescent="0.3">
      <c r="B40" s="1826">
        <v>1</v>
      </c>
      <c r="C40" s="94"/>
      <c r="D40" s="48" t="s">
        <v>39</v>
      </c>
      <c r="E40" s="31" t="s">
        <v>2849</v>
      </c>
      <c r="F40" s="6"/>
      <c r="G40" s="6"/>
      <c r="H40" s="6"/>
      <c r="I40" s="6"/>
      <c r="J40" s="6"/>
      <c r="K40" s="6"/>
    </row>
    <row r="41" spans="2:12" ht="15.75" thickBot="1" x14ac:dyDescent="0.3">
      <c r="B41" s="1827"/>
      <c r="C41" s="94"/>
      <c r="D41" s="41" t="s">
        <v>40</v>
      </c>
      <c r="E41" s="31" t="s">
        <v>3286</v>
      </c>
      <c r="F41" s="6"/>
      <c r="G41" s="6"/>
      <c r="H41" s="6"/>
      <c r="I41" s="6"/>
      <c r="J41" s="6"/>
      <c r="K41" s="6"/>
    </row>
    <row r="42" spans="2:12" ht="15.75" thickBot="1" x14ac:dyDescent="0.3">
      <c r="B42" s="1827"/>
      <c r="C42" s="94"/>
      <c r="D42" s="41" t="s">
        <v>41</v>
      </c>
      <c r="E42" s="31" t="s">
        <v>3397</v>
      </c>
      <c r="F42" s="6"/>
      <c r="G42" s="6"/>
      <c r="H42" s="6"/>
      <c r="I42" s="6"/>
      <c r="J42" s="6"/>
      <c r="K42" s="6"/>
    </row>
    <row r="43" spans="2:12" ht="15.75" thickBot="1" x14ac:dyDescent="0.3">
      <c r="B43" s="1827"/>
      <c r="C43" s="94"/>
      <c r="D43" s="41" t="s">
        <v>42</v>
      </c>
      <c r="E43" s="31" t="s">
        <v>3288</v>
      </c>
      <c r="F43" s="6"/>
      <c r="G43" s="6"/>
      <c r="H43" s="6"/>
      <c r="I43" s="6"/>
      <c r="J43" s="6"/>
      <c r="K43" s="6"/>
    </row>
    <row r="44" spans="2:12" ht="15.75" thickBot="1" x14ac:dyDescent="0.3">
      <c r="B44" s="1827"/>
      <c r="C44" s="94"/>
      <c r="D44" s="41" t="s">
        <v>43</v>
      </c>
      <c r="E44" s="1219" t="s">
        <v>3289</v>
      </c>
      <c r="F44" s="6"/>
      <c r="G44" s="6"/>
      <c r="H44" s="6"/>
      <c r="I44" s="6"/>
      <c r="J44" s="6"/>
      <c r="K44" s="6"/>
    </row>
    <row r="45" spans="2:12" ht="15.75" thickBot="1" x14ac:dyDescent="0.3">
      <c r="B45" s="1827"/>
      <c r="C45" s="94"/>
      <c r="D45" s="41" t="s">
        <v>44</v>
      </c>
      <c r="E45" s="31" t="s">
        <v>2883</v>
      </c>
      <c r="F45" s="6"/>
      <c r="G45" s="6"/>
      <c r="H45" s="6"/>
      <c r="I45" s="6"/>
      <c r="J45" s="6"/>
      <c r="K45" s="6"/>
    </row>
    <row r="46" spans="2:12" ht="15.75" thickBot="1" x14ac:dyDescent="0.3">
      <c r="B46" s="1828"/>
      <c r="C46" s="3"/>
      <c r="D46" s="41" t="s">
        <v>45</v>
      </c>
      <c r="E46" s="31" t="s">
        <v>2870</v>
      </c>
      <c r="F46" s="6"/>
      <c r="G46" s="6"/>
      <c r="H46" s="6"/>
      <c r="I46" s="6"/>
      <c r="J46" s="6"/>
      <c r="K46" s="6"/>
    </row>
    <row r="47" spans="2:12" ht="15.75" thickBot="1" x14ac:dyDescent="0.3">
      <c r="B47" s="2"/>
      <c r="C47" s="76"/>
      <c r="D47" s="6"/>
      <c r="E47" s="6"/>
      <c r="F47" s="6"/>
      <c r="G47" s="6"/>
      <c r="H47" s="6"/>
      <c r="I47" s="6"/>
      <c r="J47" s="6"/>
      <c r="K47" s="6"/>
    </row>
    <row r="48" spans="2:12" ht="15.75" thickBot="1" x14ac:dyDescent="0.3">
      <c r="B48" s="1829" t="s">
        <v>46</v>
      </c>
      <c r="C48" s="1830"/>
      <c r="D48" s="1830"/>
      <c r="E48" s="1831"/>
      <c r="F48" s="6"/>
      <c r="G48" s="6"/>
      <c r="H48" s="6"/>
      <c r="I48" s="6"/>
      <c r="J48" s="6"/>
      <c r="K48" s="6"/>
    </row>
    <row r="49" spans="2:11" ht="15.75" thickBot="1" x14ac:dyDescent="0.3">
      <c r="B49" s="1826">
        <v>1</v>
      </c>
      <c r="C49" s="94"/>
      <c r="D49" s="48" t="s">
        <v>39</v>
      </c>
      <c r="E49" s="492" t="s">
        <v>47</v>
      </c>
      <c r="F49" s="6"/>
      <c r="G49" s="6"/>
      <c r="H49" s="6"/>
      <c r="I49" s="6"/>
      <c r="J49" s="6"/>
      <c r="K49" s="6"/>
    </row>
    <row r="50" spans="2:11" ht="15.75" thickBot="1" x14ac:dyDescent="0.3">
      <c r="B50" s="1827"/>
      <c r="C50" s="94"/>
      <c r="D50" s="41" t="s">
        <v>40</v>
      </c>
      <c r="E50" s="492" t="s">
        <v>48</v>
      </c>
      <c r="F50" s="6"/>
      <c r="G50" s="6"/>
      <c r="H50" s="6"/>
      <c r="I50" s="6"/>
      <c r="J50" s="6"/>
      <c r="K50" s="6"/>
    </row>
    <row r="51" spans="2:11" ht="15.75" thickBot="1" x14ac:dyDescent="0.3">
      <c r="B51" s="1827"/>
      <c r="C51" s="94"/>
      <c r="D51" s="41" t="s">
        <v>41</v>
      </c>
      <c r="E51" s="315"/>
      <c r="F51" s="6"/>
      <c r="G51" s="6"/>
      <c r="H51" s="6"/>
      <c r="I51" s="6"/>
      <c r="J51" s="6"/>
      <c r="K51" s="6"/>
    </row>
    <row r="52" spans="2:11" ht="15.75" thickBot="1" x14ac:dyDescent="0.3">
      <c r="B52" s="1827"/>
      <c r="C52" s="94"/>
      <c r="D52" s="41" t="s">
        <v>42</v>
      </c>
      <c r="E52" s="315"/>
      <c r="F52" s="6"/>
      <c r="G52" s="6"/>
      <c r="H52" s="6"/>
      <c r="I52" s="6"/>
      <c r="J52" s="6"/>
      <c r="K52" s="6"/>
    </row>
    <row r="53" spans="2:11" ht="15.75" thickBot="1" x14ac:dyDescent="0.3">
      <c r="B53" s="1827"/>
      <c r="C53" s="94"/>
      <c r="D53" s="41" t="s">
        <v>43</v>
      </c>
      <c r="E53" s="315"/>
      <c r="F53" s="6"/>
      <c r="G53" s="6"/>
      <c r="H53" s="6"/>
      <c r="I53" s="6"/>
      <c r="J53" s="6"/>
      <c r="K53" s="6"/>
    </row>
    <row r="54" spans="2:11" ht="15.75" thickBot="1" x14ac:dyDescent="0.3">
      <c r="B54" s="1827"/>
      <c r="C54" s="94"/>
      <c r="D54" s="41" t="s">
        <v>44</v>
      </c>
      <c r="E54" s="315"/>
      <c r="F54" s="6"/>
      <c r="G54" s="6"/>
      <c r="H54" s="6"/>
      <c r="I54" s="6"/>
      <c r="J54" s="6"/>
      <c r="K54" s="6"/>
    </row>
    <row r="55" spans="2:11" ht="15.75" thickBot="1" x14ac:dyDescent="0.3">
      <c r="B55" s="1828"/>
      <c r="C55" s="3"/>
      <c r="D55" s="41" t="s">
        <v>45</v>
      </c>
      <c r="E55" s="315"/>
      <c r="F55" s="6"/>
      <c r="G55" s="6"/>
      <c r="H55" s="6"/>
      <c r="I55" s="6"/>
      <c r="J55" s="6"/>
      <c r="K55" s="6"/>
    </row>
    <row r="56" spans="2:11" ht="15.75" thickBot="1" x14ac:dyDescent="0.3">
      <c r="B56" s="2"/>
      <c r="C56" s="76"/>
      <c r="D56" s="6"/>
      <c r="E56" s="6"/>
      <c r="F56" s="6"/>
      <c r="G56" s="6"/>
      <c r="H56" s="6"/>
      <c r="I56" s="6"/>
      <c r="J56" s="6"/>
      <c r="K56" s="6"/>
    </row>
    <row r="57" spans="2:11" ht="15" customHeight="1" thickBot="1" x14ac:dyDescent="0.3">
      <c r="B57" s="121" t="s">
        <v>49</v>
      </c>
      <c r="C57" s="122"/>
      <c r="D57" s="122"/>
      <c r="E57" s="123"/>
      <c r="G57" s="6"/>
      <c r="H57" s="6"/>
      <c r="I57" s="6"/>
      <c r="J57" s="6"/>
      <c r="K57" s="6"/>
    </row>
    <row r="58" spans="2:11" ht="24.75" thickBot="1" x14ac:dyDescent="0.3">
      <c r="B58" s="47" t="s">
        <v>50</v>
      </c>
      <c r="C58" s="41" t="s">
        <v>51</v>
      </c>
      <c r="D58" s="41" t="s">
        <v>52</v>
      </c>
      <c r="E58" s="41" t="s">
        <v>53</v>
      </c>
      <c r="F58" s="6"/>
      <c r="G58" s="6"/>
      <c r="H58" s="6"/>
      <c r="I58" s="6"/>
      <c r="J58" s="6"/>
    </row>
    <row r="59" spans="2:11" ht="72.75" thickBot="1" x14ac:dyDescent="0.3">
      <c r="B59" s="49">
        <v>42401</v>
      </c>
      <c r="C59" s="41">
        <v>0.01</v>
      </c>
      <c r="D59" s="50" t="s">
        <v>555</v>
      </c>
      <c r="E59" s="41"/>
      <c r="F59" s="6"/>
      <c r="G59" s="6"/>
      <c r="H59" s="6"/>
      <c r="I59" s="6"/>
      <c r="J59" s="6"/>
    </row>
    <row r="60" spans="2:11" ht="15.75" thickBot="1" x14ac:dyDescent="0.3">
      <c r="B60" s="4"/>
      <c r="C60" s="95"/>
      <c r="D60" s="6"/>
      <c r="E60" s="6"/>
      <c r="F60" s="6"/>
      <c r="G60" s="6"/>
      <c r="H60" s="6"/>
      <c r="I60" s="6"/>
      <c r="J60" s="6"/>
      <c r="K60" s="6"/>
    </row>
    <row r="61" spans="2:11" x14ac:dyDescent="0.25">
      <c r="B61" s="135" t="s">
        <v>55</v>
      </c>
      <c r="C61" s="96"/>
      <c r="D61" s="6"/>
      <c r="E61" s="6"/>
      <c r="F61" s="6"/>
      <c r="G61" s="6"/>
      <c r="H61" s="6"/>
      <c r="I61" s="6"/>
      <c r="J61" s="6"/>
      <c r="K61" s="6"/>
    </row>
    <row r="62" spans="2:11" ht="81" customHeight="1" x14ac:dyDescent="0.25">
      <c r="B62" s="1964" t="s">
        <v>556</v>
      </c>
      <c r="C62" s="1965"/>
      <c r="D62" s="1966"/>
      <c r="E62" s="6"/>
      <c r="F62" s="6"/>
      <c r="G62" s="6"/>
      <c r="H62" s="6"/>
      <c r="I62" s="6"/>
      <c r="J62" s="6"/>
      <c r="K62" s="6"/>
    </row>
    <row r="63" spans="2:11" x14ac:dyDescent="0.25">
      <c r="B63" s="1967"/>
      <c r="C63" s="1968"/>
      <c r="D63" s="1969"/>
      <c r="E63" s="6"/>
      <c r="F63" s="6"/>
      <c r="G63" s="6"/>
      <c r="H63" s="6"/>
      <c r="I63" s="6"/>
      <c r="J63" s="6"/>
      <c r="K63" s="6"/>
    </row>
    <row r="64" spans="2:11" x14ac:dyDescent="0.25">
      <c r="B64" s="2"/>
      <c r="C64" s="76"/>
      <c r="D64" s="6"/>
      <c r="E64" s="6"/>
      <c r="F64" s="6"/>
      <c r="G64" s="6"/>
      <c r="H64" s="6"/>
      <c r="I64" s="6"/>
      <c r="J64" s="6"/>
      <c r="K64" s="6"/>
    </row>
    <row r="65" spans="2:11" ht="15.75" thickBot="1" x14ac:dyDescent="0.3">
      <c r="B65" s="6"/>
      <c r="D65" s="6"/>
      <c r="E65" s="6"/>
      <c r="F65" s="6"/>
      <c r="G65" s="6"/>
      <c r="H65" s="6"/>
      <c r="I65" s="6"/>
      <c r="J65" s="6"/>
      <c r="K65" s="6"/>
    </row>
    <row r="66" spans="2:11" ht="24.75" thickBot="1" x14ac:dyDescent="0.3">
      <c r="B66" s="51" t="s">
        <v>450</v>
      </c>
      <c r="C66" s="97"/>
      <c r="D66" s="6"/>
      <c r="E66" s="6"/>
      <c r="F66" s="6"/>
      <c r="G66" s="6"/>
      <c r="H66" s="6"/>
      <c r="I66" s="6"/>
      <c r="J66" s="6"/>
      <c r="K66" s="6"/>
    </row>
    <row r="67" spans="2:11" ht="15.75" thickBot="1" x14ac:dyDescent="0.3">
      <c r="B67" s="38"/>
      <c r="C67" s="88"/>
      <c r="D67" s="6"/>
      <c r="E67" s="6"/>
      <c r="F67" s="6"/>
      <c r="G67" s="6"/>
      <c r="H67" s="6"/>
      <c r="I67" s="6"/>
      <c r="J67" s="6"/>
      <c r="K67" s="6"/>
    </row>
    <row r="68" spans="2:11" ht="84.75" thickBot="1" x14ac:dyDescent="0.3">
      <c r="B68" s="52" t="s">
        <v>57</v>
      </c>
      <c r="C68" s="98"/>
      <c r="D68" s="43" t="s">
        <v>527</v>
      </c>
      <c r="E68" s="6"/>
      <c r="F68" s="6"/>
      <c r="G68" s="6"/>
      <c r="H68" s="6"/>
      <c r="I68" s="6"/>
      <c r="J68" s="6"/>
      <c r="K68" s="6"/>
    </row>
    <row r="69" spans="2:11" x14ac:dyDescent="0.25">
      <c r="B69" s="1826" t="s">
        <v>59</v>
      </c>
      <c r="C69" s="94"/>
      <c r="D69" s="53" t="s">
        <v>60</v>
      </c>
      <c r="E69" s="6"/>
      <c r="F69" s="6"/>
      <c r="G69" s="6"/>
      <c r="H69" s="6"/>
      <c r="I69" s="6"/>
      <c r="J69" s="6"/>
      <c r="K69" s="6"/>
    </row>
    <row r="70" spans="2:11" ht="120" x14ac:dyDescent="0.25">
      <c r="B70" s="1827"/>
      <c r="C70" s="94"/>
      <c r="D70" s="46" t="s">
        <v>528</v>
      </c>
      <c r="E70" s="6"/>
      <c r="F70" s="6"/>
      <c r="G70" s="6"/>
      <c r="H70" s="6"/>
      <c r="I70" s="6"/>
      <c r="J70" s="6"/>
      <c r="K70" s="6"/>
    </row>
    <row r="71" spans="2:11" x14ac:dyDescent="0.25">
      <c r="B71" s="1827"/>
      <c r="C71" s="94"/>
      <c r="D71" s="53" t="s">
        <v>63</v>
      </c>
      <c r="E71" s="6"/>
      <c r="F71" s="6"/>
      <c r="G71" s="6"/>
      <c r="H71" s="6"/>
      <c r="I71" s="6"/>
      <c r="J71" s="6"/>
      <c r="K71" s="6"/>
    </row>
    <row r="72" spans="2:11" x14ac:dyDescent="0.25">
      <c r="B72" s="1827"/>
      <c r="C72" s="94"/>
      <c r="D72" s="46" t="s">
        <v>165</v>
      </c>
      <c r="E72" s="6"/>
      <c r="F72" s="6"/>
      <c r="G72" s="6"/>
      <c r="H72" s="6"/>
      <c r="I72" s="6"/>
      <c r="J72" s="6"/>
      <c r="K72" s="6"/>
    </row>
    <row r="73" spans="2:11" ht="24" x14ac:dyDescent="0.25">
      <c r="B73" s="1827"/>
      <c r="C73" s="94"/>
      <c r="D73" s="46" t="s">
        <v>529</v>
      </c>
      <c r="E73" s="6"/>
      <c r="F73" s="6"/>
      <c r="G73" s="6"/>
      <c r="H73" s="6"/>
      <c r="I73" s="6"/>
      <c r="J73" s="6"/>
      <c r="K73" s="6"/>
    </row>
    <row r="74" spans="2:11" x14ac:dyDescent="0.25">
      <c r="B74" s="1827"/>
      <c r="C74" s="94"/>
      <c r="D74" s="46" t="s">
        <v>530</v>
      </c>
      <c r="E74" s="6"/>
      <c r="F74" s="6"/>
      <c r="G74" s="6"/>
      <c r="H74" s="6"/>
      <c r="I74" s="6"/>
      <c r="J74" s="6"/>
      <c r="K74" s="6"/>
    </row>
    <row r="75" spans="2:11" ht="24" x14ac:dyDescent="0.25">
      <c r="B75" s="1827"/>
      <c r="C75" s="94"/>
      <c r="D75" s="46" t="s">
        <v>531</v>
      </c>
      <c r="E75" s="6"/>
      <c r="F75" s="6"/>
      <c r="G75" s="6"/>
      <c r="H75" s="6"/>
      <c r="I75" s="6"/>
      <c r="J75" s="6"/>
      <c r="K75" s="6"/>
    </row>
    <row r="76" spans="2:11" ht="24" x14ac:dyDescent="0.25">
      <c r="B76" s="1827"/>
      <c r="C76" s="94"/>
      <c r="D76" s="46" t="s">
        <v>532</v>
      </c>
      <c r="E76" s="6"/>
      <c r="F76" s="6"/>
      <c r="G76" s="6"/>
      <c r="H76" s="6"/>
      <c r="I76" s="6"/>
      <c r="J76" s="6"/>
      <c r="K76" s="6"/>
    </row>
    <row r="77" spans="2:11" ht="24" x14ac:dyDescent="0.25">
      <c r="B77" s="1827"/>
      <c r="C77" s="94"/>
      <c r="D77" s="46" t="s">
        <v>533</v>
      </c>
      <c r="E77" s="6"/>
      <c r="F77" s="6"/>
      <c r="G77" s="6"/>
      <c r="H77" s="6"/>
      <c r="I77" s="6"/>
      <c r="J77" s="6"/>
      <c r="K77" s="6"/>
    </row>
    <row r="78" spans="2:11" x14ac:dyDescent="0.25">
      <c r="B78" s="1827"/>
      <c r="C78" s="94"/>
      <c r="D78" s="53" t="s">
        <v>288</v>
      </c>
      <c r="E78" s="6"/>
      <c r="F78" s="6"/>
      <c r="G78" s="6"/>
      <c r="H78" s="6"/>
      <c r="I78" s="6"/>
      <c r="J78" s="6"/>
      <c r="K78" s="6"/>
    </row>
    <row r="79" spans="2:11" ht="36" x14ac:dyDescent="0.25">
      <c r="B79" s="1827"/>
      <c r="C79" s="94"/>
      <c r="D79" s="46" t="s">
        <v>353</v>
      </c>
      <c r="E79" s="6"/>
      <c r="F79" s="6"/>
      <c r="G79" s="6"/>
      <c r="H79" s="6"/>
      <c r="I79" s="6"/>
      <c r="J79" s="6"/>
      <c r="K79" s="6"/>
    </row>
    <row r="80" spans="2:11" ht="36" x14ac:dyDescent="0.25">
      <c r="B80" s="1827"/>
      <c r="C80" s="94"/>
      <c r="D80" s="46" t="s">
        <v>534</v>
      </c>
      <c r="E80" s="6"/>
      <c r="F80" s="6"/>
      <c r="G80" s="6"/>
      <c r="H80" s="6"/>
      <c r="I80" s="6"/>
      <c r="J80" s="6"/>
      <c r="K80" s="6"/>
    </row>
    <row r="81" spans="2:11" ht="84.75" thickBot="1" x14ac:dyDescent="0.3">
      <c r="B81" s="1828"/>
      <c r="C81" s="3"/>
      <c r="D81" s="41" t="s">
        <v>535</v>
      </c>
      <c r="E81" s="6"/>
      <c r="F81" s="6"/>
      <c r="G81" s="6"/>
      <c r="H81" s="6"/>
      <c r="I81" s="6"/>
      <c r="J81" s="6"/>
      <c r="K81" s="6"/>
    </row>
    <row r="82" spans="2:11" ht="24.75" thickBot="1" x14ac:dyDescent="0.3">
      <c r="B82" s="47" t="s">
        <v>72</v>
      </c>
      <c r="C82" s="3"/>
      <c r="D82" s="41"/>
      <c r="E82" s="6"/>
      <c r="F82" s="6"/>
      <c r="G82" s="6"/>
      <c r="H82" s="6"/>
      <c r="I82" s="6"/>
      <c r="J82" s="6"/>
      <c r="K82" s="6"/>
    </row>
    <row r="83" spans="2:11" ht="84" x14ac:dyDescent="0.25">
      <c r="B83" s="1826" t="s">
        <v>73</v>
      </c>
      <c r="C83" s="94"/>
      <c r="D83" s="46" t="s">
        <v>536</v>
      </c>
      <c r="E83" s="6"/>
      <c r="F83" s="6"/>
      <c r="G83" s="6"/>
      <c r="H83" s="6"/>
      <c r="I83" s="6"/>
      <c r="J83" s="6"/>
      <c r="K83" s="6"/>
    </row>
    <row r="84" spans="2:11" ht="96" x14ac:dyDescent="0.25">
      <c r="B84" s="1827"/>
      <c r="C84" s="94"/>
      <c r="D84" s="46" t="s">
        <v>537</v>
      </c>
      <c r="E84" s="6"/>
      <c r="F84" s="6"/>
      <c r="G84" s="6"/>
      <c r="H84" s="6"/>
      <c r="I84" s="6"/>
      <c r="J84" s="6"/>
      <c r="K84" s="6"/>
    </row>
    <row r="85" spans="2:11" ht="132" x14ac:dyDescent="0.25">
      <c r="B85" s="1827"/>
      <c r="C85" s="94"/>
      <c r="D85" s="46" t="s">
        <v>538</v>
      </c>
      <c r="E85" s="6"/>
      <c r="F85" s="6"/>
      <c r="G85" s="6"/>
      <c r="H85" s="6"/>
      <c r="I85" s="6"/>
      <c r="J85" s="6"/>
      <c r="K85" s="6"/>
    </row>
    <row r="86" spans="2:11" ht="144.75" thickBot="1" x14ac:dyDescent="0.3">
      <c r="B86" s="1828"/>
      <c r="C86" s="3"/>
      <c r="D86" s="41" t="s">
        <v>539</v>
      </c>
      <c r="E86" s="6"/>
      <c r="F86" s="6"/>
      <c r="G86" s="6"/>
      <c r="H86" s="6"/>
      <c r="I86" s="6"/>
      <c r="J86" s="6"/>
      <c r="K86" s="6"/>
    </row>
    <row r="87" spans="2:11" ht="24" x14ac:dyDescent="0.25">
      <c r="B87" s="1826" t="s">
        <v>90</v>
      </c>
      <c r="C87" s="94"/>
      <c r="D87" s="53" t="s">
        <v>526</v>
      </c>
      <c r="E87" s="6"/>
      <c r="F87" s="6"/>
      <c r="G87" s="6"/>
      <c r="H87" s="6"/>
      <c r="I87" s="6"/>
      <c r="J87" s="6"/>
      <c r="K87" s="6"/>
    </row>
    <row r="88" spans="2:11" x14ac:dyDescent="0.25">
      <c r="B88" s="1827"/>
      <c r="C88" s="94"/>
      <c r="D88" s="46" t="s">
        <v>497</v>
      </c>
      <c r="E88" s="6"/>
      <c r="F88" s="6"/>
      <c r="G88" s="6"/>
      <c r="H88" s="6"/>
      <c r="I88" s="6"/>
      <c r="J88" s="6"/>
      <c r="K88" s="6"/>
    </row>
    <row r="89" spans="2:11" x14ac:dyDescent="0.25">
      <c r="B89" s="1827"/>
      <c r="C89" s="94"/>
      <c r="D89" s="46" t="s">
        <v>91</v>
      </c>
      <c r="E89" s="6"/>
      <c r="F89" s="6"/>
      <c r="G89" s="6"/>
      <c r="H89" s="6"/>
      <c r="I89" s="6"/>
      <c r="J89" s="6"/>
      <c r="K89" s="6"/>
    </row>
    <row r="90" spans="2:11" ht="37.5" x14ac:dyDescent="0.25">
      <c r="B90" s="1827"/>
      <c r="C90" s="94"/>
      <c r="D90" s="46" t="s">
        <v>540</v>
      </c>
      <c r="E90" s="6"/>
      <c r="F90" s="6"/>
      <c r="G90" s="6"/>
      <c r="H90" s="6"/>
      <c r="I90" s="6"/>
      <c r="J90" s="6"/>
      <c r="K90" s="6"/>
    </row>
    <row r="91" spans="2:11" ht="37.5" x14ac:dyDescent="0.25">
      <c r="B91" s="1827"/>
      <c r="C91" s="94"/>
      <c r="D91" s="46" t="s">
        <v>541</v>
      </c>
      <c r="E91" s="6"/>
      <c r="F91" s="6"/>
      <c r="G91" s="6"/>
      <c r="H91" s="6"/>
      <c r="I91" s="6"/>
      <c r="J91" s="6"/>
      <c r="K91" s="6"/>
    </row>
    <row r="92" spans="2:11" ht="37.5" x14ac:dyDescent="0.25">
      <c r="B92" s="1827"/>
      <c r="C92" s="94"/>
      <c r="D92" s="46" t="s">
        <v>542</v>
      </c>
      <c r="E92" s="6"/>
      <c r="F92" s="6"/>
      <c r="G92" s="6"/>
      <c r="H92" s="6"/>
      <c r="I92" s="6"/>
      <c r="J92" s="6"/>
      <c r="K92" s="6"/>
    </row>
    <row r="93" spans="2:11" ht="84" x14ac:dyDescent="0.25">
      <c r="B93" s="1827"/>
      <c r="C93" s="94"/>
      <c r="D93" s="54" t="s">
        <v>235</v>
      </c>
      <c r="E93" s="6"/>
      <c r="F93" s="6"/>
      <c r="G93" s="6"/>
      <c r="H93" s="6"/>
      <c r="I93" s="6"/>
      <c r="J93" s="6"/>
      <c r="K93" s="6"/>
    </row>
    <row r="94" spans="2:11" x14ac:dyDescent="0.25">
      <c r="B94" s="1827"/>
      <c r="C94" s="94"/>
      <c r="D94" s="53" t="s">
        <v>246</v>
      </c>
      <c r="E94" s="6"/>
      <c r="F94" s="6"/>
      <c r="G94" s="6"/>
      <c r="H94" s="6"/>
      <c r="I94" s="6"/>
      <c r="J94" s="6"/>
      <c r="K94" s="6"/>
    </row>
    <row r="95" spans="2:11" ht="24" x14ac:dyDescent="0.25">
      <c r="B95" s="1827"/>
      <c r="C95" s="94"/>
      <c r="D95" s="53" t="s">
        <v>543</v>
      </c>
      <c r="E95" s="6"/>
      <c r="F95" s="6"/>
      <c r="G95" s="6"/>
      <c r="H95" s="6"/>
      <c r="I95" s="6"/>
      <c r="J95" s="6"/>
      <c r="K95" s="6"/>
    </row>
    <row r="96" spans="2:11" x14ac:dyDescent="0.25">
      <c r="B96" s="1827"/>
      <c r="C96" s="94"/>
      <c r="D96" s="17"/>
      <c r="E96" s="6"/>
      <c r="F96" s="6"/>
      <c r="G96" s="6"/>
      <c r="H96" s="6"/>
      <c r="I96" s="6"/>
      <c r="J96" s="6"/>
      <c r="K96" s="6"/>
    </row>
    <row r="97" spans="2:11" x14ac:dyDescent="0.25">
      <c r="B97" s="1827"/>
      <c r="C97" s="94"/>
      <c r="D97" s="46" t="s">
        <v>91</v>
      </c>
      <c r="E97" s="6"/>
      <c r="F97" s="6"/>
      <c r="G97" s="6"/>
      <c r="H97" s="6"/>
      <c r="I97" s="6"/>
      <c r="J97" s="6"/>
      <c r="K97" s="6"/>
    </row>
    <row r="98" spans="2:11" ht="49.5" x14ac:dyDescent="0.25">
      <c r="B98" s="1827"/>
      <c r="C98" s="94"/>
      <c r="D98" s="46" t="s">
        <v>544</v>
      </c>
      <c r="E98" s="6"/>
      <c r="F98" s="6"/>
      <c r="G98" s="6"/>
      <c r="H98" s="6"/>
      <c r="I98" s="6"/>
      <c r="J98" s="6"/>
      <c r="K98" s="6"/>
    </row>
    <row r="99" spans="2:11" ht="50.25" thickBot="1" x14ac:dyDescent="0.3">
      <c r="B99" s="1828"/>
      <c r="C99" s="3"/>
      <c r="D99" s="41" t="s">
        <v>545</v>
      </c>
      <c r="E99" s="6"/>
      <c r="F99" s="6"/>
      <c r="G99" s="6"/>
      <c r="H99" s="6"/>
      <c r="I99" s="6"/>
      <c r="J99" s="6"/>
      <c r="K99" s="6"/>
    </row>
    <row r="100" spans="2:11" x14ac:dyDescent="0.25">
      <c r="B100" s="6"/>
      <c r="D100" s="6"/>
      <c r="E100" s="6"/>
      <c r="F100" s="6"/>
      <c r="G100" s="6"/>
      <c r="H100" s="6"/>
      <c r="I100" s="6"/>
      <c r="J100" s="6"/>
      <c r="K100" s="6"/>
    </row>
    <row r="101" spans="2:11" x14ac:dyDescent="0.25">
      <c r="B101" s="6"/>
      <c r="D101" s="6"/>
      <c r="E101" s="6"/>
      <c r="F101" s="6"/>
      <c r="G101" s="6"/>
      <c r="H101" s="6"/>
      <c r="I101" s="6"/>
      <c r="J101" s="6"/>
      <c r="K101" s="6"/>
    </row>
    <row r="102" spans="2:11" x14ac:dyDescent="0.25">
      <c r="B102" s="6"/>
      <c r="D102" s="6"/>
      <c r="E102" s="6"/>
      <c r="F102" s="6"/>
      <c r="G102" s="6"/>
      <c r="H102" s="6"/>
      <c r="I102" s="6"/>
      <c r="J102" s="6"/>
      <c r="K102" s="6"/>
    </row>
    <row r="103" spans="2:11" x14ac:dyDescent="0.25">
      <c r="B103" s="6"/>
      <c r="D103" s="6"/>
      <c r="E103" s="6"/>
      <c r="F103" s="6"/>
      <c r="G103" s="6"/>
      <c r="H103" s="6"/>
      <c r="I103" s="6"/>
      <c r="J103" s="6"/>
      <c r="K103" s="6"/>
    </row>
    <row r="104" spans="2:11" x14ac:dyDescent="0.25">
      <c r="B104" s="6"/>
      <c r="D104" s="6"/>
      <c r="E104" s="6"/>
      <c r="F104" s="6"/>
      <c r="G104" s="6"/>
      <c r="H104" s="6"/>
      <c r="I104" s="6"/>
      <c r="J104" s="6"/>
      <c r="K104" s="6"/>
    </row>
    <row r="105" spans="2:11" x14ac:dyDescent="0.25">
      <c r="B105" s="6"/>
      <c r="D105" s="6"/>
      <c r="E105" s="6"/>
      <c r="F105" s="6"/>
      <c r="G105" s="6"/>
      <c r="H105" s="6"/>
      <c r="I105" s="6"/>
      <c r="J105" s="6"/>
      <c r="K105" s="6"/>
    </row>
    <row r="106" spans="2:11" x14ac:dyDescent="0.25">
      <c r="B106" s="6"/>
      <c r="D106" s="6"/>
      <c r="E106" s="6"/>
      <c r="F106" s="6"/>
      <c r="G106" s="6"/>
      <c r="H106" s="6"/>
      <c r="I106" s="6"/>
      <c r="J106" s="6"/>
      <c r="K106" s="6"/>
    </row>
    <row r="107" spans="2:11" x14ac:dyDescent="0.25">
      <c r="B107" s="6"/>
      <c r="D107" s="6"/>
      <c r="E107" s="6"/>
      <c r="F107" s="6"/>
      <c r="G107" s="6"/>
      <c r="H107" s="6"/>
      <c r="I107" s="6"/>
      <c r="J107" s="6"/>
      <c r="K107" s="6"/>
    </row>
    <row r="108" spans="2:11" x14ac:dyDescent="0.25">
      <c r="B108" s="6"/>
      <c r="D108" s="6"/>
      <c r="E108" s="6"/>
      <c r="F108" s="6"/>
      <c r="G108" s="6"/>
      <c r="H108" s="6"/>
      <c r="I108" s="6"/>
      <c r="J108" s="6"/>
      <c r="K108" s="6"/>
    </row>
    <row r="109" spans="2:11" x14ac:dyDescent="0.25">
      <c r="B109" s="6"/>
      <c r="D109" s="6"/>
      <c r="E109" s="6"/>
      <c r="F109" s="6"/>
      <c r="G109" s="6"/>
      <c r="H109" s="6"/>
      <c r="I109" s="6"/>
      <c r="J109" s="6"/>
      <c r="K109" s="6"/>
    </row>
    <row r="110" spans="2:11" x14ac:dyDescent="0.25">
      <c r="B110" s="6"/>
      <c r="D110" s="6"/>
      <c r="E110" s="6"/>
      <c r="F110" s="6"/>
      <c r="G110" s="6"/>
      <c r="H110" s="6"/>
      <c r="I110" s="6"/>
      <c r="J110" s="6"/>
      <c r="K110" s="6"/>
    </row>
    <row r="111" spans="2:11" x14ac:dyDescent="0.25">
      <c r="B111" s="6"/>
      <c r="D111" s="6"/>
      <c r="E111" s="6"/>
      <c r="F111" s="6"/>
      <c r="G111" s="6"/>
      <c r="H111" s="6"/>
      <c r="I111" s="6"/>
      <c r="J111" s="6"/>
      <c r="K111" s="6"/>
    </row>
    <row r="112" spans="2:11" x14ac:dyDescent="0.25">
      <c r="B112" s="6"/>
      <c r="D112" s="6"/>
      <c r="E112" s="6"/>
      <c r="F112" s="6"/>
      <c r="G112" s="6"/>
      <c r="H112" s="6"/>
      <c r="I112" s="6"/>
      <c r="J112" s="6"/>
      <c r="K112" s="6"/>
    </row>
    <row r="113" spans="2:11" x14ac:dyDescent="0.25">
      <c r="B113" s="6"/>
      <c r="D113" s="6"/>
      <c r="E113" s="6"/>
      <c r="F113" s="6"/>
      <c r="G113" s="6"/>
      <c r="H113" s="6"/>
      <c r="I113" s="6"/>
      <c r="J113" s="6"/>
      <c r="K113" s="6"/>
    </row>
    <row r="114" spans="2:11" x14ac:dyDescent="0.25">
      <c r="B114" s="6"/>
      <c r="D114" s="6"/>
      <c r="E114" s="6"/>
      <c r="F114" s="6"/>
      <c r="G114" s="6"/>
      <c r="H114" s="6"/>
      <c r="I114" s="6"/>
      <c r="J114" s="6"/>
      <c r="K114" s="6"/>
    </row>
    <row r="115" spans="2:11" x14ac:dyDescent="0.25">
      <c r="B115" s="6"/>
      <c r="D115" s="6"/>
      <c r="E115" s="6"/>
      <c r="F115" s="6"/>
      <c r="G115" s="6"/>
      <c r="H115" s="6"/>
      <c r="I115" s="6"/>
      <c r="J115" s="6"/>
      <c r="K115" s="6"/>
    </row>
    <row r="116" spans="2:11" x14ac:dyDescent="0.25">
      <c r="B116" s="6"/>
      <c r="D116" s="6"/>
      <c r="E116" s="6"/>
      <c r="F116" s="6"/>
      <c r="G116" s="6"/>
      <c r="H116" s="6"/>
      <c r="I116" s="6"/>
      <c r="J116" s="6"/>
      <c r="K116" s="6"/>
    </row>
    <row r="117" spans="2:11" x14ac:dyDescent="0.25">
      <c r="B117" s="6"/>
      <c r="D117" s="6"/>
      <c r="E117" s="6"/>
      <c r="F117" s="6"/>
      <c r="G117" s="6"/>
      <c r="H117" s="6"/>
      <c r="I117" s="6"/>
      <c r="J117" s="6"/>
      <c r="K117" s="6"/>
    </row>
    <row r="118" spans="2:11" x14ac:dyDescent="0.25">
      <c r="B118" s="6"/>
      <c r="D118" s="6"/>
      <c r="E118" s="6"/>
      <c r="F118" s="6"/>
      <c r="G118" s="6"/>
      <c r="H118" s="6"/>
      <c r="I118" s="6"/>
      <c r="J118" s="6"/>
      <c r="K118" s="6"/>
    </row>
    <row r="119" spans="2:11" x14ac:dyDescent="0.25">
      <c r="B119" s="6"/>
      <c r="D119" s="6"/>
      <c r="E119" s="6"/>
      <c r="F119" s="6"/>
      <c r="G119" s="6"/>
      <c r="H119" s="6"/>
      <c r="I119" s="6"/>
      <c r="J119" s="6"/>
      <c r="K119" s="6"/>
    </row>
    <row r="120" spans="2:11" x14ac:dyDescent="0.25">
      <c r="B120" s="6"/>
      <c r="D120" s="6"/>
      <c r="E120" s="6"/>
      <c r="F120" s="6"/>
      <c r="G120" s="6"/>
      <c r="H120" s="6"/>
      <c r="I120" s="6"/>
      <c r="J120" s="6"/>
      <c r="K120" s="6"/>
    </row>
    <row r="121" spans="2:11" x14ac:dyDescent="0.25">
      <c r="B121" s="6"/>
      <c r="D121" s="6"/>
      <c r="E121" s="6"/>
      <c r="F121" s="6"/>
      <c r="G121" s="6"/>
      <c r="H121" s="6"/>
      <c r="I121" s="6"/>
      <c r="J121" s="6"/>
      <c r="K121" s="6"/>
    </row>
    <row r="122" spans="2:11" x14ac:dyDescent="0.25">
      <c r="B122" s="6"/>
      <c r="D122" s="6"/>
      <c r="E122" s="6"/>
      <c r="F122" s="6"/>
      <c r="G122" s="6"/>
      <c r="H122" s="6"/>
      <c r="I122" s="6"/>
      <c r="J122" s="6"/>
      <c r="K122" s="6"/>
    </row>
    <row r="123" spans="2:11" x14ac:dyDescent="0.25">
      <c r="B123" s="6"/>
      <c r="D123" s="6"/>
      <c r="E123" s="6"/>
      <c r="F123" s="6"/>
      <c r="G123" s="6"/>
      <c r="H123" s="6"/>
      <c r="I123" s="6"/>
      <c r="J123" s="6"/>
      <c r="K123" s="6"/>
    </row>
    <row r="124" spans="2:11" x14ac:dyDescent="0.25">
      <c r="B124" s="6"/>
      <c r="D124" s="6"/>
      <c r="E124" s="6"/>
      <c r="F124" s="6"/>
      <c r="G124" s="6"/>
      <c r="H124" s="6"/>
      <c r="I124" s="6"/>
      <c r="J124" s="6"/>
      <c r="K124" s="6"/>
    </row>
    <row r="125" spans="2:11" x14ac:dyDescent="0.25">
      <c r="B125" s="6"/>
      <c r="D125" s="6"/>
      <c r="E125" s="6"/>
      <c r="F125" s="6"/>
      <c r="G125" s="6"/>
      <c r="H125" s="6"/>
      <c r="I125" s="6"/>
      <c r="J125" s="6"/>
      <c r="K125" s="6"/>
    </row>
    <row r="126" spans="2:11" x14ac:dyDescent="0.25">
      <c r="B126" s="6"/>
      <c r="D126" s="6"/>
      <c r="E126" s="6"/>
      <c r="F126" s="6"/>
      <c r="G126" s="6"/>
      <c r="H126" s="6"/>
      <c r="I126" s="6"/>
      <c r="J126" s="6"/>
      <c r="K126" s="6"/>
    </row>
    <row r="127" spans="2:11" x14ac:dyDescent="0.25">
      <c r="B127" s="6"/>
      <c r="D127" s="6"/>
      <c r="E127" s="6"/>
      <c r="F127" s="6"/>
      <c r="G127" s="6"/>
      <c r="H127" s="6"/>
      <c r="I127" s="6"/>
      <c r="J127" s="6"/>
      <c r="K127" s="6"/>
    </row>
    <row r="128" spans="2:11" x14ac:dyDescent="0.25">
      <c r="B128" s="6"/>
      <c r="D128" s="6"/>
      <c r="E128" s="6"/>
      <c r="F128" s="6"/>
      <c r="G128" s="6"/>
      <c r="H128" s="6"/>
      <c r="I128" s="6"/>
      <c r="J128" s="6"/>
      <c r="K128" s="6"/>
    </row>
    <row r="129" spans="2:11" x14ac:dyDescent="0.25">
      <c r="B129" s="6"/>
      <c r="D129" s="6"/>
      <c r="E129" s="6"/>
      <c r="F129" s="6"/>
      <c r="G129" s="6"/>
      <c r="H129" s="6"/>
      <c r="I129" s="6"/>
      <c r="J129" s="6"/>
      <c r="K129" s="6"/>
    </row>
    <row r="130" spans="2:11" x14ac:dyDescent="0.25">
      <c r="B130" s="6"/>
      <c r="D130" s="6"/>
      <c r="E130" s="6"/>
      <c r="F130" s="6"/>
      <c r="G130" s="6"/>
      <c r="H130" s="6"/>
      <c r="I130" s="6"/>
      <c r="J130" s="6"/>
      <c r="K130" s="6"/>
    </row>
    <row r="131" spans="2:11" x14ac:dyDescent="0.25">
      <c r="B131" s="6"/>
      <c r="D131" s="6"/>
      <c r="E131" s="6"/>
      <c r="F131" s="6"/>
      <c r="G131" s="6"/>
      <c r="H131" s="6"/>
      <c r="I131" s="6"/>
      <c r="J131" s="6"/>
      <c r="K131" s="6"/>
    </row>
    <row r="132" spans="2:11" x14ac:dyDescent="0.25">
      <c r="B132" s="6"/>
      <c r="D132" s="6"/>
      <c r="E132" s="6"/>
      <c r="F132" s="6"/>
      <c r="G132" s="6"/>
      <c r="H132" s="6"/>
      <c r="I132" s="6"/>
      <c r="J132" s="6"/>
      <c r="K132" s="6"/>
    </row>
    <row r="133" spans="2:11" x14ac:dyDescent="0.25">
      <c r="B133" s="6"/>
      <c r="D133" s="6"/>
      <c r="E133" s="6"/>
      <c r="F133" s="6"/>
      <c r="G133" s="6"/>
      <c r="H133" s="6"/>
      <c r="I133" s="6"/>
      <c r="J133" s="6"/>
      <c r="K133" s="6"/>
    </row>
    <row r="134" spans="2:11" x14ac:dyDescent="0.25">
      <c r="B134" s="6"/>
      <c r="D134" s="6"/>
      <c r="E134" s="6"/>
      <c r="F134" s="6"/>
      <c r="G134" s="6"/>
      <c r="H134" s="6"/>
      <c r="I134" s="6"/>
      <c r="J134" s="6"/>
      <c r="K134" s="6"/>
    </row>
    <row r="135" spans="2:11" x14ac:dyDescent="0.25">
      <c r="B135" s="6"/>
      <c r="D135" s="6"/>
      <c r="E135" s="6"/>
      <c r="F135" s="6"/>
      <c r="G135" s="6"/>
      <c r="H135" s="6"/>
      <c r="I135" s="6"/>
      <c r="J135" s="6"/>
      <c r="K135" s="6"/>
    </row>
    <row r="136" spans="2:11" x14ac:dyDescent="0.25">
      <c r="B136" s="6"/>
      <c r="D136" s="6"/>
      <c r="E136" s="6"/>
      <c r="F136" s="6"/>
      <c r="G136" s="6"/>
      <c r="H136" s="6"/>
      <c r="I136" s="6"/>
      <c r="J136" s="6"/>
      <c r="K136" s="6"/>
    </row>
    <row r="137" spans="2:11" x14ac:dyDescent="0.25">
      <c r="B137" s="6"/>
      <c r="D137" s="6"/>
      <c r="E137" s="6"/>
      <c r="F137" s="6"/>
      <c r="G137" s="6"/>
      <c r="H137" s="6"/>
      <c r="I137" s="6"/>
      <c r="J137" s="6"/>
      <c r="K137" s="6"/>
    </row>
    <row r="138" spans="2:11" x14ac:dyDescent="0.25">
      <c r="B138" s="6"/>
      <c r="D138" s="6"/>
      <c r="E138" s="6"/>
      <c r="F138" s="6"/>
      <c r="G138" s="6"/>
      <c r="H138" s="6"/>
      <c r="I138" s="6"/>
      <c r="J138" s="6"/>
      <c r="K138" s="6"/>
    </row>
    <row r="139" spans="2:11" x14ac:dyDescent="0.25">
      <c r="B139" s="6"/>
      <c r="D139" s="6"/>
      <c r="E139" s="6"/>
      <c r="F139" s="6"/>
      <c r="G139" s="6"/>
      <c r="H139" s="6"/>
      <c r="I139" s="6"/>
      <c r="J139" s="6"/>
      <c r="K139" s="6"/>
    </row>
    <row r="140" spans="2:11" x14ac:dyDescent="0.25">
      <c r="B140" s="6"/>
      <c r="D140" s="6"/>
      <c r="E140" s="6"/>
      <c r="F140" s="6"/>
      <c r="G140" s="6"/>
      <c r="H140" s="6"/>
      <c r="I140" s="6"/>
      <c r="J140" s="6"/>
      <c r="K140" s="6"/>
    </row>
    <row r="141" spans="2:11" x14ac:dyDescent="0.25">
      <c r="B141" s="6"/>
      <c r="D141" s="6"/>
      <c r="E141" s="6"/>
      <c r="F141" s="6"/>
      <c r="G141" s="6"/>
      <c r="H141" s="6"/>
      <c r="I141" s="6"/>
      <c r="J141" s="6"/>
      <c r="K141" s="6"/>
    </row>
    <row r="142" spans="2:11" x14ac:dyDescent="0.25">
      <c r="B142" s="6"/>
      <c r="D142" s="6"/>
      <c r="E142" s="6"/>
      <c r="F142" s="6"/>
      <c r="G142" s="6"/>
      <c r="H142" s="6"/>
      <c r="I142" s="6"/>
      <c r="J142" s="6"/>
      <c r="K142" s="6"/>
    </row>
    <row r="143" spans="2:11" x14ac:dyDescent="0.25">
      <c r="B143" s="6"/>
      <c r="D143" s="6"/>
      <c r="E143" s="6"/>
      <c r="F143" s="6"/>
      <c r="G143" s="6"/>
      <c r="H143" s="6"/>
      <c r="I143" s="6"/>
      <c r="J143" s="6"/>
      <c r="K143" s="6"/>
    </row>
    <row r="144" spans="2:11" x14ac:dyDescent="0.25">
      <c r="B144" s="6"/>
      <c r="D144" s="6"/>
      <c r="E144" s="6"/>
      <c r="F144" s="6"/>
      <c r="G144" s="6"/>
      <c r="H144" s="6"/>
      <c r="I144" s="6"/>
      <c r="J144" s="6"/>
      <c r="K144" s="6"/>
    </row>
    <row r="145" spans="2:11" x14ac:dyDescent="0.25">
      <c r="B145" s="6"/>
      <c r="D145" s="6"/>
      <c r="E145" s="6"/>
      <c r="F145" s="6"/>
      <c r="G145" s="6"/>
      <c r="H145" s="6"/>
      <c r="I145" s="6"/>
      <c r="J145" s="6"/>
      <c r="K145" s="6"/>
    </row>
    <row r="146" spans="2:11" x14ac:dyDescent="0.25">
      <c r="B146" s="6"/>
      <c r="D146" s="6"/>
      <c r="E146" s="6"/>
      <c r="F146" s="6"/>
      <c r="G146" s="6"/>
      <c r="H146" s="6"/>
      <c r="I146" s="6"/>
      <c r="J146" s="6"/>
      <c r="K146" s="6"/>
    </row>
    <row r="147" spans="2:11" x14ac:dyDescent="0.25">
      <c r="B147" s="6"/>
      <c r="D147" s="6"/>
      <c r="E147" s="6"/>
      <c r="F147" s="6"/>
      <c r="G147" s="6"/>
      <c r="H147" s="6"/>
      <c r="I147" s="6"/>
      <c r="J147" s="6"/>
      <c r="K147" s="6"/>
    </row>
    <row r="148" spans="2:11" x14ac:dyDescent="0.25">
      <c r="B148" s="6"/>
      <c r="D148" s="6"/>
      <c r="E148" s="6"/>
      <c r="F148" s="6"/>
      <c r="G148" s="6"/>
      <c r="H148" s="6"/>
      <c r="I148" s="6"/>
      <c r="J148" s="6"/>
      <c r="K148" s="6"/>
    </row>
    <row r="149" spans="2:11" x14ac:dyDescent="0.25">
      <c r="B149" s="6"/>
      <c r="D149" s="6"/>
      <c r="E149" s="6"/>
      <c r="F149" s="6"/>
      <c r="G149" s="6"/>
      <c r="H149" s="6"/>
      <c r="I149" s="6"/>
      <c r="J149" s="6"/>
      <c r="K149" s="6"/>
    </row>
    <row r="150" spans="2:11" x14ac:dyDescent="0.25">
      <c r="B150" s="6"/>
      <c r="D150" s="6"/>
      <c r="E150" s="6"/>
      <c r="F150" s="6"/>
      <c r="G150" s="6"/>
      <c r="H150" s="6"/>
      <c r="I150" s="6"/>
      <c r="J150" s="6"/>
      <c r="K150" s="6"/>
    </row>
    <row r="151" spans="2:11" x14ac:dyDescent="0.25">
      <c r="B151" s="6"/>
      <c r="D151" s="6"/>
      <c r="E151" s="6"/>
      <c r="F151" s="6"/>
      <c r="G151" s="6"/>
      <c r="H151" s="6"/>
      <c r="I151" s="6"/>
      <c r="J151" s="6"/>
      <c r="K151" s="6"/>
    </row>
    <row r="152" spans="2:11" x14ac:dyDescent="0.25">
      <c r="B152" s="6"/>
      <c r="D152" s="6"/>
      <c r="E152" s="6"/>
      <c r="F152" s="6"/>
      <c r="G152" s="6"/>
      <c r="H152" s="6"/>
      <c r="I152" s="6"/>
      <c r="J152" s="6"/>
      <c r="K152" s="6"/>
    </row>
    <row r="153" spans="2:11" x14ac:dyDescent="0.25">
      <c r="B153" s="6"/>
      <c r="D153" s="6"/>
      <c r="E153" s="6"/>
      <c r="F153" s="6"/>
      <c r="G153" s="6"/>
      <c r="H153" s="6"/>
      <c r="I153" s="6"/>
      <c r="J153" s="6"/>
      <c r="K153" s="6"/>
    </row>
    <row r="154" spans="2:11" x14ac:dyDescent="0.25">
      <c r="B154" s="6"/>
      <c r="D154" s="6"/>
      <c r="E154" s="6"/>
      <c r="F154" s="6"/>
      <c r="G154" s="6"/>
      <c r="H154" s="6"/>
      <c r="I154" s="6"/>
      <c r="J154" s="6"/>
      <c r="K154" s="6"/>
    </row>
    <row r="155" spans="2:11" x14ac:dyDescent="0.25">
      <c r="B155" s="6"/>
      <c r="D155" s="6"/>
      <c r="E155" s="6"/>
      <c r="F155" s="6"/>
      <c r="G155" s="6"/>
      <c r="H155" s="6"/>
      <c r="I155" s="6"/>
      <c r="J155" s="6"/>
      <c r="K155" s="6"/>
    </row>
    <row r="156" spans="2:11" x14ac:dyDescent="0.25">
      <c r="B156" s="6"/>
      <c r="D156" s="6"/>
      <c r="E156" s="6"/>
      <c r="F156" s="6"/>
      <c r="G156" s="6"/>
      <c r="H156" s="6"/>
      <c r="I156" s="6"/>
      <c r="J156" s="6"/>
      <c r="K156" s="6"/>
    </row>
    <row r="157" spans="2:11" x14ac:dyDescent="0.25">
      <c r="B157" s="6"/>
      <c r="D157" s="6"/>
      <c r="E157" s="6"/>
      <c r="F157" s="6"/>
      <c r="G157" s="6"/>
      <c r="H157" s="6"/>
      <c r="I157" s="6"/>
      <c r="J157" s="6"/>
      <c r="K157" s="6"/>
    </row>
    <row r="158" spans="2:11" x14ac:dyDescent="0.25">
      <c r="B158" s="6"/>
      <c r="D158" s="6"/>
      <c r="E158" s="6"/>
      <c r="F158" s="6"/>
      <c r="G158" s="6"/>
      <c r="H158" s="6"/>
      <c r="I158" s="6"/>
      <c r="J158" s="6"/>
      <c r="K158" s="6"/>
    </row>
    <row r="159" spans="2:11" x14ac:dyDescent="0.25">
      <c r="B159" s="6"/>
      <c r="D159" s="6"/>
      <c r="E159" s="6"/>
      <c r="F159" s="6"/>
      <c r="G159" s="6"/>
      <c r="H159" s="6"/>
      <c r="I159" s="6"/>
      <c r="J159" s="6"/>
      <c r="K159" s="6"/>
    </row>
    <row r="160" spans="2:11" x14ac:dyDescent="0.25">
      <c r="B160" s="6"/>
      <c r="D160" s="6"/>
      <c r="E160" s="6"/>
      <c r="F160" s="6"/>
      <c r="G160" s="6"/>
      <c r="H160" s="6"/>
      <c r="I160" s="6"/>
      <c r="J160" s="6"/>
      <c r="K160" s="6"/>
    </row>
    <row r="161" spans="2:11" x14ac:dyDescent="0.25">
      <c r="B161" s="6"/>
      <c r="D161" s="6"/>
      <c r="E161" s="6"/>
      <c r="F161" s="6"/>
      <c r="G161" s="6"/>
      <c r="H161" s="6"/>
      <c r="I161" s="6"/>
      <c r="J161" s="6"/>
      <c r="K161" s="6"/>
    </row>
    <row r="162" spans="2:11" x14ac:dyDescent="0.25">
      <c r="B162" s="6"/>
      <c r="D162" s="6"/>
      <c r="E162" s="6"/>
      <c r="F162" s="6"/>
      <c r="G162" s="6"/>
      <c r="H162" s="6"/>
      <c r="I162" s="6"/>
      <c r="J162" s="6"/>
      <c r="K162" s="6"/>
    </row>
    <row r="163" spans="2:11" x14ac:dyDescent="0.25">
      <c r="B163" s="6"/>
      <c r="D163" s="6"/>
      <c r="E163" s="6"/>
      <c r="F163" s="6"/>
      <c r="G163" s="6"/>
      <c r="H163" s="6"/>
      <c r="I163" s="6"/>
      <c r="J163" s="6"/>
      <c r="K163" s="6"/>
    </row>
    <row r="164" spans="2:11" x14ac:dyDescent="0.25">
      <c r="B164" s="6"/>
      <c r="D164" s="6"/>
      <c r="E164" s="6"/>
      <c r="F164" s="6"/>
      <c r="G164" s="6"/>
      <c r="H164" s="6"/>
      <c r="I164" s="6"/>
      <c r="J164" s="6"/>
      <c r="K164" s="6"/>
    </row>
    <row r="165" spans="2:11" x14ac:dyDescent="0.25">
      <c r="B165" s="6"/>
      <c r="D165" s="6"/>
      <c r="E165" s="6"/>
      <c r="F165" s="6"/>
      <c r="G165" s="6"/>
      <c r="H165" s="6"/>
      <c r="I165" s="6"/>
      <c r="J165" s="6"/>
      <c r="K165" s="6"/>
    </row>
    <row r="166" spans="2:11" x14ac:dyDescent="0.25">
      <c r="B166" s="6"/>
      <c r="D166" s="6"/>
      <c r="E166" s="6"/>
      <c r="F166" s="6"/>
      <c r="G166" s="6"/>
      <c r="H166" s="6"/>
      <c r="I166" s="6"/>
      <c r="J166" s="6"/>
      <c r="K166" s="6"/>
    </row>
    <row r="167" spans="2:11" x14ac:dyDescent="0.25">
      <c r="B167" s="6"/>
      <c r="D167" s="6"/>
      <c r="E167" s="6"/>
      <c r="F167" s="6"/>
      <c r="G167" s="6"/>
      <c r="H167" s="6"/>
      <c r="I167" s="6"/>
      <c r="J167" s="6"/>
      <c r="K167" s="6"/>
    </row>
    <row r="168" spans="2:11" x14ac:dyDescent="0.25">
      <c r="B168" s="6"/>
      <c r="D168" s="6"/>
      <c r="E168" s="6"/>
      <c r="F168" s="6"/>
      <c r="G168" s="6"/>
      <c r="H168" s="6"/>
      <c r="I168" s="6"/>
      <c r="J168" s="6"/>
      <c r="K168" s="6"/>
    </row>
    <row r="169" spans="2:11" x14ac:dyDescent="0.25">
      <c r="B169" s="6"/>
      <c r="D169" s="6"/>
      <c r="E169" s="6"/>
      <c r="F169" s="6"/>
      <c r="G169" s="6"/>
      <c r="H169" s="6"/>
      <c r="I169" s="6"/>
      <c r="J169" s="6"/>
      <c r="K169" s="6"/>
    </row>
    <row r="170" spans="2:11" x14ac:dyDescent="0.25">
      <c r="B170" s="6"/>
      <c r="D170" s="6"/>
      <c r="E170" s="6"/>
      <c r="F170" s="6"/>
      <c r="G170" s="6"/>
      <c r="H170" s="6"/>
      <c r="I170" s="6"/>
      <c r="J170" s="6"/>
      <c r="K170" s="6"/>
    </row>
    <row r="171" spans="2:11" x14ac:dyDescent="0.25">
      <c r="B171" s="6"/>
      <c r="D171" s="6"/>
      <c r="E171" s="6"/>
      <c r="F171" s="6"/>
      <c r="G171" s="6"/>
      <c r="H171" s="6"/>
      <c r="I171" s="6"/>
      <c r="J171" s="6"/>
      <c r="K171" s="6"/>
    </row>
    <row r="172" spans="2:11" x14ac:dyDescent="0.25">
      <c r="B172" s="6"/>
      <c r="D172" s="6"/>
      <c r="E172" s="6"/>
      <c r="F172" s="6"/>
      <c r="G172" s="6"/>
      <c r="H172" s="6"/>
      <c r="I172" s="6"/>
      <c r="J172" s="6"/>
      <c r="K172" s="6"/>
    </row>
    <row r="173" spans="2:11" x14ac:dyDescent="0.25">
      <c r="B173" s="6"/>
      <c r="D173" s="6"/>
      <c r="E173" s="6"/>
      <c r="F173" s="6"/>
      <c r="G173" s="6"/>
      <c r="H173" s="6"/>
      <c r="I173" s="6"/>
      <c r="J173" s="6"/>
      <c r="K173" s="6"/>
    </row>
    <row r="174" spans="2:11" x14ac:dyDescent="0.25">
      <c r="B174" s="6"/>
      <c r="D174" s="6"/>
      <c r="E174" s="6"/>
      <c r="F174" s="6"/>
      <c r="G174" s="6"/>
      <c r="H174" s="6"/>
      <c r="I174" s="6"/>
      <c r="J174" s="6"/>
      <c r="K174" s="6"/>
    </row>
    <row r="175" spans="2:11" x14ac:dyDescent="0.25">
      <c r="B175" s="6"/>
      <c r="D175" s="6"/>
      <c r="E175" s="6"/>
      <c r="F175" s="6"/>
      <c r="G175" s="6"/>
      <c r="H175" s="6"/>
      <c r="I175" s="6"/>
      <c r="J175" s="6"/>
      <c r="K175" s="6"/>
    </row>
    <row r="176" spans="2:11" x14ac:dyDescent="0.25">
      <c r="B176" s="6"/>
      <c r="D176" s="6"/>
      <c r="E176" s="6"/>
      <c r="F176" s="6"/>
      <c r="G176" s="6"/>
      <c r="H176" s="6"/>
      <c r="I176" s="6"/>
      <c r="J176" s="6"/>
      <c r="K176" s="6"/>
    </row>
    <row r="177" spans="2:11" x14ac:dyDescent="0.25">
      <c r="B177" s="6"/>
      <c r="D177" s="6"/>
      <c r="E177" s="6"/>
      <c r="F177" s="6"/>
      <c r="G177" s="6"/>
      <c r="H177" s="6"/>
      <c r="I177" s="6"/>
      <c r="J177" s="6"/>
      <c r="K177" s="6"/>
    </row>
    <row r="178" spans="2:11" x14ac:dyDescent="0.25">
      <c r="B178" s="6"/>
      <c r="D178" s="6"/>
      <c r="E178" s="6"/>
      <c r="F178" s="6"/>
      <c r="G178" s="6"/>
      <c r="H178" s="6"/>
      <c r="I178" s="6"/>
      <c r="J178" s="6"/>
      <c r="K178" s="6"/>
    </row>
  </sheetData>
  <sheetProtection insertRows="0"/>
  <mergeCells count="39">
    <mergeCell ref="A1:P1"/>
    <mergeCell ref="A2:P2"/>
    <mergeCell ref="A3:P3"/>
    <mergeCell ref="A4:D4"/>
    <mergeCell ref="A5:P5"/>
    <mergeCell ref="D23:L23"/>
    <mergeCell ref="D24:L24"/>
    <mergeCell ref="D25:L25"/>
    <mergeCell ref="K16:K17"/>
    <mergeCell ref="C26:C27"/>
    <mergeCell ref="D26:D27"/>
    <mergeCell ref="E26:E27"/>
    <mergeCell ref="F26:F27"/>
    <mergeCell ref="G26:G27"/>
    <mergeCell ref="J26:J27"/>
    <mergeCell ref="H16:J16"/>
    <mergeCell ref="L26:L27"/>
    <mergeCell ref="B69:B81"/>
    <mergeCell ref="B83:B86"/>
    <mergeCell ref="B87:B99"/>
    <mergeCell ref="D16:D17"/>
    <mergeCell ref="E16:G16"/>
    <mergeCell ref="D36:L36"/>
    <mergeCell ref="D37:L37"/>
    <mergeCell ref="B39:E39"/>
    <mergeCell ref="B40:B46"/>
    <mergeCell ref="B48:E48"/>
    <mergeCell ref="B49:B55"/>
    <mergeCell ref="B62:D63"/>
    <mergeCell ref="K26:K27"/>
    <mergeCell ref="B15:B35"/>
    <mergeCell ref="D15:L15"/>
    <mergeCell ref="D22:L22"/>
    <mergeCell ref="B10:D10"/>
    <mergeCell ref="F10:S10"/>
    <mergeCell ref="F11:S11"/>
    <mergeCell ref="E13:R13"/>
    <mergeCell ref="E12:J12"/>
    <mergeCell ref="K12:R12"/>
  </mergeCells>
  <conditionalFormatting sqref="F10">
    <cfRule type="notContainsBlanks" dxfId="75" priority="5">
      <formula>LEN(TRIM(F10))&gt;0</formula>
    </cfRule>
  </conditionalFormatting>
  <conditionalFormatting sqref="F11:S11">
    <cfRule type="expression" dxfId="74" priority="3">
      <formula>E11="NO SE REPORTA"</formula>
    </cfRule>
    <cfRule type="expression" dxfId="73" priority="4">
      <formula>E10="NO APLICA"</formula>
    </cfRule>
  </conditionalFormatting>
  <conditionalFormatting sqref="E12">
    <cfRule type="expression" dxfId="72" priority="2">
      <formula>E11="SI SE REPORTA"</formula>
    </cfRule>
  </conditionalFormatting>
  <conditionalFormatting sqref="K12">
    <cfRule type="expression" dxfId="71" priority="1">
      <formula>K11="SI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H18:I20 E18:F20" xr:uid="{00000000-0002-0000-1800-000000000000}">
      <formula1>0</formula1>
    </dataValidation>
    <dataValidation type="whole" operator="greaterThanOrEqual" allowBlank="1" showInputMessage="1" showErrorMessage="1" errorTitle="ERROR" error="Valor en PESOS (sin centavos)" sqref="J29:J30 H31:K34 J28:K28" xr:uid="{00000000-0002-0000-1800-000001000000}">
      <formula1>0</formula1>
    </dataValidation>
    <dataValidation type="list" allowBlank="1" showInputMessage="1" showErrorMessage="1" sqref="E11" xr:uid="{00000000-0002-0000-1800-000002000000}">
      <formula1>REPORTE</formula1>
    </dataValidation>
    <dataValidation type="list" allowBlank="1" showInputMessage="1" showErrorMessage="1" sqref="E10" xr:uid="{00000000-0002-0000-1800-000003000000}">
      <formula1>SI</formula1>
    </dataValidation>
  </dataValidations>
  <hyperlinks>
    <hyperlink ref="B9" location="'ANEXO 3'!A1" display="VOLVER AL INDICE" xr:uid="{00000000-0004-0000-1800-000000000000}"/>
    <hyperlink ref="E44" r:id="rId1" xr:uid="{00000000-0004-0000-1800-000001000000}"/>
  </hyperlinks>
  <pageMargins left="0.25" right="0.25" top="0.75" bottom="0.75" header="0.3" footer="0.3"/>
  <pageSetup paperSize="178"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5"/>
  <dimension ref="A1:U179"/>
  <sheetViews>
    <sheetView showGridLines="0" topLeftCell="D15" zoomScale="70" zoomScaleNormal="70" workbookViewId="0">
      <selection activeCell="D27" sqref="D27:K31"/>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 min="7" max="7" width="17.140625" customWidth="1"/>
    <col min="8" max="8" width="18.42578125" customWidth="1"/>
    <col min="9" max="9" width="14.140625" customWidth="1"/>
    <col min="10" max="10" width="18.85546875" customWidth="1"/>
  </cols>
  <sheetData>
    <row r="1" spans="1:21" s="538" customFormat="1" ht="100.5" customHeight="1" thickBot="1" x14ac:dyDescent="0.3">
      <c r="A1" s="1733"/>
      <c r="B1" s="1734"/>
      <c r="C1" s="1734"/>
      <c r="D1" s="1734"/>
      <c r="E1" s="1734"/>
      <c r="F1" s="1734"/>
      <c r="G1" s="1734"/>
      <c r="H1" s="1734"/>
      <c r="I1" s="1734"/>
      <c r="J1" s="1734"/>
      <c r="K1" s="1734"/>
      <c r="L1" s="1734"/>
      <c r="M1" s="1734"/>
      <c r="N1" s="1734"/>
      <c r="O1" s="1734"/>
      <c r="P1" s="1735"/>
      <c r="Q1" s="412"/>
      <c r="R1" s="412"/>
    </row>
    <row r="2" spans="1:21" s="539" customFormat="1" ht="16.5" thickBot="1" x14ac:dyDescent="0.3">
      <c r="A2" s="1741" t="str">
        <f>'Datos Generales'!C5</f>
        <v>Corporación Autónoma Regional de La Guajira – CORPOGUAJIRA</v>
      </c>
      <c r="B2" s="1742"/>
      <c r="C2" s="1742"/>
      <c r="D2" s="1742"/>
      <c r="E2" s="1742"/>
      <c r="F2" s="1742"/>
      <c r="G2" s="1742"/>
      <c r="H2" s="1742"/>
      <c r="I2" s="1742"/>
      <c r="J2" s="1742"/>
      <c r="K2" s="1742"/>
      <c r="L2" s="1742"/>
      <c r="M2" s="1742"/>
      <c r="N2" s="1742"/>
      <c r="O2" s="1742"/>
      <c r="P2" s="1743"/>
      <c r="Q2" s="412"/>
      <c r="R2" s="412"/>
    </row>
    <row r="3" spans="1:21" s="539" customFormat="1" ht="16.5" thickBot="1" x14ac:dyDescent="0.3">
      <c r="A3" s="1736" t="s">
        <v>1347</v>
      </c>
      <c r="B3" s="1737"/>
      <c r="C3" s="1737"/>
      <c r="D3" s="1737"/>
      <c r="E3" s="1737"/>
      <c r="F3" s="1737"/>
      <c r="G3" s="1737"/>
      <c r="H3" s="1737"/>
      <c r="I3" s="1737"/>
      <c r="J3" s="1737"/>
      <c r="K3" s="1737"/>
      <c r="L3" s="1737"/>
      <c r="M3" s="1737"/>
      <c r="N3" s="1737"/>
      <c r="O3" s="1737"/>
      <c r="P3" s="1738"/>
      <c r="Q3" s="412"/>
      <c r="R3" s="412"/>
    </row>
    <row r="4" spans="1:21" s="539" customFormat="1" ht="16.5" thickBot="1" x14ac:dyDescent="0.3">
      <c r="A4" s="1739" t="s">
        <v>1346</v>
      </c>
      <c r="B4" s="1740"/>
      <c r="C4" s="1740"/>
      <c r="D4" s="1740"/>
      <c r="E4" s="579" t="str">
        <f>'Datos Generales'!C6</f>
        <v>2021-I</v>
      </c>
      <c r="F4" s="579"/>
      <c r="G4" s="579"/>
      <c r="H4" s="579"/>
      <c r="I4" s="579"/>
      <c r="J4" s="579"/>
      <c r="K4" s="579"/>
      <c r="L4" s="581"/>
      <c r="M4" s="581"/>
      <c r="N4" s="581"/>
      <c r="O4" s="581"/>
      <c r="P4" s="582"/>
      <c r="Q4" s="412"/>
      <c r="R4" s="412"/>
    </row>
    <row r="5" spans="1:21" s="245" customFormat="1" ht="16.5" customHeight="1" thickBot="1" x14ac:dyDescent="0.3">
      <c r="A5" s="1736" t="s">
        <v>557</v>
      </c>
      <c r="B5" s="1737"/>
      <c r="C5" s="1737"/>
      <c r="D5" s="1737"/>
      <c r="E5" s="1737"/>
      <c r="F5" s="1737"/>
      <c r="G5" s="1737"/>
      <c r="H5" s="1737"/>
      <c r="I5" s="1737"/>
      <c r="J5" s="1737"/>
      <c r="K5" s="1737"/>
      <c r="L5" s="1737"/>
      <c r="M5" s="1737"/>
      <c r="N5" s="1737"/>
      <c r="O5" s="1737"/>
      <c r="P5" s="1738"/>
    </row>
    <row r="6" spans="1:21" x14ac:dyDescent="0.25">
      <c r="B6" s="2" t="s">
        <v>1</v>
      </c>
      <c r="C6" s="76"/>
      <c r="D6" s="6"/>
      <c r="E6" s="74"/>
      <c r="F6" s="6" t="s">
        <v>128</v>
      </c>
      <c r="G6" s="6"/>
      <c r="H6" s="6"/>
      <c r="I6" s="6"/>
      <c r="J6" s="6"/>
      <c r="K6" s="6"/>
    </row>
    <row r="7" spans="1:21" ht="15.75" thickBot="1" x14ac:dyDescent="0.3">
      <c r="B7" s="75"/>
      <c r="C7" s="107"/>
      <c r="D7" s="6"/>
      <c r="E7" s="18"/>
      <c r="F7" s="6" t="s">
        <v>129</v>
      </c>
      <c r="G7" s="6"/>
      <c r="H7" s="6"/>
      <c r="I7" s="6"/>
      <c r="J7" s="6"/>
      <c r="K7" s="6"/>
    </row>
    <row r="8" spans="1:21" ht="15.75" thickBot="1" x14ac:dyDescent="0.3">
      <c r="B8" s="179" t="s">
        <v>1185</v>
      </c>
      <c r="C8" s="222">
        <v>2021</v>
      </c>
      <c r="D8" s="418">
        <f>IF(E10="NO APLICA","NO APLICA",IF(E11="NO SE REPORTA","SIN INFORMACION",+F22))</f>
        <v>1.0738396624472575</v>
      </c>
      <c r="E8" s="223"/>
      <c r="F8" s="6" t="s">
        <v>130</v>
      </c>
      <c r="G8" s="6"/>
      <c r="H8" s="6"/>
      <c r="I8" s="6"/>
      <c r="J8" s="6"/>
      <c r="K8" s="6"/>
    </row>
    <row r="9" spans="1:21" x14ac:dyDescent="0.25">
      <c r="B9" s="493" t="s">
        <v>1186</v>
      </c>
      <c r="C9" s="88"/>
      <c r="D9" s="6"/>
      <c r="E9" s="6"/>
      <c r="F9" s="6"/>
      <c r="G9" s="6"/>
      <c r="H9" s="6"/>
      <c r="I9" s="6"/>
      <c r="J9" s="6"/>
      <c r="K9" s="6"/>
    </row>
    <row r="10" spans="1:21" s="412" customFormat="1" x14ac:dyDescent="0.25">
      <c r="A10" s="245"/>
      <c r="B10" s="1789" t="s">
        <v>1241</v>
      </c>
      <c r="C10" s="1789"/>
      <c r="D10" s="1789"/>
      <c r="E10" s="499" t="s">
        <v>1238</v>
      </c>
      <c r="F10" s="17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96"/>
      <c r="H10" s="1796"/>
      <c r="I10" s="1796"/>
      <c r="J10" s="1796"/>
      <c r="K10" s="1796"/>
      <c r="L10" s="1796"/>
      <c r="M10" s="1796"/>
      <c r="N10" s="1796"/>
      <c r="O10" s="1796"/>
      <c r="P10" s="1796"/>
      <c r="Q10" s="1796"/>
      <c r="R10" s="1796"/>
      <c r="S10" s="1796"/>
      <c r="T10" s="495"/>
      <c r="U10" s="495"/>
    </row>
    <row r="11" spans="1:21" s="412" customFormat="1" ht="14.45" customHeight="1" x14ac:dyDescent="0.25">
      <c r="A11" s="245"/>
      <c r="B11" s="496"/>
      <c r="C11" s="497"/>
      <c r="D11" s="498" t="str">
        <f>IF(E10="SI APLICA","¿El indicador no se reporta por limitaciones de información disponible? ","")</f>
        <v xml:space="preserve">¿El indicador no se reporta por limitaciones de información disponible? </v>
      </c>
      <c r="E11" s="500" t="s">
        <v>1240</v>
      </c>
      <c r="F11" s="1790"/>
      <c r="G11" s="1791"/>
      <c r="H11" s="1791"/>
      <c r="I11" s="1791"/>
      <c r="J11" s="1791"/>
      <c r="K11" s="1791"/>
      <c r="L11" s="1791"/>
      <c r="M11" s="1791"/>
      <c r="N11" s="1791"/>
      <c r="O11" s="1791"/>
      <c r="P11" s="1791"/>
      <c r="Q11" s="1791"/>
      <c r="R11" s="1791"/>
      <c r="S11" s="1791"/>
    </row>
    <row r="12" spans="1:21" s="412" customFormat="1" ht="23.45" customHeight="1" x14ac:dyDescent="0.25">
      <c r="A12" s="245"/>
      <c r="B12" s="493"/>
      <c r="C12" s="304"/>
      <c r="D12" s="498" t="str">
        <f>IF(E11="SI SE REPORTA","¿Qué programas o proyectos del Plan de Acción están asociados al indicador? ","")</f>
        <v xml:space="preserve">¿Qué programas o proyectos del Plan de Acción están asociados al indicador? </v>
      </c>
      <c r="E12" s="1799" t="str">
        <f>'Anexo 1 Matriz Inf Gestión'!A90</f>
        <v>Proyecto No 3.3. Protección y conservación de la biodiversidad</v>
      </c>
      <c r="F12" s="1799"/>
      <c r="G12" s="1799"/>
      <c r="H12" s="1799"/>
      <c r="I12" s="1799"/>
      <c r="J12" s="1799"/>
      <c r="K12" s="1799"/>
      <c r="L12" s="1799"/>
      <c r="M12" s="1799"/>
      <c r="N12" s="1799"/>
      <c r="O12" s="1799"/>
      <c r="P12" s="1799"/>
      <c r="Q12" s="1799"/>
      <c r="R12" s="1799"/>
    </row>
    <row r="13" spans="1:21" s="412" customFormat="1" ht="21.95" customHeight="1" x14ac:dyDescent="0.25">
      <c r="A13" s="245"/>
      <c r="B13" s="493"/>
      <c r="C13" s="304"/>
      <c r="D13" s="498" t="s">
        <v>1243</v>
      </c>
      <c r="E13" s="1792" t="s">
        <v>2830</v>
      </c>
      <c r="F13" s="1793"/>
      <c r="G13" s="1793"/>
      <c r="H13" s="1793"/>
      <c r="I13" s="1793"/>
      <c r="J13" s="1793"/>
      <c r="K13" s="1793"/>
      <c r="L13" s="1793"/>
      <c r="M13" s="1793"/>
      <c r="N13" s="1793"/>
      <c r="O13" s="1793"/>
      <c r="P13" s="1793"/>
      <c r="Q13" s="1793"/>
      <c r="R13" s="1794"/>
    </row>
    <row r="14" spans="1:21" s="412" customFormat="1" ht="6.95" customHeight="1" thickBot="1" x14ac:dyDescent="0.3">
      <c r="B14" s="493"/>
      <c r="C14" s="88"/>
      <c r="D14" s="6"/>
      <c r="E14" s="6"/>
      <c r="F14" s="6"/>
      <c r="G14" s="6"/>
      <c r="H14" s="6"/>
      <c r="I14" s="6"/>
      <c r="J14" s="6"/>
      <c r="K14" s="6"/>
    </row>
    <row r="15" spans="1:21" ht="15.6" customHeight="1" thickTop="1" thickBot="1" x14ac:dyDescent="0.3">
      <c r="B15" s="1884" t="s">
        <v>2</v>
      </c>
      <c r="C15" s="89"/>
      <c r="D15" s="1837" t="s">
        <v>336</v>
      </c>
      <c r="E15" s="1838"/>
      <c r="F15" s="1838"/>
      <c r="G15" s="1838"/>
      <c r="H15" s="1838"/>
      <c r="I15" s="1838"/>
      <c r="J15" s="1838"/>
      <c r="K15" s="1839"/>
    </row>
    <row r="16" spans="1:21" ht="15.75" thickBot="1" x14ac:dyDescent="0.3">
      <c r="B16" s="1885"/>
      <c r="C16" s="94"/>
      <c r="D16" s="43" t="s">
        <v>150</v>
      </c>
      <c r="E16" s="66" t="s">
        <v>20</v>
      </c>
      <c r="F16" s="66" t="s">
        <v>21</v>
      </c>
      <c r="G16" s="66" t="s">
        <v>22</v>
      </c>
      <c r="H16" s="417" t="s">
        <v>23</v>
      </c>
      <c r="I16" s="416"/>
      <c r="J16" s="6"/>
      <c r="K16" s="22"/>
    </row>
    <row r="17" spans="2:11" ht="36.75" thickBot="1" x14ac:dyDescent="0.3">
      <c r="B17" s="1885"/>
      <c r="C17" s="94"/>
      <c r="D17" s="41" t="s">
        <v>576</v>
      </c>
      <c r="E17" s="1214">
        <v>1333</v>
      </c>
      <c r="F17" s="1214">
        <v>1422</v>
      </c>
      <c r="G17" s="1214">
        <v>89</v>
      </c>
      <c r="H17" s="1214">
        <v>118</v>
      </c>
      <c r="I17" s="416"/>
      <c r="J17" s="6"/>
      <c r="K17" s="22"/>
    </row>
    <row r="18" spans="2:11" ht="24.75" thickBot="1" x14ac:dyDescent="0.3">
      <c r="B18" s="1885"/>
      <c r="C18" s="94"/>
      <c r="D18" s="41" t="s">
        <v>577</v>
      </c>
      <c r="E18" s="1214">
        <f>927+919+17+8</f>
        <v>1871</v>
      </c>
      <c r="F18" s="1214">
        <v>1527</v>
      </c>
      <c r="G18" s="1214">
        <v>0</v>
      </c>
      <c r="H18" s="1428">
        <v>0</v>
      </c>
      <c r="I18" s="416"/>
      <c r="J18" s="6"/>
      <c r="K18" s="22"/>
    </row>
    <row r="19" spans="2:11" ht="15.75" thickBot="1" x14ac:dyDescent="0.3">
      <c r="B19" s="1885"/>
      <c r="C19" s="94"/>
      <c r="D19" s="41" t="s">
        <v>578</v>
      </c>
      <c r="E19" s="197">
        <v>0</v>
      </c>
      <c r="F19" s="197">
        <v>0</v>
      </c>
      <c r="G19" s="197">
        <v>0</v>
      </c>
      <c r="H19" s="477">
        <v>0</v>
      </c>
      <c r="I19" s="416"/>
      <c r="J19" s="6"/>
      <c r="K19" s="22"/>
    </row>
    <row r="20" spans="2:11" ht="15.75" thickBot="1" x14ac:dyDescent="0.3">
      <c r="B20" s="1885"/>
      <c r="C20" s="94"/>
      <c r="D20" s="41" t="s">
        <v>579</v>
      </c>
      <c r="E20" s="197">
        <v>0</v>
      </c>
      <c r="F20" s="197">
        <v>0</v>
      </c>
      <c r="G20" s="197">
        <v>0</v>
      </c>
      <c r="H20" s="477">
        <v>0</v>
      </c>
      <c r="I20" s="416"/>
      <c r="J20" s="6"/>
      <c r="K20" s="22"/>
    </row>
    <row r="21" spans="2:11" ht="15.75" thickBot="1" x14ac:dyDescent="0.3">
      <c r="B21" s="1885"/>
      <c r="C21" s="94"/>
      <c r="D21" s="41" t="s">
        <v>151</v>
      </c>
      <c r="E21" s="146">
        <f>SUM(E18:E20)</f>
        <v>1871</v>
      </c>
      <c r="F21" s="146">
        <f>SUM(F18:F20)</f>
        <v>1527</v>
      </c>
      <c r="G21" s="146">
        <f>SUM(G18:G20)</f>
        <v>0</v>
      </c>
      <c r="H21" s="146">
        <f>SUM(H18:H20)</f>
        <v>0</v>
      </c>
      <c r="I21" s="416"/>
      <c r="J21" s="6"/>
      <c r="K21" s="22"/>
    </row>
    <row r="22" spans="2:11" s="412" customFormat="1" ht="36.75" thickBot="1" x14ac:dyDescent="0.3">
      <c r="B22" s="1885"/>
      <c r="C22" s="131"/>
      <c r="D22" s="52" t="s">
        <v>557</v>
      </c>
      <c r="E22" s="147">
        <f>+E21/E17</f>
        <v>1.4036009002250562</v>
      </c>
      <c r="F22" s="147">
        <f>+F21/F17</f>
        <v>1.0738396624472575</v>
      </c>
      <c r="G22" s="147">
        <f>+G21/G17</f>
        <v>0</v>
      </c>
      <c r="H22" s="147">
        <f>+H21/H17</f>
        <v>0</v>
      </c>
      <c r="I22" s="416"/>
      <c r="J22" s="6"/>
      <c r="K22" s="22"/>
    </row>
    <row r="23" spans="2:11" x14ac:dyDescent="0.25">
      <c r="B23" s="1885"/>
      <c r="C23" s="92"/>
      <c r="D23" s="1840" t="s">
        <v>246</v>
      </c>
      <c r="E23" s="1841"/>
      <c r="F23" s="1841"/>
      <c r="G23" s="1841"/>
      <c r="H23" s="1841"/>
      <c r="I23" s="1841"/>
      <c r="J23" s="1841"/>
      <c r="K23" s="1842"/>
    </row>
    <row r="24" spans="2:11" x14ac:dyDescent="0.25">
      <c r="B24" s="1885"/>
      <c r="C24" s="92"/>
      <c r="D24" s="1840" t="s">
        <v>580</v>
      </c>
      <c r="E24" s="1841"/>
      <c r="F24" s="1841"/>
      <c r="G24" s="1841"/>
      <c r="H24" s="1841"/>
      <c r="I24" s="1841"/>
      <c r="J24" s="1841"/>
      <c r="K24" s="1842"/>
    </row>
    <row r="25" spans="2:11" ht="15.75" thickBot="1" x14ac:dyDescent="0.3">
      <c r="B25" s="1885"/>
      <c r="C25" s="92"/>
      <c r="D25" s="1881" t="s">
        <v>340</v>
      </c>
      <c r="E25" s="1882"/>
      <c r="F25" s="1882"/>
      <c r="G25" s="1882"/>
      <c r="H25" s="1882"/>
      <c r="I25" s="1882"/>
      <c r="J25" s="1882"/>
      <c r="K25" s="1883"/>
    </row>
    <row r="26" spans="2:11" ht="57" thickBot="1" x14ac:dyDescent="0.3">
      <c r="B26" s="436"/>
      <c r="C26" s="98" t="s">
        <v>19</v>
      </c>
      <c r="D26" s="66" t="s">
        <v>270</v>
      </c>
      <c r="E26" s="66" t="s">
        <v>581</v>
      </c>
      <c r="F26" s="66" t="s">
        <v>582</v>
      </c>
      <c r="G26" s="66" t="s">
        <v>343</v>
      </c>
      <c r="H26" s="66" t="s">
        <v>344</v>
      </c>
      <c r="I26" s="66" t="s">
        <v>274</v>
      </c>
      <c r="J26" s="66" t="s">
        <v>275</v>
      </c>
      <c r="K26" s="442" t="s">
        <v>55</v>
      </c>
    </row>
    <row r="27" spans="2:11" ht="15.75" customHeight="1" thickBot="1" x14ac:dyDescent="0.3">
      <c r="B27" s="436"/>
      <c r="C27" s="3">
        <v>1</v>
      </c>
      <c r="D27" s="1400" t="s">
        <v>3256</v>
      </c>
      <c r="E27" s="1398" t="s">
        <v>3257</v>
      </c>
      <c r="F27" s="1399">
        <v>654</v>
      </c>
      <c r="G27" s="1524">
        <v>12346085156</v>
      </c>
      <c r="H27" s="1524">
        <v>12346085156</v>
      </c>
      <c r="I27" s="1525"/>
      <c r="J27" s="1524">
        <v>12346085156</v>
      </c>
      <c r="K27" s="1526" t="s">
        <v>3527</v>
      </c>
    </row>
    <row r="28" spans="2:11" ht="72.75" thickBot="1" x14ac:dyDescent="0.3">
      <c r="B28" s="436"/>
      <c r="C28" s="3">
        <v>2</v>
      </c>
      <c r="D28" s="1400" t="s">
        <v>3258</v>
      </c>
      <c r="E28" s="1401" t="s">
        <v>3528</v>
      </c>
      <c r="F28" s="1402">
        <v>146</v>
      </c>
      <c r="G28" s="1527" t="s">
        <v>3529</v>
      </c>
      <c r="H28" s="1527" t="s">
        <v>3529</v>
      </c>
      <c r="I28" s="1528"/>
      <c r="J28" s="1527" t="s">
        <v>3529</v>
      </c>
      <c r="K28" s="1526" t="s">
        <v>3530</v>
      </c>
    </row>
    <row r="29" spans="2:11" ht="15.75" customHeight="1" thickBot="1" x14ac:dyDescent="0.3">
      <c r="B29" s="436"/>
      <c r="C29" s="3">
        <v>3</v>
      </c>
      <c r="D29" s="1529" t="s">
        <v>3531</v>
      </c>
      <c r="E29" s="1401" t="s">
        <v>3528</v>
      </c>
      <c r="F29" s="1401">
        <v>45</v>
      </c>
      <c r="G29" s="1530">
        <v>347205579</v>
      </c>
      <c r="H29" s="1530">
        <v>347205579</v>
      </c>
      <c r="I29" s="1401"/>
      <c r="J29" s="1530">
        <v>347205579</v>
      </c>
      <c r="K29" s="1401" t="s">
        <v>3532</v>
      </c>
    </row>
    <row r="30" spans="2:11" ht="77.25" thickBot="1" x14ac:dyDescent="0.3">
      <c r="B30" s="436"/>
      <c r="C30" s="3">
        <v>4</v>
      </c>
      <c r="D30" s="1531" t="s">
        <v>3533</v>
      </c>
      <c r="E30" s="1401" t="s">
        <v>3528</v>
      </c>
      <c r="F30" s="1401">
        <v>322</v>
      </c>
      <c r="G30" s="1527">
        <v>3800409831.3000002</v>
      </c>
      <c r="H30" s="1527">
        <v>3800409831.3000002</v>
      </c>
      <c r="I30" s="1401"/>
      <c r="J30" s="1530">
        <v>1943640099</v>
      </c>
      <c r="K30" s="1401" t="s">
        <v>3534</v>
      </c>
    </row>
    <row r="31" spans="2:11" ht="23.25" thickBot="1" x14ac:dyDescent="0.3">
      <c r="B31" s="436"/>
      <c r="C31" s="3">
        <v>5</v>
      </c>
      <c r="D31" s="1532" t="s">
        <v>3535</v>
      </c>
      <c r="E31" s="1401" t="s">
        <v>3536</v>
      </c>
      <c r="F31" s="1401">
        <v>360</v>
      </c>
      <c r="G31" s="1401"/>
      <c r="H31" s="1401"/>
      <c r="I31" s="1401"/>
      <c r="J31" s="1401"/>
      <c r="K31" s="1401" t="s">
        <v>3537</v>
      </c>
    </row>
    <row r="32" spans="2:11" ht="15.75" thickBot="1" x14ac:dyDescent="0.3">
      <c r="B32" s="436"/>
      <c r="C32" s="3">
        <v>6</v>
      </c>
      <c r="D32" s="31"/>
      <c r="E32" s="31"/>
      <c r="F32" s="218"/>
      <c r="G32" s="218"/>
      <c r="H32" s="218"/>
      <c r="I32" s="218"/>
      <c r="J32" s="218"/>
      <c r="K32" s="218"/>
    </row>
    <row r="33" spans="2:11" ht="15.75" thickBot="1" x14ac:dyDescent="0.3">
      <c r="B33" s="437"/>
      <c r="C33" s="3"/>
      <c r="D33" s="41" t="s">
        <v>151</v>
      </c>
      <c r="E33" s="41"/>
      <c r="F33" s="142">
        <f>SUM(F27:F32)</f>
        <v>1527</v>
      </c>
      <c r="G33" s="142">
        <f>SUM(G27:G32)</f>
        <v>16493700566.299999</v>
      </c>
      <c r="H33" s="142">
        <f>SUM(H27:H32)</f>
        <v>16493700566.299999</v>
      </c>
      <c r="I33" s="142">
        <f>SUM(I27:I32)</f>
        <v>0</v>
      </c>
      <c r="J33" s="142">
        <f>SUM(J27:J32)</f>
        <v>14636930834</v>
      </c>
      <c r="K33" s="218"/>
    </row>
    <row r="34" spans="2:11" ht="24" customHeight="1" thickBot="1" x14ac:dyDescent="0.3">
      <c r="B34" s="72" t="s">
        <v>34</v>
      </c>
      <c r="C34" s="108"/>
      <c r="D34" s="1832" t="s">
        <v>583</v>
      </c>
      <c r="E34" s="1833"/>
      <c r="F34" s="1833"/>
      <c r="G34" s="1833"/>
      <c r="H34" s="1833"/>
      <c r="I34" s="1833"/>
      <c r="J34" s="1833"/>
      <c r="K34" s="1834"/>
    </row>
    <row r="35" spans="2:11" ht="24" customHeight="1" thickBot="1" x14ac:dyDescent="0.3">
      <c r="B35" s="72" t="s">
        <v>36</v>
      </c>
      <c r="C35" s="108"/>
      <c r="D35" s="1832" t="s">
        <v>346</v>
      </c>
      <c r="E35" s="1833"/>
      <c r="F35" s="1833"/>
      <c r="G35" s="1833"/>
      <c r="H35" s="1833"/>
      <c r="I35" s="1833"/>
      <c r="J35" s="1833"/>
      <c r="K35" s="1834"/>
    </row>
    <row r="36" spans="2:11" ht="15.75" thickBot="1" x14ac:dyDescent="0.3">
      <c r="B36" s="2"/>
      <c r="C36" s="76"/>
      <c r="D36" s="6"/>
      <c r="E36" s="6"/>
      <c r="F36" s="6"/>
      <c r="G36" s="6"/>
      <c r="H36" s="6"/>
      <c r="I36" s="6"/>
      <c r="J36" s="6"/>
      <c r="K36" s="6"/>
    </row>
    <row r="37" spans="2:11" ht="24" customHeight="1" thickBot="1" x14ac:dyDescent="0.3">
      <c r="B37" s="1829" t="s">
        <v>38</v>
      </c>
      <c r="C37" s="1830"/>
      <c r="D37" s="1830"/>
      <c r="E37" s="1831"/>
      <c r="F37" s="6"/>
      <c r="G37" s="6"/>
      <c r="H37" s="6"/>
      <c r="I37" s="6"/>
      <c r="J37" s="6"/>
      <c r="K37" s="6"/>
    </row>
    <row r="38" spans="2:11" ht="15.75" thickBot="1" x14ac:dyDescent="0.3">
      <c r="B38" s="1826">
        <v>1</v>
      </c>
      <c r="C38" s="94"/>
      <c r="D38" s="48" t="s">
        <v>39</v>
      </c>
      <c r="E38" s="31" t="s">
        <v>2849</v>
      </c>
      <c r="F38" s="6"/>
      <c r="G38" s="6"/>
      <c r="H38" s="6"/>
      <c r="I38" s="6"/>
      <c r="J38" s="6"/>
      <c r="K38" s="6"/>
    </row>
    <row r="39" spans="2:11" ht="15.75" thickBot="1" x14ac:dyDescent="0.3">
      <c r="B39" s="1827"/>
      <c r="C39" s="94"/>
      <c r="D39" s="41" t="s">
        <v>40</v>
      </c>
      <c r="E39" s="31" t="s">
        <v>3259</v>
      </c>
      <c r="F39" s="6"/>
      <c r="G39" s="6"/>
      <c r="H39" s="6"/>
      <c r="I39" s="6"/>
      <c r="J39" s="6"/>
      <c r="K39" s="6"/>
    </row>
    <row r="40" spans="2:11" ht="15.75" thickBot="1" x14ac:dyDescent="0.3">
      <c r="B40" s="1827"/>
      <c r="C40" s="94"/>
      <c r="D40" s="41" t="s">
        <v>41</v>
      </c>
      <c r="E40" s="31" t="s">
        <v>3299</v>
      </c>
      <c r="F40" s="6"/>
      <c r="G40" s="6"/>
      <c r="H40" s="6"/>
      <c r="I40" s="6"/>
      <c r="J40" s="6"/>
      <c r="K40" s="6"/>
    </row>
    <row r="41" spans="2:11" ht="15.75" thickBot="1" x14ac:dyDescent="0.3">
      <c r="B41" s="1827"/>
      <c r="C41" s="94"/>
      <c r="D41" s="41" t="s">
        <v>42</v>
      </c>
      <c r="E41" s="31" t="s">
        <v>3218</v>
      </c>
      <c r="F41" s="6"/>
      <c r="G41" s="6"/>
      <c r="H41" s="6"/>
      <c r="I41" s="6"/>
      <c r="J41" s="6"/>
      <c r="K41" s="6"/>
    </row>
    <row r="42" spans="2:11" ht="15.75" thickBot="1" x14ac:dyDescent="0.3">
      <c r="B42" s="1827"/>
      <c r="C42" s="94"/>
      <c r="D42" s="41" t="s">
        <v>43</v>
      </c>
      <c r="E42" s="1219" t="s">
        <v>3271</v>
      </c>
      <c r="F42" s="6"/>
      <c r="G42" s="6"/>
      <c r="H42" s="6"/>
      <c r="I42" s="6"/>
      <c r="J42" s="6"/>
      <c r="K42" s="6"/>
    </row>
    <row r="43" spans="2:11" ht="15.75" thickBot="1" x14ac:dyDescent="0.3">
      <c r="B43" s="1827"/>
      <c r="C43" s="94"/>
      <c r="D43" s="41" t="s">
        <v>44</v>
      </c>
      <c r="E43" s="31" t="s">
        <v>3260</v>
      </c>
      <c r="F43" s="6"/>
      <c r="G43" s="6"/>
      <c r="H43" s="6"/>
      <c r="I43" s="6"/>
      <c r="J43" s="6"/>
      <c r="K43" s="6"/>
    </row>
    <row r="44" spans="2:11" ht="15.75" thickBot="1" x14ac:dyDescent="0.3">
      <c r="B44" s="1828"/>
      <c r="C44" s="3"/>
      <c r="D44" s="41" t="s">
        <v>45</v>
      </c>
      <c r="E44" s="31" t="s">
        <v>2870</v>
      </c>
      <c r="F44" s="6"/>
      <c r="G44" s="6"/>
      <c r="H44" s="6"/>
      <c r="I44" s="6"/>
      <c r="J44" s="6"/>
      <c r="K44" s="6"/>
    </row>
    <row r="45" spans="2:11" ht="15.75" thickBot="1" x14ac:dyDescent="0.3">
      <c r="B45" s="2"/>
      <c r="C45" s="76"/>
      <c r="D45" s="6"/>
      <c r="E45" s="6"/>
      <c r="F45" s="6"/>
      <c r="G45" s="6"/>
      <c r="H45" s="6"/>
      <c r="I45" s="6"/>
      <c r="J45" s="6"/>
      <c r="K45" s="6"/>
    </row>
    <row r="46" spans="2:11" ht="15.75" thickBot="1" x14ac:dyDescent="0.3">
      <c r="B46" s="1829" t="s">
        <v>46</v>
      </c>
      <c r="C46" s="1830"/>
      <c r="D46" s="1830"/>
      <c r="E46" s="1831"/>
      <c r="F46" s="6"/>
      <c r="G46" s="6"/>
      <c r="H46" s="6"/>
      <c r="I46" s="6"/>
      <c r="J46" s="6"/>
      <c r="K46" s="6"/>
    </row>
    <row r="47" spans="2:11" ht="15.75" thickBot="1" x14ac:dyDescent="0.3">
      <c r="B47" s="1826">
        <v>1</v>
      </c>
      <c r="C47" s="94"/>
      <c r="D47" s="48" t="s">
        <v>39</v>
      </c>
      <c r="E47" s="444" t="s">
        <v>47</v>
      </c>
      <c r="F47" s="6"/>
      <c r="G47" s="6"/>
      <c r="H47" s="6"/>
      <c r="I47" s="6"/>
      <c r="J47" s="6"/>
      <c r="K47" s="6"/>
    </row>
    <row r="48" spans="2:11" ht="15.75" thickBot="1" x14ac:dyDescent="0.3">
      <c r="B48" s="1827"/>
      <c r="C48" s="94"/>
      <c r="D48" s="41" t="s">
        <v>40</v>
      </c>
      <c r="E48" s="444" t="s">
        <v>160</v>
      </c>
      <c r="F48" s="6"/>
      <c r="G48" s="6"/>
      <c r="H48" s="6"/>
      <c r="I48" s="6"/>
      <c r="J48" s="6"/>
      <c r="K48" s="6"/>
    </row>
    <row r="49" spans="2:11" ht="15.75" thickBot="1" x14ac:dyDescent="0.3">
      <c r="B49" s="1827"/>
      <c r="C49" s="94"/>
      <c r="D49" s="41" t="s">
        <v>41</v>
      </c>
      <c r="E49" s="315"/>
      <c r="F49" s="6"/>
      <c r="G49" s="6"/>
      <c r="H49" s="6"/>
      <c r="I49" s="6"/>
      <c r="J49" s="6"/>
      <c r="K49" s="6"/>
    </row>
    <row r="50" spans="2:11" ht="15.75" thickBot="1" x14ac:dyDescent="0.3">
      <c r="B50" s="1827"/>
      <c r="C50" s="94"/>
      <c r="D50" s="41" t="s">
        <v>42</v>
      </c>
      <c r="E50" s="315"/>
      <c r="F50" s="6"/>
      <c r="G50" s="6"/>
      <c r="H50" s="6"/>
      <c r="I50" s="6"/>
      <c r="J50" s="6"/>
      <c r="K50" s="6"/>
    </row>
    <row r="51" spans="2:11" ht="15.75" thickBot="1" x14ac:dyDescent="0.3">
      <c r="B51" s="1827"/>
      <c r="C51" s="94"/>
      <c r="D51" s="41" t="s">
        <v>43</v>
      </c>
      <c r="E51" s="315"/>
      <c r="F51" s="6"/>
      <c r="G51" s="6"/>
      <c r="H51" s="6"/>
      <c r="I51" s="6"/>
      <c r="J51" s="6"/>
      <c r="K51" s="6"/>
    </row>
    <row r="52" spans="2:11" ht="15.75" thickBot="1" x14ac:dyDescent="0.3">
      <c r="B52" s="1827"/>
      <c r="C52" s="94"/>
      <c r="D52" s="41" t="s">
        <v>44</v>
      </c>
      <c r="E52" s="315"/>
      <c r="F52" s="6"/>
      <c r="G52" s="6"/>
      <c r="H52" s="6"/>
      <c r="I52" s="6"/>
      <c r="J52" s="6"/>
      <c r="K52" s="6"/>
    </row>
    <row r="53" spans="2:11" ht="15.75" thickBot="1" x14ac:dyDescent="0.3">
      <c r="B53" s="1828"/>
      <c r="C53" s="3"/>
      <c r="D53" s="41" t="s">
        <v>45</v>
      </c>
      <c r="E53" s="315"/>
      <c r="F53" s="6"/>
      <c r="G53" s="6"/>
      <c r="H53" s="6"/>
      <c r="I53" s="6"/>
      <c r="J53" s="6"/>
      <c r="K53" s="6"/>
    </row>
    <row r="54" spans="2:11" ht="15.75" thickBot="1" x14ac:dyDescent="0.3">
      <c r="B54" s="2"/>
      <c r="C54" s="76"/>
      <c r="D54" s="6"/>
      <c r="E54" s="6"/>
      <c r="F54" s="6"/>
      <c r="G54" s="6"/>
      <c r="H54" s="6"/>
      <c r="I54" s="6"/>
      <c r="J54" s="6"/>
      <c r="K54" s="6"/>
    </row>
    <row r="55" spans="2:11" ht="15" customHeight="1" thickBot="1" x14ac:dyDescent="0.3">
      <c r="B55" s="125" t="s">
        <v>49</v>
      </c>
      <c r="C55" s="126"/>
      <c r="D55" s="126"/>
      <c r="E55" s="127"/>
      <c r="F55" s="6"/>
      <c r="G55" s="6"/>
      <c r="H55" s="6"/>
      <c r="I55" s="6"/>
      <c r="J55" s="6"/>
      <c r="K55" s="6"/>
    </row>
    <row r="56" spans="2:11" ht="24.75" thickBot="1" x14ac:dyDescent="0.3">
      <c r="B56" s="47" t="s">
        <v>50</v>
      </c>
      <c r="C56" s="41" t="s">
        <v>51</v>
      </c>
      <c r="D56" s="41" t="s">
        <v>52</v>
      </c>
      <c r="E56" s="41" t="s">
        <v>53</v>
      </c>
      <c r="F56" s="6"/>
      <c r="G56" s="6"/>
      <c r="H56" s="6"/>
      <c r="I56" s="6"/>
      <c r="J56" s="6"/>
    </row>
    <row r="57" spans="2:11" ht="72.75" thickBot="1" x14ac:dyDescent="0.3">
      <c r="B57" s="49">
        <v>42401</v>
      </c>
      <c r="C57" s="41">
        <v>0.01</v>
      </c>
      <c r="D57" s="50" t="s">
        <v>584</v>
      </c>
      <c r="E57" s="41"/>
      <c r="F57" s="6"/>
      <c r="G57" s="6"/>
      <c r="H57" s="6"/>
      <c r="I57" s="6"/>
      <c r="J57" s="6"/>
    </row>
    <row r="58" spans="2:11" ht="15.75" thickBot="1" x14ac:dyDescent="0.3">
      <c r="B58" s="4"/>
      <c r="C58" s="95"/>
      <c r="D58" s="6"/>
      <c r="E58" s="6"/>
      <c r="F58" s="6"/>
      <c r="G58" s="6"/>
      <c r="H58" s="6"/>
      <c r="I58" s="6"/>
      <c r="J58" s="6"/>
      <c r="K58" s="6"/>
    </row>
    <row r="59" spans="2:11" x14ac:dyDescent="0.25">
      <c r="B59" s="135" t="s">
        <v>55</v>
      </c>
      <c r="C59" s="96"/>
      <c r="D59" s="6"/>
      <c r="E59" s="6"/>
      <c r="F59" s="6"/>
      <c r="G59" s="6"/>
      <c r="H59" s="6"/>
      <c r="I59" s="6"/>
      <c r="J59" s="6"/>
      <c r="K59" s="6"/>
    </row>
    <row r="60" spans="2:11" x14ac:dyDescent="0.25">
      <c r="B60" s="1809"/>
      <c r="C60" s="1810"/>
      <c r="D60" s="1810"/>
      <c r="E60" s="1811"/>
      <c r="F60" s="6"/>
      <c r="G60" s="6"/>
      <c r="H60" s="6"/>
      <c r="I60" s="6"/>
      <c r="J60" s="6"/>
      <c r="K60" s="6"/>
    </row>
    <row r="61" spans="2:11" x14ac:dyDescent="0.25">
      <c r="B61" s="1812"/>
      <c r="C61" s="1813"/>
      <c r="D61" s="1813"/>
      <c r="E61" s="1814"/>
      <c r="F61" s="6"/>
      <c r="G61" s="6"/>
      <c r="H61" s="6"/>
      <c r="I61" s="6"/>
      <c r="J61" s="6"/>
      <c r="K61" s="6"/>
    </row>
    <row r="62" spans="2:11" x14ac:dyDescent="0.25">
      <c r="B62" s="2"/>
      <c r="C62" s="76"/>
      <c r="D62" s="6"/>
      <c r="E62" s="6"/>
      <c r="F62" s="6"/>
      <c r="G62" s="6"/>
      <c r="H62" s="6"/>
      <c r="I62" s="6"/>
      <c r="J62" s="6"/>
      <c r="K62" s="6"/>
    </row>
    <row r="63" spans="2:11" ht="15.75" thickBot="1" x14ac:dyDescent="0.3">
      <c r="B63" s="6"/>
      <c r="D63" s="6"/>
      <c r="E63" s="6"/>
      <c r="F63" s="6"/>
      <c r="G63" s="6"/>
      <c r="H63" s="6"/>
      <c r="I63" s="6"/>
      <c r="J63" s="6"/>
      <c r="K63" s="6"/>
    </row>
    <row r="64" spans="2:11" ht="24.75" thickBot="1" x14ac:dyDescent="0.3">
      <c r="B64" s="51" t="s">
        <v>450</v>
      </c>
      <c r="C64" s="97"/>
      <c r="D64" s="6"/>
      <c r="E64" s="6"/>
      <c r="F64" s="6"/>
      <c r="G64" s="6"/>
      <c r="H64" s="6"/>
      <c r="I64" s="6"/>
      <c r="J64" s="6"/>
      <c r="K64" s="6"/>
    </row>
    <row r="65" spans="2:11" ht="15.75" thickBot="1" x14ac:dyDescent="0.3">
      <c r="B65" s="38"/>
      <c r="C65" s="88"/>
      <c r="D65" s="6"/>
      <c r="E65" s="6"/>
      <c r="F65" s="6"/>
      <c r="G65" s="6"/>
      <c r="H65" s="6"/>
      <c r="I65" s="6"/>
      <c r="J65" s="6"/>
      <c r="K65" s="6"/>
    </row>
    <row r="66" spans="2:11" ht="72.75" thickBot="1" x14ac:dyDescent="0.3">
      <c r="B66" s="52" t="s">
        <v>57</v>
      </c>
      <c r="C66" s="98"/>
      <c r="D66" s="43" t="s">
        <v>558</v>
      </c>
      <c r="E66" s="6"/>
      <c r="F66" s="6"/>
      <c r="G66" s="6"/>
      <c r="H66" s="6"/>
      <c r="I66" s="6"/>
      <c r="J66" s="6"/>
      <c r="K66" s="6"/>
    </row>
    <row r="67" spans="2:11" x14ac:dyDescent="0.25">
      <c r="B67" s="1826" t="s">
        <v>59</v>
      </c>
      <c r="C67" s="94"/>
      <c r="D67" s="53" t="s">
        <v>60</v>
      </c>
      <c r="E67" s="6"/>
      <c r="F67" s="6"/>
      <c r="G67" s="6"/>
      <c r="H67" s="6"/>
      <c r="I67" s="6"/>
      <c r="J67" s="6"/>
      <c r="K67" s="6"/>
    </row>
    <row r="68" spans="2:11" ht="96" x14ac:dyDescent="0.25">
      <c r="B68" s="1827"/>
      <c r="C68" s="94"/>
      <c r="D68" s="46" t="s">
        <v>559</v>
      </c>
      <c r="E68" s="6"/>
      <c r="F68" s="6"/>
      <c r="G68" s="6"/>
      <c r="H68" s="6"/>
      <c r="I68" s="6"/>
      <c r="J68" s="6"/>
      <c r="K68" s="6"/>
    </row>
    <row r="69" spans="2:11" ht="36" x14ac:dyDescent="0.25">
      <c r="B69" s="1827"/>
      <c r="C69" s="94"/>
      <c r="D69" s="46" t="s">
        <v>560</v>
      </c>
      <c r="E69" s="6"/>
      <c r="F69" s="6"/>
      <c r="G69" s="6"/>
      <c r="H69" s="6"/>
      <c r="I69" s="6"/>
      <c r="J69" s="6"/>
      <c r="K69" s="6"/>
    </row>
    <row r="70" spans="2:11" x14ac:dyDescent="0.25">
      <c r="B70" s="1827"/>
      <c r="C70" s="94"/>
      <c r="D70" s="53" t="s">
        <v>63</v>
      </c>
      <c r="E70" s="6"/>
      <c r="F70" s="6"/>
      <c r="G70" s="6"/>
      <c r="H70" s="6"/>
      <c r="I70" s="6"/>
      <c r="J70" s="6"/>
      <c r="K70" s="6"/>
    </row>
    <row r="71" spans="2:11" x14ac:dyDescent="0.25">
      <c r="B71" s="1827"/>
      <c r="C71" s="94"/>
      <c r="D71" s="46" t="s">
        <v>65</v>
      </c>
      <c r="E71" s="6"/>
      <c r="F71" s="6"/>
      <c r="G71" s="6"/>
      <c r="H71" s="6"/>
      <c r="I71" s="6"/>
      <c r="J71" s="6"/>
      <c r="K71" s="6"/>
    </row>
    <row r="72" spans="2:11" x14ac:dyDescent="0.25">
      <c r="B72" s="1827"/>
      <c r="C72" s="94"/>
      <c r="D72" s="53" t="s">
        <v>288</v>
      </c>
      <c r="E72" s="6"/>
      <c r="F72" s="6"/>
      <c r="G72" s="6"/>
      <c r="H72" s="6"/>
      <c r="I72" s="6"/>
      <c r="J72" s="6"/>
      <c r="K72" s="6"/>
    </row>
    <row r="73" spans="2:11" ht="36" x14ac:dyDescent="0.25">
      <c r="B73" s="1827"/>
      <c r="C73" s="94"/>
      <c r="D73" s="46" t="s">
        <v>453</v>
      </c>
      <c r="E73" s="6"/>
      <c r="F73" s="6"/>
      <c r="G73" s="6"/>
      <c r="H73" s="6"/>
      <c r="I73" s="6"/>
      <c r="J73" s="6"/>
      <c r="K73" s="6"/>
    </row>
    <row r="74" spans="2:11" x14ac:dyDescent="0.25">
      <c r="B74" s="1827"/>
      <c r="C74" s="94"/>
      <c r="D74" s="46" t="s">
        <v>561</v>
      </c>
      <c r="E74" s="6"/>
      <c r="F74" s="6"/>
      <c r="G74" s="6"/>
      <c r="H74" s="6"/>
      <c r="I74" s="6"/>
      <c r="J74" s="6"/>
      <c r="K74" s="6"/>
    </row>
    <row r="75" spans="2:11" ht="15.75" thickBot="1" x14ac:dyDescent="0.3">
      <c r="B75" s="1828"/>
      <c r="C75" s="3"/>
      <c r="D75" s="68"/>
      <c r="E75" s="6"/>
      <c r="F75" s="6"/>
      <c r="G75" s="6"/>
      <c r="H75" s="6"/>
      <c r="I75" s="6"/>
      <c r="J75" s="6"/>
      <c r="K75" s="6"/>
    </row>
    <row r="76" spans="2:11" ht="24.75" thickBot="1" x14ac:dyDescent="0.3">
      <c r="B76" s="47" t="s">
        <v>72</v>
      </c>
      <c r="C76" s="3"/>
      <c r="D76" s="41"/>
      <c r="E76" s="6"/>
      <c r="F76" s="6"/>
      <c r="G76" s="6"/>
      <c r="H76" s="6"/>
      <c r="I76" s="6"/>
      <c r="J76" s="6"/>
      <c r="K76" s="6"/>
    </row>
    <row r="77" spans="2:11" ht="72" x14ac:dyDescent="0.25">
      <c r="B77" s="1826" t="s">
        <v>73</v>
      </c>
      <c r="C77" s="94"/>
      <c r="D77" s="46" t="s">
        <v>562</v>
      </c>
      <c r="E77" s="6"/>
      <c r="F77" s="6"/>
      <c r="G77" s="6"/>
      <c r="H77" s="6"/>
      <c r="I77" s="6"/>
      <c r="J77" s="6"/>
      <c r="K77" s="6"/>
    </row>
    <row r="78" spans="2:11" ht="132" x14ac:dyDescent="0.25">
      <c r="B78" s="1827"/>
      <c r="C78" s="94"/>
      <c r="D78" s="46" t="s">
        <v>563</v>
      </c>
      <c r="E78" s="6"/>
      <c r="F78" s="6"/>
      <c r="G78" s="6"/>
      <c r="H78" s="6"/>
      <c r="I78" s="6"/>
      <c r="J78" s="6"/>
      <c r="K78" s="6"/>
    </row>
    <row r="79" spans="2:11" ht="108" x14ac:dyDescent="0.25">
      <c r="B79" s="1827"/>
      <c r="C79" s="94"/>
      <c r="D79" s="46" t="s">
        <v>564</v>
      </c>
      <c r="E79" s="6"/>
      <c r="F79" s="6"/>
      <c r="G79" s="6"/>
      <c r="H79" s="6"/>
      <c r="I79" s="6"/>
      <c r="J79" s="6"/>
      <c r="K79" s="6"/>
    </row>
    <row r="80" spans="2:11" ht="84" x14ac:dyDescent="0.25">
      <c r="B80" s="1827"/>
      <c r="C80" s="94"/>
      <c r="D80" s="46" t="s">
        <v>565</v>
      </c>
      <c r="E80" s="6"/>
      <c r="F80" s="6"/>
      <c r="G80" s="6"/>
      <c r="H80" s="6"/>
      <c r="I80" s="6"/>
      <c r="J80" s="6"/>
      <c r="K80" s="6"/>
    </row>
    <row r="81" spans="2:11" ht="108" x14ac:dyDescent="0.25">
      <c r="B81" s="1827"/>
      <c r="C81" s="94"/>
      <c r="D81" s="46" t="s">
        <v>566</v>
      </c>
      <c r="E81" s="6"/>
      <c r="F81" s="6"/>
      <c r="G81" s="6"/>
      <c r="H81" s="6"/>
      <c r="I81" s="6"/>
      <c r="J81" s="6"/>
      <c r="K81" s="6"/>
    </row>
    <row r="82" spans="2:11" ht="60" x14ac:dyDescent="0.25">
      <c r="B82" s="1827"/>
      <c r="C82" s="94"/>
      <c r="D82" s="46" t="s">
        <v>567</v>
      </c>
      <c r="E82" s="6"/>
      <c r="F82" s="6"/>
      <c r="G82" s="6"/>
      <c r="H82" s="6"/>
      <c r="I82" s="6"/>
      <c r="J82" s="6"/>
      <c r="K82" s="6"/>
    </row>
    <row r="83" spans="2:11" ht="84.75" thickBot="1" x14ac:dyDescent="0.3">
      <c r="B83" s="1828"/>
      <c r="C83" s="3"/>
      <c r="D83" s="41" t="s">
        <v>568</v>
      </c>
      <c r="E83" s="6"/>
      <c r="F83" s="6"/>
      <c r="G83" s="6"/>
      <c r="H83" s="6"/>
      <c r="I83" s="6"/>
      <c r="J83" s="6"/>
      <c r="K83" s="6"/>
    </row>
    <row r="84" spans="2:11" ht="24" x14ac:dyDescent="0.25">
      <c r="B84" s="1826" t="s">
        <v>90</v>
      </c>
      <c r="C84" s="94"/>
      <c r="D84" s="53" t="s">
        <v>557</v>
      </c>
      <c r="E84" s="6"/>
      <c r="F84" s="6"/>
      <c r="G84" s="6"/>
      <c r="H84" s="6"/>
      <c r="I84" s="6"/>
      <c r="J84" s="6"/>
      <c r="K84" s="6"/>
    </row>
    <row r="85" spans="2:11" x14ac:dyDescent="0.25">
      <c r="B85" s="1827"/>
      <c r="C85" s="94"/>
      <c r="D85" s="17"/>
      <c r="E85" s="6"/>
      <c r="F85" s="6"/>
      <c r="G85" s="6"/>
      <c r="H85" s="6"/>
      <c r="I85" s="6"/>
      <c r="J85" s="6"/>
      <c r="K85" s="6"/>
    </row>
    <row r="86" spans="2:11" x14ac:dyDescent="0.25">
      <c r="B86" s="1827"/>
      <c r="C86" s="94"/>
      <c r="D86" s="46" t="s">
        <v>91</v>
      </c>
      <c r="E86" s="6"/>
      <c r="F86" s="6"/>
      <c r="G86" s="6"/>
      <c r="H86" s="6"/>
      <c r="I86" s="6"/>
      <c r="J86" s="6"/>
      <c r="K86" s="6"/>
    </row>
    <row r="87" spans="2:11" ht="49.5" x14ac:dyDescent="0.25">
      <c r="B87" s="1827"/>
      <c r="C87" s="94"/>
      <c r="D87" s="46" t="s">
        <v>569</v>
      </c>
      <c r="E87" s="6"/>
      <c r="F87" s="6"/>
      <c r="G87" s="6"/>
      <c r="H87" s="6"/>
      <c r="I87" s="6"/>
      <c r="J87" s="6"/>
      <c r="K87" s="6"/>
    </row>
    <row r="88" spans="2:11" ht="37.5" x14ac:dyDescent="0.25">
      <c r="B88" s="1827"/>
      <c r="C88" s="94"/>
      <c r="D88" s="46" t="s">
        <v>570</v>
      </c>
      <c r="E88" s="6"/>
      <c r="F88" s="6"/>
      <c r="G88" s="6"/>
      <c r="H88" s="6"/>
      <c r="I88" s="6"/>
      <c r="J88" s="6"/>
      <c r="K88" s="6"/>
    </row>
    <row r="89" spans="2:11" ht="37.5" x14ac:dyDescent="0.25">
      <c r="B89" s="1827"/>
      <c r="C89" s="94"/>
      <c r="D89" s="46" t="s">
        <v>571</v>
      </c>
      <c r="E89" s="6"/>
      <c r="F89" s="6"/>
      <c r="G89" s="6"/>
      <c r="H89" s="6"/>
      <c r="I89" s="6"/>
      <c r="J89" s="6"/>
      <c r="K89" s="6"/>
    </row>
    <row r="90" spans="2:11" ht="84" x14ac:dyDescent="0.25">
      <c r="B90" s="1827"/>
      <c r="C90" s="94"/>
      <c r="D90" s="54" t="s">
        <v>235</v>
      </c>
      <c r="E90" s="6"/>
      <c r="F90" s="6"/>
      <c r="G90" s="6"/>
      <c r="H90" s="6"/>
      <c r="I90" s="6"/>
      <c r="J90" s="6"/>
      <c r="K90" s="6"/>
    </row>
    <row r="91" spans="2:11" x14ac:dyDescent="0.25">
      <c r="B91" s="1827"/>
      <c r="C91" s="94"/>
      <c r="D91" s="53" t="s">
        <v>246</v>
      </c>
      <c r="E91" s="6"/>
      <c r="F91" s="6"/>
      <c r="G91" s="6"/>
      <c r="H91" s="6"/>
      <c r="I91" s="6"/>
      <c r="J91" s="6"/>
      <c r="K91" s="6"/>
    </row>
    <row r="92" spans="2:11" ht="36" x14ac:dyDescent="0.25">
      <c r="B92" s="1827"/>
      <c r="C92" s="94"/>
      <c r="D92" s="53" t="s">
        <v>572</v>
      </c>
      <c r="E92" s="6"/>
      <c r="F92" s="6"/>
      <c r="G92" s="6"/>
      <c r="H92" s="6"/>
      <c r="I92" s="6"/>
      <c r="J92" s="6"/>
      <c r="K92" s="6"/>
    </row>
    <row r="93" spans="2:11" x14ac:dyDescent="0.25">
      <c r="B93" s="1827"/>
      <c r="C93" s="94"/>
      <c r="D93" s="53" t="s">
        <v>573</v>
      </c>
      <c r="E93" s="6"/>
      <c r="F93" s="6"/>
      <c r="G93" s="6"/>
      <c r="H93" s="6"/>
      <c r="I93" s="6"/>
      <c r="J93" s="6"/>
      <c r="K93" s="6"/>
    </row>
    <row r="94" spans="2:11" x14ac:dyDescent="0.25">
      <c r="B94" s="1827"/>
      <c r="C94" s="94"/>
      <c r="D94" s="17"/>
      <c r="E94" s="6"/>
      <c r="F94" s="6"/>
      <c r="G94" s="6"/>
      <c r="H94" s="6"/>
      <c r="I94" s="6"/>
      <c r="J94" s="6"/>
      <c r="K94" s="6"/>
    </row>
    <row r="95" spans="2:11" x14ac:dyDescent="0.25">
      <c r="B95" s="1827"/>
      <c r="C95" s="94"/>
      <c r="D95" s="46" t="s">
        <v>91</v>
      </c>
      <c r="E95" s="6"/>
      <c r="F95" s="6"/>
      <c r="G95" s="6"/>
      <c r="H95" s="6"/>
      <c r="I95" s="6"/>
      <c r="J95" s="6"/>
      <c r="K95" s="6"/>
    </row>
    <row r="96" spans="2:11" ht="37.5" x14ac:dyDescent="0.25">
      <c r="B96" s="1827"/>
      <c r="C96" s="94"/>
      <c r="D96" s="46" t="s">
        <v>574</v>
      </c>
      <c r="E96" s="6"/>
      <c r="F96" s="6"/>
      <c r="G96" s="6"/>
      <c r="H96" s="6"/>
      <c r="I96" s="6"/>
      <c r="J96" s="6"/>
      <c r="K96" s="6"/>
    </row>
    <row r="97" spans="2:11" ht="62.25" thickBot="1" x14ac:dyDescent="0.3">
      <c r="B97" s="1828"/>
      <c r="C97" s="3"/>
      <c r="D97" s="41" t="s">
        <v>575</v>
      </c>
      <c r="E97" s="6"/>
      <c r="F97" s="6"/>
      <c r="G97" s="6"/>
      <c r="H97" s="6"/>
      <c r="I97" s="6"/>
      <c r="J97" s="6"/>
      <c r="K97" s="6"/>
    </row>
    <row r="98" spans="2:11" x14ac:dyDescent="0.25">
      <c r="B98" s="6"/>
      <c r="D98" s="6"/>
      <c r="E98" s="6"/>
      <c r="F98" s="6"/>
      <c r="G98" s="6"/>
      <c r="H98" s="6"/>
      <c r="I98" s="6"/>
      <c r="J98" s="6"/>
      <c r="K98" s="6"/>
    </row>
    <row r="99" spans="2:11" x14ac:dyDescent="0.25">
      <c r="B99" s="6"/>
      <c r="D99" s="6"/>
      <c r="E99" s="6"/>
      <c r="F99" s="6"/>
      <c r="G99" s="6"/>
      <c r="H99" s="6"/>
      <c r="I99" s="6"/>
      <c r="J99" s="6"/>
      <c r="K99" s="6"/>
    </row>
    <row r="100" spans="2:11" x14ac:dyDescent="0.25">
      <c r="B100" s="6"/>
      <c r="D100" s="6"/>
      <c r="E100" s="6"/>
      <c r="F100" s="6"/>
      <c r="G100" s="6"/>
      <c r="H100" s="6"/>
      <c r="I100" s="6"/>
      <c r="J100" s="6"/>
      <c r="K100" s="6"/>
    </row>
    <row r="101" spans="2:11" x14ac:dyDescent="0.25">
      <c r="B101" s="6"/>
      <c r="D101" s="6"/>
      <c r="E101" s="6"/>
      <c r="F101" s="6"/>
      <c r="G101" s="6"/>
      <c r="H101" s="6"/>
      <c r="I101" s="6"/>
      <c r="J101" s="6"/>
      <c r="K101" s="6"/>
    </row>
    <row r="102" spans="2:11" x14ac:dyDescent="0.25">
      <c r="B102" s="6"/>
      <c r="D102" s="6"/>
      <c r="E102" s="6"/>
      <c r="F102" s="6"/>
      <c r="G102" s="6"/>
      <c r="H102" s="6"/>
      <c r="I102" s="6"/>
      <c r="J102" s="6"/>
      <c r="K102" s="6"/>
    </row>
    <row r="103" spans="2:11" x14ac:dyDescent="0.25">
      <c r="B103" s="6"/>
      <c r="D103" s="6"/>
      <c r="E103" s="6"/>
      <c r="F103" s="6"/>
      <c r="G103" s="6"/>
      <c r="H103" s="6"/>
      <c r="I103" s="6"/>
      <c r="J103" s="6"/>
      <c r="K103" s="6"/>
    </row>
    <row r="104" spans="2:11" x14ac:dyDescent="0.25">
      <c r="B104" s="6"/>
      <c r="D104" s="6"/>
      <c r="E104" s="6"/>
      <c r="F104" s="6"/>
      <c r="G104" s="6"/>
      <c r="H104" s="6"/>
      <c r="I104" s="6"/>
      <c r="J104" s="6"/>
      <c r="K104" s="6"/>
    </row>
    <row r="105" spans="2:11" x14ac:dyDescent="0.25">
      <c r="B105" s="6"/>
      <c r="D105" s="6"/>
      <c r="E105" s="6"/>
      <c r="F105" s="6"/>
      <c r="G105" s="6"/>
      <c r="H105" s="6"/>
      <c r="I105" s="6"/>
      <c r="J105" s="6"/>
      <c r="K105" s="6"/>
    </row>
    <row r="106" spans="2:11" x14ac:dyDescent="0.25">
      <c r="B106" s="6"/>
      <c r="D106" s="6"/>
      <c r="E106" s="6"/>
      <c r="F106" s="6"/>
      <c r="G106" s="6"/>
      <c r="H106" s="6"/>
      <c r="I106" s="6"/>
      <c r="J106" s="6"/>
      <c r="K106" s="6"/>
    </row>
    <row r="107" spans="2:11" x14ac:dyDescent="0.25">
      <c r="B107" s="6"/>
      <c r="D107" s="6"/>
      <c r="E107" s="6"/>
      <c r="F107" s="6"/>
      <c r="G107" s="6"/>
      <c r="H107" s="6"/>
      <c r="I107" s="6"/>
      <c r="J107" s="6"/>
      <c r="K107" s="6"/>
    </row>
    <row r="108" spans="2:11" x14ac:dyDescent="0.25">
      <c r="B108" s="6"/>
      <c r="D108" s="6"/>
      <c r="E108" s="6"/>
      <c r="F108" s="6"/>
      <c r="G108" s="6"/>
      <c r="H108" s="6"/>
      <c r="I108" s="6"/>
      <c r="J108" s="6"/>
      <c r="K108" s="6"/>
    </row>
    <row r="109" spans="2:11" x14ac:dyDescent="0.25">
      <c r="B109" s="6"/>
      <c r="D109" s="6"/>
      <c r="E109" s="6"/>
      <c r="F109" s="6"/>
      <c r="G109" s="6"/>
      <c r="H109" s="6"/>
      <c r="I109" s="6"/>
      <c r="J109" s="6"/>
      <c r="K109" s="6"/>
    </row>
    <row r="110" spans="2:11" x14ac:dyDescent="0.25">
      <c r="B110" s="6"/>
      <c r="D110" s="6"/>
      <c r="E110" s="6"/>
      <c r="F110" s="6"/>
      <c r="G110" s="6"/>
      <c r="H110" s="6"/>
      <c r="I110" s="6"/>
      <c r="J110" s="6"/>
      <c r="K110" s="6"/>
    </row>
    <row r="111" spans="2:11" x14ac:dyDescent="0.25">
      <c r="B111" s="6"/>
      <c r="D111" s="6"/>
      <c r="E111" s="6"/>
      <c r="F111" s="6"/>
      <c r="G111" s="6"/>
      <c r="H111" s="6"/>
      <c r="I111" s="6"/>
      <c r="J111" s="6"/>
      <c r="K111" s="6"/>
    </row>
    <row r="112" spans="2:11" x14ac:dyDescent="0.25">
      <c r="B112" s="6"/>
      <c r="D112" s="6"/>
      <c r="E112" s="6"/>
      <c r="F112" s="6"/>
      <c r="G112" s="6"/>
      <c r="H112" s="6"/>
      <c r="I112" s="6"/>
      <c r="J112" s="6"/>
      <c r="K112" s="6"/>
    </row>
    <row r="113" spans="2:11" x14ac:dyDescent="0.25">
      <c r="B113" s="6"/>
      <c r="D113" s="6"/>
      <c r="E113" s="6"/>
      <c r="F113" s="6"/>
      <c r="G113" s="6"/>
      <c r="H113" s="6"/>
      <c r="I113" s="6"/>
      <c r="J113" s="6"/>
      <c r="K113" s="6"/>
    </row>
    <row r="114" spans="2:11" x14ac:dyDescent="0.25">
      <c r="B114" s="6"/>
      <c r="D114" s="6"/>
      <c r="E114" s="6"/>
      <c r="F114" s="6"/>
      <c r="G114" s="6"/>
      <c r="H114" s="6"/>
      <c r="I114" s="6"/>
      <c r="J114" s="6"/>
      <c r="K114" s="6"/>
    </row>
    <row r="115" spans="2:11" x14ac:dyDescent="0.25">
      <c r="B115" s="6"/>
      <c r="D115" s="6"/>
      <c r="E115" s="6"/>
      <c r="F115" s="6"/>
      <c r="G115" s="6"/>
      <c r="H115" s="6"/>
      <c r="I115" s="6"/>
      <c r="J115" s="6"/>
      <c r="K115" s="6"/>
    </row>
    <row r="116" spans="2:11" x14ac:dyDescent="0.25">
      <c r="B116" s="6"/>
      <c r="D116" s="6"/>
      <c r="E116" s="6"/>
      <c r="F116" s="6"/>
      <c r="G116" s="6"/>
      <c r="H116" s="6"/>
      <c r="I116" s="6"/>
      <c r="J116" s="6"/>
      <c r="K116" s="6"/>
    </row>
    <row r="117" spans="2:11" x14ac:dyDescent="0.25">
      <c r="B117" s="6"/>
      <c r="D117" s="6"/>
      <c r="E117" s="6"/>
      <c r="F117" s="6"/>
      <c r="G117" s="6"/>
      <c r="H117" s="6"/>
      <c r="I117" s="6"/>
      <c r="J117" s="6"/>
      <c r="K117" s="6"/>
    </row>
    <row r="118" spans="2:11" x14ac:dyDescent="0.25">
      <c r="B118" s="6"/>
      <c r="D118" s="6"/>
      <c r="E118" s="6"/>
      <c r="F118" s="6"/>
      <c r="G118" s="6"/>
      <c r="H118" s="6"/>
      <c r="I118" s="6"/>
      <c r="J118" s="6"/>
      <c r="K118" s="6"/>
    </row>
    <row r="119" spans="2:11" x14ac:dyDescent="0.25">
      <c r="B119" s="6"/>
      <c r="D119" s="6"/>
      <c r="E119" s="6"/>
      <c r="F119" s="6"/>
      <c r="G119" s="6"/>
      <c r="H119" s="6"/>
      <c r="I119" s="6"/>
      <c r="J119" s="6"/>
      <c r="K119" s="6"/>
    </row>
    <row r="120" spans="2:11" x14ac:dyDescent="0.25">
      <c r="B120" s="6"/>
      <c r="D120" s="6"/>
      <c r="E120" s="6"/>
      <c r="F120" s="6"/>
      <c r="G120" s="6"/>
      <c r="H120" s="6"/>
      <c r="I120" s="6"/>
      <c r="J120" s="6"/>
      <c r="K120" s="6"/>
    </row>
    <row r="121" spans="2:11" x14ac:dyDescent="0.25">
      <c r="B121" s="6"/>
      <c r="D121" s="6"/>
      <c r="E121" s="6"/>
      <c r="F121" s="6"/>
      <c r="G121" s="6"/>
      <c r="H121" s="6"/>
      <c r="I121" s="6"/>
      <c r="J121" s="6"/>
      <c r="K121" s="6"/>
    </row>
    <row r="122" spans="2:11" x14ac:dyDescent="0.25">
      <c r="B122" s="6"/>
      <c r="D122" s="6"/>
      <c r="E122" s="6"/>
      <c r="F122" s="6"/>
      <c r="G122" s="6"/>
      <c r="H122" s="6"/>
      <c r="I122" s="6"/>
      <c r="J122" s="6"/>
      <c r="K122" s="6"/>
    </row>
    <row r="123" spans="2:11" x14ac:dyDescent="0.25">
      <c r="B123" s="6"/>
      <c r="D123" s="6"/>
      <c r="E123" s="6"/>
      <c r="F123" s="6"/>
      <c r="G123" s="6"/>
      <c r="H123" s="6"/>
      <c r="I123" s="6"/>
      <c r="J123" s="6"/>
      <c r="K123" s="6"/>
    </row>
    <row r="124" spans="2:11" x14ac:dyDescent="0.25">
      <c r="B124" s="6"/>
      <c r="D124" s="6"/>
      <c r="E124" s="6"/>
      <c r="F124" s="6"/>
      <c r="G124" s="6"/>
      <c r="H124" s="6"/>
      <c r="I124" s="6"/>
      <c r="J124" s="6"/>
      <c r="K124" s="6"/>
    </row>
    <row r="125" spans="2:11" x14ac:dyDescent="0.25">
      <c r="B125" s="6"/>
      <c r="D125" s="6"/>
      <c r="E125" s="6"/>
      <c r="F125" s="6"/>
      <c r="G125" s="6"/>
      <c r="H125" s="6"/>
      <c r="I125" s="6"/>
      <c r="J125" s="6"/>
      <c r="K125" s="6"/>
    </row>
    <row r="126" spans="2:11" x14ac:dyDescent="0.25">
      <c r="B126" s="6"/>
      <c r="D126" s="6"/>
      <c r="E126" s="6"/>
      <c r="F126" s="6"/>
      <c r="G126" s="6"/>
      <c r="H126" s="6"/>
      <c r="I126" s="6"/>
      <c r="J126" s="6"/>
      <c r="K126" s="6"/>
    </row>
    <row r="127" spans="2:11" x14ac:dyDescent="0.25">
      <c r="B127" s="6"/>
      <c r="D127" s="6"/>
      <c r="E127" s="6"/>
      <c r="F127" s="6"/>
      <c r="G127" s="6"/>
      <c r="H127" s="6"/>
      <c r="I127" s="6"/>
      <c r="J127" s="6"/>
      <c r="K127" s="6"/>
    </row>
    <row r="128" spans="2:11" x14ac:dyDescent="0.25">
      <c r="B128" s="6"/>
      <c r="D128" s="6"/>
      <c r="E128" s="6"/>
      <c r="F128" s="6"/>
      <c r="G128" s="6"/>
      <c r="H128" s="6"/>
      <c r="I128" s="6"/>
      <c r="J128" s="6"/>
      <c r="K128" s="6"/>
    </row>
    <row r="129" spans="2:11" x14ac:dyDescent="0.25">
      <c r="B129" s="6"/>
      <c r="D129" s="6"/>
      <c r="E129" s="6"/>
      <c r="F129" s="6"/>
      <c r="G129" s="6"/>
      <c r="H129" s="6"/>
      <c r="I129" s="6"/>
      <c r="J129" s="6"/>
      <c r="K129" s="6"/>
    </row>
    <row r="130" spans="2:11" x14ac:dyDescent="0.25">
      <c r="B130" s="6"/>
      <c r="D130" s="6"/>
      <c r="E130" s="6"/>
      <c r="F130" s="6"/>
      <c r="G130" s="6"/>
      <c r="H130" s="6"/>
      <c r="I130" s="6"/>
      <c r="J130" s="6"/>
      <c r="K130" s="6"/>
    </row>
    <row r="131" spans="2:11" x14ac:dyDescent="0.25">
      <c r="B131" s="6"/>
      <c r="D131" s="6"/>
      <c r="E131" s="6"/>
      <c r="F131" s="6"/>
      <c r="G131" s="6"/>
      <c r="H131" s="6"/>
      <c r="I131" s="6"/>
      <c r="J131" s="6"/>
      <c r="K131" s="6"/>
    </row>
    <row r="132" spans="2:11" x14ac:dyDescent="0.25">
      <c r="B132" s="6"/>
      <c r="D132" s="6"/>
      <c r="E132" s="6"/>
      <c r="F132" s="6"/>
      <c r="G132" s="6"/>
      <c r="H132" s="6"/>
      <c r="I132" s="6"/>
      <c r="J132" s="6"/>
      <c r="K132" s="6"/>
    </row>
    <row r="133" spans="2:11" x14ac:dyDescent="0.25">
      <c r="B133" s="6"/>
      <c r="D133" s="6"/>
      <c r="E133" s="6"/>
      <c r="F133" s="6"/>
      <c r="G133" s="6"/>
      <c r="H133" s="6"/>
      <c r="I133" s="6"/>
      <c r="J133" s="6"/>
      <c r="K133" s="6"/>
    </row>
    <row r="134" spans="2:11" x14ac:dyDescent="0.25">
      <c r="B134" s="6"/>
      <c r="D134" s="6"/>
      <c r="E134" s="6"/>
      <c r="F134" s="6"/>
      <c r="G134" s="6"/>
      <c r="H134" s="6"/>
      <c r="I134" s="6"/>
      <c r="J134" s="6"/>
      <c r="K134" s="6"/>
    </row>
    <row r="135" spans="2:11" x14ac:dyDescent="0.25">
      <c r="B135" s="6"/>
      <c r="D135" s="6"/>
      <c r="E135" s="6"/>
      <c r="F135" s="6"/>
      <c r="G135" s="6"/>
      <c r="H135" s="6"/>
      <c r="I135" s="6"/>
      <c r="J135" s="6"/>
      <c r="K135" s="6"/>
    </row>
    <row r="136" spans="2:11" x14ac:dyDescent="0.25">
      <c r="B136" s="6"/>
      <c r="D136" s="6"/>
      <c r="E136" s="6"/>
      <c r="F136" s="6"/>
      <c r="G136" s="6"/>
      <c r="H136" s="6"/>
      <c r="I136" s="6"/>
      <c r="J136" s="6"/>
      <c r="K136" s="6"/>
    </row>
    <row r="137" spans="2:11" x14ac:dyDescent="0.25">
      <c r="B137" s="6"/>
      <c r="D137" s="6"/>
      <c r="E137" s="6"/>
      <c r="F137" s="6"/>
      <c r="G137" s="6"/>
      <c r="H137" s="6"/>
      <c r="I137" s="6"/>
      <c r="J137" s="6"/>
      <c r="K137" s="6"/>
    </row>
    <row r="138" spans="2:11" x14ac:dyDescent="0.25">
      <c r="B138" s="6"/>
      <c r="D138" s="6"/>
      <c r="E138" s="6"/>
      <c r="F138" s="6"/>
      <c r="G138" s="6"/>
      <c r="H138" s="6"/>
      <c r="I138" s="6"/>
      <c r="J138" s="6"/>
      <c r="K138" s="6"/>
    </row>
    <row r="139" spans="2:11" x14ac:dyDescent="0.25">
      <c r="B139" s="6"/>
      <c r="D139" s="6"/>
      <c r="E139" s="6"/>
      <c r="F139" s="6"/>
      <c r="G139" s="6"/>
      <c r="H139" s="6"/>
      <c r="I139" s="6"/>
      <c r="J139" s="6"/>
      <c r="K139" s="6"/>
    </row>
    <row r="140" spans="2:11" x14ac:dyDescent="0.25">
      <c r="B140" s="6"/>
      <c r="D140" s="6"/>
      <c r="E140" s="6"/>
      <c r="F140" s="6"/>
      <c r="G140" s="6"/>
      <c r="H140" s="6"/>
      <c r="I140" s="6"/>
      <c r="J140" s="6"/>
      <c r="K140" s="6"/>
    </row>
    <row r="141" spans="2:11" x14ac:dyDescent="0.25">
      <c r="B141" s="6"/>
      <c r="D141" s="6"/>
      <c r="E141" s="6"/>
      <c r="F141" s="6"/>
      <c r="G141" s="6"/>
      <c r="H141" s="6"/>
      <c r="I141" s="6"/>
      <c r="J141" s="6"/>
      <c r="K141" s="6"/>
    </row>
    <row r="142" spans="2:11" x14ac:dyDescent="0.25">
      <c r="B142" s="6"/>
      <c r="D142" s="6"/>
      <c r="E142" s="6"/>
      <c r="F142" s="6"/>
      <c r="G142" s="6"/>
      <c r="H142" s="6"/>
      <c r="I142" s="6"/>
      <c r="J142" s="6"/>
      <c r="K142" s="6"/>
    </row>
    <row r="143" spans="2:11" x14ac:dyDescent="0.25">
      <c r="B143" s="6"/>
      <c r="D143" s="6"/>
      <c r="E143" s="6"/>
      <c r="F143" s="6"/>
      <c r="G143" s="6"/>
      <c r="H143" s="6"/>
      <c r="I143" s="6"/>
      <c r="J143" s="6"/>
      <c r="K143" s="6"/>
    </row>
    <row r="144" spans="2:11" x14ac:dyDescent="0.25">
      <c r="B144" s="6"/>
      <c r="D144" s="6"/>
      <c r="E144" s="6"/>
      <c r="F144" s="6"/>
      <c r="G144" s="6"/>
      <c r="H144" s="6"/>
      <c r="I144" s="6"/>
      <c r="J144" s="6"/>
      <c r="K144" s="6"/>
    </row>
    <row r="145" spans="2:11" x14ac:dyDescent="0.25">
      <c r="B145" s="6"/>
      <c r="D145" s="6"/>
      <c r="E145" s="6"/>
      <c r="F145" s="6"/>
      <c r="G145" s="6"/>
      <c r="H145" s="6"/>
      <c r="I145" s="6"/>
      <c r="J145" s="6"/>
      <c r="K145" s="6"/>
    </row>
    <row r="146" spans="2:11" x14ac:dyDescent="0.25">
      <c r="B146" s="6"/>
      <c r="D146" s="6"/>
      <c r="E146" s="6"/>
      <c r="F146" s="6"/>
      <c r="G146" s="6"/>
      <c r="H146" s="6"/>
      <c r="I146" s="6"/>
      <c r="J146" s="6"/>
      <c r="K146" s="6"/>
    </row>
    <row r="147" spans="2:11" x14ac:dyDescent="0.25">
      <c r="B147" s="6"/>
      <c r="D147" s="6"/>
      <c r="E147" s="6"/>
      <c r="F147" s="6"/>
      <c r="G147" s="6"/>
      <c r="H147" s="6"/>
      <c r="I147" s="6"/>
      <c r="J147" s="6"/>
      <c r="K147" s="6"/>
    </row>
    <row r="148" spans="2:11" x14ac:dyDescent="0.25">
      <c r="B148" s="6"/>
      <c r="D148" s="6"/>
      <c r="E148" s="6"/>
      <c r="F148" s="6"/>
      <c r="G148" s="6"/>
      <c r="H148" s="6"/>
      <c r="I148" s="6"/>
      <c r="J148" s="6"/>
      <c r="K148" s="6"/>
    </row>
    <row r="149" spans="2:11" x14ac:dyDescent="0.25">
      <c r="B149" s="6"/>
      <c r="D149" s="6"/>
      <c r="E149" s="6"/>
      <c r="F149" s="6"/>
      <c r="G149" s="6"/>
      <c r="H149" s="6"/>
      <c r="I149" s="6"/>
      <c r="J149" s="6"/>
      <c r="K149" s="6"/>
    </row>
    <row r="150" spans="2:11" x14ac:dyDescent="0.25">
      <c r="B150" s="6"/>
      <c r="D150" s="6"/>
      <c r="E150" s="6"/>
      <c r="F150" s="6"/>
      <c r="G150" s="6"/>
      <c r="H150" s="6"/>
      <c r="I150" s="6"/>
      <c r="J150" s="6"/>
      <c r="K150" s="6"/>
    </row>
    <row r="151" spans="2:11" x14ac:dyDescent="0.25">
      <c r="B151" s="6"/>
      <c r="D151" s="6"/>
      <c r="E151" s="6"/>
      <c r="F151" s="6"/>
      <c r="G151" s="6"/>
      <c r="H151" s="6"/>
      <c r="I151" s="6"/>
      <c r="J151" s="6"/>
      <c r="K151" s="6"/>
    </row>
    <row r="152" spans="2:11" x14ac:dyDescent="0.25">
      <c r="B152" s="6"/>
      <c r="D152" s="6"/>
      <c r="E152" s="6"/>
      <c r="F152" s="6"/>
      <c r="G152" s="6"/>
      <c r="H152" s="6"/>
      <c r="I152" s="6"/>
      <c r="J152" s="6"/>
      <c r="K152" s="6"/>
    </row>
    <row r="153" spans="2:11" x14ac:dyDescent="0.25">
      <c r="B153" s="6"/>
      <c r="D153" s="6"/>
      <c r="E153" s="6"/>
      <c r="F153" s="6"/>
      <c r="G153" s="6"/>
      <c r="H153" s="6"/>
      <c r="I153" s="6"/>
      <c r="J153" s="6"/>
      <c r="K153" s="6"/>
    </row>
    <row r="154" spans="2:11" x14ac:dyDescent="0.25">
      <c r="B154" s="6"/>
      <c r="D154" s="6"/>
      <c r="E154" s="6"/>
      <c r="F154" s="6"/>
      <c r="G154" s="6"/>
      <c r="H154" s="6"/>
      <c r="I154" s="6"/>
      <c r="J154" s="6"/>
      <c r="K154" s="6"/>
    </row>
    <row r="155" spans="2:11" x14ac:dyDescent="0.25">
      <c r="B155" s="6"/>
      <c r="D155" s="6"/>
      <c r="E155" s="6"/>
      <c r="F155" s="6"/>
      <c r="G155" s="6"/>
      <c r="H155" s="6"/>
      <c r="I155" s="6"/>
      <c r="J155" s="6"/>
      <c r="K155" s="6"/>
    </row>
    <row r="156" spans="2:11" x14ac:dyDescent="0.25">
      <c r="B156" s="6"/>
      <c r="D156" s="6"/>
      <c r="E156" s="6"/>
      <c r="F156" s="6"/>
      <c r="G156" s="6"/>
      <c r="H156" s="6"/>
      <c r="I156" s="6"/>
      <c r="J156" s="6"/>
      <c r="K156" s="6"/>
    </row>
    <row r="157" spans="2:11" x14ac:dyDescent="0.25">
      <c r="B157" s="6"/>
      <c r="D157" s="6"/>
      <c r="E157" s="6"/>
      <c r="F157" s="6"/>
      <c r="G157" s="6"/>
      <c r="H157" s="6"/>
      <c r="I157" s="6"/>
      <c r="J157" s="6"/>
      <c r="K157" s="6"/>
    </row>
    <row r="158" spans="2:11" x14ac:dyDescent="0.25">
      <c r="B158" s="6"/>
      <c r="D158" s="6"/>
      <c r="E158" s="6"/>
      <c r="F158" s="6"/>
      <c r="G158" s="6"/>
      <c r="H158" s="6"/>
      <c r="I158" s="6"/>
      <c r="J158" s="6"/>
      <c r="K158" s="6"/>
    </row>
    <row r="159" spans="2:11" x14ac:dyDescent="0.25">
      <c r="B159" s="6"/>
      <c r="D159" s="6"/>
      <c r="E159" s="6"/>
      <c r="F159" s="6"/>
      <c r="G159" s="6"/>
      <c r="H159" s="6"/>
      <c r="I159" s="6"/>
      <c r="J159" s="6"/>
      <c r="K159" s="6"/>
    </row>
    <row r="160" spans="2:11" x14ac:dyDescent="0.25">
      <c r="B160" s="6"/>
      <c r="D160" s="6"/>
      <c r="E160" s="6"/>
      <c r="F160" s="6"/>
      <c r="G160" s="6"/>
      <c r="H160" s="6"/>
      <c r="I160" s="6"/>
      <c r="J160" s="6"/>
      <c r="K160" s="6"/>
    </row>
    <row r="161" spans="2:11" x14ac:dyDescent="0.25">
      <c r="B161" s="6"/>
      <c r="D161" s="6"/>
      <c r="E161" s="6"/>
      <c r="F161" s="6"/>
      <c r="G161" s="6"/>
      <c r="H161" s="6"/>
      <c r="I161" s="6"/>
      <c r="J161" s="6"/>
      <c r="K161" s="6"/>
    </row>
    <row r="162" spans="2:11" x14ac:dyDescent="0.25">
      <c r="B162" s="6"/>
      <c r="D162" s="6"/>
      <c r="E162" s="6"/>
      <c r="F162" s="6"/>
      <c r="G162" s="6"/>
      <c r="H162" s="6"/>
      <c r="I162" s="6"/>
      <c r="J162" s="6"/>
      <c r="K162" s="6"/>
    </row>
    <row r="163" spans="2:11" x14ac:dyDescent="0.25">
      <c r="B163" s="6"/>
      <c r="D163" s="6"/>
      <c r="E163" s="6"/>
      <c r="F163" s="6"/>
      <c r="G163" s="6"/>
      <c r="H163" s="6"/>
      <c r="I163" s="6"/>
      <c r="J163" s="6"/>
      <c r="K163" s="6"/>
    </row>
    <row r="164" spans="2:11" x14ac:dyDescent="0.25">
      <c r="B164" s="6"/>
      <c r="D164" s="6"/>
      <c r="E164" s="6"/>
      <c r="F164" s="6"/>
      <c r="G164" s="6"/>
      <c r="H164" s="6"/>
      <c r="I164" s="6"/>
      <c r="J164" s="6"/>
      <c r="K164" s="6"/>
    </row>
    <row r="165" spans="2:11" x14ac:dyDescent="0.25">
      <c r="B165" s="6"/>
      <c r="D165" s="6"/>
      <c r="E165" s="6"/>
      <c r="F165" s="6"/>
      <c r="G165" s="6"/>
      <c r="H165" s="6"/>
      <c r="I165" s="6"/>
      <c r="J165" s="6"/>
      <c r="K165" s="6"/>
    </row>
    <row r="166" spans="2:11" x14ac:dyDescent="0.25">
      <c r="B166" s="6"/>
      <c r="D166" s="6"/>
      <c r="E166" s="6"/>
      <c r="F166" s="6"/>
      <c r="G166" s="6"/>
      <c r="H166" s="6"/>
      <c r="I166" s="6"/>
      <c r="J166" s="6"/>
      <c r="K166" s="6"/>
    </row>
    <row r="167" spans="2:11" x14ac:dyDescent="0.25">
      <c r="B167" s="6"/>
      <c r="D167" s="6"/>
      <c r="E167" s="6"/>
      <c r="F167" s="6"/>
      <c r="G167" s="6"/>
      <c r="H167" s="6"/>
      <c r="I167" s="6"/>
      <c r="J167" s="6"/>
      <c r="K167" s="6"/>
    </row>
    <row r="168" spans="2:11" x14ac:dyDescent="0.25">
      <c r="B168" s="6"/>
      <c r="D168" s="6"/>
      <c r="E168" s="6"/>
      <c r="F168" s="6"/>
      <c r="G168" s="6"/>
      <c r="H168" s="6"/>
      <c r="I168" s="6"/>
      <c r="J168" s="6"/>
      <c r="K168" s="6"/>
    </row>
    <row r="169" spans="2:11" x14ac:dyDescent="0.25">
      <c r="B169" s="6"/>
      <c r="D169" s="6"/>
      <c r="E169" s="6"/>
      <c r="F169" s="6"/>
      <c r="G169" s="6"/>
      <c r="H169" s="6"/>
      <c r="I169" s="6"/>
      <c r="J169" s="6"/>
      <c r="K169" s="6"/>
    </row>
    <row r="170" spans="2:11" x14ac:dyDescent="0.25">
      <c r="B170" s="6"/>
      <c r="D170" s="6"/>
      <c r="E170" s="6"/>
      <c r="F170" s="6"/>
      <c r="G170" s="6"/>
      <c r="H170" s="6"/>
      <c r="I170" s="6"/>
      <c r="J170" s="6"/>
      <c r="K170" s="6"/>
    </row>
    <row r="171" spans="2:11" x14ac:dyDescent="0.25">
      <c r="B171" s="6"/>
      <c r="D171" s="6"/>
      <c r="E171" s="6"/>
      <c r="F171" s="6"/>
      <c r="G171" s="6"/>
      <c r="H171" s="6"/>
      <c r="I171" s="6"/>
      <c r="J171" s="6"/>
      <c r="K171" s="6"/>
    </row>
    <row r="172" spans="2:11" x14ac:dyDescent="0.25">
      <c r="B172" s="6"/>
      <c r="D172" s="6"/>
      <c r="E172" s="6"/>
      <c r="F172" s="6"/>
      <c r="G172" s="6"/>
      <c r="H172" s="6"/>
      <c r="I172" s="6"/>
      <c r="J172" s="6"/>
      <c r="K172" s="6"/>
    </row>
    <row r="173" spans="2:11" x14ac:dyDescent="0.25">
      <c r="B173" s="6"/>
      <c r="D173" s="6"/>
      <c r="E173" s="6"/>
      <c r="F173" s="6"/>
      <c r="G173" s="6"/>
      <c r="H173" s="6"/>
      <c r="I173" s="6"/>
      <c r="J173" s="6"/>
      <c r="K173" s="6"/>
    </row>
    <row r="174" spans="2:11" x14ac:dyDescent="0.25">
      <c r="B174" s="6"/>
      <c r="D174" s="6"/>
      <c r="E174" s="6"/>
      <c r="F174" s="6"/>
      <c r="G174" s="6"/>
      <c r="H174" s="6"/>
      <c r="I174" s="6"/>
      <c r="J174" s="6"/>
      <c r="K174" s="6"/>
    </row>
    <row r="175" spans="2:11" x14ac:dyDescent="0.25">
      <c r="B175" s="6"/>
      <c r="D175" s="6"/>
      <c r="E175" s="6"/>
      <c r="F175" s="6"/>
      <c r="G175" s="6"/>
      <c r="H175" s="6"/>
      <c r="I175" s="6"/>
      <c r="J175" s="6"/>
      <c r="K175" s="6"/>
    </row>
    <row r="176" spans="2:11" x14ac:dyDescent="0.25">
      <c r="B176" s="6"/>
      <c r="D176" s="6"/>
      <c r="E176" s="6"/>
      <c r="F176" s="6"/>
      <c r="G176" s="6"/>
      <c r="H176" s="6"/>
      <c r="I176" s="6"/>
      <c r="J176" s="6"/>
      <c r="K176" s="6"/>
    </row>
    <row r="177" spans="2:11" x14ac:dyDescent="0.25">
      <c r="B177" s="6"/>
      <c r="D177" s="6"/>
      <c r="E177" s="6"/>
      <c r="F177" s="6"/>
      <c r="G177" s="6"/>
      <c r="H177" s="6"/>
      <c r="I177" s="6"/>
      <c r="J177" s="6"/>
      <c r="K177" s="6"/>
    </row>
    <row r="178" spans="2:11" x14ac:dyDescent="0.25">
      <c r="B178" s="6"/>
      <c r="D178" s="6"/>
      <c r="E178" s="6"/>
      <c r="F178" s="6"/>
      <c r="G178" s="6"/>
      <c r="H178" s="6"/>
      <c r="I178" s="6"/>
      <c r="J178" s="6"/>
      <c r="K178" s="6"/>
    </row>
    <row r="179" spans="2:11" x14ac:dyDescent="0.25">
      <c r="B179" s="6"/>
      <c r="D179" s="6"/>
      <c r="E179" s="6"/>
      <c r="F179" s="6"/>
      <c r="G179" s="6"/>
      <c r="H179" s="6"/>
      <c r="I179" s="6"/>
      <c r="J179" s="6"/>
      <c r="K179" s="6"/>
    </row>
  </sheetData>
  <sheetProtection insertRows="0"/>
  <mergeCells count="25">
    <mergeCell ref="A1:P1"/>
    <mergeCell ref="A2:P2"/>
    <mergeCell ref="A3:P3"/>
    <mergeCell ref="A4:D4"/>
    <mergeCell ref="A5:P5"/>
    <mergeCell ref="B60:E61"/>
    <mergeCell ref="B67:B75"/>
    <mergeCell ref="B77:B83"/>
    <mergeCell ref="B84:B97"/>
    <mergeCell ref="D15:K15"/>
    <mergeCell ref="D23:K23"/>
    <mergeCell ref="D24:K24"/>
    <mergeCell ref="D25:K25"/>
    <mergeCell ref="D34:K34"/>
    <mergeCell ref="D35:K35"/>
    <mergeCell ref="B37:E37"/>
    <mergeCell ref="B38:B44"/>
    <mergeCell ref="B46:E46"/>
    <mergeCell ref="B47:B53"/>
    <mergeCell ref="B15:B25"/>
    <mergeCell ref="B10:D10"/>
    <mergeCell ref="F10:S10"/>
    <mergeCell ref="F11:S11"/>
    <mergeCell ref="E12:R12"/>
    <mergeCell ref="E13:R13"/>
  </mergeCells>
  <conditionalFormatting sqref="F10">
    <cfRule type="notContainsBlanks" dxfId="70" priority="4">
      <formula>LEN(TRIM(F10))&gt;0</formula>
    </cfRule>
  </conditionalFormatting>
  <conditionalFormatting sqref="F11:S11">
    <cfRule type="expression" dxfId="69" priority="2">
      <formula>E11="NO SE REPORTA"</formula>
    </cfRule>
    <cfRule type="expression" dxfId="68" priority="3">
      <formula>E10="NO APLICA"</formula>
    </cfRule>
  </conditionalFormatting>
  <conditionalFormatting sqref="E12:R12">
    <cfRule type="expression" dxfId="67" priority="1">
      <formula>E11="SI SE REPORTA"</formula>
    </cfRule>
  </conditionalFormatting>
  <dataValidations count="4">
    <dataValidation type="whole" operator="greaterThanOrEqual" allowBlank="1" showInputMessage="1" showErrorMessage="1" errorTitle="ERROR" error="Valor en PESOS (sin centavos)" sqref="G31:J32 G27:J29" xr:uid="{00000000-0002-0000-1900-000000000000}">
      <formula1>0</formula1>
    </dataValidation>
    <dataValidation type="whole" operator="greaterThanOrEqual" allowBlank="1" showInputMessage="1" showErrorMessage="1" errorTitle="ERROR" error="Valor en HECTAREAS (sin decimales)" sqref="F31:F32 E17:H20 F27:F29" xr:uid="{00000000-0002-0000-1900-000001000000}">
      <formula1>0</formula1>
    </dataValidation>
    <dataValidation type="list" allowBlank="1" showInputMessage="1" showErrorMessage="1" sqref="E11" xr:uid="{00000000-0002-0000-1900-000002000000}">
      <formula1>REPORTE</formula1>
    </dataValidation>
    <dataValidation type="list" allowBlank="1" showInputMessage="1" showErrorMessage="1" sqref="E10" xr:uid="{00000000-0002-0000-1900-000003000000}">
      <formula1>SI</formula1>
    </dataValidation>
  </dataValidations>
  <hyperlinks>
    <hyperlink ref="B9" location="'ANEXO 3'!A1" display="VOLVER AL INDICE" xr:uid="{00000000-0004-0000-1900-000000000000}"/>
    <hyperlink ref="E42" r:id="rId1" xr:uid="{00000000-0004-0000-1900-000001000000}"/>
  </hyperlinks>
  <pageMargins left="0.25" right="0.25" top="0.75" bottom="0.75" header="0.3" footer="0.3"/>
  <pageSetup paperSize="178"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6"/>
  <dimension ref="A1:U187"/>
  <sheetViews>
    <sheetView showGridLines="0" topLeftCell="A32" zoomScale="70" zoomScaleNormal="70" workbookViewId="0">
      <selection activeCell="J44" sqref="J44"/>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5" customWidth="1"/>
    <col min="10" max="10" width="33.140625" customWidth="1"/>
  </cols>
  <sheetData>
    <row r="1" spans="1:21" s="538" customFormat="1" ht="100.5" customHeight="1" thickBot="1" x14ac:dyDescent="0.3">
      <c r="A1" s="1733"/>
      <c r="B1" s="1734"/>
      <c r="C1" s="1734"/>
      <c r="D1" s="1734"/>
      <c r="E1" s="1734"/>
      <c r="F1" s="1734"/>
      <c r="G1" s="1734"/>
      <c r="H1" s="1734"/>
      <c r="I1" s="1734"/>
      <c r="J1" s="1734"/>
      <c r="K1" s="1734"/>
      <c r="L1" s="1734"/>
      <c r="M1" s="1734"/>
      <c r="N1" s="1734"/>
      <c r="O1" s="1734"/>
      <c r="P1" s="1735"/>
      <c r="Q1" s="412"/>
      <c r="R1" s="412"/>
    </row>
    <row r="2" spans="1:21" s="539" customFormat="1" ht="16.5" thickBot="1" x14ac:dyDescent="0.3">
      <c r="A2" s="1741" t="str">
        <f>'Datos Generales'!C5</f>
        <v>Corporación Autónoma Regional de La Guajira – CORPOGUAJIRA</v>
      </c>
      <c r="B2" s="1742"/>
      <c r="C2" s="1742"/>
      <c r="D2" s="1742"/>
      <c r="E2" s="1742"/>
      <c r="F2" s="1742"/>
      <c r="G2" s="1742"/>
      <c r="H2" s="1742"/>
      <c r="I2" s="1742"/>
      <c r="J2" s="1742"/>
      <c r="K2" s="1742"/>
      <c r="L2" s="1742"/>
      <c r="M2" s="1742"/>
      <c r="N2" s="1742"/>
      <c r="O2" s="1742"/>
      <c r="P2" s="1743"/>
      <c r="Q2" s="412"/>
      <c r="R2" s="412"/>
    </row>
    <row r="3" spans="1:21" s="539" customFormat="1" ht="16.5" thickBot="1" x14ac:dyDescent="0.3">
      <c r="A3" s="1736" t="s">
        <v>1347</v>
      </c>
      <c r="B3" s="1737"/>
      <c r="C3" s="1737"/>
      <c r="D3" s="1737"/>
      <c r="E3" s="1737"/>
      <c r="F3" s="1737"/>
      <c r="G3" s="1737"/>
      <c r="H3" s="1737"/>
      <c r="I3" s="1737"/>
      <c r="J3" s="1737"/>
      <c r="K3" s="1737"/>
      <c r="L3" s="1737"/>
      <c r="M3" s="1737"/>
      <c r="N3" s="1737"/>
      <c r="O3" s="1737"/>
      <c r="P3" s="1738"/>
      <c r="Q3" s="412"/>
      <c r="R3" s="412"/>
    </row>
    <row r="4" spans="1:21" s="539" customFormat="1" ht="16.5" thickBot="1" x14ac:dyDescent="0.3">
      <c r="A4" s="1739" t="s">
        <v>1346</v>
      </c>
      <c r="B4" s="1740"/>
      <c r="C4" s="1740"/>
      <c r="D4" s="1740"/>
      <c r="E4" s="579" t="str">
        <f>'Datos Generales'!C6</f>
        <v>2021-I</v>
      </c>
      <c r="F4" s="579"/>
      <c r="G4" s="579"/>
      <c r="H4" s="579"/>
      <c r="I4" s="579"/>
      <c r="J4" s="579"/>
      <c r="K4" s="579"/>
      <c r="L4" s="581"/>
      <c r="M4" s="581"/>
      <c r="N4" s="581"/>
      <c r="O4" s="581"/>
      <c r="P4" s="582"/>
      <c r="Q4" s="412"/>
      <c r="R4" s="412"/>
    </row>
    <row r="5" spans="1:21" s="245" customFormat="1" ht="16.5" customHeight="1" thickBot="1" x14ac:dyDescent="0.3">
      <c r="A5" s="1736" t="s">
        <v>585</v>
      </c>
      <c r="B5" s="1737"/>
      <c r="C5" s="1737"/>
      <c r="D5" s="1737"/>
      <c r="E5" s="1737"/>
      <c r="F5" s="1737"/>
      <c r="G5" s="1737"/>
      <c r="H5" s="1737"/>
      <c r="I5" s="1737"/>
      <c r="J5" s="1737"/>
      <c r="K5" s="1737"/>
      <c r="L5" s="1737"/>
      <c r="M5" s="1737"/>
      <c r="N5" s="1737"/>
      <c r="O5" s="1737"/>
      <c r="P5" s="1738"/>
    </row>
    <row r="6" spans="1:21" x14ac:dyDescent="0.25">
      <c r="B6" s="2" t="s">
        <v>1</v>
      </c>
      <c r="C6" s="76"/>
      <c r="D6" s="6"/>
      <c r="E6" s="74"/>
      <c r="F6" s="6" t="s">
        <v>128</v>
      </c>
      <c r="G6" s="6"/>
      <c r="H6" s="6"/>
      <c r="I6" s="6"/>
      <c r="J6" s="6"/>
      <c r="K6" s="6"/>
    </row>
    <row r="7" spans="1:21" ht="15.75" thickBot="1" x14ac:dyDescent="0.3">
      <c r="B7" s="75"/>
      <c r="C7" s="77"/>
      <c r="D7" s="6"/>
      <c r="E7" s="18"/>
      <c r="F7" s="6" t="s">
        <v>129</v>
      </c>
      <c r="G7" s="6"/>
      <c r="H7" s="6"/>
      <c r="I7" s="6"/>
      <c r="J7" s="6"/>
      <c r="K7" s="6"/>
    </row>
    <row r="8" spans="1:21" ht="15.75" thickBot="1" x14ac:dyDescent="0.3">
      <c r="B8" s="177" t="s">
        <v>1185</v>
      </c>
      <c r="C8" s="222">
        <v>2021</v>
      </c>
      <c r="D8" s="226">
        <f>IF(E10="NO APLICA","NO APLICA",IF(E11="NO SE REPORTA","SIN INFORMACION",+I39))</f>
        <v>0.36249999999999999</v>
      </c>
      <c r="E8" s="223"/>
      <c r="F8" s="6" t="s">
        <v>130</v>
      </c>
      <c r="G8" s="6"/>
      <c r="H8" s="6"/>
      <c r="I8" s="6"/>
      <c r="J8" s="6"/>
      <c r="K8" s="6"/>
    </row>
    <row r="9" spans="1:21" x14ac:dyDescent="0.25">
      <c r="B9" s="493" t="s">
        <v>1186</v>
      </c>
      <c r="D9" s="6"/>
      <c r="E9" s="6"/>
      <c r="F9" s="6"/>
      <c r="G9" s="6"/>
      <c r="H9" s="6"/>
      <c r="I9" s="6"/>
      <c r="J9" s="6"/>
      <c r="K9" s="6"/>
    </row>
    <row r="10" spans="1:21" s="412" customFormat="1" x14ac:dyDescent="0.25">
      <c r="A10" s="245"/>
      <c r="B10" s="1789" t="s">
        <v>1241</v>
      </c>
      <c r="C10" s="1789"/>
      <c r="D10" s="1789"/>
      <c r="E10" s="499" t="s">
        <v>1238</v>
      </c>
      <c r="F10" s="17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96"/>
      <c r="H10" s="1796"/>
      <c r="I10" s="1796"/>
      <c r="J10" s="1796"/>
      <c r="K10" s="1796"/>
      <c r="L10" s="1796"/>
      <c r="M10" s="1796"/>
      <c r="N10" s="1796"/>
      <c r="O10" s="1796"/>
      <c r="P10" s="1796"/>
      <c r="Q10" s="1796"/>
      <c r="R10" s="1796"/>
      <c r="S10" s="1796"/>
      <c r="T10" s="495"/>
      <c r="U10" s="495"/>
    </row>
    <row r="11" spans="1:21" s="412" customFormat="1" ht="14.45" customHeight="1" x14ac:dyDescent="0.25">
      <c r="A11" s="245"/>
      <c r="B11" s="496"/>
      <c r="C11" s="497"/>
      <c r="D11" s="498" t="str">
        <f>IF(E10="SI APLICA","¿El indicador no se reporta por limitaciones de información disponible? ","")</f>
        <v xml:space="preserve">¿El indicador no se reporta por limitaciones de información disponible? </v>
      </c>
      <c r="E11" s="500" t="s">
        <v>1240</v>
      </c>
      <c r="F11" s="1790"/>
      <c r="G11" s="1791"/>
      <c r="H11" s="1791"/>
      <c r="I11" s="1791"/>
      <c r="J11" s="1791"/>
      <c r="K11" s="1791"/>
      <c r="L11" s="1791"/>
      <c r="M11" s="1791"/>
      <c r="N11" s="1791"/>
      <c r="O11" s="1791"/>
      <c r="P11" s="1791"/>
      <c r="Q11" s="1791"/>
      <c r="R11" s="1791"/>
      <c r="S11" s="1791"/>
    </row>
    <row r="12" spans="1:21" s="412" customFormat="1" ht="23.45" customHeight="1" x14ac:dyDescent="0.25">
      <c r="A12" s="245"/>
      <c r="B12" s="493"/>
      <c r="C12" s="304"/>
      <c r="D12" s="498" t="str">
        <f>IF(E11="SI SE REPORTA","¿Qué programas o proyectos del Plan de Acción están asociados al indicador? ","")</f>
        <v xml:space="preserve">¿Qué programas o proyectos del Plan de Acción están asociados al indicador? </v>
      </c>
      <c r="E12" s="1799" t="str">
        <f>+'Anexo 1 Matriz Inf Gestión'!A75</f>
        <v>Proyecto No 3.2. Ecosistemas marino costeros.</v>
      </c>
      <c r="F12" s="1799"/>
      <c r="G12" s="1799"/>
      <c r="H12" s="1799"/>
      <c r="I12" s="1799"/>
      <c r="J12" s="1799"/>
      <c r="K12" s="1799"/>
      <c r="L12" s="1799"/>
      <c r="M12" s="1799"/>
      <c r="N12" s="1799"/>
      <c r="O12" s="1799"/>
      <c r="P12" s="1799"/>
      <c r="Q12" s="1799"/>
      <c r="R12" s="1799"/>
    </row>
    <row r="13" spans="1:21" s="412" customFormat="1" ht="21.95" customHeight="1" x14ac:dyDescent="0.25">
      <c r="A13" s="245"/>
      <c r="B13" s="493"/>
      <c r="C13" s="304"/>
      <c r="D13" s="498" t="s">
        <v>1243</v>
      </c>
      <c r="E13" s="1792" t="s">
        <v>3057</v>
      </c>
      <c r="F13" s="1793"/>
      <c r="G13" s="1793"/>
      <c r="H13" s="1793"/>
      <c r="I13" s="1793"/>
      <c r="J13" s="1793"/>
      <c r="K13" s="1793"/>
      <c r="L13" s="1793"/>
      <c r="M13" s="1793"/>
      <c r="N13" s="1793"/>
      <c r="O13" s="1793"/>
      <c r="P13" s="1793"/>
      <c r="Q13" s="1793"/>
      <c r="R13" s="1794"/>
    </row>
    <row r="14" spans="1:21" s="412" customFormat="1" ht="6.95" customHeight="1" thickBot="1" x14ac:dyDescent="0.3">
      <c r="B14" s="493"/>
      <c r="C14" s="87"/>
      <c r="D14" s="6"/>
      <c r="E14" s="6"/>
      <c r="F14" s="6"/>
      <c r="G14" s="6"/>
      <c r="H14" s="6"/>
      <c r="I14" s="6"/>
      <c r="J14" s="6"/>
      <c r="K14" s="6"/>
    </row>
    <row r="15" spans="1:21" ht="15" customHeight="1" thickTop="1" x14ac:dyDescent="0.25">
      <c r="B15" s="1835" t="s">
        <v>2</v>
      </c>
      <c r="C15" s="89"/>
      <c r="D15" s="1837" t="s">
        <v>336</v>
      </c>
      <c r="E15" s="1838"/>
      <c r="F15" s="1838"/>
      <c r="G15" s="1838"/>
      <c r="H15" s="1838"/>
      <c r="I15" s="1838"/>
      <c r="J15" s="1838"/>
      <c r="K15" s="1839"/>
    </row>
    <row r="16" spans="1:21" ht="15.75" thickBot="1" x14ac:dyDescent="0.3">
      <c r="B16" s="1836"/>
      <c r="C16" s="92"/>
      <c r="D16" s="1978" t="s">
        <v>616</v>
      </c>
      <c r="E16" s="1979"/>
      <c r="F16" s="1979"/>
      <c r="G16" s="1979"/>
      <c r="H16" s="1979"/>
      <c r="I16" s="1979"/>
      <c r="J16" s="1979"/>
      <c r="K16" s="1980"/>
    </row>
    <row r="17" spans="2:11" ht="15.75" thickBot="1" x14ac:dyDescent="0.3">
      <c r="B17" s="1836"/>
      <c r="C17" s="90" t="s">
        <v>19</v>
      </c>
      <c r="D17" s="39" t="s">
        <v>253</v>
      </c>
      <c r="E17" s="39" t="s">
        <v>20</v>
      </c>
      <c r="F17" s="39" t="s">
        <v>21</v>
      </c>
      <c r="G17" s="39" t="s">
        <v>22</v>
      </c>
      <c r="H17" s="39" t="s">
        <v>23</v>
      </c>
      <c r="I17" s="39" t="s">
        <v>254</v>
      </c>
      <c r="K17" s="22"/>
    </row>
    <row r="18" spans="2:11" ht="24.75" thickBot="1" x14ac:dyDescent="0.3">
      <c r="B18" s="1836"/>
      <c r="C18" s="91" t="s">
        <v>152</v>
      </c>
      <c r="D18" s="41" t="s">
        <v>617</v>
      </c>
      <c r="E18" s="7">
        <v>20</v>
      </c>
      <c r="F18" s="7">
        <v>40</v>
      </c>
      <c r="G18" s="7">
        <v>60</v>
      </c>
      <c r="H18" s="7">
        <v>80</v>
      </c>
      <c r="I18" s="42">
        <f>SUM(E18:H18)</f>
        <v>200</v>
      </c>
      <c r="K18" s="22"/>
    </row>
    <row r="19" spans="2:11" ht="15.75" thickBot="1" x14ac:dyDescent="0.3">
      <c r="B19" s="1836"/>
      <c r="C19" s="92"/>
      <c r="D19" s="1881" t="s">
        <v>618</v>
      </c>
      <c r="E19" s="1882"/>
      <c r="F19" s="1882"/>
      <c r="G19" s="1882"/>
      <c r="H19" s="1882"/>
      <c r="I19" s="1882"/>
      <c r="J19" s="1882"/>
      <c r="K19" s="1883"/>
    </row>
    <row r="20" spans="2:11" ht="15" customHeight="1" thickBot="1" x14ac:dyDescent="0.3">
      <c r="B20" s="436"/>
      <c r="C20" s="1944" t="s">
        <v>19</v>
      </c>
      <c r="D20" s="1826" t="s">
        <v>270</v>
      </c>
      <c r="E20" s="1826" t="s">
        <v>619</v>
      </c>
      <c r="F20" s="1832" t="s">
        <v>620</v>
      </c>
      <c r="G20" s="1833"/>
      <c r="H20" s="1833"/>
      <c r="I20" s="1833"/>
      <c r="J20" s="1834"/>
      <c r="K20" s="116"/>
    </row>
    <row r="21" spans="2:11" ht="34.5" thickBot="1" x14ac:dyDescent="0.3">
      <c r="B21" s="436"/>
      <c r="C21" s="1945"/>
      <c r="D21" s="1828"/>
      <c r="E21" s="1828"/>
      <c r="F21" s="65" t="s">
        <v>621</v>
      </c>
      <c r="G21" s="65" t="s">
        <v>622</v>
      </c>
      <c r="H21" s="65" t="s">
        <v>623</v>
      </c>
      <c r="I21" s="65" t="s">
        <v>624</v>
      </c>
      <c r="J21" s="65" t="s">
        <v>55</v>
      </c>
      <c r="K21" s="117"/>
    </row>
    <row r="22" spans="2:11" ht="157.5" customHeight="1" thickBot="1" x14ac:dyDescent="0.3">
      <c r="B22" s="436"/>
      <c r="C22" s="31"/>
      <c r="D22" s="1354" t="s">
        <v>3316</v>
      </c>
      <c r="E22" s="986" t="s">
        <v>3317</v>
      </c>
      <c r="F22" s="1355">
        <v>0</v>
      </c>
      <c r="G22" s="1356">
        <v>0.4</v>
      </c>
      <c r="H22" s="1357">
        <v>0.2</v>
      </c>
      <c r="I22" s="147">
        <f>+G22*H22</f>
        <v>8.0000000000000016E-2</v>
      </c>
      <c r="J22" s="1388" t="s">
        <v>3370</v>
      </c>
      <c r="K22" s="117"/>
    </row>
    <row r="23" spans="2:11" ht="60.75" thickBot="1" x14ac:dyDescent="0.3">
      <c r="B23" s="436"/>
      <c r="C23" s="379"/>
      <c r="D23" s="1358" t="s">
        <v>2853</v>
      </c>
      <c r="E23" s="986" t="s">
        <v>3317</v>
      </c>
      <c r="F23" s="1359">
        <v>0</v>
      </c>
      <c r="G23" s="1360">
        <v>0</v>
      </c>
      <c r="H23" s="1361">
        <v>0</v>
      </c>
      <c r="I23" s="147">
        <f t="shared" ref="I23:I38" si="0">+G23*H23</f>
        <v>0</v>
      </c>
      <c r="J23" s="981" t="s">
        <v>3371</v>
      </c>
      <c r="K23" s="117"/>
    </row>
    <row r="24" spans="2:11" ht="84.75" customHeight="1" thickBot="1" x14ac:dyDescent="0.3">
      <c r="B24" s="436"/>
      <c r="C24" s="379"/>
      <c r="D24" s="1362" t="s">
        <v>2854</v>
      </c>
      <c r="E24" s="986"/>
      <c r="F24" s="1363">
        <v>0</v>
      </c>
      <c r="G24" s="1364">
        <v>0.3</v>
      </c>
      <c r="H24" s="1365">
        <v>0.03</v>
      </c>
      <c r="I24" s="147">
        <f t="shared" si="0"/>
        <v>8.9999999999999993E-3</v>
      </c>
      <c r="J24" s="1389" t="s">
        <v>3372</v>
      </c>
      <c r="K24" s="117"/>
    </row>
    <row r="25" spans="2:11" ht="136.5" customHeight="1" thickBot="1" x14ac:dyDescent="0.3">
      <c r="B25" s="436"/>
      <c r="C25" s="379"/>
      <c r="D25" s="982" t="s">
        <v>2855</v>
      </c>
      <c r="E25" s="986" t="s">
        <v>3318</v>
      </c>
      <c r="F25" s="1366">
        <v>0</v>
      </c>
      <c r="G25" s="1367">
        <v>0.5</v>
      </c>
      <c r="H25" s="1368">
        <v>0.03</v>
      </c>
      <c r="I25" s="147">
        <f t="shared" si="0"/>
        <v>1.4999999999999999E-2</v>
      </c>
      <c r="J25" s="987" t="s">
        <v>3373</v>
      </c>
      <c r="K25" s="117"/>
    </row>
    <row r="26" spans="2:11" ht="84.75" thickBot="1" x14ac:dyDescent="0.3">
      <c r="B26" s="436"/>
      <c r="C26" s="379"/>
      <c r="D26" s="1369"/>
      <c r="E26" s="986" t="s">
        <v>3319</v>
      </c>
      <c r="F26" s="1366">
        <v>0</v>
      </c>
      <c r="G26" s="409">
        <v>0</v>
      </c>
      <c r="H26" s="1370">
        <v>0</v>
      </c>
      <c r="I26" s="147">
        <f t="shared" si="0"/>
        <v>0</v>
      </c>
      <c r="J26" s="984" t="s">
        <v>3374</v>
      </c>
      <c r="K26" s="117"/>
    </row>
    <row r="27" spans="2:11" s="757" customFormat="1" ht="60.75" customHeight="1" thickBot="1" x14ac:dyDescent="0.3">
      <c r="B27" s="974"/>
      <c r="C27" s="379"/>
      <c r="D27" s="1371"/>
      <c r="E27" s="986" t="s">
        <v>3320</v>
      </c>
      <c r="F27" s="1372">
        <v>0</v>
      </c>
      <c r="G27" s="1373">
        <v>0.33</v>
      </c>
      <c r="H27" s="1374">
        <v>0.2</v>
      </c>
      <c r="I27" s="147">
        <f t="shared" si="0"/>
        <v>6.6000000000000003E-2</v>
      </c>
      <c r="J27" s="989" t="s">
        <v>3375</v>
      </c>
      <c r="K27" s="117"/>
    </row>
    <row r="28" spans="2:11" s="757" customFormat="1" ht="72.75" thickBot="1" x14ac:dyDescent="0.3">
      <c r="B28" s="974"/>
      <c r="C28" s="379"/>
      <c r="D28" s="1371"/>
      <c r="E28" s="1375" t="s">
        <v>3321</v>
      </c>
      <c r="F28" s="1372">
        <v>0</v>
      </c>
      <c r="G28" s="409">
        <v>0.33</v>
      </c>
      <c r="H28" s="1374">
        <v>0.05</v>
      </c>
      <c r="I28" s="147">
        <f t="shared" si="0"/>
        <v>1.6500000000000001E-2</v>
      </c>
      <c r="J28" s="989" t="s">
        <v>3376</v>
      </c>
      <c r="K28" s="117"/>
    </row>
    <row r="29" spans="2:11" s="757" customFormat="1" ht="36.75" customHeight="1" thickBot="1" x14ac:dyDescent="0.3">
      <c r="B29" s="974"/>
      <c r="C29" s="379"/>
      <c r="D29" s="1376" t="s">
        <v>2858</v>
      </c>
      <c r="E29" s="1981" t="s">
        <v>3322</v>
      </c>
      <c r="F29" s="1377"/>
      <c r="G29" s="1378"/>
      <c r="H29" s="1379"/>
      <c r="I29" s="147"/>
      <c r="J29" s="988" t="s">
        <v>2856</v>
      </c>
      <c r="K29" s="117"/>
    </row>
    <row r="30" spans="2:11" s="757" customFormat="1" ht="18.75" thickBot="1" x14ac:dyDescent="0.3">
      <c r="B30" s="974"/>
      <c r="C30" s="379"/>
      <c r="D30" s="1380" t="s">
        <v>2859</v>
      </c>
      <c r="E30" s="1982"/>
      <c r="F30" s="1381"/>
      <c r="G30" s="1378"/>
      <c r="H30" s="1379"/>
      <c r="I30" s="147"/>
      <c r="J30" s="988" t="s">
        <v>2857</v>
      </c>
      <c r="K30" s="117"/>
    </row>
    <row r="31" spans="2:11" s="757" customFormat="1" ht="18.75" thickBot="1" x14ac:dyDescent="0.3">
      <c r="B31" s="974"/>
      <c r="C31" s="379"/>
      <c r="D31" s="1382" t="s">
        <v>2860</v>
      </c>
      <c r="E31" s="1983"/>
      <c r="F31" s="1381"/>
      <c r="G31" s="1378"/>
      <c r="H31" s="1379"/>
      <c r="I31" s="147"/>
      <c r="J31" s="988" t="s">
        <v>2856</v>
      </c>
      <c r="K31" s="117"/>
    </row>
    <row r="32" spans="2:11" s="757" customFormat="1" ht="127.5" customHeight="1" thickBot="1" x14ac:dyDescent="0.3">
      <c r="B32" s="974"/>
      <c r="C32" s="379"/>
      <c r="D32" s="1383" t="s">
        <v>2861</v>
      </c>
      <c r="E32" s="1384" t="s">
        <v>3323</v>
      </c>
      <c r="F32" s="1372">
        <v>0</v>
      </c>
      <c r="G32" s="409">
        <v>1</v>
      </c>
      <c r="H32" s="1193">
        <v>0.02</v>
      </c>
      <c r="I32" s="147">
        <f t="shared" si="0"/>
        <v>0.02</v>
      </c>
      <c r="J32" s="989" t="s">
        <v>3377</v>
      </c>
      <c r="K32" s="117"/>
    </row>
    <row r="33" spans="2:11" ht="138.75" customHeight="1" thickBot="1" x14ac:dyDescent="0.3">
      <c r="B33" s="436"/>
      <c r="C33" s="379"/>
      <c r="D33" s="1385" t="s">
        <v>2862</v>
      </c>
      <c r="E33" s="1386"/>
      <c r="F33" s="1387">
        <v>0</v>
      </c>
      <c r="G33" s="409">
        <v>0.3</v>
      </c>
      <c r="H33" s="1193">
        <v>0.12</v>
      </c>
      <c r="I33" s="147">
        <f t="shared" si="0"/>
        <v>3.5999999999999997E-2</v>
      </c>
      <c r="J33" s="990" t="s">
        <v>3378</v>
      </c>
      <c r="K33" s="117"/>
    </row>
    <row r="34" spans="2:11" ht="109.5" customHeight="1" thickBot="1" x14ac:dyDescent="0.3">
      <c r="B34" s="436"/>
      <c r="C34" s="379"/>
      <c r="D34" s="991" t="s">
        <v>2863</v>
      </c>
      <c r="E34" s="992" t="s">
        <v>2864</v>
      </c>
      <c r="F34" s="1192">
        <v>0</v>
      </c>
      <c r="G34" s="409">
        <v>1</v>
      </c>
      <c r="H34" s="1193">
        <v>0.12</v>
      </c>
      <c r="I34" s="147">
        <f t="shared" si="0"/>
        <v>0.12</v>
      </c>
      <c r="J34" s="989" t="s">
        <v>3379</v>
      </c>
      <c r="K34" s="117"/>
    </row>
    <row r="35" spans="2:11" s="757" customFormat="1" ht="72.75" thickBot="1" x14ac:dyDescent="0.3">
      <c r="B35" s="1120"/>
      <c r="C35" s="379"/>
      <c r="D35" s="1128" t="s">
        <v>2959</v>
      </c>
      <c r="E35" s="1191"/>
      <c r="F35" s="1192">
        <f ca="1">SUM(F36:F37)</f>
        <v>0</v>
      </c>
      <c r="G35" s="409"/>
      <c r="H35" s="1193">
        <v>0.05</v>
      </c>
      <c r="I35" s="147"/>
      <c r="J35" s="989" t="s">
        <v>3380</v>
      </c>
      <c r="K35" s="117"/>
    </row>
    <row r="36" spans="2:11" s="757" customFormat="1" ht="48.75" thickBot="1" x14ac:dyDescent="0.3">
      <c r="B36" s="1120"/>
      <c r="C36" s="379"/>
      <c r="D36" s="30" t="s">
        <v>480</v>
      </c>
      <c r="E36" s="1194"/>
      <c r="F36" s="983">
        <f ca="1">SUM(F37:F37)</f>
        <v>0</v>
      </c>
      <c r="G36" s="983"/>
      <c r="H36" s="1195">
        <v>0.1</v>
      </c>
      <c r="I36" s="147"/>
      <c r="J36" s="985" t="s">
        <v>3381</v>
      </c>
      <c r="K36" s="117"/>
    </row>
    <row r="37" spans="2:11" s="757" customFormat="1" ht="48.75" thickBot="1" x14ac:dyDescent="0.3">
      <c r="B37" s="1120"/>
      <c r="C37" s="379"/>
      <c r="D37" s="1196" t="s">
        <v>526</v>
      </c>
      <c r="E37" s="1197"/>
      <c r="F37" s="983">
        <f ca="1">SUM(F37:F38)</f>
        <v>0</v>
      </c>
      <c r="G37" s="983"/>
      <c r="H37" s="1195">
        <v>0.08</v>
      </c>
      <c r="I37" s="147"/>
      <c r="J37" s="985" t="s">
        <v>3381</v>
      </c>
      <c r="K37" s="117"/>
    </row>
    <row r="38" spans="2:11" ht="15.75" thickBot="1" x14ac:dyDescent="0.3">
      <c r="B38" s="436"/>
      <c r="C38" s="379"/>
      <c r="D38" s="31"/>
      <c r="E38" s="31"/>
      <c r="F38" s="32"/>
      <c r="G38" s="32"/>
      <c r="H38" s="32"/>
      <c r="I38" s="147">
        <f t="shared" si="0"/>
        <v>0</v>
      </c>
      <c r="J38" s="30"/>
      <c r="K38" s="117"/>
    </row>
    <row r="39" spans="2:11" ht="15.75" thickBot="1" x14ac:dyDescent="0.3">
      <c r="B39" s="436"/>
      <c r="C39" s="91"/>
      <c r="D39" s="40" t="s">
        <v>151</v>
      </c>
      <c r="E39" s="40"/>
      <c r="F39" s="40"/>
      <c r="G39" s="40"/>
      <c r="H39" s="207">
        <f>Formulas!D20</f>
        <v>1</v>
      </c>
      <c r="I39" s="147">
        <f>Formulas!E20</f>
        <v>0.36249999999999999</v>
      </c>
      <c r="J39" s="41"/>
      <c r="K39" s="118"/>
    </row>
    <row r="40" spans="2:11" ht="15.75" thickBot="1" x14ac:dyDescent="0.3">
      <c r="B40" s="437"/>
      <c r="C40" s="93"/>
      <c r="D40" s="1832" t="s">
        <v>627</v>
      </c>
      <c r="E40" s="1833"/>
      <c r="F40" s="1833"/>
      <c r="G40" s="1833"/>
      <c r="H40" s="1833"/>
      <c r="I40" s="1833"/>
      <c r="J40" s="1833"/>
      <c r="K40" s="1834"/>
    </row>
    <row r="41" spans="2:11" ht="24" customHeight="1" thickBot="1" x14ac:dyDescent="0.3">
      <c r="B41" s="47" t="s">
        <v>34</v>
      </c>
      <c r="C41" s="93"/>
      <c r="D41" s="1832" t="s">
        <v>628</v>
      </c>
      <c r="E41" s="1833"/>
      <c r="F41" s="1833"/>
      <c r="G41" s="1833"/>
      <c r="H41" s="1833"/>
      <c r="I41" s="1833"/>
      <c r="J41" s="1833"/>
      <c r="K41" s="1834"/>
    </row>
    <row r="42" spans="2:11" ht="36" customHeight="1" thickBot="1" x14ac:dyDescent="0.3">
      <c r="B42" s="47" t="s">
        <v>36</v>
      </c>
      <c r="C42" s="93"/>
      <c r="D42" s="1832" t="s">
        <v>629</v>
      </c>
      <c r="E42" s="1833"/>
      <c r="F42" s="1833"/>
      <c r="G42" s="1833"/>
      <c r="H42" s="1833"/>
      <c r="I42" s="1833"/>
      <c r="J42" s="1833"/>
      <c r="K42" s="1834"/>
    </row>
    <row r="43" spans="2:11" ht="15.75" thickBot="1" x14ac:dyDescent="0.3">
      <c r="B43" s="2"/>
      <c r="C43" s="76"/>
      <c r="D43" s="6"/>
      <c r="E43" s="6"/>
      <c r="F43" s="6"/>
      <c r="G43" s="6"/>
      <c r="H43" s="6"/>
      <c r="I43" s="6"/>
      <c r="J43" s="6"/>
      <c r="K43" s="6"/>
    </row>
    <row r="44" spans="2:11" ht="24" customHeight="1" thickBot="1" x14ac:dyDescent="0.3">
      <c r="B44" s="1829" t="s">
        <v>38</v>
      </c>
      <c r="C44" s="1830"/>
      <c r="D44" s="1830"/>
      <c r="E44" s="1831"/>
      <c r="F44" s="6"/>
      <c r="G44" s="6"/>
      <c r="H44" s="6"/>
      <c r="I44" s="6"/>
      <c r="J44" s="6"/>
      <c r="K44" s="6"/>
    </row>
    <row r="45" spans="2:11" ht="15.75" thickBot="1" x14ac:dyDescent="0.3">
      <c r="B45" s="1826">
        <v>1</v>
      </c>
      <c r="C45" s="94"/>
      <c r="D45" s="48" t="s">
        <v>39</v>
      </c>
      <c r="E45" s="31" t="s">
        <v>2849</v>
      </c>
      <c r="F45" s="6"/>
      <c r="G45" s="6"/>
      <c r="H45" s="6"/>
      <c r="I45" s="6"/>
      <c r="J45" s="6"/>
      <c r="K45" s="6"/>
    </row>
    <row r="46" spans="2:11" ht="15.75" thickBot="1" x14ac:dyDescent="0.3">
      <c r="B46" s="1827"/>
      <c r="C46" s="94"/>
      <c r="D46" s="41" t="s">
        <v>40</v>
      </c>
      <c r="E46" s="31" t="s">
        <v>2865</v>
      </c>
      <c r="F46" s="6"/>
      <c r="G46" s="6"/>
      <c r="H46" s="6"/>
      <c r="I46" s="6"/>
      <c r="J46" s="6"/>
      <c r="K46" s="6"/>
    </row>
    <row r="47" spans="2:11" ht="15.75" thickBot="1" x14ac:dyDescent="0.3">
      <c r="B47" s="1827"/>
      <c r="C47" s="94"/>
      <c r="D47" s="41" t="s">
        <v>41</v>
      </c>
      <c r="E47" s="31" t="s">
        <v>2866</v>
      </c>
      <c r="F47" s="6"/>
      <c r="G47" s="6"/>
      <c r="H47" s="6"/>
      <c r="I47" s="6"/>
      <c r="J47" s="6"/>
      <c r="K47" s="6"/>
    </row>
    <row r="48" spans="2:11" ht="15.75" thickBot="1" x14ac:dyDescent="0.3">
      <c r="B48" s="1827"/>
      <c r="C48" s="94"/>
      <c r="D48" s="41" t="s">
        <v>42</v>
      </c>
      <c r="E48" s="31" t="s">
        <v>2867</v>
      </c>
      <c r="F48" s="6"/>
      <c r="G48" s="6"/>
      <c r="H48" s="6"/>
      <c r="I48" s="6"/>
      <c r="J48" s="6"/>
      <c r="K48" s="6"/>
    </row>
    <row r="49" spans="2:11" ht="15.75" thickBot="1" x14ac:dyDescent="0.3">
      <c r="B49" s="1827"/>
      <c r="C49" s="94"/>
      <c r="D49" s="41" t="s">
        <v>43</v>
      </c>
      <c r="E49" s="980" t="s">
        <v>2868</v>
      </c>
      <c r="F49" s="6"/>
      <c r="G49" s="6"/>
      <c r="H49" s="6"/>
      <c r="I49" s="6"/>
      <c r="J49" s="6"/>
      <c r="K49" s="6"/>
    </row>
    <row r="50" spans="2:11" ht="15.75" thickBot="1" x14ac:dyDescent="0.3">
      <c r="B50" s="1827"/>
      <c r="C50" s="94"/>
      <c r="D50" s="41" t="s">
        <v>44</v>
      </c>
      <c r="E50" s="31" t="s">
        <v>2869</v>
      </c>
      <c r="F50" s="6"/>
      <c r="G50" s="6"/>
      <c r="H50" s="6"/>
      <c r="I50" s="6"/>
      <c r="J50" s="6"/>
      <c r="K50" s="6"/>
    </row>
    <row r="51" spans="2:11" ht="15.75" thickBot="1" x14ac:dyDescent="0.3">
      <c r="B51" s="1828"/>
      <c r="C51" s="3"/>
      <c r="D51" s="41" t="s">
        <v>45</v>
      </c>
      <c r="E51" s="31" t="s">
        <v>2870</v>
      </c>
      <c r="F51" s="6"/>
      <c r="G51" s="6"/>
      <c r="H51" s="6"/>
      <c r="I51" s="6"/>
      <c r="J51" s="6"/>
      <c r="K51" s="6"/>
    </row>
    <row r="52" spans="2:11" ht="15.75" thickBot="1" x14ac:dyDescent="0.3">
      <c r="B52" s="2"/>
      <c r="C52" s="76"/>
      <c r="D52" s="6"/>
      <c r="E52" s="6"/>
      <c r="F52" s="6"/>
      <c r="G52" s="6"/>
      <c r="H52" s="6"/>
      <c r="I52" s="6"/>
      <c r="J52" s="6"/>
      <c r="K52" s="6"/>
    </row>
    <row r="53" spans="2:11" ht="15.75" thickBot="1" x14ac:dyDescent="0.3">
      <c r="B53" s="1829" t="s">
        <v>46</v>
      </c>
      <c r="C53" s="1830"/>
      <c r="D53" s="1830"/>
      <c r="E53" s="1831"/>
      <c r="F53" s="6"/>
      <c r="G53" s="6"/>
      <c r="H53" s="6"/>
      <c r="I53" s="6"/>
      <c r="J53" s="6"/>
      <c r="K53" s="6"/>
    </row>
    <row r="54" spans="2:11" ht="15.75" thickBot="1" x14ac:dyDescent="0.3">
      <c r="B54" s="1826">
        <v>1</v>
      </c>
      <c r="C54" s="94"/>
      <c r="D54" s="48" t="s">
        <v>39</v>
      </c>
      <c r="E54" s="444" t="s">
        <v>47</v>
      </c>
      <c r="F54" s="6"/>
      <c r="G54" s="6"/>
      <c r="H54" s="6"/>
      <c r="I54" s="6"/>
      <c r="J54" s="6"/>
      <c r="K54" s="6"/>
    </row>
    <row r="55" spans="2:11" ht="15.75" thickBot="1" x14ac:dyDescent="0.3">
      <c r="B55" s="1827"/>
      <c r="C55" s="94"/>
      <c r="D55" s="41" t="s">
        <v>40</v>
      </c>
      <c r="E55" s="444" t="s">
        <v>48</v>
      </c>
      <c r="F55" s="6"/>
      <c r="G55" s="6"/>
      <c r="H55" s="6"/>
      <c r="I55" s="6"/>
      <c r="J55" s="6"/>
      <c r="K55" s="6"/>
    </row>
    <row r="56" spans="2:11" ht="15.75" thickBot="1" x14ac:dyDescent="0.3">
      <c r="B56" s="1827"/>
      <c r="C56" s="94"/>
      <c r="D56" s="41" t="s">
        <v>41</v>
      </c>
      <c r="E56" s="315"/>
      <c r="F56" s="6"/>
      <c r="G56" s="6"/>
      <c r="H56" s="6"/>
      <c r="I56" s="6"/>
      <c r="J56" s="6"/>
      <c r="K56" s="6"/>
    </row>
    <row r="57" spans="2:11" ht="15.75" thickBot="1" x14ac:dyDescent="0.3">
      <c r="B57" s="1827"/>
      <c r="C57" s="94"/>
      <c r="D57" s="41" t="s">
        <v>42</v>
      </c>
      <c r="E57" s="315"/>
      <c r="F57" s="6"/>
      <c r="G57" s="6"/>
      <c r="H57" s="6"/>
      <c r="I57" s="6"/>
      <c r="J57" s="6"/>
      <c r="K57" s="6"/>
    </row>
    <row r="58" spans="2:11" ht="15.75" thickBot="1" x14ac:dyDescent="0.3">
      <c r="B58" s="1827"/>
      <c r="C58" s="94"/>
      <c r="D58" s="41" t="s">
        <v>43</v>
      </c>
      <c r="E58" s="315"/>
      <c r="F58" s="6"/>
      <c r="G58" s="6"/>
      <c r="H58" s="6"/>
      <c r="I58" s="6"/>
      <c r="J58" s="6"/>
      <c r="K58" s="6"/>
    </row>
    <row r="59" spans="2:11" ht="15.75" thickBot="1" x14ac:dyDescent="0.3">
      <c r="B59" s="1827"/>
      <c r="C59" s="94"/>
      <c r="D59" s="41" t="s">
        <v>44</v>
      </c>
      <c r="E59" s="315"/>
      <c r="F59" s="6"/>
      <c r="G59" s="6"/>
      <c r="H59" s="6"/>
      <c r="I59" s="6"/>
      <c r="J59" s="6"/>
      <c r="K59" s="6"/>
    </row>
    <row r="60" spans="2:11" ht="15.75" thickBot="1" x14ac:dyDescent="0.3">
      <c r="B60" s="1828"/>
      <c r="C60" s="3"/>
      <c r="D60" s="41" t="s">
        <v>45</v>
      </c>
      <c r="E60" s="315"/>
      <c r="F60" s="6"/>
      <c r="G60" s="6"/>
      <c r="H60" s="6"/>
      <c r="I60" s="6"/>
      <c r="J60" s="6"/>
      <c r="K60" s="6"/>
    </row>
    <row r="61" spans="2:11" ht="15.75" thickBot="1" x14ac:dyDescent="0.3">
      <c r="B61" s="2"/>
      <c r="C61" s="76"/>
      <c r="D61" s="6"/>
      <c r="E61" s="6"/>
      <c r="F61" s="6"/>
      <c r="G61" s="6"/>
      <c r="H61" s="6"/>
      <c r="I61" s="6"/>
      <c r="J61" s="6"/>
      <c r="K61" s="6"/>
    </row>
    <row r="62" spans="2:11" ht="15" customHeight="1" thickBot="1" x14ac:dyDescent="0.3">
      <c r="B62" s="125" t="s">
        <v>49</v>
      </c>
      <c r="C62" s="126"/>
      <c r="D62" s="126"/>
      <c r="E62" s="127"/>
      <c r="G62" s="6"/>
      <c r="H62" s="6"/>
      <c r="I62" s="6"/>
      <c r="J62" s="6"/>
      <c r="K62" s="6"/>
    </row>
    <row r="63" spans="2:11" ht="24.75" thickBot="1" x14ac:dyDescent="0.3">
      <c r="B63" s="47" t="s">
        <v>50</v>
      </c>
      <c r="C63" s="41" t="s">
        <v>51</v>
      </c>
      <c r="D63" s="41" t="s">
        <v>52</v>
      </c>
      <c r="E63" s="41" t="s">
        <v>53</v>
      </c>
      <c r="F63" s="6"/>
      <c r="G63" s="6"/>
      <c r="H63" s="6"/>
      <c r="I63" s="6"/>
      <c r="J63" s="6"/>
    </row>
    <row r="64" spans="2:11" ht="72.75" thickBot="1" x14ac:dyDescent="0.3">
      <c r="B64" s="49">
        <v>42401</v>
      </c>
      <c r="C64" s="41">
        <v>0.01</v>
      </c>
      <c r="D64" s="41" t="s">
        <v>630</v>
      </c>
      <c r="E64" s="41"/>
      <c r="F64" s="6"/>
      <c r="G64" s="6"/>
      <c r="H64" s="6"/>
      <c r="I64" s="6"/>
      <c r="J64" s="6"/>
    </row>
    <row r="65" spans="2:11" ht="15.75" thickBot="1" x14ac:dyDescent="0.3">
      <c r="B65" s="2"/>
      <c r="C65" s="76"/>
      <c r="D65" s="6"/>
      <c r="E65" s="6"/>
      <c r="F65" s="6"/>
      <c r="G65" s="6"/>
      <c r="H65" s="6"/>
      <c r="I65" s="6"/>
      <c r="J65" s="6"/>
      <c r="K65" s="6"/>
    </row>
    <row r="66" spans="2:11" ht="15.75" thickBot="1" x14ac:dyDescent="0.3">
      <c r="B66" s="443" t="s">
        <v>55</v>
      </c>
      <c r="C66" s="96"/>
      <c r="D66" s="6"/>
      <c r="E66" s="6"/>
      <c r="F66" s="6"/>
      <c r="G66" s="6"/>
      <c r="H66" s="6"/>
      <c r="I66" s="6"/>
      <c r="J66" s="6"/>
      <c r="K66" s="6"/>
    </row>
    <row r="67" spans="2:11" x14ac:dyDescent="0.25">
      <c r="B67" s="1972"/>
      <c r="C67" s="1973"/>
      <c r="D67" s="1973"/>
      <c r="E67" s="1974"/>
      <c r="F67" s="6"/>
      <c r="G67" s="6"/>
      <c r="H67" s="6"/>
      <c r="I67" s="6"/>
      <c r="J67" s="6"/>
      <c r="K67" s="6"/>
    </row>
    <row r="68" spans="2:11" ht="15.75" thickBot="1" x14ac:dyDescent="0.3">
      <c r="B68" s="1975"/>
      <c r="C68" s="1976"/>
      <c r="D68" s="1976"/>
      <c r="E68" s="1977"/>
      <c r="F68" s="6"/>
      <c r="G68" s="6"/>
      <c r="H68" s="6"/>
      <c r="I68" s="6"/>
      <c r="J68" s="6"/>
      <c r="K68" s="6"/>
    </row>
    <row r="69" spans="2:11" ht="15.75" thickBot="1" x14ac:dyDescent="0.3">
      <c r="B69" s="6"/>
      <c r="D69" s="6"/>
      <c r="E69" s="6"/>
      <c r="F69" s="6"/>
      <c r="G69" s="6"/>
      <c r="H69" s="6"/>
      <c r="I69" s="6"/>
      <c r="J69" s="6"/>
      <c r="K69" s="6"/>
    </row>
    <row r="70" spans="2:11" ht="15.75" thickBot="1" x14ac:dyDescent="0.3">
      <c r="B70" s="1829" t="s">
        <v>450</v>
      </c>
      <c r="C70" s="1830"/>
      <c r="D70" s="1831"/>
      <c r="E70" s="6"/>
      <c r="F70" s="6"/>
      <c r="G70" s="6"/>
      <c r="H70" s="6"/>
      <c r="I70" s="6"/>
      <c r="J70" s="6"/>
      <c r="K70" s="6"/>
    </row>
    <row r="71" spans="2:11" ht="72.75" thickBot="1" x14ac:dyDescent="0.3">
      <c r="B71" s="47" t="s">
        <v>57</v>
      </c>
      <c r="C71" s="3"/>
      <c r="D71" s="41" t="s">
        <v>586</v>
      </c>
      <c r="E71" s="6"/>
      <c r="F71" s="6"/>
      <c r="G71" s="6"/>
      <c r="H71" s="6"/>
      <c r="I71" s="6"/>
      <c r="J71" s="6"/>
      <c r="K71" s="6"/>
    </row>
    <row r="72" spans="2:11" x14ac:dyDescent="0.25">
      <c r="B72" s="1826" t="s">
        <v>59</v>
      </c>
      <c r="C72" s="94"/>
      <c r="D72" s="53" t="s">
        <v>60</v>
      </c>
      <c r="E72" s="6"/>
      <c r="F72" s="6"/>
      <c r="G72" s="6"/>
      <c r="H72" s="6"/>
      <c r="I72" s="6"/>
      <c r="J72" s="6"/>
      <c r="K72" s="6"/>
    </row>
    <row r="73" spans="2:11" ht="132" x14ac:dyDescent="0.25">
      <c r="B73" s="1827"/>
      <c r="C73" s="94"/>
      <c r="D73" s="46" t="s">
        <v>587</v>
      </c>
      <c r="E73" s="6"/>
      <c r="F73" s="6"/>
      <c r="G73" s="6"/>
      <c r="H73" s="6"/>
      <c r="I73" s="6"/>
      <c r="J73" s="6"/>
      <c r="K73" s="6"/>
    </row>
    <row r="74" spans="2:11" x14ac:dyDescent="0.25">
      <c r="B74" s="1827"/>
      <c r="C74" s="94"/>
      <c r="D74" s="53" t="s">
        <v>63</v>
      </c>
      <c r="E74" s="6"/>
      <c r="F74" s="6"/>
      <c r="G74" s="6"/>
      <c r="H74" s="6"/>
      <c r="I74" s="6"/>
      <c r="J74" s="6"/>
      <c r="K74" s="6"/>
    </row>
    <row r="75" spans="2:11" ht="24" x14ac:dyDescent="0.25">
      <c r="B75" s="1827"/>
      <c r="C75" s="94"/>
      <c r="D75" s="46" t="s">
        <v>588</v>
      </c>
      <c r="E75" s="6"/>
      <c r="F75" s="6"/>
      <c r="G75" s="6"/>
      <c r="H75" s="6"/>
      <c r="I75" s="6"/>
      <c r="J75" s="6"/>
      <c r="K75" s="6"/>
    </row>
    <row r="76" spans="2:11" ht="24" x14ac:dyDescent="0.25">
      <c r="B76" s="1827"/>
      <c r="C76" s="94"/>
      <c r="D76" s="46" t="s">
        <v>589</v>
      </c>
      <c r="E76" s="6"/>
      <c r="F76" s="6"/>
      <c r="G76" s="6"/>
      <c r="H76" s="6"/>
      <c r="I76" s="6"/>
      <c r="J76" s="6"/>
      <c r="K76" s="6"/>
    </row>
    <row r="77" spans="2:11" ht="24" x14ac:dyDescent="0.25">
      <c r="B77" s="1827"/>
      <c r="C77" s="94"/>
      <c r="D77" s="46" t="s">
        <v>590</v>
      </c>
      <c r="E77" s="6"/>
      <c r="F77" s="6"/>
      <c r="G77" s="6"/>
      <c r="H77" s="6"/>
      <c r="I77" s="6"/>
      <c r="J77" s="6"/>
      <c r="K77" s="6"/>
    </row>
    <row r="78" spans="2:11" x14ac:dyDescent="0.25">
      <c r="B78" s="1827"/>
      <c r="C78" s="94"/>
      <c r="D78" s="46" t="s">
        <v>591</v>
      </c>
      <c r="E78" s="6"/>
      <c r="F78" s="6"/>
      <c r="G78" s="6"/>
      <c r="H78" s="6"/>
      <c r="I78" s="6"/>
      <c r="J78" s="6"/>
      <c r="K78" s="6"/>
    </row>
    <row r="79" spans="2:11" x14ac:dyDescent="0.25">
      <c r="B79" s="1827"/>
      <c r="C79" s="94"/>
      <c r="D79" s="46" t="s">
        <v>592</v>
      </c>
      <c r="E79" s="6"/>
      <c r="F79" s="6"/>
      <c r="G79" s="6"/>
      <c r="H79" s="6"/>
      <c r="I79" s="6"/>
      <c r="J79" s="6"/>
      <c r="K79" s="6"/>
    </row>
    <row r="80" spans="2:11" x14ac:dyDescent="0.25">
      <c r="B80" s="1827"/>
      <c r="C80" s="94"/>
      <c r="D80" s="46" t="s">
        <v>593</v>
      </c>
      <c r="E80" s="6"/>
      <c r="F80" s="6"/>
      <c r="G80" s="6"/>
      <c r="H80" s="6"/>
      <c r="I80" s="6"/>
      <c r="J80" s="6"/>
      <c r="K80" s="6"/>
    </row>
    <row r="81" spans="2:11" x14ac:dyDescent="0.25">
      <c r="B81" s="1827"/>
      <c r="C81" s="94"/>
      <c r="D81" s="53" t="s">
        <v>288</v>
      </c>
      <c r="E81" s="6"/>
      <c r="F81" s="6"/>
      <c r="G81" s="6"/>
      <c r="H81" s="6"/>
      <c r="I81" s="6"/>
      <c r="J81" s="6"/>
      <c r="K81" s="6"/>
    </row>
    <row r="82" spans="2:11" ht="48" x14ac:dyDescent="0.25">
      <c r="B82" s="1827"/>
      <c r="C82" s="94"/>
      <c r="D82" s="46" t="s">
        <v>594</v>
      </c>
      <c r="E82" s="6"/>
      <c r="F82" s="6"/>
      <c r="G82" s="6"/>
      <c r="H82" s="6"/>
      <c r="I82" s="6"/>
      <c r="J82" s="6"/>
      <c r="K82" s="6"/>
    </row>
    <row r="83" spans="2:11" ht="15.75" thickBot="1" x14ac:dyDescent="0.3">
      <c r="B83" s="1828"/>
      <c r="C83" s="3"/>
      <c r="D83" s="68"/>
      <c r="E83" s="6"/>
      <c r="F83" s="6"/>
      <c r="G83" s="6"/>
      <c r="H83" s="6"/>
      <c r="I83" s="6"/>
      <c r="J83" s="6"/>
      <c r="K83" s="6"/>
    </row>
    <row r="84" spans="2:11" x14ac:dyDescent="0.25">
      <c r="B84" s="1826" t="s">
        <v>72</v>
      </c>
      <c r="C84" s="99"/>
      <c r="D84" s="1826"/>
      <c r="E84" s="6"/>
      <c r="F84" s="6"/>
      <c r="G84" s="6"/>
      <c r="H84" s="6"/>
      <c r="I84" s="6"/>
      <c r="J84" s="6"/>
      <c r="K84" s="6"/>
    </row>
    <row r="85" spans="2:11" ht="15.75" thickBot="1" x14ac:dyDescent="0.3">
      <c r="B85" s="1828"/>
      <c r="C85" s="100"/>
      <c r="D85" s="1828"/>
      <c r="E85" s="6"/>
      <c r="F85" s="6"/>
      <c r="G85" s="6"/>
      <c r="H85" s="6"/>
      <c r="I85" s="6"/>
      <c r="J85" s="6"/>
      <c r="K85" s="6"/>
    </row>
    <row r="86" spans="2:11" ht="15.75" thickBot="1" x14ac:dyDescent="0.3">
      <c r="B86" s="38"/>
      <c r="C86" s="88"/>
      <c r="D86" s="6"/>
      <c r="E86" s="6"/>
      <c r="F86" s="6"/>
      <c r="G86" s="6"/>
      <c r="H86" s="6"/>
      <c r="I86" s="6"/>
      <c r="J86" s="6"/>
      <c r="K86" s="6"/>
    </row>
    <row r="87" spans="2:11" ht="180" x14ac:dyDescent="0.25">
      <c r="B87" s="1826" t="s">
        <v>73</v>
      </c>
      <c r="C87" s="105"/>
      <c r="D87" s="63" t="s">
        <v>595</v>
      </c>
      <c r="E87" s="6"/>
      <c r="F87" s="6"/>
      <c r="G87" s="6"/>
      <c r="H87" s="6"/>
      <c r="I87" s="6"/>
      <c r="J87" s="6"/>
      <c r="K87" s="6"/>
    </row>
    <row r="88" spans="2:11" ht="204" x14ac:dyDescent="0.25">
      <c r="B88" s="1827"/>
      <c r="C88" s="94"/>
      <c r="D88" s="46" t="s">
        <v>596</v>
      </c>
      <c r="E88" s="6"/>
      <c r="F88" s="6"/>
      <c r="G88" s="6"/>
      <c r="H88" s="6"/>
      <c r="I88" s="6"/>
      <c r="J88" s="6"/>
      <c r="K88" s="6"/>
    </row>
    <row r="89" spans="2:11" ht="48" x14ac:dyDescent="0.25">
      <c r="B89" s="1827"/>
      <c r="C89" s="94"/>
      <c r="D89" s="46" t="s">
        <v>597</v>
      </c>
      <c r="E89" s="6"/>
      <c r="F89" s="6"/>
      <c r="G89" s="6"/>
      <c r="H89" s="6"/>
      <c r="I89" s="6"/>
      <c r="J89" s="6"/>
      <c r="K89" s="6"/>
    </row>
    <row r="90" spans="2:11" ht="24" x14ac:dyDescent="0.25">
      <c r="B90" s="1827"/>
      <c r="C90" s="94"/>
      <c r="D90" s="46" t="s">
        <v>598</v>
      </c>
      <c r="E90" s="6"/>
      <c r="F90" s="6"/>
      <c r="G90" s="6"/>
      <c r="H90" s="6"/>
      <c r="I90" s="6"/>
      <c r="J90" s="6"/>
      <c r="K90" s="6"/>
    </row>
    <row r="91" spans="2:11" ht="60" x14ac:dyDescent="0.25">
      <c r="B91" s="1827"/>
      <c r="C91" s="94"/>
      <c r="D91" s="46" t="s">
        <v>599</v>
      </c>
      <c r="E91" s="6"/>
      <c r="F91" s="6"/>
      <c r="G91" s="6"/>
      <c r="H91" s="6"/>
      <c r="I91" s="6"/>
      <c r="J91" s="6"/>
      <c r="K91" s="6"/>
    </row>
    <row r="92" spans="2:11" ht="24" x14ac:dyDescent="0.25">
      <c r="B92" s="1827"/>
      <c r="C92" s="94"/>
      <c r="D92" s="46" t="s">
        <v>600</v>
      </c>
      <c r="E92" s="6"/>
      <c r="F92" s="6"/>
      <c r="G92" s="6"/>
      <c r="H92" s="6"/>
      <c r="I92" s="6"/>
      <c r="J92" s="6"/>
      <c r="K92" s="6"/>
    </row>
    <row r="93" spans="2:11" ht="24" x14ac:dyDescent="0.25">
      <c r="B93" s="1827"/>
      <c r="C93" s="94"/>
      <c r="D93" s="46" t="s">
        <v>601</v>
      </c>
      <c r="E93" s="6"/>
      <c r="F93" s="6"/>
      <c r="G93" s="6"/>
      <c r="H93" s="6"/>
      <c r="I93" s="6"/>
      <c r="J93" s="6"/>
      <c r="K93" s="6"/>
    </row>
    <row r="94" spans="2:11" ht="36" x14ac:dyDescent="0.25">
      <c r="B94" s="1827"/>
      <c r="C94" s="94"/>
      <c r="D94" s="46" t="s">
        <v>602</v>
      </c>
      <c r="E94" s="6"/>
      <c r="F94" s="6"/>
      <c r="G94" s="6"/>
      <c r="H94" s="6"/>
      <c r="I94" s="6"/>
      <c r="J94" s="6"/>
      <c r="K94" s="6"/>
    </row>
    <row r="95" spans="2:11" ht="24" x14ac:dyDescent="0.25">
      <c r="B95" s="1827"/>
      <c r="C95" s="94"/>
      <c r="D95" s="46" t="s">
        <v>603</v>
      </c>
      <c r="E95" s="6"/>
      <c r="F95" s="6"/>
      <c r="G95" s="6"/>
      <c r="H95" s="6"/>
      <c r="I95" s="6"/>
      <c r="J95" s="6"/>
      <c r="K95" s="6"/>
    </row>
    <row r="96" spans="2:11" ht="24" x14ac:dyDescent="0.25">
      <c r="B96" s="1827"/>
      <c r="C96" s="94"/>
      <c r="D96" s="46" t="s">
        <v>604</v>
      </c>
      <c r="E96" s="6"/>
      <c r="F96" s="6"/>
      <c r="G96" s="6"/>
      <c r="H96" s="6"/>
      <c r="I96" s="6"/>
      <c r="J96" s="6"/>
      <c r="K96" s="6"/>
    </row>
    <row r="97" spans="2:11" ht="24" x14ac:dyDescent="0.25">
      <c r="B97" s="1827"/>
      <c r="C97" s="94"/>
      <c r="D97" s="46" t="s">
        <v>605</v>
      </c>
      <c r="E97" s="6"/>
      <c r="F97" s="6"/>
      <c r="G97" s="6"/>
      <c r="H97" s="6"/>
      <c r="I97" s="6"/>
      <c r="J97" s="6"/>
      <c r="K97" s="6"/>
    </row>
    <row r="98" spans="2:11" ht="36" x14ac:dyDescent="0.25">
      <c r="B98" s="1827"/>
      <c r="C98" s="94"/>
      <c r="D98" s="46" t="s">
        <v>606</v>
      </c>
      <c r="E98" s="6"/>
      <c r="F98" s="6"/>
      <c r="G98" s="6"/>
      <c r="H98" s="6"/>
      <c r="I98" s="6"/>
      <c r="J98" s="6"/>
      <c r="K98" s="6"/>
    </row>
    <row r="99" spans="2:11" ht="24" x14ac:dyDescent="0.25">
      <c r="B99" s="1827"/>
      <c r="C99" s="94"/>
      <c r="D99" s="46" t="s">
        <v>607</v>
      </c>
      <c r="E99" s="6"/>
      <c r="F99" s="6"/>
      <c r="G99" s="6"/>
      <c r="H99" s="6"/>
      <c r="I99" s="6"/>
      <c r="J99" s="6"/>
      <c r="K99" s="6"/>
    </row>
    <row r="100" spans="2:11" ht="60.75" thickBot="1" x14ac:dyDescent="0.3">
      <c r="B100" s="1828"/>
      <c r="C100" s="3"/>
      <c r="D100" s="41" t="s">
        <v>608</v>
      </c>
      <c r="E100" s="6"/>
      <c r="F100" s="6"/>
      <c r="G100" s="6"/>
      <c r="H100" s="6"/>
      <c r="I100" s="6"/>
      <c r="J100" s="6"/>
      <c r="K100" s="6"/>
    </row>
    <row r="101" spans="2:11" ht="36" x14ac:dyDescent="0.25">
      <c r="B101" s="1826" t="s">
        <v>90</v>
      </c>
      <c r="C101" s="94"/>
      <c r="D101" s="53" t="s">
        <v>609</v>
      </c>
      <c r="E101" s="6"/>
      <c r="F101" s="6"/>
      <c r="G101" s="6"/>
      <c r="H101" s="6"/>
      <c r="I101" s="6"/>
      <c r="J101" s="6"/>
      <c r="K101" s="6"/>
    </row>
    <row r="102" spans="2:11" ht="36" x14ac:dyDescent="0.25">
      <c r="B102" s="1827"/>
      <c r="C102" s="94"/>
      <c r="D102" s="46" t="s">
        <v>610</v>
      </c>
      <c r="E102" s="6"/>
      <c r="F102" s="6"/>
      <c r="G102" s="6"/>
      <c r="H102" s="6"/>
      <c r="I102" s="6"/>
      <c r="J102" s="6"/>
      <c r="K102" s="6"/>
    </row>
    <row r="103" spans="2:11" x14ac:dyDescent="0.25">
      <c r="B103" s="1827"/>
      <c r="C103" s="94"/>
      <c r="D103" s="17"/>
      <c r="E103" s="6"/>
      <c r="F103" s="6"/>
      <c r="G103" s="6"/>
      <c r="H103" s="6"/>
      <c r="I103" s="6"/>
      <c r="J103" s="6"/>
      <c r="K103" s="6"/>
    </row>
    <row r="104" spans="2:11" x14ac:dyDescent="0.25">
      <c r="B104" s="1827"/>
      <c r="C104" s="94"/>
      <c r="D104" s="46" t="s">
        <v>91</v>
      </c>
      <c r="E104" s="6"/>
      <c r="F104" s="6"/>
      <c r="G104" s="6"/>
      <c r="H104" s="6"/>
      <c r="I104" s="6"/>
      <c r="J104" s="6"/>
      <c r="K104" s="6"/>
    </row>
    <row r="105" spans="2:11" ht="37.5" x14ac:dyDescent="0.25">
      <c r="B105" s="1827"/>
      <c r="C105" s="94"/>
      <c r="D105" s="46" t="s">
        <v>611</v>
      </c>
      <c r="E105" s="6"/>
      <c r="F105" s="6"/>
      <c r="G105" s="6"/>
      <c r="H105" s="6"/>
      <c r="I105" s="6"/>
      <c r="J105" s="6"/>
      <c r="K105" s="6"/>
    </row>
    <row r="106" spans="2:11" ht="49.5" x14ac:dyDescent="0.25">
      <c r="B106" s="1827"/>
      <c r="C106" s="94"/>
      <c r="D106" s="46" t="s">
        <v>612</v>
      </c>
      <c r="E106" s="6"/>
      <c r="F106" s="6"/>
      <c r="G106" s="6"/>
      <c r="H106" s="6"/>
      <c r="I106" s="6"/>
      <c r="J106" s="6"/>
      <c r="K106" s="6"/>
    </row>
    <row r="107" spans="2:11" ht="25.5" x14ac:dyDescent="0.25">
      <c r="B107" s="1827"/>
      <c r="C107" s="94"/>
      <c r="D107" s="46" t="s">
        <v>613</v>
      </c>
      <c r="E107" s="6"/>
      <c r="F107" s="6"/>
      <c r="G107" s="6"/>
      <c r="H107" s="6"/>
      <c r="I107" s="6"/>
      <c r="J107" s="6"/>
      <c r="K107" s="6"/>
    </row>
    <row r="108" spans="2:11" x14ac:dyDescent="0.25">
      <c r="B108" s="1827"/>
      <c r="C108" s="94"/>
      <c r="D108" s="46" t="s">
        <v>614</v>
      </c>
      <c r="E108" s="6"/>
      <c r="F108" s="6"/>
      <c r="G108" s="6"/>
      <c r="H108" s="6"/>
      <c r="I108" s="6"/>
      <c r="J108" s="6"/>
      <c r="K108" s="6"/>
    </row>
    <row r="109" spans="2:11" ht="48.75" thickBot="1" x14ac:dyDescent="0.3">
      <c r="B109" s="1828"/>
      <c r="C109" s="3"/>
      <c r="D109" s="71" t="s">
        <v>615</v>
      </c>
      <c r="E109" s="6"/>
      <c r="F109" s="6"/>
      <c r="G109" s="6"/>
      <c r="H109" s="6"/>
      <c r="I109" s="6"/>
      <c r="J109" s="6"/>
      <c r="K109" s="6"/>
    </row>
    <row r="110" spans="2:11" x14ac:dyDescent="0.25">
      <c r="B110" s="6"/>
      <c r="D110" s="6"/>
      <c r="E110" s="6"/>
      <c r="F110" s="6"/>
      <c r="G110" s="6"/>
      <c r="H110" s="6"/>
      <c r="I110" s="6"/>
      <c r="J110" s="6"/>
      <c r="K110" s="6"/>
    </row>
    <row r="111" spans="2:11" x14ac:dyDescent="0.25">
      <c r="B111" s="6"/>
      <c r="D111" s="6"/>
      <c r="E111" s="6"/>
      <c r="F111" s="6"/>
      <c r="G111" s="6"/>
      <c r="H111" s="6"/>
      <c r="I111" s="6"/>
      <c r="J111" s="6"/>
      <c r="K111" s="6"/>
    </row>
    <row r="112" spans="2:11" x14ac:dyDescent="0.25">
      <c r="B112" s="6"/>
      <c r="D112" s="6"/>
      <c r="E112" s="6"/>
      <c r="F112" s="6"/>
      <c r="G112" s="6"/>
      <c r="H112" s="6"/>
      <c r="I112" s="6"/>
      <c r="J112" s="6"/>
      <c r="K112" s="6"/>
    </row>
    <row r="113" spans="2:11" x14ac:dyDescent="0.25">
      <c r="B113" s="6"/>
      <c r="D113" s="6"/>
      <c r="E113" s="6"/>
      <c r="F113" s="6"/>
      <c r="G113" s="6"/>
      <c r="H113" s="6"/>
      <c r="I113" s="6"/>
      <c r="J113" s="6"/>
      <c r="K113" s="6"/>
    </row>
    <row r="114" spans="2:11" x14ac:dyDescent="0.25">
      <c r="B114" s="6"/>
      <c r="D114" s="6"/>
      <c r="E114" s="6"/>
      <c r="F114" s="6"/>
      <c r="G114" s="6"/>
      <c r="H114" s="6"/>
      <c r="I114" s="6"/>
      <c r="J114" s="6"/>
      <c r="K114" s="6"/>
    </row>
    <row r="115" spans="2:11" x14ac:dyDescent="0.25">
      <c r="B115" s="6"/>
      <c r="D115" s="6"/>
      <c r="E115" s="6"/>
      <c r="F115" s="6"/>
      <c r="G115" s="6"/>
      <c r="H115" s="6"/>
      <c r="I115" s="6"/>
      <c r="J115" s="6"/>
      <c r="K115" s="6"/>
    </row>
    <row r="116" spans="2:11" x14ac:dyDescent="0.25">
      <c r="B116" s="6"/>
      <c r="D116" s="6"/>
      <c r="E116" s="6"/>
      <c r="F116" s="6"/>
      <c r="G116" s="6"/>
      <c r="H116" s="6"/>
      <c r="I116" s="6"/>
      <c r="J116" s="6"/>
      <c r="K116" s="6"/>
    </row>
    <row r="117" spans="2:11" x14ac:dyDescent="0.25">
      <c r="B117" s="6"/>
      <c r="D117" s="6"/>
      <c r="E117" s="6"/>
      <c r="F117" s="6"/>
      <c r="G117" s="6"/>
      <c r="H117" s="6"/>
      <c r="I117" s="6"/>
      <c r="J117" s="6"/>
      <c r="K117" s="6"/>
    </row>
    <row r="118" spans="2:11" x14ac:dyDescent="0.25">
      <c r="B118" s="6"/>
      <c r="D118" s="6"/>
      <c r="E118" s="6"/>
      <c r="F118" s="6"/>
      <c r="G118" s="6"/>
      <c r="H118" s="6"/>
      <c r="I118" s="6"/>
      <c r="J118" s="6"/>
      <c r="K118" s="6"/>
    </row>
    <row r="119" spans="2:11" x14ac:dyDescent="0.25">
      <c r="B119" s="6"/>
      <c r="D119" s="6"/>
      <c r="E119" s="6"/>
      <c r="F119" s="6"/>
      <c r="G119" s="6"/>
      <c r="H119" s="6"/>
      <c r="I119" s="6"/>
      <c r="J119" s="6"/>
      <c r="K119" s="6"/>
    </row>
    <row r="120" spans="2:11" x14ac:dyDescent="0.25">
      <c r="B120" s="6"/>
      <c r="D120" s="6"/>
      <c r="E120" s="6"/>
      <c r="F120" s="6"/>
      <c r="G120" s="6"/>
      <c r="H120" s="6"/>
      <c r="I120" s="6"/>
      <c r="J120" s="6"/>
      <c r="K120" s="6"/>
    </row>
    <row r="121" spans="2:11" x14ac:dyDescent="0.25">
      <c r="B121" s="6"/>
      <c r="D121" s="6"/>
      <c r="E121" s="6"/>
      <c r="F121" s="6"/>
      <c r="G121" s="6"/>
      <c r="H121" s="6"/>
      <c r="I121" s="6"/>
      <c r="J121" s="6"/>
      <c r="K121" s="6"/>
    </row>
    <row r="122" spans="2:11" x14ac:dyDescent="0.25">
      <c r="B122" s="6"/>
      <c r="D122" s="6"/>
      <c r="E122" s="6"/>
      <c r="F122" s="6"/>
      <c r="G122" s="6"/>
      <c r="H122" s="6"/>
      <c r="I122" s="6"/>
      <c r="J122" s="6"/>
      <c r="K122" s="6"/>
    </row>
    <row r="123" spans="2:11" x14ac:dyDescent="0.25">
      <c r="B123" s="6"/>
      <c r="D123" s="6"/>
      <c r="E123" s="6"/>
      <c r="F123" s="6"/>
      <c r="G123" s="6"/>
      <c r="H123" s="6"/>
      <c r="I123" s="6"/>
      <c r="J123" s="6"/>
      <c r="K123" s="6"/>
    </row>
    <row r="124" spans="2:11" x14ac:dyDescent="0.25">
      <c r="B124" s="6"/>
      <c r="D124" s="6"/>
      <c r="E124" s="6"/>
      <c r="F124" s="6"/>
      <c r="G124" s="6"/>
      <c r="H124" s="6"/>
      <c r="I124" s="6"/>
      <c r="J124" s="6"/>
      <c r="K124" s="6"/>
    </row>
    <row r="125" spans="2:11" x14ac:dyDescent="0.25">
      <c r="B125" s="6"/>
      <c r="D125" s="6"/>
      <c r="E125" s="6"/>
      <c r="F125" s="6"/>
      <c r="G125" s="6"/>
      <c r="H125" s="6"/>
      <c r="I125" s="6"/>
      <c r="J125" s="6"/>
      <c r="K125" s="6"/>
    </row>
    <row r="126" spans="2:11" x14ac:dyDescent="0.25">
      <c r="B126" s="6"/>
      <c r="D126" s="6"/>
      <c r="E126" s="6"/>
      <c r="F126" s="6"/>
      <c r="G126" s="6"/>
      <c r="H126" s="6"/>
      <c r="I126" s="6"/>
      <c r="J126" s="6"/>
      <c r="K126" s="6"/>
    </row>
    <row r="127" spans="2:11" x14ac:dyDescent="0.25">
      <c r="B127" s="6"/>
      <c r="D127" s="6"/>
      <c r="E127" s="6"/>
      <c r="F127" s="6"/>
      <c r="G127" s="6"/>
      <c r="H127" s="6"/>
      <c r="I127" s="6"/>
      <c r="J127" s="6"/>
      <c r="K127" s="6"/>
    </row>
    <row r="128" spans="2:11" x14ac:dyDescent="0.25">
      <c r="B128" s="6"/>
      <c r="D128" s="6"/>
      <c r="E128" s="6"/>
      <c r="F128" s="6"/>
      <c r="G128" s="6"/>
      <c r="H128" s="6"/>
      <c r="I128" s="6"/>
      <c r="J128" s="6"/>
      <c r="K128" s="6"/>
    </row>
    <row r="129" spans="2:11" x14ac:dyDescent="0.25">
      <c r="B129" s="6"/>
      <c r="D129" s="6"/>
      <c r="E129" s="6"/>
      <c r="F129" s="6"/>
      <c r="G129" s="6"/>
      <c r="H129" s="6"/>
      <c r="I129" s="6"/>
      <c r="J129" s="6"/>
      <c r="K129" s="6"/>
    </row>
    <row r="130" spans="2:11" x14ac:dyDescent="0.25">
      <c r="B130" s="6"/>
      <c r="D130" s="6"/>
      <c r="E130" s="6"/>
      <c r="F130" s="6"/>
      <c r="G130" s="6"/>
      <c r="H130" s="6"/>
      <c r="I130" s="6"/>
      <c r="J130" s="6"/>
      <c r="K130" s="6"/>
    </row>
    <row r="131" spans="2:11" x14ac:dyDescent="0.25">
      <c r="B131" s="6"/>
      <c r="D131" s="6"/>
      <c r="E131" s="6"/>
      <c r="F131" s="6"/>
      <c r="G131" s="6"/>
      <c r="H131" s="6"/>
      <c r="I131" s="6"/>
      <c r="J131" s="6"/>
      <c r="K131" s="6"/>
    </row>
    <row r="132" spans="2:11" x14ac:dyDescent="0.25">
      <c r="B132" s="6"/>
      <c r="D132" s="6"/>
      <c r="E132" s="6"/>
      <c r="F132" s="6"/>
      <c r="G132" s="6"/>
      <c r="H132" s="6"/>
      <c r="I132" s="6"/>
      <c r="J132" s="6"/>
      <c r="K132" s="6"/>
    </row>
    <row r="133" spans="2:11" x14ac:dyDescent="0.25">
      <c r="B133" s="6"/>
      <c r="D133" s="6"/>
      <c r="E133" s="6"/>
      <c r="F133" s="6"/>
      <c r="G133" s="6"/>
      <c r="H133" s="6"/>
      <c r="I133" s="6"/>
      <c r="J133" s="6"/>
      <c r="K133" s="6"/>
    </row>
    <row r="134" spans="2:11" x14ac:dyDescent="0.25">
      <c r="B134" s="6"/>
      <c r="D134" s="6"/>
      <c r="E134" s="6"/>
      <c r="F134" s="6"/>
      <c r="G134" s="6"/>
      <c r="H134" s="6"/>
      <c r="I134" s="6"/>
      <c r="J134" s="6"/>
      <c r="K134" s="6"/>
    </row>
    <row r="135" spans="2:11" x14ac:dyDescent="0.25">
      <c r="B135" s="6"/>
      <c r="D135" s="6"/>
      <c r="E135" s="6"/>
      <c r="F135" s="6"/>
      <c r="G135" s="6"/>
      <c r="H135" s="6"/>
      <c r="I135" s="6"/>
      <c r="J135" s="6"/>
      <c r="K135" s="6"/>
    </row>
    <row r="136" spans="2:11" x14ac:dyDescent="0.25">
      <c r="B136" s="6"/>
      <c r="D136" s="6"/>
      <c r="E136" s="6"/>
      <c r="F136" s="6"/>
      <c r="G136" s="6"/>
      <c r="H136" s="6"/>
      <c r="I136" s="6"/>
      <c r="J136" s="6"/>
      <c r="K136" s="6"/>
    </row>
    <row r="137" spans="2:11" x14ac:dyDescent="0.25">
      <c r="B137" s="6"/>
      <c r="D137" s="6"/>
      <c r="E137" s="6"/>
      <c r="F137" s="6"/>
      <c r="G137" s="6"/>
      <c r="H137" s="6"/>
      <c r="I137" s="6"/>
      <c r="J137" s="6"/>
      <c r="K137" s="6"/>
    </row>
    <row r="138" spans="2:11" x14ac:dyDescent="0.25">
      <c r="B138" s="6"/>
      <c r="D138" s="6"/>
      <c r="E138" s="6"/>
      <c r="F138" s="6"/>
      <c r="G138" s="6"/>
      <c r="H138" s="6"/>
      <c r="I138" s="6"/>
      <c r="J138" s="6"/>
      <c r="K138" s="6"/>
    </row>
    <row r="139" spans="2:11" x14ac:dyDescent="0.25">
      <c r="B139" s="6"/>
      <c r="D139" s="6"/>
      <c r="E139" s="6"/>
      <c r="F139" s="6"/>
      <c r="G139" s="6"/>
      <c r="H139" s="6"/>
      <c r="I139" s="6"/>
      <c r="J139" s="6"/>
      <c r="K139" s="6"/>
    </row>
    <row r="140" spans="2:11" x14ac:dyDescent="0.25">
      <c r="B140" s="6"/>
      <c r="D140" s="6"/>
      <c r="E140" s="6"/>
      <c r="F140" s="6"/>
      <c r="G140" s="6"/>
      <c r="H140" s="6"/>
      <c r="I140" s="6"/>
      <c r="J140" s="6"/>
      <c r="K140" s="6"/>
    </row>
    <row r="141" spans="2:11" x14ac:dyDescent="0.25">
      <c r="B141" s="6"/>
      <c r="D141" s="6"/>
      <c r="E141" s="6"/>
      <c r="F141" s="6"/>
      <c r="G141" s="6"/>
      <c r="H141" s="6"/>
      <c r="I141" s="6"/>
      <c r="J141" s="6"/>
      <c r="K141" s="6"/>
    </row>
    <row r="142" spans="2:11" x14ac:dyDescent="0.25">
      <c r="B142" s="6"/>
      <c r="D142" s="6"/>
      <c r="E142" s="6"/>
      <c r="F142" s="6"/>
      <c r="G142" s="6"/>
      <c r="H142" s="6"/>
      <c r="I142" s="6"/>
      <c r="J142" s="6"/>
      <c r="K142" s="6"/>
    </row>
    <row r="143" spans="2:11" x14ac:dyDescent="0.25">
      <c r="B143" s="6"/>
      <c r="D143" s="6"/>
      <c r="E143" s="6"/>
      <c r="F143" s="6"/>
      <c r="G143" s="6"/>
      <c r="H143" s="6"/>
      <c r="I143" s="6"/>
      <c r="J143" s="6"/>
      <c r="K143" s="6"/>
    </row>
    <row r="144" spans="2:11" x14ac:dyDescent="0.25">
      <c r="B144" s="6"/>
      <c r="D144" s="6"/>
      <c r="E144" s="6"/>
      <c r="F144" s="6"/>
      <c r="G144" s="6"/>
      <c r="H144" s="6"/>
      <c r="I144" s="6"/>
      <c r="J144" s="6"/>
      <c r="K144" s="6"/>
    </row>
    <row r="145" spans="2:11" x14ac:dyDescent="0.25">
      <c r="B145" s="6"/>
      <c r="D145" s="6"/>
      <c r="E145" s="6"/>
      <c r="F145" s="6"/>
      <c r="G145" s="6"/>
      <c r="H145" s="6"/>
      <c r="I145" s="6"/>
      <c r="J145" s="6"/>
      <c r="K145" s="6"/>
    </row>
    <row r="146" spans="2:11" x14ac:dyDescent="0.25">
      <c r="B146" s="6"/>
      <c r="D146" s="6"/>
      <c r="E146" s="6"/>
      <c r="F146" s="6"/>
      <c r="G146" s="6"/>
      <c r="H146" s="6"/>
      <c r="I146" s="6"/>
      <c r="J146" s="6"/>
      <c r="K146" s="6"/>
    </row>
    <row r="147" spans="2:11" x14ac:dyDescent="0.25">
      <c r="B147" s="6"/>
      <c r="D147" s="6"/>
      <c r="E147" s="6"/>
      <c r="F147" s="6"/>
      <c r="G147" s="6"/>
      <c r="H147" s="6"/>
      <c r="I147" s="6"/>
      <c r="J147" s="6"/>
      <c r="K147" s="6"/>
    </row>
    <row r="148" spans="2:11" x14ac:dyDescent="0.25">
      <c r="B148" s="6"/>
      <c r="D148" s="6"/>
      <c r="E148" s="6"/>
      <c r="F148" s="6"/>
      <c r="G148" s="6"/>
      <c r="H148" s="6"/>
      <c r="I148" s="6"/>
      <c r="J148" s="6"/>
      <c r="K148" s="6"/>
    </row>
    <row r="149" spans="2:11" x14ac:dyDescent="0.25">
      <c r="B149" s="6"/>
      <c r="D149" s="6"/>
      <c r="E149" s="6"/>
      <c r="F149" s="6"/>
      <c r="G149" s="6"/>
      <c r="H149" s="6"/>
      <c r="I149" s="6"/>
      <c r="J149" s="6"/>
      <c r="K149" s="6"/>
    </row>
    <row r="150" spans="2:11" x14ac:dyDescent="0.25">
      <c r="B150" s="6"/>
      <c r="D150" s="6"/>
      <c r="E150" s="6"/>
      <c r="F150" s="6"/>
      <c r="G150" s="6"/>
      <c r="H150" s="6"/>
      <c r="I150" s="6"/>
      <c r="J150" s="6"/>
      <c r="K150" s="6"/>
    </row>
    <row r="151" spans="2:11" x14ac:dyDescent="0.25">
      <c r="B151" s="6"/>
      <c r="D151" s="6"/>
      <c r="E151" s="6"/>
      <c r="F151" s="6"/>
      <c r="G151" s="6"/>
      <c r="H151" s="6"/>
      <c r="I151" s="6"/>
      <c r="J151" s="6"/>
      <c r="K151" s="6"/>
    </row>
    <row r="152" spans="2:11" x14ac:dyDescent="0.25">
      <c r="B152" s="6"/>
      <c r="D152" s="6"/>
      <c r="E152" s="6"/>
      <c r="F152" s="6"/>
      <c r="G152" s="6"/>
      <c r="H152" s="6"/>
      <c r="I152" s="6"/>
      <c r="J152" s="6"/>
      <c r="K152" s="6"/>
    </row>
    <row r="153" spans="2:11" x14ac:dyDescent="0.25">
      <c r="B153" s="6"/>
      <c r="D153" s="6"/>
      <c r="E153" s="6"/>
      <c r="F153" s="6"/>
      <c r="G153" s="6"/>
      <c r="H153" s="6"/>
      <c r="I153" s="6"/>
      <c r="J153" s="6"/>
      <c r="K153" s="6"/>
    </row>
    <row r="154" spans="2:11" x14ac:dyDescent="0.25">
      <c r="B154" s="6"/>
      <c r="D154" s="6"/>
      <c r="E154" s="6"/>
      <c r="F154" s="6"/>
      <c r="G154" s="6"/>
      <c r="H154" s="6"/>
      <c r="I154" s="6"/>
      <c r="J154" s="6"/>
      <c r="K154" s="6"/>
    </row>
    <row r="155" spans="2:11" x14ac:dyDescent="0.25">
      <c r="B155" s="6"/>
      <c r="D155" s="6"/>
      <c r="E155" s="6"/>
      <c r="F155" s="6"/>
      <c r="G155" s="6"/>
      <c r="H155" s="6"/>
      <c r="I155" s="6"/>
      <c r="J155" s="6"/>
      <c r="K155" s="6"/>
    </row>
    <row r="156" spans="2:11" x14ac:dyDescent="0.25">
      <c r="B156" s="6"/>
      <c r="D156" s="6"/>
      <c r="E156" s="6"/>
      <c r="F156" s="6"/>
      <c r="G156" s="6"/>
      <c r="H156" s="6"/>
      <c r="I156" s="6"/>
      <c r="J156" s="6"/>
      <c r="K156" s="6"/>
    </row>
    <row r="157" spans="2:11" x14ac:dyDescent="0.25">
      <c r="B157" s="6"/>
      <c r="D157" s="6"/>
      <c r="E157" s="6"/>
      <c r="F157" s="6"/>
      <c r="G157" s="6"/>
      <c r="H157" s="6"/>
      <c r="I157" s="6"/>
      <c r="J157" s="6"/>
      <c r="K157" s="6"/>
    </row>
    <row r="158" spans="2:11" x14ac:dyDescent="0.25">
      <c r="B158" s="6"/>
      <c r="D158" s="6"/>
      <c r="E158" s="6"/>
      <c r="F158" s="6"/>
      <c r="G158" s="6"/>
      <c r="H158" s="6"/>
      <c r="I158" s="6"/>
      <c r="J158" s="6"/>
      <c r="K158" s="6"/>
    </row>
    <row r="159" spans="2:11" x14ac:dyDescent="0.25">
      <c r="B159" s="6"/>
      <c r="D159" s="6"/>
      <c r="E159" s="6"/>
      <c r="F159" s="6"/>
      <c r="G159" s="6"/>
      <c r="H159" s="6"/>
      <c r="I159" s="6"/>
      <c r="J159" s="6"/>
      <c r="K159" s="6"/>
    </row>
    <row r="160" spans="2:11" x14ac:dyDescent="0.25">
      <c r="B160" s="6"/>
      <c r="D160" s="6"/>
      <c r="E160" s="6"/>
      <c r="F160" s="6"/>
      <c r="G160" s="6"/>
      <c r="H160" s="6"/>
      <c r="I160" s="6"/>
      <c r="J160" s="6"/>
      <c r="K160" s="6"/>
    </row>
    <row r="161" spans="2:11" x14ac:dyDescent="0.25">
      <c r="B161" s="6"/>
      <c r="D161" s="6"/>
      <c r="E161" s="6"/>
      <c r="F161" s="6"/>
      <c r="G161" s="6"/>
      <c r="H161" s="6"/>
      <c r="I161" s="6"/>
      <c r="J161" s="6"/>
      <c r="K161" s="6"/>
    </row>
    <row r="162" spans="2:11" x14ac:dyDescent="0.25">
      <c r="B162" s="6"/>
      <c r="D162" s="6"/>
      <c r="E162" s="6"/>
      <c r="F162" s="6"/>
      <c r="G162" s="6"/>
      <c r="H162" s="6"/>
      <c r="I162" s="6"/>
      <c r="J162" s="6"/>
      <c r="K162" s="6"/>
    </row>
    <row r="163" spans="2:11" x14ac:dyDescent="0.25">
      <c r="B163" s="6"/>
      <c r="D163" s="6"/>
      <c r="E163" s="6"/>
      <c r="F163" s="6"/>
      <c r="G163" s="6"/>
      <c r="H163" s="6"/>
      <c r="I163" s="6"/>
      <c r="J163" s="6"/>
      <c r="K163" s="6"/>
    </row>
    <row r="164" spans="2:11" x14ac:dyDescent="0.25">
      <c r="B164" s="6"/>
      <c r="D164" s="6"/>
      <c r="E164" s="6"/>
      <c r="F164" s="6"/>
      <c r="G164" s="6"/>
      <c r="H164" s="6"/>
      <c r="I164" s="6"/>
      <c r="J164" s="6"/>
      <c r="K164" s="6"/>
    </row>
    <row r="165" spans="2:11" x14ac:dyDescent="0.25">
      <c r="B165" s="6"/>
      <c r="D165" s="6"/>
      <c r="E165" s="6"/>
      <c r="F165" s="6"/>
      <c r="G165" s="6"/>
      <c r="H165" s="6"/>
      <c r="I165" s="6"/>
      <c r="J165" s="6"/>
      <c r="K165" s="6"/>
    </row>
    <row r="166" spans="2:11" x14ac:dyDescent="0.25">
      <c r="B166" s="6"/>
      <c r="D166" s="6"/>
      <c r="E166" s="6"/>
      <c r="F166" s="6"/>
      <c r="G166" s="6"/>
      <c r="H166" s="6"/>
      <c r="I166" s="6"/>
      <c r="J166" s="6"/>
      <c r="K166" s="6"/>
    </row>
    <row r="167" spans="2:11" x14ac:dyDescent="0.25">
      <c r="B167" s="6"/>
      <c r="D167" s="6"/>
      <c r="E167" s="6"/>
      <c r="F167" s="6"/>
      <c r="G167" s="6"/>
      <c r="H167" s="6"/>
      <c r="I167" s="6"/>
      <c r="J167" s="6"/>
      <c r="K167" s="6"/>
    </row>
    <row r="168" spans="2:11" x14ac:dyDescent="0.25">
      <c r="B168" s="6"/>
      <c r="D168" s="6"/>
      <c r="E168" s="6"/>
      <c r="F168" s="6"/>
      <c r="G168" s="6"/>
      <c r="H168" s="6"/>
      <c r="I168" s="6"/>
      <c r="J168" s="6"/>
      <c r="K168" s="6"/>
    </row>
    <row r="169" spans="2:11" x14ac:dyDescent="0.25">
      <c r="B169" s="6"/>
      <c r="D169" s="6"/>
      <c r="E169" s="6"/>
      <c r="F169" s="6"/>
      <c r="G169" s="6"/>
      <c r="H169" s="6"/>
      <c r="I169" s="6"/>
      <c r="J169" s="6"/>
      <c r="K169" s="6"/>
    </row>
    <row r="170" spans="2:11" x14ac:dyDescent="0.25">
      <c r="B170" s="6"/>
      <c r="D170" s="6"/>
      <c r="E170" s="6"/>
      <c r="F170" s="6"/>
      <c r="G170" s="6"/>
      <c r="H170" s="6"/>
      <c r="I170" s="6"/>
      <c r="J170" s="6"/>
      <c r="K170" s="6"/>
    </row>
    <row r="171" spans="2:11" x14ac:dyDescent="0.25">
      <c r="B171" s="6"/>
      <c r="D171" s="6"/>
      <c r="E171" s="6"/>
      <c r="F171" s="6"/>
      <c r="G171" s="6"/>
      <c r="H171" s="6"/>
      <c r="I171" s="6"/>
      <c r="J171" s="6"/>
      <c r="K171" s="6"/>
    </row>
    <row r="172" spans="2:11" x14ac:dyDescent="0.25">
      <c r="B172" s="6"/>
      <c r="D172" s="6"/>
      <c r="E172" s="6"/>
      <c r="F172" s="6"/>
      <c r="G172" s="6"/>
      <c r="H172" s="6"/>
      <c r="I172" s="6"/>
      <c r="J172" s="6"/>
      <c r="K172" s="6"/>
    </row>
    <row r="173" spans="2:11" x14ac:dyDescent="0.25">
      <c r="B173" s="6"/>
      <c r="D173" s="6"/>
      <c r="E173" s="6"/>
      <c r="F173" s="6"/>
      <c r="G173" s="6"/>
      <c r="H173" s="6"/>
      <c r="I173" s="6"/>
      <c r="J173" s="6"/>
      <c r="K173" s="6"/>
    </row>
    <row r="174" spans="2:11" x14ac:dyDescent="0.25">
      <c r="B174" s="6"/>
      <c r="D174" s="6"/>
      <c r="E174" s="6"/>
      <c r="F174" s="6"/>
      <c r="G174" s="6"/>
      <c r="H174" s="6"/>
      <c r="I174" s="6"/>
      <c r="J174" s="6"/>
      <c r="K174" s="6"/>
    </row>
    <row r="175" spans="2:11" x14ac:dyDescent="0.25">
      <c r="B175" s="6"/>
      <c r="D175" s="6"/>
      <c r="E175" s="6"/>
      <c r="F175" s="6"/>
      <c r="G175" s="6"/>
      <c r="H175" s="6"/>
      <c r="I175" s="6"/>
      <c r="J175" s="6"/>
      <c r="K175" s="6"/>
    </row>
    <row r="176" spans="2:11" x14ac:dyDescent="0.25">
      <c r="B176" s="6"/>
      <c r="D176" s="6"/>
      <c r="E176" s="6"/>
      <c r="F176" s="6"/>
      <c r="G176" s="6"/>
      <c r="H176" s="6"/>
      <c r="I176" s="6"/>
      <c r="J176" s="6"/>
      <c r="K176" s="6"/>
    </row>
    <row r="177" spans="2:11" x14ac:dyDescent="0.25">
      <c r="B177" s="6"/>
      <c r="D177" s="6"/>
      <c r="E177" s="6"/>
      <c r="F177" s="6"/>
      <c r="G177" s="6"/>
      <c r="H177" s="6"/>
      <c r="I177" s="6"/>
      <c r="J177" s="6"/>
      <c r="K177" s="6"/>
    </row>
    <row r="178" spans="2:11" x14ac:dyDescent="0.25">
      <c r="B178" s="6"/>
      <c r="D178" s="6"/>
      <c r="E178" s="6"/>
      <c r="F178" s="6"/>
      <c r="G178" s="6"/>
      <c r="H178" s="6"/>
      <c r="I178" s="6"/>
      <c r="J178" s="6"/>
      <c r="K178" s="6"/>
    </row>
    <row r="179" spans="2:11" x14ac:dyDescent="0.25">
      <c r="B179" s="6"/>
      <c r="D179" s="6"/>
      <c r="E179" s="6"/>
      <c r="F179" s="6"/>
      <c r="G179" s="6"/>
      <c r="H179" s="6"/>
      <c r="I179" s="6"/>
      <c r="J179" s="6"/>
      <c r="K179" s="6"/>
    </row>
    <row r="180" spans="2:11" x14ac:dyDescent="0.25">
      <c r="B180" s="6"/>
      <c r="D180" s="6"/>
      <c r="E180" s="6"/>
      <c r="F180" s="6"/>
      <c r="G180" s="6"/>
      <c r="H180" s="6"/>
      <c r="I180" s="6"/>
      <c r="J180" s="6"/>
      <c r="K180" s="6"/>
    </row>
    <row r="181" spans="2:11" x14ac:dyDescent="0.25">
      <c r="B181" s="6"/>
      <c r="D181" s="6"/>
      <c r="E181" s="6"/>
      <c r="F181" s="6"/>
      <c r="G181" s="6"/>
      <c r="H181" s="6"/>
      <c r="I181" s="6"/>
      <c r="J181" s="6"/>
      <c r="K181" s="6"/>
    </row>
    <row r="182" spans="2:11" x14ac:dyDescent="0.25">
      <c r="B182" s="6"/>
      <c r="D182" s="6"/>
      <c r="E182" s="6"/>
      <c r="F182" s="6"/>
      <c r="G182" s="6"/>
      <c r="H182" s="6"/>
      <c r="I182" s="6"/>
      <c r="J182" s="6"/>
      <c r="K182" s="6"/>
    </row>
    <row r="183" spans="2:11" x14ac:dyDescent="0.25">
      <c r="B183" s="6"/>
      <c r="D183" s="6"/>
      <c r="E183" s="6"/>
      <c r="F183" s="6"/>
      <c r="G183" s="6"/>
      <c r="H183" s="6"/>
      <c r="I183" s="6"/>
      <c r="J183" s="6"/>
      <c r="K183" s="6"/>
    </row>
    <row r="184" spans="2:11" x14ac:dyDescent="0.25">
      <c r="B184" s="6"/>
      <c r="D184" s="6"/>
      <c r="E184" s="6"/>
      <c r="F184" s="6"/>
      <c r="G184" s="6"/>
      <c r="H184" s="6"/>
      <c r="I184" s="6"/>
      <c r="J184" s="6"/>
      <c r="K184" s="6"/>
    </row>
    <row r="185" spans="2:11" x14ac:dyDescent="0.25">
      <c r="B185" s="6"/>
      <c r="D185" s="6"/>
      <c r="E185" s="6"/>
      <c r="F185" s="6"/>
      <c r="G185" s="6"/>
      <c r="H185" s="6"/>
      <c r="I185" s="6"/>
      <c r="J185" s="6"/>
      <c r="K185" s="6"/>
    </row>
    <row r="186" spans="2:11" x14ac:dyDescent="0.25">
      <c r="B186" s="6"/>
      <c r="D186" s="6"/>
      <c r="E186" s="6"/>
      <c r="F186" s="6"/>
      <c r="G186" s="6"/>
      <c r="H186" s="6"/>
      <c r="I186" s="6"/>
      <c r="J186" s="6"/>
      <c r="K186" s="6"/>
    </row>
    <row r="187" spans="2:11" x14ac:dyDescent="0.25">
      <c r="B187" s="6"/>
      <c r="D187" s="6"/>
      <c r="E187" s="6"/>
      <c r="F187" s="6"/>
      <c r="G187" s="6"/>
      <c r="H187" s="6"/>
      <c r="I187" s="6"/>
      <c r="J187" s="6"/>
      <c r="K187" s="6"/>
    </row>
  </sheetData>
  <mergeCells count="33">
    <mergeCell ref="B15:B19"/>
    <mergeCell ref="B10:D10"/>
    <mergeCell ref="F10:S10"/>
    <mergeCell ref="F11:S11"/>
    <mergeCell ref="E12:R12"/>
    <mergeCell ref="E13:R13"/>
    <mergeCell ref="A1:P1"/>
    <mergeCell ref="A2:P2"/>
    <mergeCell ref="A3:P3"/>
    <mergeCell ref="A4:D4"/>
    <mergeCell ref="A5:P5"/>
    <mergeCell ref="B54:B60"/>
    <mergeCell ref="B67:E68"/>
    <mergeCell ref="D15:K15"/>
    <mergeCell ref="D16:K16"/>
    <mergeCell ref="D19:K19"/>
    <mergeCell ref="D40:K40"/>
    <mergeCell ref="C20:C21"/>
    <mergeCell ref="D20:D21"/>
    <mergeCell ref="E20:E21"/>
    <mergeCell ref="F20:J20"/>
    <mergeCell ref="D41:K41"/>
    <mergeCell ref="D42:K42"/>
    <mergeCell ref="B44:E44"/>
    <mergeCell ref="B45:B51"/>
    <mergeCell ref="B53:E53"/>
    <mergeCell ref="E29:E31"/>
    <mergeCell ref="B87:B100"/>
    <mergeCell ref="B101:B109"/>
    <mergeCell ref="B70:D70"/>
    <mergeCell ref="B72:B83"/>
    <mergeCell ref="B84:B85"/>
    <mergeCell ref="D84:D85"/>
  </mergeCells>
  <conditionalFormatting sqref="H39">
    <cfRule type="containsText" dxfId="66" priority="5" operator="containsText" text="ERROR">
      <formula>NOT(ISERROR(SEARCH("ERROR",H39)))</formula>
    </cfRule>
  </conditionalFormatting>
  <conditionalFormatting sqref="F10">
    <cfRule type="notContainsBlanks" dxfId="65" priority="4">
      <formula>LEN(TRIM(F10))&gt;0</formula>
    </cfRule>
  </conditionalFormatting>
  <conditionalFormatting sqref="F11:S11">
    <cfRule type="expression" dxfId="64" priority="2">
      <formula>E11="NO SE REPORTA"</formula>
    </cfRule>
    <cfRule type="expression" dxfId="63" priority="3">
      <formula>E10="NO APLICA"</formula>
    </cfRule>
  </conditionalFormatting>
  <conditionalFormatting sqref="E12:R12">
    <cfRule type="expression" dxfId="62" priority="1">
      <formula>E11="SI SE REPORTA"</formula>
    </cfRule>
  </conditionalFormatting>
  <dataValidations count="5">
    <dataValidation type="whole" operator="greaterThanOrEqual" allowBlank="1" showErrorMessage="1" errorTitle="ERROR" error="Escriba un número igual o mayor que 0" promptTitle="ERROR" prompt="Escriba un número igual o mayor que 0" sqref="E18:H18" xr:uid="{00000000-0002-0000-1A00-000000000000}">
      <formula1>0</formula1>
    </dataValidation>
    <dataValidation type="decimal" allowBlank="1" showInputMessage="1" showErrorMessage="1" errorTitle="ERROR" error="Escriba un valor entre 0% y 100%" sqref="F34:F38 G25:G38 H34:H38 H25:H26 H30 F25:F26 F30" xr:uid="{00000000-0002-0000-1A00-000001000000}">
      <formula1>0</formula1>
      <formula2>1</formula2>
    </dataValidation>
    <dataValidation allowBlank="1" showInputMessage="1" showErrorMessage="1" sqref="H39 I22:I39" xr:uid="{00000000-0002-0000-1A00-000002000000}"/>
    <dataValidation type="list" allowBlank="1" showInputMessage="1" showErrorMessage="1" sqref="E11" xr:uid="{00000000-0002-0000-1A00-000003000000}">
      <formula1>REPORTE</formula1>
    </dataValidation>
    <dataValidation type="list" allowBlank="1" showInputMessage="1" showErrorMessage="1" sqref="E10" xr:uid="{00000000-0002-0000-1A00-000004000000}">
      <formula1>SI</formula1>
    </dataValidation>
  </dataValidations>
  <hyperlinks>
    <hyperlink ref="B9" location="'ANEXO 3'!A1" display="VOLVER AL INDICE" xr:uid="{00000000-0004-0000-1A00-000000000000}"/>
    <hyperlink ref="E49" r:id="rId1" xr:uid="{00000000-0004-0000-1A00-000001000000}"/>
  </hyperlinks>
  <pageMargins left="0.25" right="0.25" top="0.75" bottom="0.75" header="0.3" footer="0.3"/>
  <pageSetup paperSize="178" orientation="landscape" horizontalDpi="1200" verticalDpi="1200"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7"/>
  <dimension ref="A1:U179"/>
  <sheetViews>
    <sheetView showGridLines="0" topLeftCell="A23" zoomScale="98" zoomScaleNormal="98" workbookViewId="0">
      <selection activeCell="G21" sqref="G21"/>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538" customFormat="1" ht="100.5" customHeight="1" thickBot="1" x14ac:dyDescent="0.3">
      <c r="A1" s="1733"/>
      <c r="B1" s="1734"/>
      <c r="C1" s="1734"/>
      <c r="D1" s="1734"/>
      <c r="E1" s="1734"/>
      <c r="F1" s="1734"/>
      <c r="G1" s="1734"/>
      <c r="H1" s="1734"/>
      <c r="I1" s="1734"/>
      <c r="J1" s="1734"/>
      <c r="K1" s="1734"/>
      <c r="L1" s="1734"/>
      <c r="M1" s="1734"/>
      <c r="N1" s="1734"/>
      <c r="O1" s="1734"/>
      <c r="P1" s="1735"/>
      <c r="Q1" s="412"/>
      <c r="R1" s="412"/>
    </row>
    <row r="2" spans="1:21" s="539" customFormat="1" ht="16.5" thickBot="1" x14ac:dyDescent="0.3">
      <c r="A2" s="1741" t="str">
        <f>'Datos Generales'!C5</f>
        <v>Corporación Autónoma Regional de La Guajira – CORPOGUAJIRA</v>
      </c>
      <c r="B2" s="1742"/>
      <c r="C2" s="1742"/>
      <c r="D2" s="1742"/>
      <c r="E2" s="1742"/>
      <c r="F2" s="1742"/>
      <c r="G2" s="1742"/>
      <c r="H2" s="1742"/>
      <c r="I2" s="1742"/>
      <c r="J2" s="1742"/>
      <c r="K2" s="1742"/>
      <c r="L2" s="1742"/>
      <c r="M2" s="1742"/>
      <c r="N2" s="1742"/>
      <c r="O2" s="1742"/>
      <c r="P2" s="1743"/>
      <c r="Q2" s="412"/>
      <c r="R2" s="412"/>
    </row>
    <row r="3" spans="1:21" s="539" customFormat="1" ht="16.5" thickBot="1" x14ac:dyDescent="0.3">
      <c r="A3" s="1736" t="s">
        <v>1347</v>
      </c>
      <c r="B3" s="1737"/>
      <c r="C3" s="1737"/>
      <c r="D3" s="1737"/>
      <c r="E3" s="1737"/>
      <c r="F3" s="1737"/>
      <c r="G3" s="1737"/>
      <c r="H3" s="1737"/>
      <c r="I3" s="1737"/>
      <c r="J3" s="1737"/>
      <c r="K3" s="1737"/>
      <c r="L3" s="1737"/>
      <c r="M3" s="1737"/>
      <c r="N3" s="1737"/>
      <c r="O3" s="1737"/>
      <c r="P3" s="1738"/>
      <c r="Q3" s="412"/>
      <c r="R3" s="412"/>
    </row>
    <row r="4" spans="1:21" s="539" customFormat="1" ht="16.5" thickBot="1" x14ac:dyDescent="0.3">
      <c r="A4" s="1739" t="s">
        <v>1346</v>
      </c>
      <c r="B4" s="1740"/>
      <c r="C4" s="1740"/>
      <c r="D4" s="1740"/>
      <c r="E4" s="579" t="str">
        <f>'Datos Generales'!C6</f>
        <v>2021-I</v>
      </c>
      <c r="F4" s="579"/>
      <c r="G4" s="579"/>
      <c r="H4" s="579"/>
      <c r="I4" s="579"/>
      <c r="J4" s="579"/>
      <c r="K4" s="579"/>
      <c r="L4" s="581"/>
      <c r="M4" s="581"/>
      <c r="N4" s="581"/>
      <c r="O4" s="581"/>
      <c r="P4" s="582"/>
      <c r="Q4" s="412"/>
      <c r="R4" s="412"/>
    </row>
    <row r="5" spans="1:21" s="245" customFormat="1" ht="16.5" customHeight="1" thickBot="1" x14ac:dyDescent="0.3">
      <c r="A5" s="1736" t="s">
        <v>631</v>
      </c>
      <c r="B5" s="1737"/>
      <c r="C5" s="1737"/>
      <c r="D5" s="1737"/>
      <c r="E5" s="1737"/>
      <c r="F5" s="1737"/>
      <c r="G5" s="1737"/>
      <c r="H5" s="1737"/>
      <c r="I5" s="1737"/>
      <c r="J5" s="1737"/>
      <c r="K5" s="1737"/>
      <c r="L5" s="1737"/>
      <c r="M5" s="1737"/>
      <c r="N5" s="1737"/>
      <c r="O5" s="1737"/>
      <c r="P5" s="1738"/>
    </row>
    <row r="6" spans="1:21" x14ac:dyDescent="0.25">
      <c r="B6" s="2" t="s">
        <v>1</v>
      </c>
      <c r="C6" s="76"/>
      <c r="D6" s="6"/>
      <c r="E6" s="74"/>
      <c r="F6" s="6" t="s">
        <v>128</v>
      </c>
      <c r="G6" s="6"/>
      <c r="H6" s="6"/>
      <c r="I6" s="6"/>
      <c r="J6" s="6"/>
      <c r="K6" s="6"/>
    </row>
    <row r="7" spans="1:21" ht="15.75" thickBot="1" x14ac:dyDescent="0.3">
      <c r="B7" s="75"/>
      <c r="C7" s="77"/>
      <c r="D7" s="6"/>
      <c r="E7" s="18"/>
      <c r="F7" s="6" t="s">
        <v>129</v>
      </c>
      <c r="G7" s="6"/>
      <c r="H7" s="6"/>
      <c r="I7" s="6"/>
      <c r="J7" s="6"/>
      <c r="K7" s="6"/>
    </row>
    <row r="8" spans="1:21" ht="15.75" thickBot="1" x14ac:dyDescent="0.3">
      <c r="B8" s="178" t="s">
        <v>1185</v>
      </c>
      <c r="C8" s="222">
        <v>2021</v>
      </c>
      <c r="D8" s="226">
        <f>IF(E10="NO APLICA","NO APLICA",IF(E11="NO SE REPORTA","SIN INFORMACION",+F22))</f>
        <v>1</v>
      </c>
      <c r="E8" s="223"/>
      <c r="F8" s="6" t="s">
        <v>130</v>
      </c>
      <c r="G8" s="6"/>
      <c r="H8" s="6"/>
      <c r="I8" s="6"/>
      <c r="J8" s="6"/>
      <c r="K8" s="6"/>
    </row>
    <row r="9" spans="1:21" x14ac:dyDescent="0.25">
      <c r="B9" s="493" t="s">
        <v>1186</v>
      </c>
      <c r="D9" s="6"/>
      <c r="E9" s="6"/>
      <c r="F9" s="6"/>
      <c r="G9" s="6"/>
      <c r="H9" s="6"/>
      <c r="I9" s="6"/>
      <c r="J9" s="6"/>
      <c r="K9" s="6"/>
    </row>
    <row r="10" spans="1:21" s="412" customFormat="1" x14ac:dyDescent="0.25">
      <c r="A10" s="245"/>
      <c r="B10" s="1789" t="s">
        <v>1241</v>
      </c>
      <c r="C10" s="1789"/>
      <c r="D10" s="1789"/>
      <c r="E10" s="499" t="s">
        <v>1238</v>
      </c>
      <c r="F10" s="17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96"/>
      <c r="H10" s="1796"/>
      <c r="I10" s="1796"/>
      <c r="J10" s="1796"/>
      <c r="K10" s="1796"/>
      <c r="L10" s="1796"/>
      <c r="M10" s="1796"/>
      <c r="N10" s="1796"/>
      <c r="O10" s="1796"/>
      <c r="P10" s="1796"/>
      <c r="Q10" s="1796"/>
      <c r="R10" s="1796"/>
      <c r="S10" s="1796"/>
      <c r="T10" s="495"/>
      <c r="U10" s="495"/>
    </row>
    <row r="11" spans="1:21" s="412" customFormat="1" ht="14.45" customHeight="1" x14ac:dyDescent="0.25">
      <c r="A11" s="245"/>
      <c r="B11" s="496"/>
      <c r="C11" s="497"/>
      <c r="D11" s="498" t="str">
        <f>IF(E10="SI APLICA","¿El indicador no se reporta por limitaciones de información disponible? ","")</f>
        <v xml:space="preserve">¿El indicador no se reporta por limitaciones de información disponible? </v>
      </c>
      <c r="E11" s="500" t="s">
        <v>1240</v>
      </c>
      <c r="F11" s="1790"/>
      <c r="G11" s="1791"/>
      <c r="H11" s="1791"/>
      <c r="I11" s="1791"/>
      <c r="J11" s="1791"/>
      <c r="K11" s="1791"/>
      <c r="L11" s="1791"/>
      <c r="M11" s="1791"/>
      <c r="N11" s="1791"/>
      <c r="O11" s="1791"/>
      <c r="P11" s="1791"/>
      <c r="Q11" s="1791"/>
      <c r="R11" s="1791"/>
      <c r="S11" s="1791"/>
    </row>
    <row r="12" spans="1:21" s="412" customFormat="1" ht="23.45" customHeight="1" x14ac:dyDescent="0.25">
      <c r="A12" s="245"/>
      <c r="B12" s="493"/>
      <c r="C12" s="304"/>
      <c r="D12" s="498" t="str">
        <f>IF(E11="SI SE REPORTA","¿Qué programas o proyectos del Plan de Acción están asociados al indicador? ","")</f>
        <v xml:space="preserve">¿Qué programas o proyectos del Plan de Acción están asociados al indicador? </v>
      </c>
      <c r="E12" s="1799" t="str">
        <f>'Anexo 1 Matriz Inf Gestión'!A180</f>
        <v>Proyecto 6.1. Evaluación, Seguimiento, Monitoreo y Control de la calidad de los recursos naturales y la biodiversidad.</v>
      </c>
      <c r="F12" s="1799"/>
      <c r="G12" s="1799"/>
      <c r="H12" s="1799"/>
      <c r="I12" s="1799"/>
      <c r="J12" s="1799"/>
      <c r="K12" s="1799"/>
      <c r="L12" s="1799"/>
      <c r="M12" s="1799"/>
      <c r="N12" s="1799"/>
      <c r="O12" s="1799"/>
      <c r="P12" s="1799"/>
      <c r="Q12" s="1799"/>
      <c r="R12" s="1799"/>
    </row>
    <row r="13" spans="1:21" s="412" customFormat="1" ht="21.95" customHeight="1" x14ac:dyDescent="0.25">
      <c r="A13" s="245"/>
      <c r="B13" s="493"/>
      <c r="C13" s="304"/>
      <c r="D13" s="498" t="s">
        <v>1243</v>
      </c>
      <c r="E13" s="1792" t="s">
        <v>2830</v>
      </c>
      <c r="F13" s="1793"/>
      <c r="G13" s="1793"/>
      <c r="H13" s="1793"/>
      <c r="I13" s="1793"/>
      <c r="J13" s="1793"/>
      <c r="K13" s="1793"/>
      <c r="L13" s="1793"/>
      <c r="M13" s="1793"/>
      <c r="N13" s="1793"/>
      <c r="O13" s="1793"/>
      <c r="P13" s="1793"/>
      <c r="Q13" s="1793"/>
      <c r="R13" s="1794"/>
    </row>
    <row r="14" spans="1:21" s="412" customFormat="1" ht="6.95" customHeight="1" thickBot="1" x14ac:dyDescent="0.3">
      <c r="B14" s="493"/>
      <c r="C14" s="87"/>
      <c r="D14" s="6"/>
      <c r="E14" s="6"/>
      <c r="F14" s="6"/>
      <c r="G14" s="6"/>
      <c r="H14" s="6"/>
      <c r="I14" s="6"/>
      <c r="J14" s="6"/>
      <c r="K14" s="6"/>
    </row>
    <row r="15" spans="1:21" ht="15.75" thickBot="1" x14ac:dyDescent="0.3">
      <c r="B15" s="1826" t="s">
        <v>2</v>
      </c>
      <c r="C15" s="89"/>
      <c r="D15" s="1837" t="s">
        <v>3</v>
      </c>
      <c r="E15" s="1838"/>
      <c r="F15" s="1838"/>
      <c r="G15" s="1838"/>
      <c r="H15" s="1838"/>
      <c r="I15" s="1839"/>
      <c r="J15" s="6"/>
      <c r="K15" s="6"/>
    </row>
    <row r="16" spans="1:21" ht="36.75" thickBot="1" x14ac:dyDescent="0.3">
      <c r="B16" s="1827"/>
      <c r="C16" s="94"/>
      <c r="D16" s="43" t="s">
        <v>645</v>
      </c>
      <c r="E16" s="7">
        <v>15</v>
      </c>
      <c r="F16" s="6"/>
      <c r="G16" s="6"/>
      <c r="H16" s="6"/>
      <c r="I16" s="22"/>
      <c r="J16" s="6"/>
      <c r="K16" s="6"/>
    </row>
    <row r="17" spans="2:11" ht="72.75" thickBot="1" x14ac:dyDescent="0.3">
      <c r="B17" s="1827"/>
      <c r="C17" s="94"/>
      <c r="D17" s="41" t="s">
        <v>646</v>
      </c>
      <c r="E17" s="7">
        <v>15</v>
      </c>
      <c r="F17" s="6"/>
      <c r="G17" s="6"/>
      <c r="H17" s="6"/>
      <c r="I17" s="22"/>
      <c r="J17" s="6"/>
      <c r="K17" s="6"/>
    </row>
    <row r="18" spans="2:11" ht="15.75" thickBot="1" x14ac:dyDescent="0.3">
      <c r="B18" s="1827"/>
      <c r="C18" s="92"/>
      <c r="D18" s="1881"/>
      <c r="E18" s="1882"/>
      <c r="F18" s="1882"/>
      <c r="G18" s="1882"/>
      <c r="H18" s="1882"/>
      <c r="I18" s="1883"/>
      <c r="J18" s="6"/>
      <c r="K18" s="6"/>
    </row>
    <row r="19" spans="2:11" ht="15.75" thickBot="1" x14ac:dyDescent="0.3">
      <c r="B19" s="1827"/>
      <c r="C19" s="94"/>
      <c r="D19" s="43" t="s">
        <v>150</v>
      </c>
      <c r="E19" s="39" t="s">
        <v>20</v>
      </c>
      <c r="F19" s="39" t="s">
        <v>21</v>
      </c>
      <c r="G19" s="39" t="s">
        <v>22</v>
      </c>
      <c r="H19" s="39" t="s">
        <v>23</v>
      </c>
      <c r="I19" s="39" t="s">
        <v>151</v>
      </c>
      <c r="J19" s="6"/>
      <c r="K19" s="6"/>
    </row>
    <row r="20" spans="2:11" ht="48.75" thickBot="1" x14ac:dyDescent="0.3">
      <c r="B20" s="1827"/>
      <c r="C20" s="94"/>
      <c r="D20" s="129" t="s">
        <v>647</v>
      </c>
      <c r="E20" s="7">
        <v>15</v>
      </c>
      <c r="F20" s="7">
        <v>15</v>
      </c>
      <c r="G20" s="7"/>
      <c r="H20" s="7"/>
      <c r="I20" s="42">
        <f>SUM(E20:H20)</f>
        <v>30</v>
      </c>
      <c r="J20" s="6"/>
      <c r="K20" s="6"/>
    </row>
    <row r="21" spans="2:11" ht="36.75" thickBot="1" x14ac:dyDescent="0.3">
      <c r="B21" s="1827"/>
      <c r="C21" s="94"/>
      <c r="D21" s="129" t="s">
        <v>648</v>
      </c>
      <c r="E21" s="7">
        <v>15</v>
      </c>
      <c r="F21" s="7">
        <v>15</v>
      </c>
      <c r="G21" s="7"/>
      <c r="H21" s="7"/>
      <c r="I21" s="42">
        <f>SUM(E21:H21)</f>
        <v>30</v>
      </c>
      <c r="J21" s="6"/>
      <c r="K21" s="6"/>
    </row>
    <row r="22" spans="2:11" ht="48.75" thickBot="1" x14ac:dyDescent="0.3">
      <c r="B22" s="1828"/>
      <c r="C22" s="3"/>
      <c r="D22" s="129" t="s">
        <v>649</v>
      </c>
      <c r="E22" s="144">
        <f>IFERROR(E21/E20,0)</f>
        <v>1</v>
      </c>
      <c r="F22" s="144">
        <f>IFERROR(F21/F20,0)</f>
        <v>1</v>
      </c>
      <c r="G22" s="144">
        <f>IFERROR(G21/G20,0)</f>
        <v>0</v>
      </c>
      <c r="H22" s="144">
        <f>IFERROR(H21/H20,0)</f>
        <v>0</v>
      </c>
      <c r="I22" s="144">
        <f>IFERROR(I21/I20,0)</f>
        <v>1</v>
      </c>
      <c r="J22" s="6"/>
      <c r="K22" s="6"/>
    </row>
    <row r="23" spans="2:11" ht="36" customHeight="1" thickBot="1" x14ac:dyDescent="0.3">
      <c r="B23" s="47" t="s">
        <v>34</v>
      </c>
      <c r="C23" s="93"/>
      <c r="D23" s="1832" t="s">
        <v>650</v>
      </c>
      <c r="E23" s="1833"/>
      <c r="F23" s="1833"/>
      <c r="G23" s="1833"/>
      <c r="H23" s="1833"/>
      <c r="I23" s="1834"/>
      <c r="J23" s="6"/>
      <c r="K23" s="6"/>
    </row>
    <row r="24" spans="2:11" ht="36" customHeight="1" thickBot="1" x14ac:dyDescent="0.3">
      <c r="B24" s="47" t="s">
        <v>36</v>
      </c>
      <c r="C24" s="93"/>
      <c r="D24" s="1832" t="s">
        <v>159</v>
      </c>
      <c r="E24" s="1833"/>
      <c r="F24" s="1833"/>
      <c r="G24" s="1833"/>
      <c r="H24" s="1833"/>
      <c r="I24" s="1834"/>
      <c r="J24" s="6"/>
      <c r="K24" s="6"/>
    </row>
    <row r="25" spans="2:11" ht="15.75" thickBot="1" x14ac:dyDescent="0.3">
      <c r="B25" s="38"/>
      <c r="C25" s="88"/>
      <c r="D25" s="6"/>
      <c r="E25" s="6"/>
      <c r="F25" s="6"/>
      <c r="G25" s="6"/>
      <c r="H25" s="6"/>
      <c r="I25" s="6"/>
      <c r="J25" s="6"/>
      <c r="K25" s="6"/>
    </row>
    <row r="26" spans="2:11" ht="24" customHeight="1" thickBot="1" x14ac:dyDescent="0.3">
      <c r="B26" s="1829" t="s">
        <v>38</v>
      </c>
      <c r="C26" s="1830"/>
      <c r="D26" s="1830"/>
      <c r="E26" s="1831"/>
      <c r="F26" s="6"/>
      <c r="G26" s="6"/>
      <c r="H26" s="6"/>
      <c r="I26" s="6"/>
      <c r="J26" s="6"/>
      <c r="K26" s="6"/>
    </row>
    <row r="27" spans="2:11" ht="15.75" thickBot="1" x14ac:dyDescent="0.3">
      <c r="B27" s="1826">
        <v>1</v>
      </c>
      <c r="C27" s="94"/>
      <c r="D27" s="48" t="s">
        <v>39</v>
      </c>
      <c r="E27" s="31" t="s">
        <v>2892</v>
      </c>
      <c r="F27" s="6"/>
      <c r="G27" s="6"/>
      <c r="H27" s="6"/>
      <c r="I27" s="6"/>
      <c r="J27" s="6"/>
      <c r="K27" s="6"/>
    </row>
    <row r="28" spans="2:11" ht="15.75" thickBot="1" x14ac:dyDescent="0.3">
      <c r="B28" s="1827"/>
      <c r="C28" s="94"/>
      <c r="D28" s="41" t="s">
        <v>40</v>
      </c>
      <c r="E28" s="167" t="s">
        <v>2893</v>
      </c>
      <c r="F28" s="6"/>
      <c r="G28" s="6"/>
      <c r="H28" s="6"/>
      <c r="I28" s="6"/>
      <c r="J28" s="6"/>
      <c r="K28" s="6"/>
    </row>
    <row r="29" spans="2:11" ht="15.75" thickBot="1" x14ac:dyDescent="0.3">
      <c r="B29" s="1827"/>
      <c r="C29" s="94"/>
      <c r="D29" s="41" t="s">
        <v>41</v>
      </c>
      <c r="E29" s="167" t="s">
        <v>2885</v>
      </c>
      <c r="F29" s="6"/>
      <c r="G29" s="6"/>
      <c r="H29" s="6"/>
      <c r="I29" s="6"/>
      <c r="J29" s="6"/>
      <c r="K29" s="6"/>
    </row>
    <row r="30" spans="2:11" ht="15.75" thickBot="1" x14ac:dyDescent="0.3">
      <c r="B30" s="1827"/>
      <c r="C30" s="94"/>
      <c r="D30" s="41" t="s">
        <v>42</v>
      </c>
      <c r="E30" s="167" t="s">
        <v>2894</v>
      </c>
      <c r="F30" s="6"/>
      <c r="G30" s="6"/>
      <c r="H30" s="6"/>
      <c r="I30" s="6"/>
      <c r="J30" s="6"/>
      <c r="K30" s="6"/>
    </row>
    <row r="31" spans="2:11" ht="15.75" thickBot="1" x14ac:dyDescent="0.3">
      <c r="B31" s="1827"/>
      <c r="C31" s="94"/>
      <c r="D31" s="41" t="s">
        <v>43</v>
      </c>
      <c r="E31" s="167" t="s">
        <v>2886</v>
      </c>
      <c r="F31" s="6"/>
      <c r="G31" s="6"/>
      <c r="H31" s="6"/>
      <c r="I31" s="6"/>
      <c r="J31" s="6"/>
      <c r="K31" s="6"/>
    </row>
    <row r="32" spans="2:11" ht="15.75" thickBot="1" x14ac:dyDescent="0.3">
      <c r="B32" s="1827"/>
      <c r="C32" s="94"/>
      <c r="D32" s="41" t="s">
        <v>44</v>
      </c>
      <c r="E32" s="167" t="s">
        <v>2895</v>
      </c>
      <c r="F32" s="6"/>
      <c r="G32" s="6"/>
      <c r="H32" s="6"/>
      <c r="I32" s="6"/>
      <c r="J32" s="6"/>
      <c r="K32" s="6"/>
    </row>
    <row r="33" spans="2:11" ht="15.75" thickBot="1" x14ac:dyDescent="0.3">
      <c r="B33" s="1828"/>
      <c r="C33" s="3"/>
      <c r="D33" s="41" t="s">
        <v>45</v>
      </c>
      <c r="E33" s="167" t="s">
        <v>2896</v>
      </c>
      <c r="F33" s="6"/>
      <c r="G33" s="6"/>
      <c r="H33" s="6"/>
      <c r="I33" s="6"/>
      <c r="J33" s="6"/>
      <c r="K33" s="6"/>
    </row>
    <row r="34" spans="2:11" ht="15.75" thickBot="1" x14ac:dyDescent="0.3">
      <c r="B34" s="2"/>
      <c r="C34" s="76"/>
      <c r="D34" s="6"/>
      <c r="E34" s="6"/>
      <c r="F34" s="6"/>
      <c r="G34" s="6"/>
      <c r="H34" s="6"/>
      <c r="I34" s="6"/>
      <c r="J34" s="6"/>
      <c r="K34" s="6"/>
    </row>
    <row r="35" spans="2:11" ht="15.75" thickBot="1" x14ac:dyDescent="0.3">
      <c r="B35" s="1829" t="s">
        <v>46</v>
      </c>
      <c r="C35" s="1830"/>
      <c r="D35" s="1830"/>
      <c r="E35" s="1831"/>
      <c r="F35" s="6"/>
      <c r="G35" s="6"/>
      <c r="H35" s="6"/>
      <c r="I35" s="6"/>
      <c r="J35" s="6"/>
      <c r="K35" s="6"/>
    </row>
    <row r="36" spans="2:11" ht="15.75" thickBot="1" x14ac:dyDescent="0.3">
      <c r="B36" s="1826">
        <v>1</v>
      </c>
      <c r="C36" s="94"/>
      <c r="D36" s="48" t="s">
        <v>39</v>
      </c>
      <c r="E36" s="444" t="s">
        <v>47</v>
      </c>
      <c r="F36" s="6"/>
      <c r="G36" s="6"/>
      <c r="H36" s="6"/>
      <c r="I36" s="6"/>
      <c r="J36" s="6"/>
      <c r="K36" s="6"/>
    </row>
    <row r="37" spans="2:11" ht="15.75" thickBot="1" x14ac:dyDescent="0.3">
      <c r="B37" s="1827"/>
      <c r="C37" s="94"/>
      <c r="D37" s="41" t="s">
        <v>40</v>
      </c>
      <c r="E37" s="444" t="s">
        <v>160</v>
      </c>
      <c r="F37" s="6"/>
      <c r="G37" s="6"/>
      <c r="H37" s="6"/>
      <c r="I37" s="6"/>
      <c r="J37" s="6"/>
      <c r="K37" s="6"/>
    </row>
    <row r="38" spans="2:11" ht="15.75" thickBot="1" x14ac:dyDescent="0.3">
      <c r="B38" s="1827"/>
      <c r="C38" s="94"/>
      <c r="D38" s="41" t="s">
        <v>41</v>
      </c>
      <c r="E38" s="315"/>
      <c r="F38" s="6"/>
      <c r="G38" s="6"/>
      <c r="H38" s="6"/>
      <c r="I38" s="6"/>
      <c r="J38" s="6"/>
      <c r="K38" s="6"/>
    </row>
    <row r="39" spans="2:11" ht="15.75" thickBot="1" x14ac:dyDescent="0.3">
      <c r="B39" s="1827"/>
      <c r="C39" s="94"/>
      <c r="D39" s="41" t="s">
        <v>42</v>
      </c>
      <c r="E39" s="315"/>
      <c r="F39" s="6"/>
      <c r="G39" s="6"/>
      <c r="H39" s="6"/>
      <c r="I39" s="6"/>
      <c r="J39" s="6"/>
      <c r="K39" s="6"/>
    </row>
    <row r="40" spans="2:11" ht="15.75" thickBot="1" x14ac:dyDescent="0.3">
      <c r="B40" s="1827"/>
      <c r="C40" s="94"/>
      <c r="D40" s="41" t="s">
        <v>43</v>
      </c>
      <c r="E40" s="315"/>
      <c r="F40" s="6"/>
      <c r="G40" s="6"/>
      <c r="H40" s="6"/>
      <c r="I40" s="6"/>
      <c r="J40" s="6"/>
      <c r="K40" s="6"/>
    </row>
    <row r="41" spans="2:11" ht="15.75" thickBot="1" x14ac:dyDescent="0.3">
      <c r="B41" s="1827"/>
      <c r="C41" s="94"/>
      <c r="D41" s="41" t="s">
        <v>44</v>
      </c>
      <c r="E41" s="315"/>
      <c r="F41" s="6"/>
      <c r="G41" s="6"/>
      <c r="H41" s="6"/>
      <c r="I41" s="6"/>
      <c r="J41" s="6"/>
      <c r="K41" s="6"/>
    </row>
    <row r="42" spans="2:11" ht="15.75" thickBot="1" x14ac:dyDescent="0.3">
      <c r="B42" s="1828"/>
      <c r="C42" s="3"/>
      <c r="D42" s="41" t="s">
        <v>45</v>
      </c>
      <c r="E42" s="315"/>
      <c r="F42" s="6"/>
      <c r="G42" s="6"/>
      <c r="H42" s="6"/>
      <c r="I42" s="6"/>
      <c r="J42" s="6"/>
      <c r="K42" s="6"/>
    </row>
    <row r="43" spans="2:11" ht="15.75" thickBot="1" x14ac:dyDescent="0.3">
      <c r="B43" s="38"/>
      <c r="C43" s="88"/>
      <c r="D43" s="6"/>
      <c r="E43" s="6"/>
      <c r="F43" s="6"/>
      <c r="G43" s="6"/>
      <c r="H43" s="6"/>
      <c r="I43" s="6"/>
      <c r="J43" s="6"/>
      <c r="K43" s="6"/>
    </row>
    <row r="44" spans="2:11" ht="15" customHeight="1" thickBot="1" x14ac:dyDescent="0.3">
      <c r="B44" s="121" t="s">
        <v>49</v>
      </c>
      <c r="C44" s="122"/>
      <c r="D44" s="122"/>
      <c r="E44" s="123"/>
      <c r="G44" s="6"/>
      <c r="H44" s="6"/>
      <c r="I44" s="6"/>
      <c r="J44" s="6"/>
      <c r="K44" s="6"/>
    </row>
    <row r="45" spans="2:11" ht="24.75" thickBot="1" x14ac:dyDescent="0.3">
      <c r="B45" s="47" t="s">
        <v>50</v>
      </c>
      <c r="C45" s="41" t="s">
        <v>51</v>
      </c>
      <c r="D45" s="41" t="s">
        <v>52</v>
      </c>
      <c r="E45" s="41" t="s">
        <v>53</v>
      </c>
      <c r="F45" s="6"/>
      <c r="G45" s="6"/>
      <c r="H45" s="6"/>
      <c r="I45" s="6"/>
      <c r="J45" s="6"/>
    </row>
    <row r="46" spans="2:11" ht="72.75" thickBot="1" x14ac:dyDescent="0.3">
      <c r="B46" s="49">
        <v>42401</v>
      </c>
      <c r="C46" s="41">
        <v>0.01</v>
      </c>
      <c r="D46" s="50" t="s">
        <v>651</v>
      </c>
      <c r="E46" s="41"/>
      <c r="F46" s="6"/>
      <c r="G46" s="6"/>
      <c r="H46" s="6"/>
      <c r="I46" s="6"/>
      <c r="J46" s="6"/>
    </row>
    <row r="47" spans="2:11" ht="15.75" thickBot="1" x14ac:dyDescent="0.3">
      <c r="B47" s="4"/>
      <c r="C47" s="95"/>
      <c r="D47" s="6"/>
      <c r="E47" s="6"/>
      <c r="F47" s="6"/>
      <c r="G47" s="6"/>
      <c r="H47" s="6"/>
      <c r="I47" s="6"/>
      <c r="J47" s="6"/>
      <c r="K47" s="6"/>
    </row>
    <row r="48" spans="2:11" ht="15.75" thickBot="1" x14ac:dyDescent="0.3">
      <c r="B48" s="443" t="s">
        <v>55</v>
      </c>
      <c r="C48" s="96"/>
      <c r="D48" s="6"/>
      <c r="E48" s="6"/>
      <c r="F48" s="6"/>
      <c r="G48" s="6"/>
      <c r="H48" s="6"/>
      <c r="I48" s="6"/>
      <c r="J48" s="6"/>
      <c r="K48" s="6"/>
    </row>
    <row r="49" spans="2:11" x14ac:dyDescent="0.25">
      <c r="B49" s="1972"/>
      <c r="C49" s="1973"/>
      <c r="D49" s="1973"/>
      <c r="E49" s="1974"/>
      <c r="F49" s="6"/>
      <c r="G49" s="6"/>
      <c r="H49" s="6"/>
      <c r="I49" s="6"/>
      <c r="J49" s="6"/>
      <c r="K49" s="6"/>
    </row>
    <row r="50" spans="2:11" ht="15.75" thickBot="1" x14ac:dyDescent="0.3">
      <c r="B50" s="1975"/>
      <c r="C50" s="1976"/>
      <c r="D50" s="1976"/>
      <c r="E50" s="1977"/>
      <c r="F50" s="6"/>
      <c r="G50" s="6"/>
      <c r="H50" s="6"/>
      <c r="I50" s="6"/>
      <c r="J50" s="6"/>
      <c r="K50" s="6"/>
    </row>
    <row r="51" spans="2:11" ht="15.75" thickBot="1" x14ac:dyDescent="0.3">
      <c r="B51" s="6"/>
      <c r="D51" s="6"/>
      <c r="E51" s="6"/>
      <c r="F51" s="6"/>
      <c r="G51" s="6"/>
      <c r="H51" s="6"/>
      <c r="I51" s="6"/>
      <c r="J51" s="6"/>
      <c r="K51" s="6"/>
    </row>
    <row r="52" spans="2:11" ht="24.75" thickBot="1" x14ac:dyDescent="0.3">
      <c r="B52" s="51" t="s">
        <v>56</v>
      </c>
      <c r="C52" s="97"/>
      <c r="D52" s="6"/>
      <c r="E52" s="6"/>
      <c r="F52" s="6"/>
      <c r="G52" s="6"/>
      <c r="H52" s="6"/>
      <c r="I52" s="6"/>
      <c r="J52" s="6"/>
      <c r="K52" s="6"/>
    </row>
    <row r="53" spans="2:11" ht="15.75" thickBot="1" x14ac:dyDescent="0.3">
      <c r="B53" s="2"/>
      <c r="C53" s="76"/>
      <c r="D53" s="6"/>
      <c r="E53" s="6"/>
      <c r="F53" s="6"/>
      <c r="G53" s="6"/>
      <c r="H53" s="6"/>
      <c r="I53" s="6"/>
      <c r="J53" s="6"/>
      <c r="K53" s="6"/>
    </row>
    <row r="54" spans="2:11" ht="84.75" thickBot="1" x14ac:dyDescent="0.3">
      <c r="B54" s="52" t="s">
        <v>57</v>
      </c>
      <c r="C54" s="98"/>
      <c r="D54" s="43" t="s">
        <v>632</v>
      </c>
      <c r="E54" s="6"/>
      <c r="F54" s="6"/>
      <c r="G54" s="6"/>
      <c r="H54" s="6"/>
      <c r="I54" s="6"/>
      <c r="J54" s="6"/>
      <c r="K54" s="6"/>
    </row>
    <row r="55" spans="2:11" x14ac:dyDescent="0.25">
      <c r="B55" s="1826" t="s">
        <v>59</v>
      </c>
      <c r="C55" s="94"/>
      <c r="D55" s="53" t="s">
        <v>60</v>
      </c>
      <c r="E55" s="6"/>
      <c r="F55" s="6"/>
      <c r="G55" s="6"/>
      <c r="H55" s="6"/>
      <c r="I55" s="6"/>
      <c r="J55" s="6"/>
      <c r="K55" s="6"/>
    </row>
    <row r="56" spans="2:11" ht="84" x14ac:dyDescent="0.25">
      <c r="B56" s="1827"/>
      <c r="C56" s="94"/>
      <c r="D56" s="46" t="s">
        <v>633</v>
      </c>
      <c r="E56" s="6"/>
      <c r="F56" s="6"/>
      <c r="G56" s="6"/>
      <c r="H56" s="6"/>
      <c r="I56" s="6"/>
      <c r="J56" s="6"/>
      <c r="K56" s="6"/>
    </row>
    <row r="57" spans="2:11" x14ac:dyDescent="0.25">
      <c r="B57" s="1827"/>
      <c r="C57" s="94"/>
      <c r="D57" s="53" t="s">
        <v>134</v>
      </c>
      <c r="E57" s="6"/>
      <c r="F57" s="6"/>
      <c r="G57" s="6"/>
      <c r="H57" s="6"/>
      <c r="I57" s="6"/>
      <c r="J57" s="6"/>
      <c r="K57" s="6"/>
    </row>
    <row r="58" spans="2:11" x14ac:dyDescent="0.25">
      <c r="B58" s="1827"/>
      <c r="C58" s="94"/>
      <c r="D58" s="46" t="s">
        <v>64</v>
      </c>
      <c r="E58" s="6"/>
      <c r="F58" s="6"/>
      <c r="G58" s="6"/>
      <c r="H58" s="6"/>
      <c r="I58" s="6"/>
      <c r="J58" s="6"/>
      <c r="K58" s="6"/>
    </row>
    <row r="59" spans="2:11" ht="36" x14ac:dyDescent="0.25">
      <c r="B59" s="1827"/>
      <c r="C59" s="94"/>
      <c r="D59" s="46" t="s">
        <v>634</v>
      </c>
      <c r="E59" s="6"/>
      <c r="F59" s="6"/>
      <c r="G59" s="6"/>
      <c r="H59" s="6"/>
      <c r="I59" s="6"/>
      <c r="J59" s="6"/>
      <c r="K59" s="6"/>
    </row>
    <row r="60" spans="2:11" ht="24" x14ac:dyDescent="0.25">
      <c r="B60" s="1827"/>
      <c r="C60" s="94"/>
      <c r="D60" s="46" t="s">
        <v>635</v>
      </c>
      <c r="E60" s="6"/>
      <c r="F60" s="6"/>
      <c r="G60" s="6"/>
      <c r="H60" s="6"/>
      <c r="I60" s="6"/>
      <c r="J60" s="6"/>
      <c r="K60" s="6"/>
    </row>
    <row r="61" spans="2:11" x14ac:dyDescent="0.25">
      <c r="B61" s="1827"/>
      <c r="C61" s="94"/>
      <c r="D61" s="46" t="s">
        <v>636</v>
      </c>
      <c r="E61" s="6"/>
      <c r="F61" s="6"/>
      <c r="G61" s="6"/>
      <c r="H61" s="6"/>
      <c r="I61" s="6"/>
      <c r="J61" s="6"/>
      <c r="K61" s="6"/>
    </row>
    <row r="62" spans="2:11" x14ac:dyDescent="0.25">
      <c r="B62" s="1827"/>
      <c r="C62" s="94"/>
      <c r="D62" s="53" t="s">
        <v>141</v>
      </c>
      <c r="E62" s="6"/>
      <c r="F62" s="6"/>
      <c r="G62" s="6"/>
      <c r="H62" s="6"/>
      <c r="I62" s="6"/>
      <c r="J62" s="6"/>
      <c r="K62" s="6"/>
    </row>
    <row r="63" spans="2:11" ht="60.75" thickBot="1" x14ac:dyDescent="0.3">
      <c r="B63" s="1828"/>
      <c r="C63" s="3"/>
      <c r="D63" s="41" t="s">
        <v>637</v>
      </c>
      <c r="E63" s="6"/>
      <c r="F63" s="6"/>
      <c r="G63" s="6"/>
      <c r="H63" s="6"/>
      <c r="I63" s="6"/>
      <c r="J63" s="6"/>
      <c r="K63" s="6"/>
    </row>
    <row r="64" spans="2:11" ht="24.75" thickBot="1" x14ac:dyDescent="0.3">
      <c r="B64" s="47" t="s">
        <v>72</v>
      </c>
      <c r="C64" s="3"/>
      <c r="D64" s="41"/>
      <c r="E64" s="6"/>
      <c r="F64" s="6"/>
      <c r="G64" s="6"/>
      <c r="H64" s="6"/>
      <c r="I64" s="6"/>
      <c r="J64" s="6"/>
      <c r="K64" s="6"/>
    </row>
    <row r="65" spans="2:11" ht="276" x14ac:dyDescent="0.25">
      <c r="B65" s="1826" t="s">
        <v>73</v>
      </c>
      <c r="C65" s="94"/>
      <c r="D65" s="46" t="s">
        <v>638</v>
      </c>
      <c r="E65" s="6"/>
      <c r="F65" s="6"/>
      <c r="G65" s="6"/>
      <c r="H65" s="6"/>
      <c r="I65" s="6"/>
      <c r="J65" s="6"/>
      <c r="K65" s="6"/>
    </row>
    <row r="66" spans="2:11" ht="132" x14ac:dyDescent="0.25">
      <c r="B66" s="1827"/>
      <c r="C66" s="94"/>
      <c r="D66" s="46" t="s">
        <v>639</v>
      </c>
      <c r="E66" s="6"/>
      <c r="F66" s="6"/>
      <c r="G66" s="6"/>
      <c r="H66" s="6"/>
      <c r="I66" s="6"/>
      <c r="J66" s="6"/>
      <c r="K66" s="6"/>
    </row>
    <row r="67" spans="2:11" ht="72.75" thickBot="1" x14ac:dyDescent="0.3">
      <c r="B67" s="1828"/>
      <c r="C67" s="3"/>
      <c r="D67" s="41" t="s">
        <v>640</v>
      </c>
      <c r="E67" s="6"/>
      <c r="F67" s="6"/>
      <c r="G67" s="6"/>
      <c r="H67" s="6"/>
      <c r="I67" s="6"/>
      <c r="J67" s="6"/>
      <c r="K67" s="6"/>
    </row>
    <row r="68" spans="2:11" x14ac:dyDescent="0.25">
      <c r="B68" s="1826" t="s">
        <v>90</v>
      </c>
      <c r="C68" s="94"/>
      <c r="D68" s="46"/>
      <c r="E68" s="6"/>
      <c r="F68" s="6"/>
      <c r="G68" s="6"/>
      <c r="H68" s="6"/>
      <c r="I68" s="6"/>
      <c r="J68" s="6"/>
      <c r="K68" s="6"/>
    </row>
    <row r="69" spans="2:11" x14ac:dyDescent="0.25">
      <c r="B69" s="1827"/>
      <c r="C69" s="94"/>
      <c r="D69" s="17"/>
      <c r="E69" s="6"/>
      <c r="F69" s="6"/>
      <c r="G69" s="6"/>
      <c r="H69" s="6"/>
      <c r="I69" s="6"/>
      <c r="J69" s="6"/>
      <c r="K69" s="6"/>
    </row>
    <row r="70" spans="2:11" x14ac:dyDescent="0.25">
      <c r="B70" s="1827"/>
      <c r="C70" s="94"/>
      <c r="D70" s="46" t="s">
        <v>91</v>
      </c>
      <c r="E70" s="6"/>
      <c r="F70" s="6"/>
      <c r="G70" s="6"/>
      <c r="H70" s="6"/>
      <c r="I70" s="6"/>
      <c r="J70" s="6"/>
      <c r="K70" s="6"/>
    </row>
    <row r="71" spans="2:11" ht="61.5" x14ac:dyDescent="0.25">
      <c r="B71" s="1827"/>
      <c r="C71" s="94"/>
      <c r="D71" s="46" t="s">
        <v>641</v>
      </c>
      <c r="E71" s="6"/>
      <c r="F71" s="6"/>
      <c r="G71" s="6"/>
      <c r="H71" s="6"/>
      <c r="I71" s="6"/>
      <c r="J71" s="6"/>
      <c r="K71" s="6"/>
    </row>
    <row r="72" spans="2:11" ht="49.5" x14ac:dyDescent="0.25">
      <c r="B72" s="1827"/>
      <c r="C72" s="94"/>
      <c r="D72" s="46" t="s">
        <v>642</v>
      </c>
      <c r="E72" s="6"/>
      <c r="F72" s="6"/>
      <c r="G72" s="6"/>
      <c r="H72" s="6"/>
      <c r="I72" s="6"/>
      <c r="J72" s="6"/>
      <c r="K72" s="6"/>
    </row>
    <row r="73" spans="2:11" ht="49.5" x14ac:dyDescent="0.25">
      <c r="B73" s="1827"/>
      <c r="C73" s="94"/>
      <c r="D73" s="46" t="s">
        <v>643</v>
      </c>
      <c r="E73" s="6"/>
      <c r="F73" s="6"/>
      <c r="G73" s="6"/>
      <c r="H73" s="6"/>
      <c r="I73" s="6"/>
      <c r="J73" s="6"/>
      <c r="K73" s="6"/>
    </row>
    <row r="74" spans="2:11" ht="72.75" thickBot="1" x14ac:dyDescent="0.3">
      <c r="B74" s="1828"/>
      <c r="C74" s="3"/>
      <c r="D74" s="41" t="s">
        <v>644</v>
      </c>
      <c r="E74" s="6"/>
      <c r="F74" s="6"/>
      <c r="G74" s="6"/>
      <c r="H74" s="6"/>
      <c r="I74" s="6"/>
      <c r="J74" s="6"/>
      <c r="K74" s="6"/>
    </row>
    <row r="75" spans="2:11" x14ac:dyDescent="0.25">
      <c r="B75" s="6"/>
      <c r="D75" s="6"/>
      <c r="E75" s="6"/>
      <c r="F75" s="6"/>
      <c r="G75" s="6"/>
      <c r="H75" s="6"/>
      <c r="I75" s="6"/>
      <c r="J75" s="6"/>
      <c r="K75" s="6"/>
    </row>
    <row r="76" spans="2:11" x14ac:dyDescent="0.25">
      <c r="B76" s="6"/>
      <c r="D76" s="6"/>
      <c r="E76" s="6"/>
      <c r="F76" s="6"/>
      <c r="G76" s="6"/>
      <c r="H76" s="6"/>
      <c r="I76" s="6"/>
      <c r="J76" s="6"/>
      <c r="K76" s="6"/>
    </row>
    <row r="77" spans="2:11" x14ac:dyDescent="0.25">
      <c r="B77" s="6"/>
      <c r="D77" s="6"/>
      <c r="E77" s="6"/>
      <c r="F77" s="6"/>
      <c r="G77" s="6"/>
      <c r="H77" s="6"/>
      <c r="I77" s="6"/>
      <c r="J77" s="6"/>
      <c r="K77" s="6"/>
    </row>
    <row r="78" spans="2:11" x14ac:dyDescent="0.25">
      <c r="B78" s="6"/>
      <c r="D78" s="6"/>
      <c r="E78" s="6"/>
      <c r="F78" s="6"/>
      <c r="G78" s="6"/>
      <c r="H78" s="6"/>
      <c r="I78" s="6"/>
      <c r="J78" s="6"/>
      <c r="K78" s="6"/>
    </row>
    <row r="79" spans="2:11" x14ac:dyDescent="0.25">
      <c r="B79" s="6"/>
      <c r="D79" s="6"/>
      <c r="E79" s="6"/>
      <c r="F79" s="6"/>
      <c r="G79" s="6"/>
      <c r="H79" s="6"/>
      <c r="I79" s="6"/>
      <c r="J79" s="6"/>
      <c r="K79" s="6"/>
    </row>
    <row r="80" spans="2:11" x14ac:dyDescent="0.25">
      <c r="B80" s="6"/>
      <c r="D80" s="6"/>
      <c r="E80" s="6"/>
      <c r="F80" s="6"/>
      <c r="G80" s="6"/>
      <c r="H80" s="6"/>
      <c r="I80" s="6"/>
      <c r="J80" s="6"/>
      <c r="K80" s="6"/>
    </row>
    <row r="81" spans="2:11" x14ac:dyDescent="0.25">
      <c r="B81" s="6"/>
      <c r="D81" s="6"/>
      <c r="E81" s="6"/>
      <c r="F81" s="6"/>
      <c r="G81" s="6"/>
      <c r="H81" s="6"/>
      <c r="I81" s="6"/>
      <c r="J81" s="6"/>
      <c r="K81" s="6"/>
    </row>
    <row r="82" spans="2:11" x14ac:dyDescent="0.25">
      <c r="B82" s="6"/>
      <c r="D82" s="6"/>
      <c r="E82" s="6"/>
      <c r="F82" s="6"/>
      <c r="G82" s="6"/>
      <c r="H82" s="6"/>
      <c r="I82" s="6"/>
      <c r="J82" s="6"/>
      <c r="K82" s="6"/>
    </row>
    <row r="83" spans="2:11" x14ac:dyDescent="0.25">
      <c r="B83" s="6"/>
      <c r="D83" s="6"/>
      <c r="E83" s="6"/>
      <c r="F83" s="6"/>
      <c r="G83" s="6"/>
      <c r="H83" s="6"/>
      <c r="I83" s="6"/>
      <c r="J83" s="6"/>
      <c r="K83" s="6"/>
    </row>
    <row r="84" spans="2:11" x14ac:dyDescent="0.25">
      <c r="B84" s="6"/>
      <c r="D84" s="6"/>
      <c r="E84" s="6"/>
      <c r="F84" s="6"/>
      <c r="G84" s="6"/>
      <c r="H84" s="6"/>
      <c r="I84" s="6"/>
      <c r="J84" s="6"/>
      <c r="K84" s="6"/>
    </row>
    <row r="85" spans="2:11" x14ac:dyDescent="0.25">
      <c r="B85" s="6"/>
      <c r="D85" s="6"/>
      <c r="E85" s="6"/>
      <c r="F85" s="6"/>
      <c r="G85" s="6"/>
      <c r="H85" s="6"/>
      <c r="I85" s="6"/>
      <c r="J85" s="6"/>
      <c r="K85" s="6"/>
    </row>
    <row r="86" spans="2:11" x14ac:dyDescent="0.25">
      <c r="B86" s="6"/>
      <c r="D86" s="6"/>
      <c r="E86" s="6"/>
      <c r="F86" s="6"/>
      <c r="G86" s="6"/>
      <c r="H86" s="6"/>
      <c r="I86" s="6"/>
      <c r="J86" s="6"/>
      <c r="K86" s="6"/>
    </row>
    <row r="87" spans="2:11" x14ac:dyDescent="0.25">
      <c r="B87" s="6"/>
      <c r="D87" s="6"/>
      <c r="E87" s="6"/>
      <c r="F87" s="6"/>
      <c r="G87" s="6"/>
      <c r="H87" s="6"/>
      <c r="I87" s="6"/>
      <c r="J87" s="6"/>
      <c r="K87" s="6"/>
    </row>
    <row r="88" spans="2:11" x14ac:dyDescent="0.25">
      <c r="B88" s="6"/>
      <c r="D88" s="6"/>
      <c r="E88" s="6"/>
      <c r="F88" s="6"/>
      <c r="G88" s="6"/>
      <c r="H88" s="6"/>
      <c r="I88" s="6"/>
      <c r="J88" s="6"/>
      <c r="K88" s="6"/>
    </row>
    <row r="89" spans="2:11" x14ac:dyDescent="0.25">
      <c r="B89" s="6"/>
      <c r="D89" s="6"/>
      <c r="E89" s="6"/>
      <c r="F89" s="6"/>
      <c r="G89" s="6"/>
      <c r="H89" s="6"/>
      <c r="I89" s="6"/>
      <c r="J89" s="6"/>
      <c r="K89" s="6"/>
    </row>
    <row r="90" spans="2:11" x14ac:dyDescent="0.25">
      <c r="B90" s="6"/>
      <c r="D90" s="6"/>
      <c r="E90" s="6"/>
      <c r="F90" s="6"/>
      <c r="G90" s="6"/>
      <c r="H90" s="6"/>
      <c r="I90" s="6"/>
      <c r="J90" s="6"/>
      <c r="K90" s="6"/>
    </row>
    <row r="91" spans="2:11" x14ac:dyDescent="0.25">
      <c r="B91" s="6"/>
      <c r="D91" s="6"/>
      <c r="E91" s="6"/>
      <c r="F91" s="6"/>
      <c r="G91" s="6"/>
      <c r="H91" s="6"/>
      <c r="I91" s="6"/>
      <c r="J91" s="6"/>
      <c r="K91" s="6"/>
    </row>
    <row r="92" spans="2:11" x14ac:dyDescent="0.25">
      <c r="B92" s="6"/>
      <c r="D92" s="6"/>
      <c r="E92" s="6"/>
      <c r="F92" s="6"/>
      <c r="G92" s="6"/>
      <c r="H92" s="6"/>
      <c r="I92" s="6"/>
      <c r="J92" s="6"/>
      <c r="K92" s="6"/>
    </row>
    <row r="93" spans="2:11" x14ac:dyDescent="0.25">
      <c r="B93" s="6"/>
      <c r="D93" s="6"/>
      <c r="E93" s="6"/>
      <c r="F93" s="6"/>
      <c r="G93" s="6"/>
      <c r="H93" s="6"/>
      <c r="I93" s="6"/>
      <c r="J93" s="6"/>
      <c r="K93" s="6"/>
    </row>
    <row r="94" spans="2:11" x14ac:dyDescent="0.25">
      <c r="B94" s="6"/>
      <c r="D94" s="6"/>
      <c r="E94" s="6"/>
      <c r="F94" s="6"/>
      <c r="G94" s="6"/>
      <c r="H94" s="6"/>
      <c r="I94" s="6"/>
      <c r="J94" s="6"/>
      <c r="K94" s="6"/>
    </row>
    <row r="95" spans="2:11" x14ac:dyDescent="0.25">
      <c r="B95" s="6"/>
      <c r="D95" s="6"/>
      <c r="E95" s="6"/>
      <c r="F95" s="6"/>
      <c r="G95" s="6"/>
      <c r="H95" s="6"/>
      <c r="I95" s="6"/>
      <c r="J95" s="6"/>
      <c r="K95" s="6"/>
    </row>
    <row r="96" spans="2:11" x14ac:dyDescent="0.25">
      <c r="B96" s="6"/>
      <c r="D96" s="6"/>
      <c r="E96" s="6"/>
      <c r="F96" s="6"/>
      <c r="G96" s="6"/>
      <c r="H96" s="6"/>
      <c r="I96" s="6"/>
      <c r="J96" s="6"/>
      <c r="K96" s="6"/>
    </row>
    <row r="97" spans="2:11" x14ac:dyDescent="0.25">
      <c r="B97" s="6"/>
      <c r="D97" s="6"/>
      <c r="E97" s="6"/>
      <c r="F97" s="6"/>
      <c r="G97" s="6"/>
      <c r="H97" s="6"/>
      <c r="I97" s="6"/>
      <c r="J97" s="6"/>
      <c r="K97" s="6"/>
    </row>
    <row r="98" spans="2:11" x14ac:dyDescent="0.25">
      <c r="B98" s="6"/>
      <c r="D98" s="6"/>
      <c r="E98" s="6"/>
      <c r="F98" s="6"/>
      <c r="G98" s="6"/>
      <c r="H98" s="6"/>
      <c r="I98" s="6"/>
      <c r="J98" s="6"/>
      <c r="K98" s="6"/>
    </row>
    <row r="99" spans="2:11" x14ac:dyDescent="0.25">
      <c r="B99" s="6"/>
      <c r="D99" s="6"/>
      <c r="E99" s="6"/>
      <c r="F99" s="6"/>
      <c r="G99" s="6"/>
      <c r="H99" s="6"/>
      <c r="I99" s="6"/>
      <c r="J99" s="6"/>
      <c r="K99" s="6"/>
    </row>
    <row r="100" spans="2:11" x14ac:dyDescent="0.25">
      <c r="B100" s="6"/>
      <c r="D100" s="6"/>
      <c r="E100" s="6"/>
      <c r="F100" s="6"/>
      <c r="G100" s="6"/>
      <c r="H100" s="6"/>
      <c r="I100" s="6"/>
      <c r="J100" s="6"/>
      <c r="K100" s="6"/>
    </row>
    <row r="101" spans="2:11" x14ac:dyDescent="0.25">
      <c r="B101" s="6"/>
      <c r="D101" s="6"/>
      <c r="E101" s="6"/>
      <c r="F101" s="6"/>
      <c r="G101" s="6"/>
      <c r="H101" s="6"/>
      <c r="I101" s="6"/>
      <c r="J101" s="6"/>
      <c r="K101" s="6"/>
    </row>
    <row r="102" spans="2:11" x14ac:dyDescent="0.25">
      <c r="B102" s="6"/>
      <c r="D102" s="6"/>
      <c r="E102" s="6"/>
      <c r="F102" s="6"/>
      <c r="G102" s="6"/>
      <c r="H102" s="6"/>
      <c r="I102" s="6"/>
      <c r="J102" s="6"/>
      <c r="K102" s="6"/>
    </row>
    <row r="103" spans="2:11" x14ac:dyDescent="0.25">
      <c r="B103" s="6"/>
      <c r="D103" s="6"/>
      <c r="E103" s="6"/>
      <c r="F103" s="6"/>
      <c r="G103" s="6"/>
      <c r="H103" s="6"/>
      <c r="I103" s="6"/>
      <c r="J103" s="6"/>
      <c r="K103" s="6"/>
    </row>
    <row r="104" spans="2:11" x14ac:dyDescent="0.25">
      <c r="B104" s="6"/>
      <c r="D104" s="6"/>
      <c r="E104" s="6"/>
      <c r="F104" s="6"/>
      <c r="G104" s="6"/>
      <c r="H104" s="6"/>
      <c r="I104" s="6"/>
      <c r="J104" s="6"/>
      <c r="K104" s="6"/>
    </row>
    <row r="105" spans="2:11" x14ac:dyDescent="0.25">
      <c r="B105" s="6"/>
      <c r="D105" s="6"/>
      <c r="E105" s="6"/>
      <c r="F105" s="6"/>
      <c r="G105" s="6"/>
      <c r="H105" s="6"/>
      <c r="I105" s="6"/>
      <c r="J105" s="6"/>
      <c r="K105" s="6"/>
    </row>
    <row r="106" spans="2:11" x14ac:dyDescent="0.25">
      <c r="B106" s="6"/>
      <c r="D106" s="6"/>
      <c r="E106" s="6"/>
      <c r="F106" s="6"/>
      <c r="G106" s="6"/>
      <c r="H106" s="6"/>
      <c r="I106" s="6"/>
      <c r="J106" s="6"/>
      <c r="K106" s="6"/>
    </row>
    <row r="107" spans="2:11" x14ac:dyDescent="0.25">
      <c r="B107" s="6"/>
      <c r="D107" s="6"/>
      <c r="E107" s="6"/>
      <c r="F107" s="6"/>
      <c r="G107" s="6"/>
      <c r="H107" s="6"/>
      <c r="I107" s="6"/>
      <c r="J107" s="6"/>
      <c r="K107" s="6"/>
    </row>
    <row r="108" spans="2:11" x14ac:dyDescent="0.25">
      <c r="B108" s="6"/>
      <c r="D108" s="6"/>
      <c r="E108" s="6"/>
      <c r="F108" s="6"/>
      <c r="G108" s="6"/>
      <c r="H108" s="6"/>
      <c r="I108" s="6"/>
      <c r="J108" s="6"/>
      <c r="K108" s="6"/>
    </row>
    <row r="109" spans="2:11" x14ac:dyDescent="0.25">
      <c r="B109" s="6"/>
      <c r="D109" s="6"/>
      <c r="E109" s="6"/>
      <c r="F109" s="6"/>
      <c r="G109" s="6"/>
      <c r="H109" s="6"/>
      <c r="I109" s="6"/>
      <c r="J109" s="6"/>
      <c r="K109" s="6"/>
    </row>
    <row r="110" spans="2:11" x14ac:dyDescent="0.25">
      <c r="B110" s="6"/>
      <c r="D110" s="6"/>
      <c r="E110" s="6"/>
      <c r="F110" s="6"/>
      <c r="G110" s="6"/>
      <c r="H110" s="6"/>
      <c r="I110" s="6"/>
      <c r="J110" s="6"/>
      <c r="K110" s="6"/>
    </row>
    <row r="111" spans="2:11" x14ac:dyDescent="0.25">
      <c r="B111" s="6"/>
      <c r="D111" s="6"/>
      <c r="E111" s="6"/>
      <c r="F111" s="6"/>
      <c r="G111" s="6"/>
      <c r="H111" s="6"/>
      <c r="I111" s="6"/>
      <c r="J111" s="6"/>
      <c r="K111" s="6"/>
    </row>
    <row r="112" spans="2:11" x14ac:dyDescent="0.25">
      <c r="B112" s="6"/>
      <c r="D112" s="6"/>
      <c r="E112" s="6"/>
      <c r="F112" s="6"/>
      <c r="G112" s="6"/>
      <c r="H112" s="6"/>
      <c r="I112" s="6"/>
      <c r="J112" s="6"/>
      <c r="K112" s="6"/>
    </row>
    <row r="113" spans="2:11" x14ac:dyDescent="0.25">
      <c r="B113" s="6"/>
      <c r="D113" s="6"/>
      <c r="E113" s="6"/>
      <c r="F113" s="6"/>
      <c r="G113" s="6"/>
      <c r="H113" s="6"/>
      <c r="I113" s="6"/>
      <c r="J113" s="6"/>
      <c r="K113" s="6"/>
    </row>
    <row r="114" spans="2:11" x14ac:dyDescent="0.25">
      <c r="B114" s="6"/>
      <c r="D114" s="6"/>
      <c r="E114" s="6"/>
      <c r="F114" s="6"/>
      <c r="G114" s="6"/>
      <c r="H114" s="6"/>
      <c r="I114" s="6"/>
      <c r="J114" s="6"/>
      <c r="K114" s="6"/>
    </row>
    <row r="115" spans="2:11" x14ac:dyDescent="0.25">
      <c r="B115" s="6"/>
      <c r="D115" s="6"/>
      <c r="E115" s="6"/>
      <c r="F115" s="6"/>
      <c r="G115" s="6"/>
      <c r="H115" s="6"/>
      <c r="I115" s="6"/>
      <c r="J115" s="6"/>
      <c r="K115" s="6"/>
    </row>
    <row r="116" spans="2:11" x14ac:dyDescent="0.25">
      <c r="B116" s="6"/>
      <c r="D116" s="6"/>
      <c r="E116" s="6"/>
      <c r="F116" s="6"/>
      <c r="G116" s="6"/>
      <c r="H116" s="6"/>
      <c r="I116" s="6"/>
      <c r="J116" s="6"/>
      <c r="K116" s="6"/>
    </row>
    <row r="117" spans="2:11" x14ac:dyDescent="0.25">
      <c r="B117" s="6"/>
      <c r="D117" s="6"/>
      <c r="E117" s="6"/>
      <c r="F117" s="6"/>
      <c r="G117" s="6"/>
      <c r="H117" s="6"/>
      <c r="I117" s="6"/>
      <c r="J117" s="6"/>
      <c r="K117" s="6"/>
    </row>
    <row r="118" spans="2:11" x14ac:dyDescent="0.25">
      <c r="B118" s="6"/>
      <c r="D118" s="6"/>
      <c r="E118" s="6"/>
      <c r="F118" s="6"/>
      <c r="G118" s="6"/>
      <c r="H118" s="6"/>
      <c r="I118" s="6"/>
      <c r="J118" s="6"/>
      <c r="K118" s="6"/>
    </row>
    <row r="119" spans="2:11" x14ac:dyDescent="0.25">
      <c r="B119" s="6"/>
      <c r="D119" s="6"/>
      <c r="E119" s="6"/>
      <c r="F119" s="6"/>
      <c r="G119" s="6"/>
      <c r="H119" s="6"/>
      <c r="I119" s="6"/>
      <c r="J119" s="6"/>
      <c r="K119" s="6"/>
    </row>
    <row r="120" spans="2:11" x14ac:dyDescent="0.25">
      <c r="B120" s="6"/>
      <c r="D120" s="6"/>
      <c r="E120" s="6"/>
      <c r="F120" s="6"/>
      <c r="G120" s="6"/>
      <c r="H120" s="6"/>
      <c r="I120" s="6"/>
      <c r="J120" s="6"/>
      <c r="K120" s="6"/>
    </row>
    <row r="121" spans="2:11" x14ac:dyDescent="0.25">
      <c r="B121" s="6"/>
      <c r="D121" s="6"/>
      <c r="E121" s="6"/>
      <c r="F121" s="6"/>
      <c r="G121" s="6"/>
      <c r="H121" s="6"/>
      <c r="I121" s="6"/>
      <c r="J121" s="6"/>
      <c r="K121" s="6"/>
    </row>
    <row r="122" spans="2:11" x14ac:dyDescent="0.25">
      <c r="B122" s="6"/>
      <c r="D122" s="6"/>
      <c r="E122" s="6"/>
      <c r="F122" s="6"/>
      <c r="G122" s="6"/>
      <c r="H122" s="6"/>
      <c r="I122" s="6"/>
      <c r="J122" s="6"/>
      <c r="K122" s="6"/>
    </row>
    <row r="123" spans="2:11" x14ac:dyDescent="0.25">
      <c r="B123" s="6"/>
      <c r="D123" s="6"/>
      <c r="E123" s="6"/>
      <c r="F123" s="6"/>
      <c r="G123" s="6"/>
      <c r="H123" s="6"/>
      <c r="I123" s="6"/>
      <c r="J123" s="6"/>
      <c r="K123" s="6"/>
    </row>
    <row r="124" spans="2:11" x14ac:dyDescent="0.25">
      <c r="B124" s="6"/>
      <c r="D124" s="6"/>
      <c r="E124" s="6"/>
      <c r="F124" s="6"/>
      <c r="G124" s="6"/>
      <c r="H124" s="6"/>
      <c r="I124" s="6"/>
      <c r="J124" s="6"/>
      <c r="K124" s="6"/>
    </row>
    <row r="125" spans="2:11" x14ac:dyDescent="0.25">
      <c r="B125" s="6"/>
      <c r="D125" s="6"/>
      <c r="E125" s="6"/>
      <c r="F125" s="6"/>
      <c r="G125" s="6"/>
      <c r="H125" s="6"/>
      <c r="I125" s="6"/>
      <c r="J125" s="6"/>
      <c r="K125" s="6"/>
    </row>
    <row r="126" spans="2:11" x14ac:dyDescent="0.25">
      <c r="B126" s="6"/>
      <c r="D126" s="6"/>
      <c r="E126" s="6"/>
      <c r="F126" s="6"/>
      <c r="G126" s="6"/>
      <c r="H126" s="6"/>
      <c r="I126" s="6"/>
      <c r="J126" s="6"/>
      <c r="K126" s="6"/>
    </row>
    <row r="127" spans="2:11" x14ac:dyDescent="0.25">
      <c r="B127" s="6"/>
      <c r="D127" s="6"/>
      <c r="E127" s="6"/>
      <c r="F127" s="6"/>
      <c r="G127" s="6"/>
      <c r="H127" s="6"/>
      <c r="I127" s="6"/>
      <c r="J127" s="6"/>
      <c r="K127" s="6"/>
    </row>
    <row r="128" spans="2:11" x14ac:dyDescent="0.25">
      <c r="B128" s="6"/>
      <c r="D128" s="6"/>
      <c r="E128" s="6"/>
      <c r="F128" s="6"/>
      <c r="G128" s="6"/>
      <c r="H128" s="6"/>
      <c r="I128" s="6"/>
      <c r="J128" s="6"/>
      <c r="K128" s="6"/>
    </row>
    <row r="129" spans="2:11" x14ac:dyDescent="0.25">
      <c r="B129" s="6"/>
      <c r="D129" s="6"/>
      <c r="E129" s="6"/>
      <c r="F129" s="6"/>
      <c r="G129" s="6"/>
      <c r="H129" s="6"/>
      <c r="I129" s="6"/>
      <c r="J129" s="6"/>
      <c r="K129" s="6"/>
    </row>
    <row r="130" spans="2:11" x14ac:dyDescent="0.25">
      <c r="B130" s="6"/>
      <c r="D130" s="6"/>
      <c r="E130" s="6"/>
      <c r="F130" s="6"/>
      <c r="G130" s="6"/>
      <c r="H130" s="6"/>
      <c r="I130" s="6"/>
      <c r="J130" s="6"/>
      <c r="K130" s="6"/>
    </row>
    <row r="131" spans="2:11" x14ac:dyDescent="0.25">
      <c r="B131" s="6"/>
      <c r="D131" s="6"/>
      <c r="E131" s="6"/>
      <c r="F131" s="6"/>
      <c r="G131" s="6"/>
      <c r="H131" s="6"/>
      <c r="I131" s="6"/>
      <c r="J131" s="6"/>
      <c r="K131" s="6"/>
    </row>
    <row r="132" spans="2:11" x14ac:dyDescent="0.25">
      <c r="B132" s="6"/>
      <c r="D132" s="6"/>
      <c r="E132" s="6"/>
      <c r="F132" s="6"/>
      <c r="G132" s="6"/>
      <c r="H132" s="6"/>
      <c r="I132" s="6"/>
      <c r="J132" s="6"/>
      <c r="K132" s="6"/>
    </row>
    <row r="133" spans="2:11" x14ac:dyDescent="0.25">
      <c r="B133" s="6"/>
      <c r="D133" s="6"/>
      <c r="E133" s="6"/>
      <c r="F133" s="6"/>
      <c r="G133" s="6"/>
      <c r="H133" s="6"/>
      <c r="I133" s="6"/>
      <c r="J133" s="6"/>
      <c r="K133" s="6"/>
    </row>
    <row r="134" spans="2:11" x14ac:dyDescent="0.25">
      <c r="B134" s="6"/>
      <c r="D134" s="6"/>
      <c r="E134" s="6"/>
      <c r="F134" s="6"/>
      <c r="G134" s="6"/>
      <c r="H134" s="6"/>
      <c r="I134" s="6"/>
      <c r="J134" s="6"/>
      <c r="K134" s="6"/>
    </row>
    <row r="135" spans="2:11" x14ac:dyDescent="0.25">
      <c r="B135" s="6"/>
      <c r="D135" s="6"/>
      <c r="E135" s="6"/>
      <c r="F135" s="6"/>
      <c r="G135" s="6"/>
      <c r="H135" s="6"/>
      <c r="I135" s="6"/>
      <c r="J135" s="6"/>
      <c r="K135" s="6"/>
    </row>
    <row r="136" spans="2:11" x14ac:dyDescent="0.25">
      <c r="B136" s="6"/>
      <c r="D136" s="6"/>
      <c r="E136" s="6"/>
      <c r="F136" s="6"/>
      <c r="G136" s="6"/>
      <c r="H136" s="6"/>
      <c r="I136" s="6"/>
      <c r="J136" s="6"/>
      <c r="K136" s="6"/>
    </row>
    <row r="137" spans="2:11" x14ac:dyDescent="0.25">
      <c r="B137" s="6"/>
      <c r="D137" s="6"/>
      <c r="E137" s="6"/>
      <c r="F137" s="6"/>
      <c r="G137" s="6"/>
      <c r="H137" s="6"/>
      <c r="I137" s="6"/>
      <c r="J137" s="6"/>
      <c r="K137" s="6"/>
    </row>
    <row r="138" spans="2:11" x14ac:dyDescent="0.25">
      <c r="B138" s="6"/>
      <c r="D138" s="6"/>
      <c r="E138" s="6"/>
      <c r="F138" s="6"/>
      <c r="G138" s="6"/>
      <c r="H138" s="6"/>
      <c r="I138" s="6"/>
      <c r="J138" s="6"/>
      <c r="K138" s="6"/>
    </row>
    <row r="139" spans="2:11" x14ac:dyDescent="0.25">
      <c r="B139" s="6"/>
      <c r="D139" s="6"/>
      <c r="E139" s="6"/>
      <c r="F139" s="6"/>
      <c r="G139" s="6"/>
      <c r="H139" s="6"/>
      <c r="I139" s="6"/>
      <c r="J139" s="6"/>
      <c r="K139" s="6"/>
    </row>
    <row r="140" spans="2:11" x14ac:dyDescent="0.25">
      <c r="B140" s="6"/>
      <c r="D140" s="6"/>
      <c r="E140" s="6"/>
      <c r="F140" s="6"/>
      <c r="G140" s="6"/>
      <c r="H140" s="6"/>
      <c r="I140" s="6"/>
      <c r="J140" s="6"/>
      <c r="K140" s="6"/>
    </row>
    <row r="141" spans="2:11" x14ac:dyDescent="0.25">
      <c r="B141" s="6"/>
      <c r="D141" s="6"/>
      <c r="E141" s="6"/>
      <c r="F141" s="6"/>
      <c r="G141" s="6"/>
      <c r="H141" s="6"/>
      <c r="I141" s="6"/>
      <c r="J141" s="6"/>
      <c r="K141" s="6"/>
    </row>
    <row r="142" spans="2:11" x14ac:dyDescent="0.25">
      <c r="B142" s="6"/>
      <c r="D142" s="6"/>
      <c r="E142" s="6"/>
      <c r="F142" s="6"/>
      <c r="G142" s="6"/>
      <c r="H142" s="6"/>
      <c r="I142" s="6"/>
      <c r="J142" s="6"/>
      <c r="K142" s="6"/>
    </row>
    <row r="143" spans="2:11" x14ac:dyDescent="0.25">
      <c r="B143" s="6"/>
      <c r="D143" s="6"/>
      <c r="E143" s="6"/>
      <c r="F143" s="6"/>
      <c r="G143" s="6"/>
      <c r="H143" s="6"/>
      <c r="I143" s="6"/>
      <c r="J143" s="6"/>
      <c r="K143" s="6"/>
    </row>
    <row r="144" spans="2:11" x14ac:dyDescent="0.25">
      <c r="B144" s="6"/>
      <c r="D144" s="6"/>
      <c r="E144" s="6"/>
      <c r="F144" s="6"/>
      <c r="G144" s="6"/>
      <c r="H144" s="6"/>
      <c r="I144" s="6"/>
      <c r="J144" s="6"/>
      <c r="K144" s="6"/>
    </row>
    <row r="145" spans="2:11" x14ac:dyDescent="0.25">
      <c r="B145" s="6"/>
      <c r="D145" s="6"/>
      <c r="E145" s="6"/>
      <c r="F145" s="6"/>
      <c r="G145" s="6"/>
      <c r="H145" s="6"/>
      <c r="I145" s="6"/>
      <c r="J145" s="6"/>
      <c r="K145" s="6"/>
    </row>
    <row r="146" spans="2:11" x14ac:dyDescent="0.25">
      <c r="B146" s="6"/>
      <c r="D146" s="6"/>
      <c r="E146" s="6"/>
      <c r="F146" s="6"/>
      <c r="G146" s="6"/>
      <c r="H146" s="6"/>
      <c r="I146" s="6"/>
      <c r="J146" s="6"/>
      <c r="K146" s="6"/>
    </row>
    <row r="147" spans="2:11" x14ac:dyDescent="0.25">
      <c r="B147" s="6"/>
      <c r="D147" s="6"/>
      <c r="E147" s="6"/>
      <c r="F147" s="6"/>
      <c r="G147" s="6"/>
      <c r="H147" s="6"/>
      <c r="I147" s="6"/>
      <c r="J147" s="6"/>
      <c r="K147" s="6"/>
    </row>
    <row r="148" spans="2:11" x14ac:dyDescent="0.25">
      <c r="B148" s="6"/>
      <c r="D148" s="6"/>
      <c r="E148" s="6"/>
      <c r="F148" s="6"/>
      <c r="G148" s="6"/>
      <c r="H148" s="6"/>
      <c r="I148" s="6"/>
      <c r="J148" s="6"/>
      <c r="K148" s="6"/>
    </row>
    <row r="149" spans="2:11" x14ac:dyDescent="0.25">
      <c r="B149" s="6"/>
      <c r="D149" s="6"/>
      <c r="E149" s="6"/>
      <c r="F149" s="6"/>
      <c r="G149" s="6"/>
      <c r="H149" s="6"/>
      <c r="I149" s="6"/>
      <c r="J149" s="6"/>
      <c r="K149" s="6"/>
    </row>
    <row r="150" spans="2:11" x14ac:dyDescent="0.25">
      <c r="B150" s="6"/>
      <c r="D150" s="6"/>
      <c r="E150" s="6"/>
      <c r="F150" s="6"/>
      <c r="G150" s="6"/>
      <c r="H150" s="6"/>
      <c r="I150" s="6"/>
      <c r="J150" s="6"/>
      <c r="K150" s="6"/>
    </row>
    <row r="151" spans="2:11" x14ac:dyDescent="0.25">
      <c r="B151" s="6"/>
      <c r="D151" s="6"/>
      <c r="E151" s="6"/>
      <c r="F151" s="6"/>
      <c r="G151" s="6"/>
      <c r="H151" s="6"/>
      <c r="I151" s="6"/>
      <c r="J151" s="6"/>
      <c r="K151" s="6"/>
    </row>
    <row r="152" spans="2:11" x14ac:dyDescent="0.25">
      <c r="B152" s="6"/>
      <c r="D152" s="6"/>
      <c r="E152" s="6"/>
      <c r="F152" s="6"/>
      <c r="G152" s="6"/>
      <c r="H152" s="6"/>
      <c r="I152" s="6"/>
      <c r="J152" s="6"/>
      <c r="K152" s="6"/>
    </row>
    <row r="153" spans="2:11" x14ac:dyDescent="0.25">
      <c r="B153" s="6"/>
      <c r="D153" s="6"/>
      <c r="E153" s="6"/>
      <c r="F153" s="6"/>
      <c r="G153" s="6"/>
      <c r="H153" s="6"/>
      <c r="I153" s="6"/>
      <c r="J153" s="6"/>
      <c r="K153" s="6"/>
    </row>
    <row r="154" spans="2:11" x14ac:dyDescent="0.25">
      <c r="B154" s="6"/>
      <c r="D154" s="6"/>
      <c r="E154" s="6"/>
      <c r="F154" s="6"/>
      <c r="G154" s="6"/>
      <c r="H154" s="6"/>
      <c r="I154" s="6"/>
      <c r="J154" s="6"/>
      <c r="K154" s="6"/>
    </row>
    <row r="155" spans="2:11" x14ac:dyDescent="0.25">
      <c r="B155" s="6"/>
      <c r="D155" s="6"/>
      <c r="E155" s="6"/>
      <c r="F155" s="6"/>
      <c r="G155" s="6"/>
      <c r="H155" s="6"/>
      <c r="I155" s="6"/>
      <c r="J155" s="6"/>
      <c r="K155" s="6"/>
    </row>
    <row r="156" spans="2:11" x14ac:dyDescent="0.25">
      <c r="B156" s="6"/>
      <c r="D156" s="6"/>
      <c r="E156" s="6"/>
      <c r="F156" s="6"/>
      <c r="G156" s="6"/>
      <c r="H156" s="6"/>
      <c r="I156" s="6"/>
      <c r="J156" s="6"/>
      <c r="K156" s="6"/>
    </row>
    <row r="157" spans="2:11" x14ac:dyDescent="0.25">
      <c r="B157" s="6"/>
      <c r="D157" s="6"/>
      <c r="E157" s="6"/>
      <c r="F157" s="6"/>
      <c r="G157" s="6"/>
      <c r="H157" s="6"/>
      <c r="I157" s="6"/>
      <c r="J157" s="6"/>
      <c r="K157" s="6"/>
    </row>
    <row r="158" spans="2:11" x14ac:dyDescent="0.25">
      <c r="B158" s="6"/>
      <c r="D158" s="6"/>
      <c r="E158" s="6"/>
      <c r="F158" s="6"/>
      <c r="G158" s="6"/>
      <c r="H158" s="6"/>
      <c r="I158" s="6"/>
      <c r="J158" s="6"/>
      <c r="K158" s="6"/>
    </row>
    <row r="159" spans="2:11" x14ac:dyDescent="0.25">
      <c r="B159" s="6"/>
      <c r="D159" s="6"/>
      <c r="E159" s="6"/>
      <c r="F159" s="6"/>
      <c r="G159" s="6"/>
      <c r="H159" s="6"/>
      <c r="I159" s="6"/>
      <c r="J159" s="6"/>
      <c r="K159" s="6"/>
    </row>
    <row r="160" spans="2:11" x14ac:dyDescent="0.25">
      <c r="B160" s="6"/>
      <c r="D160" s="6"/>
      <c r="E160" s="6"/>
      <c r="F160" s="6"/>
      <c r="G160" s="6"/>
      <c r="H160" s="6"/>
      <c r="I160" s="6"/>
      <c r="J160" s="6"/>
      <c r="K160" s="6"/>
    </row>
    <row r="161" spans="2:11" x14ac:dyDescent="0.25">
      <c r="B161" s="6"/>
      <c r="D161" s="6"/>
      <c r="E161" s="6"/>
      <c r="F161" s="6"/>
      <c r="G161" s="6"/>
      <c r="H161" s="6"/>
      <c r="I161" s="6"/>
      <c r="J161" s="6"/>
      <c r="K161" s="6"/>
    </row>
    <row r="162" spans="2:11" x14ac:dyDescent="0.25">
      <c r="B162" s="6"/>
      <c r="D162" s="6"/>
      <c r="E162" s="6"/>
      <c r="F162" s="6"/>
      <c r="G162" s="6"/>
      <c r="H162" s="6"/>
      <c r="I162" s="6"/>
      <c r="J162" s="6"/>
      <c r="K162" s="6"/>
    </row>
    <row r="163" spans="2:11" x14ac:dyDescent="0.25">
      <c r="B163" s="6"/>
      <c r="D163" s="6"/>
      <c r="E163" s="6"/>
      <c r="F163" s="6"/>
      <c r="G163" s="6"/>
      <c r="H163" s="6"/>
      <c r="I163" s="6"/>
      <c r="J163" s="6"/>
      <c r="K163" s="6"/>
    </row>
    <row r="164" spans="2:11" x14ac:dyDescent="0.25">
      <c r="B164" s="6"/>
      <c r="D164" s="6"/>
      <c r="E164" s="6"/>
      <c r="F164" s="6"/>
      <c r="G164" s="6"/>
      <c r="H164" s="6"/>
      <c r="I164" s="6"/>
      <c r="J164" s="6"/>
      <c r="K164" s="6"/>
    </row>
    <row r="165" spans="2:11" x14ac:dyDescent="0.25">
      <c r="B165" s="6"/>
      <c r="D165" s="6"/>
      <c r="E165" s="6"/>
      <c r="F165" s="6"/>
      <c r="G165" s="6"/>
      <c r="H165" s="6"/>
      <c r="I165" s="6"/>
      <c r="J165" s="6"/>
      <c r="K165" s="6"/>
    </row>
    <row r="166" spans="2:11" x14ac:dyDescent="0.25">
      <c r="B166" s="6"/>
      <c r="D166" s="6"/>
      <c r="E166" s="6"/>
      <c r="F166" s="6"/>
      <c r="G166" s="6"/>
      <c r="H166" s="6"/>
      <c r="I166" s="6"/>
      <c r="J166" s="6"/>
      <c r="K166" s="6"/>
    </row>
    <row r="167" spans="2:11" x14ac:dyDescent="0.25">
      <c r="B167" s="6"/>
      <c r="D167" s="6"/>
      <c r="E167" s="6"/>
      <c r="F167" s="6"/>
      <c r="G167" s="6"/>
      <c r="H167" s="6"/>
      <c r="I167" s="6"/>
      <c r="J167" s="6"/>
      <c r="K167" s="6"/>
    </row>
    <row r="168" spans="2:11" x14ac:dyDescent="0.25">
      <c r="B168" s="6"/>
      <c r="D168" s="6"/>
      <c r="E168" s="6"/>
      <c r="F168" s="6"/>
      <c r="G168" s="6"/>
      <c r="H168" s="6"/>
      <c r="I168" s="6"/>
      <c r="J168" s="6"/>
      <c r="K168" s="6"/>
    </row>
    <row r="169" spans="2:11" x14ac:dyDescent="0.25">
      <c r="B169" s="6"/>
      <c r="D169" s="6"/>
      <c r="E169" s="6"/>
      <c r="F169" s="6"/>
      <c r="G169" s="6"/>
      <c r="H169" s="6"/>
      <c r="I169" s="6"/>
      <c r="J169" s="6"/>
      <c r="K169" s="6"/>
    </row>
    <row r="170" spans="2:11" x14ac:dyDescent="0.25">
      <c r="B170" s="6"/>
      <c r="D170" s="6"/>
      <c r="E170" s="6"/>
      <c r="F170" s="6"/>
      <c r="G170" s="6"/>
      <c r="H170" s="6"/>
      <c r="I170" s="6"/>
      <c r="J170" s="6"/>
      <c r="K170" s="6"/>
    </row>
    <row r="171" spans="2:11" x14ac:dyDescent="0.25">
      <c r="B171" s="6"/>
      <c r="D171" s="6"/>
      <c r="E171" s="6"/>
      <c r="F171" s="6"/>
      <c r="G171" s="6"/>
      <c r="H171" s="6"/>
      <c r="I171" s="6"/>
      <c r="J171" s="6"/>
      <c r="K171" s="6"/>
    </row>
    <row r="172" spans="2:11" x14ac:dyDescent="0.25">
      <c r="B172" s="6"/>
      <c r="D172" s="6"/>
      <c r="E172" s="6"/>
      <c r="F172" s="6"/>
      <c r="G172" s="6"/>
      <c r="H172" s="6"/>
      <c r="I172" s="6"/>
      <c r="J172" s="6"/>
      <c r="K172" s="6"/>
    </row>
    <row r="173" spans="2:11" x14ac:dyDescent="0.25">
      <c r="B173" s="6"/>
      <c r="D173" s="6"/>
      <c r="E173" s="6"/>
      <c r="F173" s="6"/>
      <c r="G173" s="6"/>
      <c r="H173" s="6"/>
      <c r="I173" s="6"/>
      <c r="J173" s="6"/>
      <c r="K173" s="6"/>
    </row>
    <row r="174" spans="2:11" x14ac:dyDescent="0.25">
      <c r="B174" s="6"/>
      <c r="D174" s="6"/>
      <c r="E174" s="6"/>
      <c r="F174" s="6"/>
      <c r="G174" s="6"/>
      <c r="H174" s="6"/>
      <c r="I174" s="6"/>
      <c r="J174" s="6"/>
      <c r="K174" s="6"/>
    </row>
    <row r="175" spans="2:11" x14ac:dyDescent="0.25">
      <c r="B175" s="6"/>
      <c r="D175" s="6"/>
      <c r="E175" s="6"/>
      <c r="F175" s="6"/>
      <c r="G175" s="6"/>
      <c r="H175" s="6"/>
      <c r="I175" s="6"/>
      <c r="J175" s="6"/>
      <c r="K175" s="6"/>
    </row>
    <row r="176" spans="2:11" x14ac:dyDescent="0.25">
      <c r="B176" s="6"/>
      <c r="D176" s="6"/>
      <c r="E176" s="6"/>
      <c r="F176" s="6"/>
      <c r="G176" s="6"/>
      <c r="H176" s="6"/>
      <c r="I176" s="6"/>
      <c r="J176" s="6"/>
      <c r="K176" s="6"/>
    </row>
    <row r="177" spans="2:11" x14ac:dyDescent="0.25">
      <c r="B177" s="6"/>
      <c r="D177" s="6"/>
      <c r="E177" s="6"/>
      <c r="F177" s="6"/>
      <c r="G177" s="6"/>
      <c r="H177" s="6"/>
      <c r="I177" s="6"/>
      <c r="J177" s="6"/>
      <c r="K177" s="6"/>
    </row>
    <row r="178" spans="2:11" x14ac:dyDescent="0.25">
      <c r="B178" s="6"/>
      <c r="D178" s="6"/>
      <c r="E178" s="6"/>
      <c r="F178" s="6"/>
      <c r="G178" s="6"/>
      <c r="H178" s="6"/>
      <c r="I178" s="6"/>
      <c r="J178" s="6"/>
      <c r="K178" s="6"/>
    </row>
    <row r="179" spans="2:11" x14ac:dyDescent="0.25">
      <c r="B179" s="6"/>
      <c r="D179" s="6"/>
      <c r="E179" s="6"/>
      <c r="F179" s="6"/>
      <c r="G179" s="6"/>
      <c r="H179" s="6"/>
      <c r="I179" s="6"/>
      <c r="J179" s="6"/>
      <c r="K179" s="6"/>
    </row>
  </sheetData>
  <mergeCells count="23">
    <mergeCell ref="A1:P1"/>
    <mergeCell ref="A2:P2"/>
    <mergeCell ref="A3:P3"/>
    <mergeCell ref="A4:D4"/>
    <mergeCell ref="A5:P5"/>
    <mergeCell ref="B55:B63"/>
    <mergeCell ref="B65:B67"/>
    <mergeCell ref="B68:B74"/>
    <mergeCell ref="B15:B22"/>
    <mergeCell ref="D15:I15"/>
    <mergeCell ref="D18:I18"/>
    <mergeCell ref="D23:I23"/>
    <mergeCell ref="D24:I24"/>
    <mergeCell ref="B26:E26"/>
    <mergeCell ref="B27:B33"/>
    <mergeCell ref="B35:E35"/>
    <mergeCell ref="B36:B42"/>
    <mergeCell ref="B49:E50"/>
    <mergeCell ref="B10:D10"/>
    <mergeCell ref="F10:S10"/>
    <mergeCell ref="F11:S11"/>
    <mergeCell ref="E12:R12"/>
    <mergeCell ref="E13:R13"/>
  </mergeCells>
  <conditionalFormatting sqref="F10">
    <cfRule type="notContainsBlanks" dxfId="61" priority="4">
      <formula>LEN(TRIM(F10))&gt;0</formula>
    </cfRule>
  </conditionalFormatting>
  <conditionalFormatting sqref="F11:S11">
    <cfRule type="expression" dxfId="60" priority="2">
      <formula>E11="NO SE REPORTA"</formula>
    </cfRule>
    <cfRule type="expression" dxfId="59" priority="3">
      <formula>E10="NO APLICA"</formula>
    </cfRule>
  </conditionalFormatting>
  <conditionalFormatting sqref="E12:R12">
    <cfRule type="expression" dxfId="58"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6:E17 E20:H21" xr:uid="{00000000-0002-0000-1B00-000000000000}">
      <formula1>0</formula1>
    </dataValidation>
    <dataValidation allowBlank="1" showInputMessage="1" showErrorMessage="1" sqref="I20:I21" xr:uid="{00000000-0002-0000-1B00-000001000000}"/>
    <dataValidation type="list" allowBlank="1" showInputMessage="1" showErrorMessage="1" sqref="E11" xr:uid="{00000000-0002-0000-1B00-000002000000}">
      <formula1>REPORTE</formula1>
    </dataValidation>
    <dataValidation type="list" allowBlank="1" showInputMessage="1" showErrorMessage="1" sqref="E10" xr:uid="{00000000-0002-0000-1B00-000003000000}">
      <formula1>SI</formula1>
    </dataValidation>
  </dataValidations>
  <hyperlinks>
    <hyperlink ref="B9" location="'ANEXO 3'!A1" display="VOLVER AL INDICE" xr:uid="{00000000-0004-0000-1B00-000000000000}"/>
  </hyperlinks>
  <pageMargins left="0.25" right="0.25" top="0.75" bottom="0.75" header="0.3" footer="0.3"/>
  <pageSetup paperSize="178" orientation="landscape" horizontalDpi="1200" verticalDpi="12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8">
    <tabColor rgb="FFFF0000"/>
  </sheetPr>
  <dimension ref="A1:U188"/>
  <sheetViews>
    <sheetView showGridLines="0" topLeftCell="A56" zoomScale="70" zoomScaleNormal="70" workbookViewId="0">
      <selection activeCell="G62" sqref="G62"/>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7" width="25" customWidth="1"/>
    <col min="8" max="8" width="15.140625" customWidth="1"/>
  </cols>
  <sheetData>
    <row r="1" spans="1:21" s="538" customFormat="1" ht="100.5" customHeight="1" thickBot="1" x14ac:dyDescent="0.3">
      <c r="A1" s="1733"/>
      <c r="B1" s="1734"/>
      <c r="C1" s="1734"/>
      <c r="D1" s="1734"/>
      <c r="E1" s="1734"/>
      <c r="F1" s="1734"/>
      <c r="G1" s="1734"/>
      <c r="H1" s="1734"/>
      <c r="I1" s="1734"/>
      <c r="J1" s="1734"/>
      <c r="K1" s="1734"/>
      <c r="L1" s="1734"/>
      <c r="M1" s="1734"/>
      <c r="N1" s="1734"/>
      <c r="O1" s="1734"/>
      <c r="P1" s="1735"/>
      <c r="Q1" s="412"/>
      <c r="R1" s="412"/>
    </row>
    <row r="2" spans="1:21" s="539" customFormat="1" ht="16.5" thickBot="1" x14ac:dyDescent="0.3">
      <c r="A2" s="1741" t="str">
        <f>'Datos Generales'!C5</f>
        <v>Corporación Autónoma Regional de La Guajira – CORPOGUAJIRA</v>
      </c>
      <c r="B2" s="1742"/>
      <c r="C2" s="1742"/>
      <c r="D2" s="1742"/>
      <c r="E2" s="1742"/>
      <c r="F2" s="1742"/>
      <c r="G2" s="1742"/>
      <c r="H2" s="1742"/>
      <c r="I2" s="1742"/>
      <c r="J2" s="1742"/>
      <c r="K2" s="1742"/>
      <c r="L2" s="1742"/>
      <c r="M2" s="1742"/>
      <c r="N2" s="1742"/>
      <c r="O2" s="1742"/>
      <c r="P2" s="1743"/>
      <c r="Q2" s="412"/>
      <c r="R2" s="412"/>
    </row>
    <row r="3" spans="1:21" s="539" customFormat="1" ht="16.5" thickBot="1" x14ac:dyDescent="0.3">
      <c r="A3" s="1736" t="s">
        <v>1347</v>
      </c>
      <c r="B3" s="1737"/>
      <c r="C3" s="1737"/>
      <c r="D3" s="1737"/>
      <c r="E3" s="1737"/>
      <c r="F3" s="1737"/>
      <c r="G3" s="1737"/>
      <c r="H3" s="1737"/>
      <c r="I3" s="1737"/>
      <c r="J3" s="1737"/>
      <c r="K3" s="1737"/>
      <c r="L3" s="1737"/>
      <c r="M3" s="1737"/>
      <c r="N3" s="1737"/>
      <c r="O3" s="1737"/>
      <c r="P3" s="1738"/>
      <c r="Q3" s="412"/>
      <c r="R3" s="412"/>
    </row>
    <row r="4" spans="1:21" s="539" customFormat="1" ht="16.5" thickBot="1" x14ac:dyDescent="0.3">
      <c r="A4" s="1739" t="s">
        <v>1346</v>
      </c>
      <c r="B4" s="1740"/>
      <c r="C4" s="1740"/>
      <c r="D4" s="1740"/>
      <c r="E4" s="579" t="str">
        <f>'Datos Generales'!C6</f>
        <v>2021-I</v>
      </c>
      <c r="F4" s="579"/>
      <c r="G4" s="579"/>
      <c r="H4" s="579"/>
      <c r="I4" s="579"/>
      <c r="J4" s="579"/>
      <c r="K4" s="579"/>
      <c r="L4" s="581"/>
      <c r="M4" s="581"/>
      <c r="N4" s="581"/>
      <c r="O4" s="581"/>
      <c r="P4" s="582"/>
      <c r="Q4" s="412"/>
      <c r="R4" s="412"/>
    </row>
    <row r="5" spans="1:21" s="245" customFormat="1" ht="16.5" customHeight="1" thickBot="1" x14ac:dyDescent="0.3">
      <c r="A5" s="1736" t="s">
        <v>652</v>
      </c>
      <c r="B5" s="1737"/>
      <c r="C5" s="1737"/>
      <c r="D5" s="1737"/>
      <c r="E5" s="1737"/>
      <c r="F5" s="1737"/>
      <c r="G5" s="1737"/>
      <c r="H5" s="1737"/>
      <c r="I5" s="1737"/>
      <c r="J5" s="1737"/>
      <c r="K5" s="1737"/>
      <c r="L5" s="1737"/>
      <c r="M5" s="1737"/>
      <c r="N5" s="1737"/>
      <c r="O5" s="1737"/>
      <c r="P5" s="1738"/>
    </row>
    <row r="6" spans="1:21" x14ac:dyDescent="0.25">
      <c r="B6" s="2" t="s">
        <v>1</v>
      </c>
      <c r="C6" s="76"/>
      <c r="D6" s="6"/>
      <c r="E6" s="74"/>
      <c r="F6" s="6" t="s">
        <v>128</v>
      </c>
      <c r="G6" s="6"/>
      <c r="H6" s="6"/>
      <c r="I6" s="6"/>
      <c r="J6" s="6"/>
      <c r="K6" s="6"/>
    </row>
    <row r="7" spans="1:21" ht="15.75" thickBot="1" x14ac:dyDescent="0.3">
      <c r="B7" s="28"/>
      <c r="C7" s="77"/>
      <c r="D7" s="6"/>
      <c r="E7" s="18"/>
      <c r="F7" s="6" t="s">
        <v>129</v>
      </c>
      <c r="G7" s="6"/>
      <c r="H7" s="6"/>
      <c r="I7" s="6"/>
      <c r="J7" s="6"/>
      <c r="K7" s="6"/>
    </row>
    <row r="8" spans="1:21" ht="15.75" thickBot="1" x14ac:dyDescent="0.3">
      <c r="B8" s="177" t="s">
        <v>1185</v>
      </c>
      <c r="C8" s="222">
        <v>2021</v>
      </c>
      <c r="D8" s="226">
        <f>IF(E10="NO APLICA","NO APLICA",IF(E11="NO SE REPORTA","SIN INFORMACION",+F20))</f>
        <v>1</v>
      </c>
      <c r="E8" s="223"/>
      <c r="F8" s="6" t="s">
        <v>130</v>
      </c>
      <c r="G8" s="6"/>
      <c r="H8" s="6"/>
      <c r="I8" s="6"/>
      <c r="J8" s="6"/>
      <c r="K8" s="6"/>
    </row>
    <row r="9" spans="1:21" x14ac:dyDescent="0.25">
      <c r="B9" s="493" t="s">
        <v>1186</v>
      </c>
      <c r="D9" s="6"/>
      <c r="E9" s="6"/>
      <c r="F9" s="6"/>
      <c r="G9" s="6"/>
      <c r="H9" s="6"/>
      <c r="I9" s="6"/>
      <c r="J9" s="6"/>
      <c r="K9" s="6"/>
    </row>
    <row r="10" spans="1:21" s="412" customFormat="1" x14ac:dyDescent="0.25">
      <c r="A10" s="245"/>
      <c r="B10" s="1789" t="s">
        <v>1241</v>
      </c>
      <c r="C10" s="1789"/>
      <c r="D10" s="1789"/>
      <c r="E10" s="499" t="s">
        <v>1238</v>
      </c>
      <c r="F10" s="17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96"/>
      <c r="H10" s="1796"/>
      <c r="I10" s="1796"/>
      <c r="J10" s="1796"/>
      <c r="K10" s="1796"/>
      <c r="L10" s="1796"/>
      <c r="M10" s="1796"/>
      <c r="N10" s="1796"/>
      <c r="O10" s="1796"/>
      <c r="P10" s="1796"/>
      <c r="Q10" s="1796"/>
      <c r="R10" s="1796"/>
      <c r="S10" s="1796"/>
      <c r="T10" s="495"/>
      <c r="U10" s="495"/>
    </row>
    <row r="11" spans="1:21" s="412" customFormat="1" ht="14.45" customHeight="1" x14ac:dyDescent="0.25">
      <c r="A11" s="245"/>
      <c r="B11" s="496"/>
      <c r="C11" s="497"/>
      <c r="D11" s="498" t="str">
        <f>IF(E10="SI APLICA","¿El indicador no se reporta por limitaciones de información disponible? ","")</f>
        <v xml:space="preserve">¿El indicador no se reporta por limitaciones de información disponible? </v>
      </c>
      <c r="E11" s="500" t="s">
        <v>1240</v>
      </c>
      <c r="F11" s="1790"/>
      <c r="G11" s="1791"/>
      <c r="H11" s="1791"/>
      <c r="I11" s="1791"/>
      <c r="J11" s="1791"/>
      <c r="K11" s="1791"/>
      <c r="L11" s="1791"/>
      <c r="M11" s="1791"/>
      <c r="N11" s="1791"/>
      <c r="O11" s="1791"/>
      <c r="P11" s="1791"/>
      <c r="Q11" s="1791"/>
      <c r="R11" s="1791"/>
      <c r="S11" s="1791"/>
    </row>
    <row r="12" spans="1:21" s="412" customFormat="1" ht="23.45" customHeight="1" x14ac:dyDescent="0.25">
      <c r="A12" s="245"/>
      <c r="B12" s="493"/>
      <c r="C12" s="304"/>
      <c r="D12" s="498" t="str">
        <f>IF(E11="SI SE REPORTA","¿Qué programas o proyectos del Plan de Acción están asociados al indicador? ","")</f>
        <v xml:space="preserve">¿Qué programas o proyectos del Plan de Acción están asociados al indicador? </v>
      </c>
      <c r="E12" s="1799" t="str">
        <f>'Anexo 1 Matriz Inf Gestión'!A131</f>
        <v>Proyecto No 4.2. Gestión Ambiental Sectorial</v>
      </c>
      <c r="F12" s="1799"/>
      <c r="G12" s="1799"/>
      <c r="H12" s="1799"/>
      <c r="I12" s="1799"/>
      <c r="J12" s="1799"/>
      <c r="K12" s="1799"/>
      <c r="L12" s="1799"/>
      <c r="M12" s="1799"/>
      <c r="N12" s="1799"/>
      <c r="O12" s="1799"/>
      <c r="P12" s="1799"/>
      <c r="Q12" s="1799"/>
      <c r="R12" s="1799"/>
    </row>
    <row r="13" spans="1:21" s="412" customFormat="1" ht="21.95" customHeight="1" x14ac:dyDescent="0.25">
      <c r="A13" s="245"/>
      <c r="B13" s="493"/>
      <c r="C13" s="304"/>
      <c r="D13" s="498" t="s">
        <v>1243</v>
      </c>
      <c r="E13" s="1792" t="s">
        <v>2830</v>
      </c>
      <c r="F13" s="1793"/>
      <c r="G13" s="1793"/>
      <c r="H13" s="1793"/>
      <c r="I13" s="1793"/>
      <c r="J13" s="1793"/>
      <c r="K13" s="1793"/>
      <c r="L13" s="1793"/>
      <c r="M13" s="1793"/>
      <c r="N13" s="1793"/>
      <c r="O13" s="1793"/>
      <c r="P13" s="1793"/>
      <c r="Q13" s="1793"/>
      <c r="R13" s="1794"/>
    </row>
    <row r="14" spans="1:21" s="412" customFormat="1" ht="6.95" customHeight="1" thickBot="1" x14ac:dyDescent="0.3">
      <c r="B14" s="493"/>
      <c r="C14" s="87"/>
      <c r="D14" s="6"/>
      <c r="E14" s="6"/>
      <c r="F14" s="6"/>
      <c r="G14" s="6"/>
      <c r="H14" s="6"/>
      <c r="I14" s="6"/>
      <c r="J14" s="6"/>
      <c r="K14" s="6"/>
    </row>
    <row r="15" spans="1:21" ht="15" customHeight="1" thickTop="1" x14ac:dyDescent="0.25">
      <c r="B15" s="1835" t="s">
        <v>2</v>
      </c>
      <c r="C15" s="89"/>
      <c r="D15" s="1837" t="s">
        <v>336</v>
      </c>
      <c r="E15" s="1838"/>
      <c r="F15" s="1838"/>
      <c r="G15" s="1838"/>
      <c r="H15" s="1838"/>
      <c r="I15" s="1838"/>
      <c r="J15" s="1838"/>
      <c r="K15" s="1839"/>
    </row>
    <row r="16" spans="1:21" ht="15.75" thickBot="1" x14ac:dyDescent="0.3">
      <c r="B16" s="1836"/>
      <c r="C16" s="92"/>
      <c r="D16" s="1978" t="s">
        <v>652</v>
      </c>
      <c r="E16" s="1979"/>
      <c r="F16" s="1979"/>
      <c r="G16" s="1979"/>
      <c r="H16" s="1979"/>
      <c r="I16" s="1979"/>
      <c r="J16" s="1979"/>
      <c r="K16" s="1980"/>
    </row>
    <row r="17" spans="2:12" ht="15.75" thickBot="1" x14ac:dyDescent="0.3">
      <c r="B17" s="1836"/>
      <c r="C17" s="90" t="s">
        <v>19</v>
      </c>
      <c r="D17" s="39" t="s">
        <v>253</v>
      </c>
      <c r="E17" s="39" t="s">
        <v>20</v>
      </c>
      <c r="F17" s="39" t="s">
        <v>21</v>
      </c>
      <c r="G17" s="39" t="s">
        <v>22</v>
      </c>
      <c r="H17" s="39" t="s">
        <v>23</v>
      </c>
      <c r="I17" s="39" t="s">
        <v>254</v>
      </c>
      <c r="K17" s="22"/>
    </row>
    <row r="18" spans="2:12" ht="36.75" thickBot="1" x14ac:dyDescent="0.3">
      <c r="B18" s="1836"/>
      <c r="C18" s="91" t="s">
        <v>152</v>
      </c>
      <c r="D18" s="41" t="s">
        <v>687</v>
      </c>
      <c r="E18" s="997">
        <v>2</v>
      </c>
      <c r="F18" s="997">
        <v>4</v>
      </c>
      <c r="G18" s="997">
        <v>4</v>
      </c>
      <c r="H18" s="997">
        <v>4</v>
      </c>
      <c r="I18" s="42">
        <f>SUM(E18:H18)</f>
        <v>14</v>
      </c>
      <c r="K18" s="22"/>
    </row>
    <row r="19" spans="2:12" ht="36.75" thickBot="1" x14ac:dyDescent="0.3">
      <c r="B19" s="1836"/>
      <c r="C19" s="91" t="s">
        <v>154</v>
      </c>
      <c r="D19" s="41" t="s">
        <v>1178</v>
      </c>
      <c r="E19" s="997">
        <v>2</v>
      </c>
      <c r="F19" s="997">
        <v>4</v>
      </c>
      <c r="G19" s="997"/>
      <c r="H19" s="997"/>
      <c r="I19" s="42">
        <f>SUM(E19:H19)</f>
        <v>6</v>
      </c>
      <c r="K19" s="22"/>
    </row>
    <row r="20" spans="2:12" ht="48.75" thickBot="1" x14ac:dyDescent="0.3">
      <c r="B20" s="1836"/>
      <c r="C20" s="91" t="s">
        <v>156</v>
      </c>
      <c r="D20" s="41" t="s">
        <v>1177</v>
      </c>
      <c r="E20" s="144">
        <f>IFERROR(E19/E18,0)</f>
        <v>1</v>
      </c>
      <c r="F20" s="144">
        <f>IFERROR(F19/F18,0)</f>
        <v>1</v>
      </c>
      <c r="G20" s="144">
        <f>IFERROR(G19/G18,0)</f>
        <v>0</v>
      </c>
      <c r="H20" s="144">
        <f>IFERROR(H19/H18,0)</f>
        <v>0</v>
      </c>
      <c r="I20" s="144">
        <f>IFERROR(I19/I18,0)</f>
        <v>0.42857142857142855</v>
      </c>
      <c r="K20" s="22"/>
    </row>
    <row r="21" spans="2:12" x14ac:dyDescent="0.25">
      <c r="B21" s="436"/>
      <c r="C21" s="92"/>
      <c r="D21" s="1843"/>
      <c r="E21" s="1844"/>
      <c r="F21" s="1844"/>
      <c r="G21" s="1844"/>
      <c r="H21" s="1844"/>
      <c r="I21" s="1844"/>
      <c r="J21" s="1844"/>
      <c r="K21" s="1845"/>
    </row>
    <row r="22" spans="2:12" x14ac:dyDescent="0.25">
      <c r="B22" s="436"/>
      <c r="C22" s="92"/>
      <c r="D22" s="1978" t="s">
        <v>688</v>
      </c>
      <c r="E22" s="1979"/>
      <c r="F22" s="1979"/>
      <c r="G22" s="1979"/>
      <c r="H22" s="1979"/>
      <c r="I22" s="1979"/>
      <c r="J22" s="1979"/>
      <c r="K22" s="1980"/>
    </row>
    <row r="23" spans="2:12" ht="24" customHeight="1" thickBot="1" x14ac:dyDescent="0.3">
      <c r="B23" s="436"/>
      <c r="C23" s="92"/>
      <c r="D23" s="1995" t="s">
        <v>683</v>
      </c>
      <c r="E23" s="1996"/>
      <c r="F23" s="1996"/>
      <c r="G23" s="1996"/>
      <c r="H23" s="1996"/>
      <c r="I23" s="1996"/>
      <c r="J23" s="1996"/>
      <c r="K23" s="1997"/>
    </row>
    <row r="24" spans="2:12" ht="15.75" thickBot="1" x14ac:dyDescent="0.3">
      <c r="B24" s="436"/>
      <c r="C24" s="1839" t="s">
        <v>19</v>
      </c>
      <c r="D24" s="1826" t="s">
        <v>270</v>
      </c>
      <c r="E24" s="1826" t="s">
        <v>619</v>
      </c>
      <c r="F24" s="1886" t="s">
        <v>689</v>
      </c>
      <c r="G24" s="1998" t="s">
        <v>690</v>
      </c>
      <c r="H24" s="1999"/>
      <c r="I24" s="1999"/>
      <c r="J24" s="2000"/>
      <c r="K24" s="119"/>
    </row>
    <row r="25" spans="2:12" x14ac:dyDescent="0.25">
      <c r="B25" s="436"/>
      <c r="C25" s="1845"/>
      <c r="D25" s="1827"/>
      <c r="E25" s="1827"/>
      <c r="F25" s="1935"/>
      <c r="G25" s="69" t="s">
        <v>473</v>
      </c>
      <c r="H25" s="1886" t="s">
        <v>692</v>
      </c>
      <c r="I25" s="1886" t="s">
        <v>274</v>
      </c>
      <c r="J25" s="1886" t="s">
        <v>275</v>
      </c>
      <c r="K25" s="12"/>
    </row>
    <row r="26" spans="2:12" ht="15.75" thickBot="1" x14ac:dyDescent="0.3">
      <c r="B26" s="436"/>
      <c r="C26" s="1883"/>
      <c r="D26" s="1828"/>
      <c r="E26" s="1828"/>
      <c r="F26" s="1887"/>
      <c r="G26" s="65" t="s">
        <v>691</v>
      </c>
      <c r="H26" s="1887"/>
      <c r="I26" s="1887"/>
      <c r="J26" s="1887"/>
      <c r="K26" s="12"/>
    </row>
    <row r="27" spans="2:12" ht="45.75" thickBot="1" x14ac:dyDescent="0.3">
      <c r="B27" s="436"/>
      <c r="C27" s="31">
        <v>1</v>
      </c>
      <c r="D27" s="1133" t="s">
        <v>3116</v>
      </c>
      <c r="E27" s="997" t="s">
        <v>3117</v>
      </c>
      <c r="F27" s="997" t="s">
        <v>3118</v>
      </c>
      <c r="G27" s="1134">
        <v>18907057</v>
      </c>
      <c r="H27" s="1134">
        <v>95462613</v>
      </c>
      <c r="I27" s="1134">
        <v>69967948</v>
      </c>
      <c r="J27" s="1134"/>
      <c r="K27" s="12"/>
      <c r="L27" s="225"/>
    </row>
    <row r="28" spans="2:12" ht="34.5" thickBot="1" x14ac:dyDescent="0.3">
      <c r="B28" s="436"/>
      <c r="C28" s="31">
        <v>2</v>
      </c>
      <c r="D28" s="1133" t="s">
        <v>3119</v>
      </c>
      <c r="E28" s="997" t="s">
        <v>3117</v>
      </c>
      <c r="F28" s="1135" t="s">
        <v>3120</v>
      </c>
      <c r="G28" s="1134">
        <v>18907057</v>
      </c>
      <c r="H28" s="1134">
        <v>95462613</v>
      </c>
      <c r="I28" s="1134">
        <v>69967948</v>
      </c>
      <c r="J28" s="1134"/>
      <c r="K28" s="12"/>
      <c r="L28" s="225"/>
    </row>
    <row r="29" spans="2:12" s="757" customFormat="1" ht="45.75" thickBot="1" x14ac:dyDescent="0.3">
      <c r="B29" s="1118"/>
      <c r="C29" s="31">
        <v>3</v>
      </c>
      <c r="D29" s="1133" t="s">
        <v>3121</v>
      </c>
      <c r="E29" s="997" t="s">
        <v>3117</v>
      </c>
      <c r="F29" s="1135" t="s">
        <v>3122</v>
      </c>
      <c r="G29" s="1134">
        <v>18907057</v>
      </c>
      <c r="H29" s="1134">
        <v>95462613</v>
      </c>
      <c r="I29" s="1134">
        <v>69967948</v>
      </c>
      <c r="J29" s="1134"/>
      <c r="K29" s="12"/>
      <c r="L29" s="225"/>
    </row>
    <row r="30" spans="2:12" s="757" customFormat="1" ht="45.75" thickBot="1" x14ac:dyDescent="0.3">
      <c r="B30" s="1118"/>
      <c r="C30" s="31">
        <v>4</v>
      </c>
      <c r="D30" s="1408" t="s">
        <v>3123</v>
      </c>
      <c r="E30" s="1409" t="s">
        <v>3117</v>
      </c>
      <c r="F30" s="1409" t="s">
        <v>3124</v>
      </c>
      <c r="G30" s="1134">
        <v>18907057</v>
      </c>
      <c r="H30" s="1134">
        <v>95462613</v>
      </c>
      <c r="I30" s="1134">
        <v>69967948</v>
      </c>
      <c r="J30" s="1134"/>
      <c r="K30" s="12"/>
      <c r="L30" s="225"/>
    </row>
    <row r="31" spans="2:12" s="757" customFormat="1" ht="34.5" thickBot="1" x14ac:dyDescent="0.3">
      <c r="B31" s="1118"/>
      <c r="C31" s="31">
        <v>5</v>
      </c>
      <c r="D31" s="1408" t="s">
        <v>2757</v>
      </c>
      <c r="E31" s="1409" t="s">
        <v>3117</v>
      </c>
      <c r="F31" s="1409" t="s">
        <v>3125</v>
      </c>
      <c r="G31" s="1134"/>
      <c r="H31" s="1134"/>
      <c r="I31" s="1134"/>
      <c r="J31" s="1134"/>
      <c r="K31" s="12"/>
      <c r="L31" s="225"/>
    </row>
    <row r="32" spans="2:12" s="757" customFormat="1" ht="45.75" thickBot="1" x14ac:dyDescent="0.3">
      <c r="B32" s="1118"/>
      <c r="C32" s="31">
        <v>6</v>
      </c>
      <c r="D32" s="1133" t="s">
        <v>2758</v>
      </c>
      <c r="E32" s="997" t="s">
        <v>3117</v>
      </c>
      <c r="F32" s="1135" t="s">
        <v>3120</v>
      </c>
      <c r="G32" s="1134">
        <v>18907057</v>
      </c>
      <c r="H32" s="1134">
        <v>95462613</v>
      </c>
      <c r="I32" s="1134">
        <v>69967948</v>
      </c>
      <c r="J32" s="1134"/>
      <c r="K32" s="12"/>
      <c r="L32" s="225"/>
    </row>
    <row r="33" spans="2:12" ht="57" thickBot="1" x14ac:dyDescent="0.3">
      <c r="B33" s="436"/>
      <c r="C33" s="31">
        <v>7</v>
      </c>
      <c r="D33" s="1133" t="s">
        <v>3126</v>
      </c>
      <c r="E33" s="997" t="s">
        <v>3127</v>
      </c>
      <c r="F33" s="997" t="s">
        <v>3128</v>
      </c>
      <c r="G33" s="1134">
        <v>18907057</v>
      </c>
      <c r="H33" s="1134">
        <v>95462613</v>
      </c>
      <c r="I33" s="1134">
        <v>69967948</v>
      </c>
      <c r="J33" s="1134"/>
      <c r="K33" s="12"/>
      <c r="L33" s="225"/>
    </row>
    <row r="34" spans="2:12" ht="68.25" thickBot="1" x14ac:dyDescent="0.3">
      <c r="B34" s="436"/>
      <c r="C34" s="31">
        <v>8</v>
      </c>
      <c r="D34" s="1408" t="s">
        <v>3129</v>
      </c>
      <c r="E34" s="1409" t="s">
        <v>3130</v>
      </c>
      <c r="F34" s="1409" t="s">
        <v>3131</v>
      </c>
      <c r="G34" s="1134">
        <v>18907057</v>
      </c>
      <c r="H34" s="1134">
        <v>95462613</v>
      </c>
      <c r="I34" s="1134">
        <v>69967948</v>
      </c>
      <c r="J34" s="1134"/>
      <c r="K34" s="12"/>
      <c r="L34" s="225"/>
    </row>
    <row r="35" spans="2:12" ht="34.5" thickBot="1" x14ac:dyDescent="0.3">
      <c r="B35" s="436"/>
      <c r="C35" s="31">
        <v>9</v>
      </c>
      <c r="D35" s="1408" t="s">
        <v>3132</v>
      </c>
      <c r="E35" s="1409" t="s">
        <v>3133</v>
      </c>
      <c r="F35" s="1409" t="s">
        <v>3118</v>
      </c>
      <c r="G35" s="1134">
        <v>18907057</v>
      </c>
      <c r="H35" s="1134">
        <v>95462613</v>
      </c>
      <c r="I35" s="1134">
        <v>69967948</v>
      </c>
      <c r="J35" s="1134"/>
      <c r="K35" s="12"/>
      <c r="L35" s="225"/>
    </row>
    <row r="36" spans="2:12" ht="45.75" thickBot="1" x14ac:dyDescent="0.3">
      <c r="B36" s="436"/>
      <c r="C36" s="31">
        <v>10</v>
      </c>
      <c r="D36" s="1408" t="s">
        <v>3134</v>
      </c>
      <c r="E36" s="1409" t="s">
        <v>3135</v>
      </c>
      <c r="F36" s="1409" t="s">
        <v>3136</v>
      </c>
      <c r="G36" s="1134">
        <v>18907057</v>
      </c>
      <c r="H36" s="1134">
        <v>95462613</v>
      </c>
      <c r="I36" s="1134">
        <v>69967948</v>
      </c>
      <c r="J36" s="1134"/>
      <c r="K36" s="12"/>
      <c r="L36" s="225"/>
    </row>
    <row r="37" spans="2:12" ht="15.75" thickBot="1" x14ac:dyDescent="0.3">
      <c r="B37" s="436"/>
      <c r="C37" s="40"/>
      <c r="D37" s="40" t="s">
        <v>151</v>
      </c>
      <c r="E37" s="40"/>
      <c r="F37" s="41"/>
      <c r="G37" s="142">
        <f>SUM(G27:G36)</f>
        <v>170163513</v>
      </c>
      <c r="H37" s="142">
        <f>SUM(H27:H36)</f>
        <v>859163517</v>
      </c>
      <c r="I37" s="142">
        <f>SUM(I27:I36)</f>
        <v>629711532</v>
      </c>
      <c r="J37" s="142">
        <f>SUM(J27:J36)</f>
        <v>0</v>
      </c>
      <c r="K37" s="13"/>
    </row>
    <row r="38" spans="2:12" x14ac:dyDescent="0.25">
      <c r="B38" s="436"/>
      <c r="C38" s="92"/>
      <c r="D38" s="1837" t="s">
        <v>627</v>
      </c>
      <c r="E38" s="1838"/>
      <c r="F38" s="1838"/>
      <c r="G38" s="1838"/>
      <c r="H38" s="1838"/>
      <c r="I38" s="1838"/>
      <c r="J38" s="1838"/>
      <c r="K38" s="1839"/>
    </row>
    <row r="39" spans="2:12" ht="24" customHeight="1" thickBot="1" x14ac:dyDescent="0.3">
      <c r="B39" s="436"/>
      <c r="C39" s="92"/>
      <c r="D39" s="1843" t="s">
        <v>693</v>
      </c>
      <c r="E39" s="1844"/>
      <c r="F39" s="1844"/>
      <c r="G39" s="1844"/>
      <c r="H39" s="1844"/>
      <c r="I39" s="1844"/>
      <c r="J39" s="1844"/>
      <c r="K39" s="1845"/>
    </row>
    <row r="40" spans="2:12" ht="15.75" thickBot="1" x14ac:dyDescent="0.3">
      <c r="B40" s="436"/>
      <c r="C40" s="2001" t="s">
        <v>19</v>
      </c>
      <c r="D40" s="1984" t="s">
        <v>694</v>
      </c>
      <c r="E40" s="1987" t="s">
        <v>695</v>
      </c>
      <c r="F40" s="1988"/>
      <c r="G40" s="70"/>
      <c r="H40" s="6"/>
      <c r="I40" s="6"/>
      <c r="K40" s="22"/>
    </row>
    <row r="41" spans="2:12" x14ac:dyDescent="0.25">
      <c r="B41" s="436"/>
      <c r="C41" s="1842"/>
      <c r="D41" s="1985"/>
      <c r="E41" s="1826" t="s">
        <v>696</v>
      </c>
      <c r="F41" s="46" t="s">
        <v>697</v>
      </c>
      <c r="G41" s="1826" t="s">
        <v>55</v>
      </c>
      <c r="H41" s="6"/>
      <c r="I41" s="6"/>
      <c r="K41" s="22"/>
    </row>
    <row r="42" spans="2:12" ht="15.75" thickBot="1" x14ac:dyDescent="0.3">
      <c r="B42" s="436"/>
      <c r="C42" s="1848"/>
      <c r="D42" s="1986"/>
      <c r="E42" s="1828"/>
      <c r="F42" s="736" t="s">
        <v>692</v>
      </c>
      <c r="G42" s="1828"/>
      <c r="H42" s="6"/>
      <c r="I42" s="6"/>
      <c r="K42" s="22"/>
    </row>
    <row r="43" spans="2:12" ht="15.75" thickBot="1" x14ac:dyDescent="0.3">
      <c r="B43" s="436"/>
      <c r="C43" s="480">
        <v>1</v>
      </c>
      <c r="D43" s="1136">
        <v>0.16</v>
      </c>
      <c r="E43" s="148">
        <f>IFERROR(I27/H27,0)</f>
        <v>0.73293560485297005</v>
      </c>
      <c r="F43" s="148">
        <f>IFERROR(J27/I27,0)</f>
        <v>0</v>
      </c>
      <c r="G43" s="478"/>
      <c r="H43" s="6"/>
      <c r="I43" s="6"/>
      <c r="K43" s="22"/>
    </row>
    <row r="44" spans="2:12" ht="15.75" thickBot="1" x14ac:dyDescent="0.3">
      <c r="B44" s="436"/>
      <c r="C44" s="480">
        <v>2</v>
      </c>
      <c r="D44" s="1136">
        <v>0.11</v>
      </c>
      <c r="E44" s="148">
        <f>IFERROR(I28/H28,0)</f>
        <v>0.73293560485297005</v>
      </c>
      <c r="F44" s="148">
        <f>IFERROR(J28/I28,0)</f>
        <v>0</v>
      </c>
      <c r="G44" s="478"/>
      <c r="H44" s="6"/>
      <c r="I44" s="6"/>
      <c r="K44" s="22"/>
    </row>
    <row r="45" spans="2:12" s="757" customFormat="1" ht="15.75" thickBot="1" x14ac:dyDescent="0.3">
      <c r="B45" s="1118"/>
      <c r="C45" s="480">
        <v>3</v>
      </c>
      <c r="D45" s="1136">
        <v>7.0000000000000007E-2</v>
      </c>
      <c r="E45" s="148">
        <f>IFERROR(I29/H29,0)</f>
        <v>0.73293560485297005</v>
      </c>
      <c r="F45" s="148">
        <f t="shared" ref="F45:F53" si="0">IFERROR(J29/I29,0)</f>
        <v>0</v>
      </c>
      <c r="G45" s="478"/>
      <c r="H45" s="6"/>
      <c r="I45" s="6"/>
      <c r="K45" s="22"/>
    </row>
    <row r="46" spans="2:12" s="757" customFormat="1" ht="15.75" thickBot="1" x14ac:dyDescent="0.3">
      <c r="B46" s="1118"/>
      <c r="C46" s="480">
        <v>4</v>
      </c>
      <c r="D46" s="1410">
        <v>0.13</v>
      </c>
      <c r="E46" s="148">
        <f>IFERROR(I30/H30,0)</f>
        <v>0.73293560485297005</v>
      </c>
      <c r="F46" s="148">
        <f t="shared" si="0"/>
        <v>0</v>
      </c>
      <c r="G46" s="478"/>
      <c r="H46" s="6"/>
      <c r="I46" s="6"/>
      <c r="K46" s="22"/>
    </row>
    <row r="47" spans="2:12" s="757" customFormat="1" ht="15.75" thickBot="1" x14ac:dyDescent="0.3">
      <c r="B47" s="1118"/>
      <c r="C47" s="480">
        <v>5</v>
      </c>
      <c r="D47" s="1410"/>
      <c r="E47" s="148">
        <f t="shared" ref="E47:E52" si="1">IFERROR(I31/H31,0)</f>
        <v>0</v>
      </c>
      <c r="F47" s="148">
        <f t="shared" si="0"/>
        <v>0</v>
      </c>
      <c r="G47" s="478"/>
      <c r="H47" s="6"/>
      <c r="I47" s="6"/>
      <c r="K47" s="22"/>
    </row>
    <row r="48" spans="2:12" s="757" customFormat="1" ht="15.75" thickBot="1" x14ac:dyDescent="0.3">
      <c r="B48" s="1118"/>
      <c r="C48" s="480">
        <v>6</v>
      </c>
      <c r="D48" s="1136">
        <v>0.12</v>
      </c>
      <c r="E48" s="148">
        <f t="shared" si="1"/>
        <v>0.73293560485297005</v>
      </c>
      <c r="F48" s="148">
        <f t="shared" si="0"/>
        <v>0</v>
      </c>
      <c r="G48" s="478"/>
      <c r="H48" s="6"/>
      <c r="I48" s="6"/>
      <c r="K48" s="22"/>
    </row>
    <row r="49" spans="2:11" ht="15.75" thickBot="1" x14ac:dyDescent="0.3">
      <c r="B49" s="436"/>
      <c r="C49" s="480">
        <v>7</v>
      </c>
      <c r="D49" s="1136">
        <v>0.12</v>
      </c>
      <c r="E49" s="148">
        <f t="shared" si="1"/>
        <v>0.73293560485297005</v>
      </c>
      <c r="F49" s="148">
        <f t="shared" si="0"/>
        <v>0</v>
      </c>
      <c r="G49" s="478"/>
      <c r="H49" s="6"/>
      <c r="I49" s="6"/>
      <c r="K49" s="22"/>
    </row>
    <row r="50" spans="2:11" ht="15.75" thickBot="1" x14ac:dyDescent="0.3">
      <c r="B50" s="436"/>
      <c r="C50" s="480">
        <v>8</v>
      </c>
      <c r="D50" s="1410">
        <v>0.09</v>
      </c>
      <c r="E50" s="148">
        <f t="shared" si="1"/>
        <v>0.73293560485297005</v>
      </c>
      <c r="F50" s="148">
        <f t="shared" si="0"/>
        <v>0</v>
      </c>
      <c r="G50" s="478"/>
      <c r="H50" s="6"/>
      <c r="I50" s="6"/>
      <c r="K50" s="22"/>
    </row>
    <row r="51" spans="2:11" ht="15.75" thickBot="1" x14ac:dyDescent="0.3">
      <c r="B51" s="436"/>
      <c r="C51" s="480">
        <v>9</v>
      </c>
      <c r="D51" s="1410">
        <v>0.11</v>
      </c>
      <c r="E51" s="148">
        <f t="shared" si="1"/>
        <v>0.73293560485297005</v>
      </c>
      <c r="F51" s="148">
        <f t="shared" si="0"/>
        <v>0</v>
      </c>
      <c r="G51" s="478"/>
      <c r="H51" s="6"/>
      <c r="I51" s="6"/>
      <c r="K51" s="22"/>
    </row>
    <row r="52" spans="2:11" ht="15.75" thickBot="1" x14ac:dyDescent="0.3">
      <c r="B52" s="436"/>
      <c r="C52" s="480">
        <v>10</v>
      </c>
      <c r="D52" s="1410">
        <v>0.09</v>
      </c>
      <c r="E52" s="148">
        <f t="shared" si="1"/>
        <v>0.73293560485297005</v>
      </c>
      <c r="F52" s="148">
        <f t="shared" si="0"/>
        <v>0</v>
      </c>
      <c r="G52" s="478"/>
      <c r="H52" s="6"/>
      <c r="I52" s="6"/>
      <c r="K52" s="22"/>
    </row>
    <row r="53" spans="2:11" ht="15.75" thickBot="1" x14ac:dyDescent="0.3">
      <c r="B53" s="437"/>
      <c r="C53" s="68"/>
      <c r="D53" s="165">
        <f>Formulas!$D$22</f>
        <v>1</v>
      </c>
      <c r="E53" s="149">
        <f>+$D43*E43+$D44*E44+$D45*E45+$D46*E46+$D48*E48+$D49*E49+$D50*E50+$D51*E51+$D52*E52</f>
        <v>0.73293560485297005</v>
      </c>
      <c r="F53" s="148">
        <f t="shared" si="0"/>
        <v>0</v>
      </c>
      <c r="G53" s="41"/>
      <c r="H53" s="23"/>
      <c r="I53" s="23"/>
      <c r="J53" s="23"/>
      <c r="K53" s="24"/>
    </row>
    <row r="54" spans="2:11" ht="15.75" thickBot="1" x14ac:dyDescent="0.3">
      <c r="B54" s="38"/>
      <c r="C54" s="88"/>
      <c r="D54" s="6"/>
      <c r="E54" s="6"/>
      <c r="F54" s="6"/>
      <c r="G54" s="6"/>
      <c r="H54" s="6"/>
      <c r="I54" s="6"/>
      <c r="J54" s="6"/>
      <c r="K54" s="6"/>
    </row>
    <row r="55" spans="2:11" ht="84.75" thickBot="1" x14ac:dyDescent="0.3">
      <c r="B55" s="52" t="s">
        <v>34</v>
      </c>
      <c r="C55" s="98"/>
      <c r="D55" s="43" t="s">
        <v>698</v>
      </c>
      <c r="E55" s="6"/>
      <c r="F55" s="6"/>
      <c r="G55" s="6"/>
      <c r="H55" s="6"/>
      <c r="I55" s="6"/>
      <c r="J55" s="6"/>
      <c r="K55" s="6"/>
    </row>
    <row r="56" spans="2:11" ht="60.75" thickBot="1" x14ac:dyDescent="0.3">
      <c r="B56" s="47" t="s">
        <v>36</v>
      </c>
      <c r="C56" s="3"/>
      <c r="D56" s="41" t="s">
        <v>346</v>
      </c>
      <c r="E56" s="6"/>
      <c r="F56" s="6"/>
      <c r="G56" s="6"/>
      <c r="H56" s="6"/>
      <c r="I56" s="6"/>
      <c r="J56" s="6"/>
      <c r="K56" s="6"/>
    </row>
    <row r="57" spans="2:11" ht="15.75" thickBot="1" x14ac:dyDescent="0.3">
      <c r="B57" s="2"/>
      <c r="C57" s="76"/>
      <c r="D57" s="6"/>
      <c r="E57" s="6"/>
      <c r="F57" s="6"/>
      <c r="G57" s="6"/>
      <c r="H57" s="6"/>
      <c r="I57" s="6"/>
      <c r="J57" s="6"/>
      <c r="K57" s="6"/>
    </row>
    <row r="58" spans="2:11" ht="24" customHeight="1" thickBot="1" x14ac:dyDescent="0.3">
      <c r="B58" s="1829" t="s">
        <v>38</v>
      </c>
      <c r="C58" s="1830"/>
      <c r="D58" s="1830"/>
      <c r="E58" s="1831"/>
      <c r="F58" s="6"/>
      <c r="G58" s="6"/>
      <c r="H58" s="6"/>
      <c r="I58" s="6"/>
      <c r="J58" s="6"/>
      <c r="K58" s="6"/>
    </row>
    <row r="59" spans="2:11" ht="15.75" thickBot="1" x14ac:dyDescent="0.3">
      <c r="B59" s="1826">
        <v>1</v>
      </c>
      <c r="C59" s="94"/>
      <c r="D59" s="48" t="s">
        <v>39</v>
      </c>
      <c r="E59" s="1137" t="s">
        <v>3077</v>
      </c>
      <c r="F59" s="6"/>
      <c r="G59" s="6"/>
      <c r="H59" s="6"/>
      <c r="I59" s="6"/>
      <c r="J59" s="6"/>
      <c r="K59" s="6"/>
    </row>
    <row r="60" spans="2:11" ht="15.75" thickBot="1" x14ac:dyDescent="0.3">
      <c r="B60" s="1827"/>
      <c r="C60" s="94"/>
      <c r="D60" s="41" t="s">
        <v>40</v>
      </c>
      <c r="E60" s="1137" t="s">
        <v>3137</v>
      </c>
      <c r="F60" s="6"/>
      <c r="G60" s="6"/>
      <c r="H60" s="6"/>
      <c r="I60" s="6"/>
      <c r="J60" s="6"/>
      <c r="K60" s="6"/>
    </row>
    <row r="61" spans="2:11" ht="15.75" thickBot="1" x14ac:dyDescent="0.3">
      <c r="B61" s="1827"/>
      <c r="C61" s="94"/>
      <c r="D61" s="41" t="s">
        <v>41</v>
      </c>
      <c r="E61" s="1137" t="s">
        <v>3138</v>
      </c>
      <c r="F61" s="6"/>
      <c r="G61" s="6"/>
      <c r="H61" s="6"/>
      <c r="I61" s="6"/>
      <c r="J61" s="6"/>
      <c r="K61" s="6"/>
    </row>
    <row r="62" spans="2:11" ht="24.75" thickBot="1" x14ac:dyDescent="0.3">
      <c r="B62" s="1827"/>
      <c r="C62" s="94"/>
      <c r="D62" s="41" t="s">
        <v>42</v>
      </c>
      <c r="E62" s="1137" t="s">
        <v>3139</v>
      </c>
      <c r="F62" s="6"/>
      <c r="G62" s="6"/>
      <c r="H62" s="6"/>
      <c r="I62" s="6"/>
      <c r="J62" s="6"/>
      <c r="K62" s="6"/>
    </row>
    <row r="63" spans="2:11" ht="15.75" thickBot="1" x14ac:dyDescent="0.3">
      <c r="B63" s="1827"/>
      <c r="C63" s="94"/>
      <c r="D63" s="41" t="s">
        <v>43</v>
      </c>
      <c r="E63" s="1138" t="s">
        <v>3140</v>
      </c>
      <c r="F63" s="6"/>
      <c r="G63" s="6"/>
      <c r="H63" s="6"/>
      <c r="I63" s="6"/>
      <c r="J63" s="6"/>
      <c r="K63" s="6"/>
    </row>
    <row r="64" spans="2:11" ht="15.75" thickBot="1" x14ac:dyDescent="0.3">
      <c r="B64" s="1827"/>
      <c r="C64" s="94"/>
      <c r="D64" s="41" t="s">
        <v>44</v>
      </c>
      <c r="E64" s="1137"/>
      <c r="F64" s="6"/>
      <c r="G64" s="6"/>
      <c r="H64" s="6"/>
      <c r="I64" s="6"/>
      <c r="J64" s="6"/>
      <c r="K64" s="6"/>
    </row>
    <row r="65" spans="2:11" ht="15.75" thickBot="1" x14ac:dyDescent="0.3">
      <c r="B65" s="1828"/>
      <c r="C65" s="3"/>
      <c r="D65" s="41" t="s">
        <v>45</v>
      </c>
      <c r="E65" s="1137" t="s">
        <v>3141</v>
      </c>
      <c r="F65" s="6"/>
      <c r="G65" s="6"/>
      <c r="H65" s="6"/>
      <c r="I65" s="6"/>
      <c r="J65" s="6"/>
      <c r="K65" s="6"/>
    </row>
    <row r="66" spans="2:11" ht="15.75" thickBot="1" x14ac:dyDescent="0.3">
      <c r="B66" s="2"/>
      <c r="C66" s="76"/>
      <c r="D66" s="6"/>
      <c r="E66" s="6"/>
      <c r="F66" s="6"/>
      <c r="G66" s="6"/>
      <c r="H66" s="6"/>
      <c r="I66" s="6"/>
      <c r="J66" s="6"/>
      <c r="K66" s="6"/>
    </row>
    <row r="67" spans="2:11" ht="15.75" thickBot="1" x14ac:dyDescent="0.3">
      <c r="B67" s="1829" t="s">
        <v>46</v>
      </c>
      <c r="C67" s="1830"/>
      <c r="D67" s="1830"/>
      <c r="E67" s="1831"/>
      <c r="F67" s="6"/>
      <c r="G67" s="6"/>
      <c r="H67" s="6"/>
      <c r="I67" s="6"/>
      <c r="J67" s="6"/>
      <c r="K67" s="6"/>
    </row>
    <row r="68" spans="2:11" ht="15.75" thickBot="1" x14ac:dyDescent="0.3">
      <c r="B68" s="1826">
        <v>1</v>
      </c>
      <c r="C68" s="94"/>
      <c r="D68" s="48" t="s">
        <v>39</v>
      </c>
      <c r="E68" s="132" t="s">
        <v>47</v>
      </c>
      <c r="F68" s="6"/>
      <c r="G68" s="6"/>
      <c r="H68" s="6"/>
      <c r="I68" s="6"/>
      <c r="J68" s="6"/>
      <c r="K68" s="6"/>
    </row>
    <row r="69" spans="2:11" ht="15.75" thickBot="1" x14ac:dyDescent="0.3">
      <c r="B69" s="1827"/>
      <c r="C69" s="94"/>
      <c r="D69" s="41" t="s">
        <v>40</v>
      </c>
      <c r="E69" s="132" t="s">
        <v>48</v>
      </c>
      <c r="F69" s="6"/>
      <c r="G69" s="6"/>
      <c r="H69" s="6"/>
      <c r="I69" s="6"/>
      <c r="J69" s="6"/>
      <c r="K69" s="6"/>
    </row>
    <row r="70" spans="2:11" ht="15.75" thickBot="1" x14ac:dyDescent="0.3">
      <c r="B70" s="1827"/>
      <c r="C70" s="94"/>
      <c r="D70" s="41" t="s">
        <v>41</v>
      </c>
      <c r="E70" s="173"/>
      <c r="F70" s="6"/>
      <c r="G70" s="6"/>
      <c r="H70" s="6"/>
      <c r="I70" s="6"/>
      <c r="J70" s="6"/>
      <c r="K70" s="6"/>
    </row>
    <row r="71" spans="2:11" ht="15.75" thickBot="1" x14ac:dyDescent="0.3">
      <c r="B71" s="1827"/>
      <c r="C71" s="94"/>
      <c r="D71" s="41" t="s">
        <v>42</v>
      </c>
      <c r="E71" s="173"/>
      <c r="F71" s="6"/>
      <c r="G71" s="6"/>
      <c r="H71" s="6"/>
      <c r="I71" s="6"/>
      <c r="J71" s="6"/>
      <c r="K71" s="6"/>
    </row>
    <row r="72" spans="2:11" ht="15.75" thickBot="1" x14ac:dyDescent="0.3">
      <c r="B72" s="1827"/>
      <c r="C72" s="94"/>
      <c r="D72" s="41" t="s">
        <v>43</v>
      </c>
      <c r="E72" s="173"/>
      <c r="F72" s="6"/>
      <c r="G72" s="6"/>
      <c r="H72" s="6"/>
      <c r="I72" s="6"/>
      <c r="J72" s="6"/>
      <c r="K72" s="6"/>
    </row>
    <row r="73" spans="2:11" ht="15.75" thickBot="1" x14ac:dyDescent="0.3">
      <c r="B73" s="1827"/>
      <c r="C73" s="94"/>
      <c r="D73" s="41" t="s">
        <v>44</v>
      </c>
      <c r="E73" s="173"/>
      <c r="F73" s="6"/>
      <c r="G73" s="6"/>
      <c r="H73" s="6"/>
      <c r="I73" s="6"/>
      <c r="J73" s="6"/>
      <c r="K73" s="6"/>
    </row>
    <row r="74" spans="2:11" ht="15.75" thickBot="1" x14ac:dyDescent="0.3">
      <c r="B74" s="1828"/>
      <c r="C74" s="3"/>
      <c r="D74" s="41" t="s">
        <v>45</v>
      </c>
      <c r="E74" s="173"/>
      <c r="F74" s="6"/>
      <c r="G74" s="6"/>
      <c r="H74" s="6"/>
      <c r="I74" s="6"/>
      <c r="J74" s="6"/>
      <c r="K74" s="6"/>
    </row>
    <row r="75" spans="2:11" ht="15.75" thickBot="1" x14ac:dyDescent="0.3">
      <c r="B75" s="2"/>
      <c r="C75" s="76"/>
      <c r="D75" s="6"/>
      <c r="E75" s="6"/>
      <c r="F75" s="6"/>
      <c r="G75" s="6"/>
      <c r="H75" s="6"/>
      <c r="I75" s="6"/>
      <c r="J75" s="6"/>
      <c r="K75" s="6"/>
    </row>
    <row r="76" spans="2:11" ht="15.75" thickBot="1" x14ac:dyDescent="0.3">
      <c r="B76" s="1829" t="s">
        <v>49</v>
      </c>
      <c r="C76" s="1830"/>
      <c r="D76" s="1830"/>
      <c r="E76" s="1830"/>
      <c r="F76" s="1831"/>
      <c r="G76" s="6"/>
      <c r="H76" s="6"/>
      <c r="I76" s="6"/>
      <c r="J76" s="6"/>
      <c r="K76" s="6"/>
    </row>
    <row r="77" spans="2:11" ht="24.75" thickBot="1" x14ac:dyDescent="0.3">
      <c r="B77" s="47" t="s">
        <v>50</v>
      </c>
      <c r="C77" s="41" t="s">
        <v>51</v>
      </c>
      <c r="D77" s="41" t="s">
        <v>52</v>
      </c>
      <c r="E77" s="41" t="s">
        <v>53</v>
      </c>
      <c r="F77" s="6"/>
      <c r="G77" s="6"/>
      <c r="H77" s="6"/>
      <c r="I77" s="6"/>
      <c r="J77" s="6"/>
    </row>
    <row r="78" spans="2:11" ht="84.75" thickBot="1" x14ac:dyDescent="0.3">
      <c r="B78" s="49">
        <v>42401</v>
      </c>
      <c r="C78" s="41">
        <v>0.01</v>
      </c>
      <c r="D78" s="50" t="s">
        <v>699</v>
      </c>
      <c r="E78" s="41"/>
      <c r="F78" s="6"/>
      <c r="G78" s="6"/>
      <c r="H78" s="6"/>
      <c r="I78" s="6"/>
      <c r="J78" s="6"/>
    </row>
    <row r="79" spans="2:11" ht="15.75" thickBot="1" x14ac:dyDescent="0.3">
      <c r="B79" s="4"/>
      <c r="C79" s="95"/>
      <c r="D79" s="6"/>
      <c r="E79" s="6"/>
      <c r="F79" s="6"/>
      <c r="G79" s="6"/>
      <c r="H79" s="6"/>
      <c r="I79" s="6"/>
      <c r="J79" s="6"/>
      <c r="K79" s="6"/>
    </row>
    <row r="80" spans="2:11" x14ac:dyDescent="0.25">
      <c r="B80" s="135" t="s">
        <v>55</v>
      </c>
      <c r="C80" s="96"/>
      <c r="D80" s="6"/>
      <c r="E80" s="6"/>
      <c r="F80" s="6"/>
      <c r="G80" s="6"/>
      <c r="H80" s="6"/>
      <c r="I80" s="6"/>
      <c r="J80" s="6"/>
      <c r="K80" s="6"/>
    </row>
    <row r="81" spans="2:11" x14ac:dyDescent="0.25">
      <c r="B81" s="1989"/>
      <c r="C81" s="1990"/>
      <c r="D81" s="1990"/>
      <c r="E81" s="1990"/>
      <c r="F81" s="1991"/>
      <c r="G81" s="6"/>
      <c r="H81" s="6"/>
      <c r="I81" s="6"/>
      <c r="J81" s="6"/>
      <c r="K81" s="6"/>
    </row>
    <row r="82" spans="2:11" x14ac:dyDescent="0.25">
      <c r="B82" s="1992"/>
      <c r="C82" s="1993"/>
      <c r="D82" s="1993"/>
      <c r="E82" s="1993"/>
      <c r="F82" s="1994"/>
      <c r="G82" s="6"/>
      <c r="H82" s="6"/>
      <c r="I82" s="6"/>
      <c r="J82" s="6"/>
      <c r="K82" s="6"/>
    </row>
    <row r="83" spans="2:11" x14ac:dyDescent="0.25">
      <c r="B83" s="2"/>
      <c r="C83" s="76"/>
      <c r="D83" s="6"/>
      <c r="E83" s="6"/>
      <c r="F83" s="6"/>
      <c r="G83" s="6"/>
      <c r="H83" s="6"/>
      <c r="I83" s="6"/>
      <c r="J83" s="6"/>
      <c r="K83" s="6"/>
    </row>
    <row r="84" spans="2:11" ht="15.75" thickBot="1" x14ac:dyDescent="0.3">
      <c r="B84" s="6"/>
      <c r="D84" s="6"/>
      <c r="E84" s="6"/>
      <c r="F84" s="6"/>
      <c r="G84" s="6"/>
      <c r="H84" s="6"/>
      <c r="I84" s="6"/>
      <c r="J84" s="6"/>
      <c r="K84" s="6"/>
    </row>
    <row r="85" spans="2:11" ht="24.75" thickBot="1" x14ac:dyDescent="0.3">
      <c r="B85" s="51" t="s">
        <v>56</v>
      </c>
      <c r="C85" s="97"/>
      <c r="D85" s="6"/>
      <c r="E85" s="6"/>
      <c r="F85" s="6"/>
      <c r="G85" s="6"/>
      <c r="H85" s="6"/>
      <c r="I85" s="6"/>
      <c r="J85" s="6"/>
      <c r="K85" s="6"/>
    </row>
    <row r="86" spans="2:11" ht="15.75" thickBot="1" x14ac:dyDescent="0.3">
      <c r="B86" s="38"/>
      <c r="C86" s="88"/>
      <c r="D86" s="6"/>
      <c r="E86" s="6"/>
      <c r="F86" s="6"/>
      <c r="G86" s="6"/>
      <c r="H86" s="6"/>
      <c r="I86" s="6"/>
      <c r="J86" s="6"/>
      <c r="K86" s="6"/>
    </row>
    <row r="87" spans="2:11" ht="84.75" thickBot="1" x14ac:dyDescent="0.3">
      <c r="B87" s="52" t="s">
        <v>57</v>
      </c>
      <c r="C87" s="98"/>
      <c r="D87" s="43" t="s">
        <v>653</v>
      </c>
      <c r="E87" s="6"/>
      <c r="F87" s="6"/>
      <c r="G87" s="6"/>
      <c r="H87" s="6"/>
      <c r="I87" s="6"/>
      <c r="J87" s="6"/>
      <c r="K87" s="6"/>
    </row>
    <row r="88" spans="2:11" x14ac:dyDescent="0.25">
      <c r="B88" s="1826" t="s">
        <v>59</v>
      </c>
      <c r="C88" s="94"/>
      <c r="D88" s="53" t="s">
        <v>60</v>
      </c>
      <c r="E88" s="6"/>
      <c r="F88" s="6"/>
      <c r="G88" s="6"/>
      <c r="H88" s="6"/>
      <c r="I88" s="6"/>
      <c r="J88" s="6"/>
      <c r="K88" s="6"/>
    </row>
    <row r="89" spans="2:11" ht="120" x14ac:dyDescent="0.25">
      <c r="B89" s="1827"/>
      <c r="C89" s="94"/>
      <c r="D89" s="46" t="s">
        <v>654</v>
      </c>
      <c r="E89" s="6"/>
      <c r="F89" s="6"/>
      <c r="G89" s="6"/>
      <c r="H89" s="6"/>
      <c r="I89" s="6"/>
      <c r="J89" s="6"/>
      <c r="K89" s="6"/>
    </row>
    <row r="90" spans="2:11" x14ac:dyDescent="0.25">
      <c r="B90" s="1827"/>
      <c r="C90" s="94"/>
      <c r="D90" s="53" t="s">
        <v>63</v>
      </c>
      <c r="E90" s="6"/>
      <c r="F90" s="6"/>
      <c r="G90" s="6"/>
      <c r="H90" s="6"/>
      <c r="I90" s="6"/>
      <c r="J90" s="6"/>
      <c r="K90" s="6"/>
    </row>
    <row r="91" spans="2:11" x14ac:dyDescent="0.25">
      <c r="B91" s="1827"/>
      <c r="C91" s="94"/>
      <c r="D91" s="46" t="s">
        <v>655</v>
      </c>
      <c r="E91" s="6"/>
      <c r="F91" s="6"/>
      <c r="G91" s="6"/>
      <c r="H91" s="6"/>
      <c r="I91" s="6"/>
      <c r="J91" s="6"/>
      <c r="K91" s="6"/>
    </row>
    <row r="92" spans="2:11" ht="24" x14ac:dyDescent="0.25">
      <c r="B92" s="1827"/>
      <c r="C92" s="94"/>
      <c r="D92" s="46" t="s">
        <v>656</v>
      </c>
      <c r="E92" s="6"/>
      <c r="F92" s="6"/>
      <c r="G92" s="6"/>
      <c r="H92" s="6"/>
      <c r="I92" s="6"/>
      <c r="J92" s="6"/>
      <c r="K92" s="6"/>
    </row>
    <row r="93" spans="2:11" x14ac:dyDescent="0.25">
      <c r="B93" s="1827"/>
      <c r="C93" s="94"/>
      <c r="D93" s="53" t="s">
        <v>288</v>
      </c>
      <c r="E93" s="6"/>
      <c r="F93" s="6"/>
      <c r="G93" s="6"/>
      <c r="H93" s="6"/>
      <c r="I93" s="6"/>
      <c r="J93" s="6"/>
      <c r="K93" s="6"/>
    </row>
    <row r="94" spans="2:11" ht="24" x14ac:dyDescent="0.25">
      <c r="B94" s="1827"/>
      <c r="C94" s="94"/>
      <c r="D94" s="46" t="s">
        <v>657</v>
      </c>
      <c r="E94" s="6"/>
      <c r="F94" s="6"/>
      <c r="G94" s="6"/>
      <c r="H94" s="6"/>
      <c r="I94" s="6"/>
      <c r="J94" s="6"/>
      <c r="K94" s="6"/>
    </row>
    <row r="95" spans="2:11" ht="24.75" thickBot="1" x14ac:dyDescent="0.3">
      <c r="B95" s="1828"/>
      <c r="C95" s="3"/>
      <c r="D95" s="41" t="s">
        <v>658</v>
      </c>
      <c r="E95" s="6"/>
      <c r="F95" s="6"/>
      <c r="G95" s="6"/>
      <c r="H95" s="6"/>
      <c r="I95" s="6"/>
      <c r="J95" s="6"/>
      <c r="K95" s="6"/>
    </row>
    <row r="96" spans="2:11" ht="24.75" thickBot="1" x14ac:dyDescent="0.3">
      <c r="B96" s="47" t="s">
        <v>72</v>
      </c>
      <c r="C96" s="3"/>
      <c r="D96" s="41"/>
      <c r="E96" s="6"/>
      <c r="F96" s="6"/>
      <c r="G96" s="6"/>
      <c r="H96" s="6"/>
      <c r="I96" s="6"/>
      <c r="J96" s="6"/>
      <c r="K96" s="6"/>
    </row>
    <row r="97" spans="2:11" ht="108" x14ac:dyDescent="0.25">
      <c r="B97" s="1826" t="s">
        <v>73</v>
      </c>
      <c r="C97" s="94"/>
      <c r="D97" s="46" t="s">
        <v>659</v>
      </c>
      <c r="E97" s="6"/>
      <c r="F97" s="6"/>
      <c r="G97" s="6"/>
      <c r="H97" s="6"/>
      <c r="I97" s="6"/>
      <c r="J97" s="6"/>
      <c r="K97" s="6"/>
    </row>
    <row r="98" spans="2:11" x14ac:dyDescent="0.25">
      <c r="B98" s="1827"/>
      <c r="C98" s="94"/>
      <c r="D98" s="46" t="s">
        <v>660</v>
      </c>
      <c r="E98" s="6"/>
      <c r="F98" s="6"/>
      <c r="G98" s="6"/>
      <c r="H98" s="6"/>
      <c r="I98" s="6"/>
      <c r="J98" s="6"/>
      <c r="K98" s="6"/>
    </row>
    <row r="99" spans="2:11" ht="108" x14ac:dyDescent="0.25">
      <c r="B99" s="1827"/>
      <c r="C99" s="94"/>
      <c r="D99" s="46" t="s">
        <v>661</v>
      </c>
      <c r="E99" s="6"/>
      <c r="F99" s="6"/>
      <c r="G99" s="6"/>
      <c r="H99" s="6"/>
      <c r="I99" s="6"/>
      <c r="J99" s="6"/>
      <c r="K99" s="6"/>
    </row>
    <row r="100" spans="2:11" ht="108" x14ac:dyDescent="0.25">
      <c r="B100" s="1827"/>
      <c r="C100" s="94"/>
      <c r="D100" s="46" t="s">
        <v>662</v>
      </c>
      <c r="E100" s="6"/>
      <c r="F100" s="6"/>
      <c r="G100" s="6"/>
      <c r="H100" s="6"/>
      <c r="I100" s="6"/>
      <c r="J100" s="6"/>
      <c r="K100" s="6"/>
    </row>
    <row r="101" spans="2:11" ht="108" x14ac:dyDescent="0.25">
      <c r="B101" s="1827"/>
      <c r="C101" s="94"/>
      <c r="D101" s="46" t="s">
        <v>663</v>
      </c>
      <c r="E101" s="6"/>
      <c r="F101" s="6"/>
      <c r="G101" s="6"/>
      <c r="H101" s="6"/>
      <c r="I101" s="6"/>
      <c r="J101" s="6"/>
      <c r="K101" s="6"/>
    </row>
    <row r="102" spans="2:11" ht="84" x14ac:dyDescent="0.25">
      <c r="B102" s="1827"/>
      <c r="C102" s="94"/>
      <c r="D102" s="46" t="s">
        <v>664</v>
      </c>
      <c r="E102" s="6"/>
      <c r="F102" s="6"/>
      <c r="G102" s="6"/>
      <c r="H102" s="6"/>
      <c r="I102" s="6"/>
      <c r="J102" s="6"/>
      <c r="K102" s="6"/>
    </row>
    <row r="103" spans="2:11" ht="84" x14ac:dyDescent="0.25">
      <c r="B103" s="1827"/>
      <c r="C103" s="94"/>
      <c r="D103" s="46" t="s">
        <v>665</v>
      </c>
      <c r="E103" s="6"/>
      <c r="F103" s="6"/>
      <c r="G103" s="6"/>
      <c r="H103" s="6"/>
      <c r="I103" s="6"/>
      <c r="J103" s="6"/>
      <c r="K103" s="6"/>
    </row>
    <row r="104" spans="2:11" ht="216" x14ac:dyDescent="0.25">
      <c r="B104" s="1827"/>
      <c r="C104" s="94"/>
      <c r="D104" s="46" t="s">
        <v>666</v>
      </c>
      <c r="E104" s="6"/>
      <c r="F104" s="6"/>
      <c r="G104" s="6"/>
      <c r="H104" s="6"/>
      <c r="I104" s="6"/>
      <c r="J104" s="6"/>
      <c r="K104" s="6"/>
    </row>
    <row r="105" spans="2:11" ht="168" x14ac:dyDescent="0.25">
      <c r="B105" s="1827"/>
      <c r="C105" s="94"/>
      <c r="D105" s="46" t="s">
        <v>667</v>
      </c>
      <c r="E105" s="6"/>
      <c r="F105" s="6"/>
      <c r="G105" s="6"/>
      <c r="H105" s="6"/>
      <c r="I105" s="6"/>
      <c r="J105" s="6"/>
      <c r="K105" s="6"/>
    </row>
    <row r="106" spans="2:11" ht="24" x14ac:dyDescent="0.25">
      <c r="B106" s="1827"/>
      <c r="C106" s="94"/>
      <c r="D106" s="46" t="s">
        <v>668</v>
      </c>
      <c r="E106" s="6"/>
      <c r="F106" s="6"/>
      <c r="G106" s="6"/>
      <c r="H106" s="6"/>
      <c r="I106" s="6"/>
      <c r="J106" s="6"/>
      <c r="K106" s="6"/>
    </row>
    <row r="107" spans="2:11" ht="24" x14ac:dyDescent="0.25">
      <c r="B107" s="1827"/>
      <c r="C107" s="94"/>
      <c r="D107" s="26" t="s">
        <v>669</v>
      </c>
      <c r="E107" s="6"/>
      <c r="F107" s="6"/>
      <c r="G107" s="6"/>
      <c r="H107" s="6"/>
      <c r="I107" s="6"/>
      <c r="J107" s="6"/>
      <c r="K107" s="6"/>
    </row>
    <row r="108" spans="2:11" ht="36" x14ac:dyDescent="0.25">
      <c r="B108" s="1827"/>
      <c r="C108" s="94"/>
      <c r="D108" s="26" t="s">
        <v>670</v>
      </c>
      <c r="E108" s="6"/>
      <c r="F108" s="6"/>
      <c r="G108" s="6"/>
      <c r="H108" s="6"/>
      <c r="I108" s="6"/>
      <c r="J108" s="6"/>
      <c r="K108" s="6"/>
    </row>
    <row r="109" spans="2:11" ht="48" x14ac:dyDescent="0.25">
      <c r="B109" s="1827"/>
      <c r="C109" s="94"/>
      <c r="D109" s="26" t="s">
        <v>671</v>
      </c>
      <c r="E109" s="6"/>
      <c r="F109" s="6"/>
      <c r="G109" s="6"/>
      <c r="H109" s="6"/>
      <c r="I109" s="6"/>
      <c r="J109" s="6"/>
      <c r="K109" s="6"/>
    </row>
    <row r="110" spans="2:11" ht="144" x14ac:dyDescent="0.25">
      <c r="B110" s="1827"/>
      <c r="C110" s="94"/>
      <c r="D110" s="46" t="s">
        <v>672</v>
      </c>
      <c r="E110" s="6"/>
      <c r="F110" s="6"/>
      <c r="G110" s="6"/>
      <c r="H110" s="6"/>
      <c r="I110" s="6"/>
      <c r="J110" s="6"/>
      <c r="K110" s="6"/>
    </row>
    <row r="111" spans="2:11" ht="60" x14ac:dyDescent="0.25">
      <c r="B111" s="1827"/>
      <c r="C111" s="94"/>
      <c r="D111" s="46" t="s">
        <v>673</v>
      </c>
      <c r="E111" s="6"/>
      <c r="F111" s="6"/>
      <c r="G111" s="6"/>
      <c r="H111" s="6"/>
      <c r="I111" s="6"/>
      <c r="J111" s="6"/>
      <c r="K111" s="6"/>
    </row>
    <row r="112" spans="2:11" ht="36" x14ac:dyDescent="0.25">
      <c r="B112" s="1827"/>
      <c r="C112" s="94"/>
      <c r="D112" s="46" t="s">
        <v>674</v>
      </c>
      <c r="E112" s="6"/>
      <c r="F112" s="6"/>
      <c r="G112" s="6"/>
      <c r="H112" s="6"/>
      <c r="I112" s="6"/>
      <c r="J112" s="6"/>
      <c r="K112" s="6"/>
    </row>
    <row r="113" spans="2:11" ht="60" x14ac:dyDescent="0.25">
      <c r="B113" s="1827"/>
      <c r="C113" s="94"/>
      <c r="D113" s="61" t="s">
        <v>675</v>
      </c>
      <c r="E113" s="6"/>
      <c r="F113" s="6"/>
      <c r="G113" s="6"/>
      <c r="H113" s="6"/>
      <c r="I113" s="6"/>
      <c r="J113" s="6"/>
      <c r="K113" s="6"/>
    </row>
    <row r="114" spans="2:11" ht="24" x14ac:dyDescent="0.25">
      <c r="B114" s="1827"/>
      <c r="C114" s="94"/>
      <c r="D114" s="61" t="s">
        <v>676</v>
      </c>
      <c r="E114" s="6"/>
      <c r="F114" s="6"/>
      <c r="G114" s="6"/>
      <c r="H114" s="6"/>
      <c r="I114" s="6"/>
      <c r="J114" s="6"/>
      <c r="K114" s="6"/>
    </row>
    <row r="115" spans="2:11" ht="24" x14ac:dyDescent="0.25">
      <c r="B115" s="1827"/>
      <c r="C115" s="94"/>
      <c r="D115" s="61" t="s">
        <v>677</v>
      </c>
      <c r="E115" s="6"/>
      <c r="F115" s="6"/>
      <c r="G115" s="6"/>
      <c r="H115" s="6"/>
      <c r="I115" s="6"/>
      <c r="J115" s="6"/>
      <c r="K115" s="6"/>
    </row>
    <row r="116" spans="2:11" ht="36.75" thickBot="1" x14ac:dyDescent="0.3">
      <c r="B116" s="1828"/>
      <c r="C116" s="3"/>
      <c r="D116" s="62" t="s">
        <v>678</v>
      </c>
      <c r="E116" s="6"/>
      <c r="F116" s="6"/>
      <c r="G116" s="6"/>
      <c r="H116" s="6"/>
      <c r="I116" s="6"/>
      <c r="J116" s="6"/>
      <c r="K116" s="6"/>
    </row>
    <row r="117" spans="2:11" ht="36" x14ac:dyDescent="0.25">
      <c r="B117" s="1826" t="s">
        <v>90</v>
      </c>
      <c r="C117" s="94"/>
      <c r="D117" s="53" t="s">
        <v>679</v>
      </c>
      <c r="E117" s="6"/>
      <c r="F117" s="6"/>
      <c r="G117" s="6"/>
      <c r="H117" s="6"/>
      <c r="I117" s="6"/>
      <c r="J117" s="6"/>
      <c r="K117" s="6"/>
    </row>
    <row r="118" spans="2:11" x14ac:dyDescent="0.25">
      <c r="B118" s="1827"/>
      <c r="C118" s="94"/>
      <c r="D118" s="17"/>
      <c r="E118" s="6"/>
      <c r="F118" s="6"/>
      <c r="G118" s="6"/>
      <c r="H118" s="6"/>
      <c r="I118" s="6"/>
      <c r="J118" s="6"/>
      <c r="K118" s="6"/>
    </row>
    <row r="119" spans="2:11" x14ac:dyDescent="0.25">
      <c r="B119" s="1827"/>
      <c r="C119" s="94"/>
      <c r="D119" s="46" t="s">
        <v>91</v>
      </c>
      <c r="E119" s="6"/>
      <c r="F119" s="6"/>
      <c r="G119" s="6"/>
      <c r="H119" s="6"/>
      <c r="I119" s="6"/>
      <c r="J119" s="6"/>
      <c r="K119" s="6"/>
    </row>
    <row r="120" spans="2:11" ht="49.5" x14ac:dyDescent="0.25">
      <c r="B120" s="1827"/>
      <c r="C120" s="94"/>
      <c r="D120" s="46" t="s">
        <v>680</v>
      </c>
      <c r="E120" s="6"/>
      <c r="F120" s="6"/>
      <c r="G120" s="6"/>
      <c r="H120" s="6"/>
      <c r="I120" s="6"/>
      <c r="J120" s="6"/>
      <c r="K120" s="6"/>
    </row>
    <row r="121" spans="2:11" ht="37.5" x14ac:dyDescent="0.25">
      <c r="B121" s="1827"/>
      <c r="C121" s="94"/>
      <c r="D121" s="46" t="s">
        <v>681</v>
      </c>
      <c r="E121" s="6"/>
      <c r="F121" s="6"/>
      <c r="G121" s="6"/>
      <c r="H121" s="6"/>
      <c r="I121" s="6"/>
      <c r="J121" s="6"/>
      <c r="K121" s="6"/>
    </row>
    <row r="122" spans="2:11" ht="49.5" x14ac:dyDescent="0.25">
      <c r="B122" s="1827"/>
      <c r="C122" s="94"/>
      <c r="D122" s="46" t="s">
        <v>682</v>
      </c>
      <c r="E122" s="6"/>
      <c r="F122" s="6"/>
      <c r="G122" s="6"/>
      <c r="H122" s="6"/>
      <c r="I122" s="6"/>
      <c r="J122" s="6"/>
      <c r="K122" s="6"/>
    </row>
    <row r="123" spans="2:11" x14ac:dyDescent="0.25">
      <c r="B123" s="1827"/>
      <c r="C123" s="94"/>
      <c r="D123" s="53" t="s">
        <v>246</v>
      </c>
      <c r="E123" s="6"/>
      <c r="F123" s="6"/>
      <c r="G123" s="6"/>
      <c r="H123" s="6"/>
      <c r="I123" s="6"/>
      <c r="J123" s="6"/>
      <c r="K123" s="6"/>
    </row>
    <row r="124" spans="2:11" ht="48" x14ac:dyDescent="0.25">
      <c r="B124" s="1827"/>
      <c r="C124" s="94"/>
      <c r="D124" s="53" t="s">
        <v>683</v>
      </c>
      <c r="E124" s="6"/>
      <c r="F124" s="6"/>
      <c r="G124" s="6"/>
      <c r="H124" s="6"/>
      <c r="I124" s="6"/>
      <c r="J124" s="6"/>
      <c r="K124" s="6"/>
    </row>
    <row r="125" spans="2:11" x14ac:dyDescent="0.25">
      <c r="B125" s="1827"/>
      <c r="C125" s="94"/>
      <c r="D125" s="17"/>
      <c r="E125" s="6"/>
      <c r="F125" s="6"/>
      <c r="G125" s="6"/>
      <c r="H125" s="6"/>
      <c r="I125" s="6"/>
      <c r="J125" s="6"/>
      <c r="K125" s="6"/>
    </row>
    <row r="126" spans="2:11" x14ac:dyDescent="0.25">
      <c r="B126" s="1827"/>
      <c r="C126" s="94"/>
      <c r="D126" s="46" t="s">
        <v>91</v>
      </c>
      <c r="E126" s="6"/>
      <c r="F126" s="6"/>
      <c r="G126" s="6"/>
      <c r="H126" s="6"/>
      <c r="I126" s="6"/>
      <c r="J126" s="6"/>
      <c r="K126" s="6"/>
    </row>
    <row r="127" spans="2:11" ht="61.5" x14ac:dyDescent="0.25">
      <c r="B127" s="1827"/>
      <c r="C127" s="94"/>
      <c r="D127" s="46" t="s">
        <v>684</v>
      </c>
      <c r="E127" s="6"/>
      <c r="F127" s="6"/>
      <c r="G127" s="6"/>
      <c r="H127" s="6"/>
      <c r="I127" s="6"/>
      <c r="J127" s="6"/>
      <c r="K127" s="6"/>
    </row>
    <row r="128" spans="2:11" ht="61.5" x14ac:dyDescent="0.25">
      <c r="B128" s="1827"/>
      <c r="C128" s="94"/>
      <c r="D128" s="46" t="s">
        <v>685</v>
      </c>
      <c r="E128" s="6"/>
      <c r="F128" s="6"/>
      <c r="G128" s="6"/>
      <c r="H128" s="6"/>
      <c r="I128" s="6"/>
      <c r="J128" s="6"/>
      <c r="K128" s="6"/>
    </row>
    <row r="129" spans="2:11" ht="62.25" thickBot="1" x14ac:dyDescent="0.3">
      <c r="B129" s="1828"/>
      <c r="C129" s="3"/>
      <c r="D129" s="41" t="s">
        <v>686</v>
      </c>
      <c r="E129" s="6"/>
      <c r="F129" s="6"/>
      <c r="G129" s="6"/>
      <c r="H129" s="6"/>
      <c r="I129" s="6"/>
      <c r="J129" s="6"/>
      <c r="K129" s="6"/>
    </row>
    <row r="130" spans="2:11" x14ac:dyDescent="0.25">
      <c r="B130" s="6"/>
      <c r="D130" s="6"/>
      <c r="E130" s="6"/>
      <c r="F130" s="6"/>
      <c r="G130" s="6"/>
      <c r="H130" s="6"/>
      <c r="I130" s="6"/>
      <c r="J130" s="6"/>
      <c r="K130" s="6"/>
    </row>
    <row r="131" spans="2:11" x14ac:dyDescent="0.25">
      <c r="B131" s="6"/>
      <c r="D131" s="6"/>
      <c r="E131" s="6"/>
      <c r="F131" s="6"/>
      <c r="G131" s="6"/>
      <c r="H131" s="6"/>
      <c r="I131" s="6"/>
      <c r="J131" s="6"/>
      <c r="K131" s="6"/>
    </row>
    <row r="132" spans="2:11" x14ac:dyDescent="0.25">
      <c r="B132" s="6"/>
      <c r="D132" s="6"/>
      <c r="E132" s="6"/>
      <c r="F132" s="6"/>
      <c r="G132" s="6"/>
      <c r="H132" s="6"/>
      <c r="I132" s="6"/>
      <c r="J132" s="6"/>
      <c r="K132" s="6"/>
    </row>
    <row r="133" spans="2:11" x14ac:dyDescent="0.25">
      <c r="B133" s="6"/>
      <c r="D133" s="6"/>
      <c r="E133" s="6"/>
      <c r="F133" s="6"/>
      <c r="G133" s="6"/>
      <c r="H133" s="6"/>
      <c r="I133" s="6"/>
      <c r="J133" s="6"/>
      <c r="K133" s="6"/>
    </row>
    <row r="134" spans="2:11" x14ac:dyDescent="0.25">
      <c r="B134" s="6"/>
      <c r="D134" s="6"/>
      <c r="E134" s="6"/>
      <c r="F134" s="6"/>
      <c r="G134" s="6"/>
      <c r="H134" s="6"/>
      <c r="I134" s="6"/>
      <c r="J134" s="6"/>
      <c r="K134" s="6"/>
    </row>
    <row r="135" spans="2:11" x14ac:dyDescent="0.25">
      <c r="B135" s="6"/>
      <c r="D135" s="6"/>
      <c r="E135" s="6"/>
      <c r="F135" s="6"/>
      <c r="G135" s="6"/>
      <c r="H135" s="6"/>
      <c r="I135" s="6"/>
      <c r="J135" s="6"/>
      <c r="K135" s="6"/>
    </row>
    <row r="136" spans="2:11" x14ac:dyDescent="0.25">
      <c r="B136" s="6"/>
      <c r="D136" s="6"/>
      <c r="E136" s="6"/>
      <c r="F136" s="6"/>
      <c r="G136" s="6"/>
      <c r="H136" s="6"/>
      <c r="I136" s="6"/>
      <c r="J136" s="6"/>
      <c r="K136" s="6"/>
    </row>
    <row r="137" spans="2:11" x14ac:dyDescent="0.25">
      <c r="B137" s="6"/>
      <c r="D137" s="6"/>
      <c r="E137" s="6"/>
      <c r="F137" s="6"/>
      <c r="G137" s="6"/>
      <c r="H137" s="6"/>
      <c r="I137" s="6"/>
      <c r="J137" s="6"/>
      <c r="K137" s="6"/>
    </row>
    <row r="138" spans="2:11" x14ac:dyDescent="0.25">
      <c r="B138" s="6"/>
      <c r="D138" s="6"/>
      <c r="E138" s="6"/>
      <c r="F138" s="6"/>
      <c r="G138" s="6"/>
      <c r="H138" s="6"/>
      <c r="I138" s="6"/>
      <c r="J138" s="6"/>
      <c r="K138" s="6"/>
    </row>
    <row r="139" spans="2:11" x14ac:dyDescent="0.25">
      <c r="B139" s="6"/>
      <c r="D139" s="6"/>
      <c r="E139" s="6"/>
      <c r="F139" s="6"/>
      <c r="G139" s="6"/>
      <c r="H139" s="6"/>
      <c r="I139" s="6"/>
      <c r="J139" s="6"/>
      <c r="K139" s="6"/>
    </row>
    <row r="140" spans="2:11" x14ac:dyDescent="0.25">
      <c r="B140" s="6"/>
      <c r="D140" s="6"/>
      <c r="E140" s="6"/>
      <c r="F140" s="6"/>
      <c r="G140" s="6"/>
      <c r="H140" s="6"/>
      <c r="I140" s="6"/>
      <c r="J140" s="6"/>
      <c r="K140" s="6"/>
    </row>
    <row r="141" spans="2:11" x14ac:dyDescent="0.25">
      <c r="B141" s="6"/>
      <c r="D141" s="6"/>
      <c r="E141" s="6"/>
      <c r="F141" s="6"/>
      <c r="G141" s="6"/>
      <c r="H141" s="6"/>
      <c r="I141" s="6"/>
      <c r="J141" s="6"/>
      <c r="K141" s="6"/>
    </row>
    <row r="142" spans="2:11" x14ac:dyDescent="0.25">
      <c r="B142" s="6"/>
      <c r="D142" s="6"/>
      <c r="E142" s="6"/>
      <c r="F142" s="6"/>
      <c r="G142" s="6"/>
      <c r="H142" s="6"/>
      <c r="I142" s="6"/>
      <c r="J142" s="6"/>
      <c r="K142" s="6"/>
    </row>
    <row r="143" spans="2:11" x14ac:dyDescent="0.25">
      <c r="B143" s="6"/>
      <c r="D143" s="6"/>
      <c r="E143" s="6"/>
      <c r="F143" s="6"/>
      <c r="G143" s="6"/>
      <c r="H143" s="6"/>
      <c r="I143" s="6"/>
      <c r="J143" s="6"/>
      <c r="K143" s="6"/>
    </row>
    <row r="144" spans="2:11" x14ac:dyDescent="0.25">
      <c r="B144" s="6"/>
      <c r="D144" s="6"/>
      <c r="E144" s="6"/>
      <c r="F144" s="6"/>
      <c r="G144" s="6"/>
      <c r="H144" s="6"/>
      <c r="I144" s="6"/>
      <c r="J144" s="6"/>
      <c r="K144" s="6"/>
    </row>
    <row r="145" spans="2:11" x14ac:dyDescent="0.25">
      <c r="B145" s="6"/>
      <c r="D145" s="6"/>
      <c r="E145" s="6"/>
      <c r="F145" s="6"/>
      <c r="G145" s="6"/>
      <c r="H145" s="6"/>
      <c r="I145" s="6"/>
      <c r="J145" s="6"/>
      <c r="K145" s="6"/>
    </row>
    <row r="146" spans="2:11" x14ac:dyDescent="0.25">
      <c r="B146" s="6"/>
      <c r="D146" s="6"/>
      <c r="E146" s="6"/>
      <c r="F146" s="6"/>
      <c r="G146" s="6"/>
      <c r="H146" s="6"/>
      <c r="I146" s="6"/>
      <c r="J146" s="6"/>
      <c r="K146" s="6"/>
    </row>
    <row r="147" spans="2:11" x14ac:dyDescent="0.25">
      <c r="B147" s="6"/>
      <c r="D147" s="6"/>
      <c r="E147" s="6"/>
      <c r="F147" s="6"/>
      <c r="G147" s="6"/>
      <c r="H147" s="6"/>
      <c r="I147" s="6"/>
      <c r="J147" s="6"/>
      <c r="K147" s="6"/>
    </row>
    <row r="148" spans="2:11" x14ac:dyDescent="0.25">
      <c r="B148" s="6"/>
      <c r="D148" s="6"/>
      <c r="E148" s="6"/>
      <c r="F148" s="6"/>
      <c r="G148" s="6"/>
      <c r="H148" s="6"/>
      <c r="I148" s="6"/>
      <c r="J148" s="6"/>
      <c r="K148" s="6"/>
    </row>
    <row r="149" spans="2:11" x14ac:dyDescent="0.25">
      <c r="B149" s="6"/>
      <c r="D149" s="6"/>
      <c r="E149" s="6"/>
      <c r="F149" s="6"/>
      <c r="G149" s="6"/>
      <c r="H149" s="6"/>
      <c r="I149" s="6"/>
      <c r="J149" s="6"/>
      <c r="K149" s="6"/>
    </row>
    <row r="150" spans="2:11" x14ac:dyDescent="0.25">
      <c r="B150" s="6"/>
      <c r="D150" s="6"/>
      <c r="E150" s="6"/>
      <c r="F150" s="6"/>
      <c r="G150" s="6"/>
      <c r="H150" s="6"/>
      <c r="I150" s="6"/>
      <c r="J150" s="6"/>
      <c r="K150" s="6"/>
    </row>
    <row r="151" spans="2:11" x14ac:dyDescent="0.25">
      <c r="B151" s="6"/>
      <c r="D151" s="6"/>
      <c r="E151" s="6"/>
      <c r="F151" s="6"/>
      <c r="G151" s="6"/>
      <c r="H151" s="6"/>
      <c r="I151" s="6"/>
      <c r="J151" s="6"/>
      <c r="K151" s="6"/>
    </row>
    <row r="152" spans="2:11" x14ac:dyDescent="0.25">
      <c r="B152" s="6"/>
      <c r="D152" s="6"/>
      <c r="E152" s="6"/>
      <c r="F152" s="6"/>
      <c r="G152" s="6"/>
      <c r="H152" s="6"/>
      <c r="I152" s="6"/>
      <c r="J152" s="6"/>
      <c r="K152" s="6"/>
    </row>
    <row r="153" spans="2:11" x14ac:dyDescent="0.25">
      <c r="B153" s="6"/>
      <c r="D153" s="6"/>
      <c r="E153" s="6"/>
      <c r="F153" s="6"/>
      <c r="G153" s="6"/>
      <c r="H153" s="6"/>
      <c r="I153" s="6"/>
      <c r="J153" s="6"/>
      <c r="K153" s="6"/>
    </row>
    <row r="154" spans="2:11" x14ac:dyDescent="0.25">
      <c r="B154" s="6"/>
      <c r="D154" s="6"/>
      <c r="E154" s="6"/>
      <c r="F154" s="6"/>
      <c r="G154" s="6"/>
      <c r="H154" s="6"/>
      <c r="I154" s="6"/>
      <c r="J154" s="6"/>
      <c r="K154" s="6"/>
    </row>
    <row r="155" spans="2:11" x14ac:dyDescent="0.25">
      <c r="B155" s="6"/>
      <c r="D155" s="6"/>
      <c r="E155" s="6"/>
      <c r="F155" s="6"/>
      <c r="G155" s="6"/>
      <c r="H155" s="6"/>
      <c r="I155" s="6"/>
      <c r="J155" s="6"/>
      <c r="K155" s="6"/>
    </row>
    <row r="156" spans="2:11" x14ac:dyDescent="0.25">
      <c r="B156" s="6"/>
      <c r="D156" s="6"/>
      <c r="E156" s="6"/>
      <c r="F156" s="6"/>
      <c r="G156" s="6"/>
      <c r="H156" s="6"/>
      <c r="I156" s="6"/>
      <c r="J156" s="6"/>
      <c r="K156" s="6"/>
    </row>
    <row r="157" spans="2:11" x14ac:dyDescent="0.25">
      <c r="B157" s="6"/>
      <c r="D157" s="6"/>
      <c r="E157" s="6"/>
      <c r="F157" s="6"/>
      <c r="G157" s="6"/>
      <c r="H157" s="6"/>
      <c r="I157" s="6"/>
      <c r="J157" s="6"/>
      <c r="K157" s="6"/>
    </row>
    <row r="158" spans="2:11" x14ac:dyDescent="0.25">
      <c r="B158" s="6"/>
      <c r="D158" s="6"/>
      <c r="E158" s="6"/>
      <c r="F158" s="6"/>
      <c r="G158" s="6"/>
      <c r="H158" s="6"/>
      <c r="I158" s="6"/>
      <c r="J158" s="6"/>
      <c r="K158" s="6"/>
    </row>
    <row r="159" spans="2:11" x14ac:dyDescent="0.25">
      <c r="B159" s="6"/>
      <c r="D159" s="6"/>
      <c r="E159" s="6"/>
      <c r="F159" s="6"/>
      <c r="G159" s="6"/>
      <c r="H159" s="6"/>
      <c r="I159" s="6"/>
      <c r="J159" s="6"/>
      <c r="K159" s="6"/>
    </row>
    <row r="160" spans="2:11" x14ac:dyDescent="0.25">
      <c r="B160" s="6"/>
      <c r="D160" s="6"/>
      <c r="E160" s="6"/>
      <c r="F160" s="6"/>
      <c r="G160" s="6"/>
      <c r="H160" s="6"/>
      <c r="I160" s="6"/>
      <c r="J160" s="6"/>
      <c r="K160" s="6"/>
    </row>
    <row r="161" spans="2:11" x14ac:dyDescent="0.25">
      <c r="B161" s="6"/>
      <c r="D161" s="6"/>
      <c r="E161" s="6"/>
      <c r="F161" s="6"/>
      <c r="G161" s="6"/>
      <c r="H161" s="6"/>
      <c r="I161" s="6"/>
      <c r="J161" s="6"/>
      <c r="K161" s="6"/>
    </row>
    <row r="162" spans="2:11" x14ac:dyDescent="0.25">
      <c r="B162" s="6"/>
      <c r="D162" s="6"/>
      <c r="E162" s="6"/>
      <c r="F162" s="6"/>
      <c r="G162" s="6"/>
      <c r="H162" s="6"/>
      <c r="I162" s="6"/>
      <c r="J162" s="6"/>
      <c r="K162" s="6"/>
    </row>
    <row r="163" spans="2:11" x14ac:dyDescent="0.25">
      <c r="B163" s="6"/>
      <c r="D163" s="6"/>
      <c r="E163" s="6"/>
      <c r="F163" s="6"/>
      <c r="G163" s="6"/>
      <c r="H163" s="6"/>
      <c r="I163" s="6"/>
      <c r="J163" s="6"/>
      <c r="K163" s="6"/>
    </row>
    <row r="164" spans="2:11" x14ac:dyDescent="0.25">
      <c r="B164" s="6"/>
      <c r="D164" s="6"/>
      <c r="E164" s="6"/>
      <c r="F164" s="6"/>
      <c r="G164" s="6"/>
      <c r="H164" s="6"/>
      <c r="I164" s="6"/>
      <c r="J164" s="6"/>
      <c r="K164" s="6"/>
    </row>
    <row r="165" spans="2:11" x14ac:dyDescent="0.25">
      <c r="B165" s="6"/>
      <c r="D165" s="6"/>
      <c r="E165" s="6"/>
      <c r="F165" s="6"/>
      <c r="G165" s="6"/>
      <c r="H165" s="6"/>
      <c r="I165" s="6"/>
      <c r="J165" s="6"/>
      <c r="K165" s="6"/>
    </row>
    <row r="166" spans="2:11" x14ac:dyDescent="0.25">
      <c r="B166" s="6"/>
      <c r="D166" s="6"/>
      <c r="E166" s="6"/>
      <c r="F166" s="6"/>
      <c r="G166" s="6"/>
      <c r="H166" s="6"/>
      <c r="I166" s="6"/>
      <c r="J166" s="6"/>
      <c r="K166" s="6"/>
    </row>
    <row r="167" spans="2:11" x14ac:dyDescent="0.25">
      <c r="B167" s="6"/>
      <c r="D167" s="6"/>
      <c r="E167" s="6"/>
      <c r="F167" s="6"/>
      <c r="G167" s="6"/>
      <c r="H167" s="6"/>
      <c r="I167" s="6"/>
      <c r="J167" s="6"/>
      <c r="K167" s="6"/>
    </row>
    <row r="168" spans="2:11" x14ac:dyDescent="0.25">
      <c r="B168" s="6"/>
      <c r="D168" s="6"/>
      <c r="E168" s="6"/>
      <c r="F168" s="6"/>
      <c r="G168" s="6"/>
      <c r="H168" s="6"/>
      <c r="I168" s="6"/>
      <c r="J168" s="6"/>
      <c r="K168" s="6"/>
    </row>
    <row r="169" spans="2:11" x14ac:dyDescent="0.25">
      <c r="B169" s="6"/>
      <c r="D169" s="6"/>
      <c r="E169" s="6"/>
      <c r="F169" s="6"/>
      <c r="G169" s="6"/>
      <c r="H169" s="6"/>
      <c r="I169" s="6"/>
      <c r="J169" s="6"/>
      <c r="K169" s="6"/>
    </row>
    <row r="170" spans="2:11" x14ac:dyDescent="0.25">
      <c r="B170" s="6"/>
      <c r="D170" s="6"/>
      <c r="E170" s="6"/>
      <c r="F170" s="6"/>
      <c r="G170" s="6"/>
      <c r="H170" s="6"/>
      <c r="I170" s="6"/>
      <c r="J170" s="6"/>
      <c r="K170" s="6"/>
    </row>
    <row r="171" spans="2:11" x14ac:dyDescent="0.25">
      <c r="B171" s="6"/>
      <c r="D171" s="6"/>
      <c r="E171" s="6"/>
      <c r="F171" s="6"/>
      <c r="G171" s="6"/>
      <c r="H171" s="6"/>
      <c r="I171" s="6"/>
      <c r="J171" s="6"/>
      <c r="K171" s="6"/>
    </row>
    <row r="172" spans="2:11" x14ac:dyDescent="0.25">
      <c r="B172" s="6"/>
      <c r="D172" s="6"/>
      <c r="E172" s="6"/>
      <c r="F172" s="6"/>
      <c r="G172" s="6"/>
      <c r="H172" s="6"/>
      <c r="I172" s="6"/>
      <c r="J172" s="6"/>
      <c r="K172" s="6"/>
    </row>
    <row r="173" spans="2:11" x14ac:dyDescent="0.25">
      <c r="B173" s="6"/>
      <c r="D173" s="6"/>
      <c r="E173" s="6"/>
      <c r="F173" s="6"/>
      <c r="G173" s="6"/>
      <c r="H173" s="6"/>
      <c r="I173" s="6"/>
      <c r="J173" s="6"/>
      <c r="K173" s="6"/>
    </row>
    <row r="174" spans="2:11" x14ac:dyDescent="0.25">
      <c r="B174" s="6"/>
      <c r="D174" s="6"/>
      <c r="E174" s="6"/>
      <c r="F174" s="6"/>
      <c r="G174" s="6"/>
      <c r="H174" s="6"/>
      <c r="I174" s="6"/>
      <c r="J174" s="6"/>
      <c r="K174" s="6"/>
    </row>
    <row r="175" spans="2:11" x14ac:dyDescent="0.25">
      <c r="B175" s="6"/>
      <c r="D175" s="6"/>
      <c r="E175" s="6"/>
      <c r="F175" s="6"/>
      <c r="G175" s="6"/>
      <c r="H175" s="6"/>
      <c r="I175" s="6"/>
      <c r="J175" s="6"/>
      <c r="K175" s="6"/>
    </row>
    <row r="176" spans="2:11" x14ac:dyDescent="0.25">
      <c r="B176" s="6"/>
      <c r="D176" s="6"/>
      <c r="E176" s="6"/>
      <c r="F176" s="6"/>
      <c r="G176" s="6"/>
      <c r="H176" s="6"/>
      <c r="I176" s="6"/>
      <c r="J176" s="6"/>
      <c r="K176" s="6"/>
    </row>
    <row r="177" spans="2:11" x14ac:dyDescent="0.25">
      <c r="B177" s="6"/>
      <c r="D177" s="6"/>
      <c r="E177" s="6"/>
      <c r="F177" s="6"/>
      <c r="G177" s="6"/>
      <c r="H177" s="6"/>
      <c r="I177" s="6"/>
      <c r="J177" s="6"/>
      <c r="K177" s="6"/>
    </row>
    <row r="178" spans="2:11" x14ac:dyDescent="0.25">
      <c r="B178" s="6"/>
      <c r="D178" s="6"/>
      <c r="E178" s="6"/>
      <c r="F178" s="6"/>
      <c r="G178" s="6"/>
      <c r="H178" s="6"/>
      <c r="I178" s="6"/>
      <c r="J178" s="6"/>
      <c r="K178" s="6"/>
    </row>
    <row r="179" spans="2:11" x14ac:dyDescent="0.25">
      <c r="B179" s="6"/>
      <c r="D179" s="6"/>
      <c r="E179" s="6"/>
      <c r="F179" s="6"/>
      <c r="G179" s="6"/>
      <c r="H179" s="6"/>
      <c r="I179" s="6"/>
      <c r="J179" s="6"/>
      <c r="K179" s="6"/>
    </row>
    <row r="180" spans="2:11" x14ac:dyDescent="0.25">
      <c r="B180" s="6"/>
      <c r="D180" s="6"/>
      <c r="E180" s="6"/>
      <c r="F180" s="6"/>
      <c r="G180" s="6"/>
      <c r="H180" s="6"/>
      <c r="I180" s="6"/>
      <c r="J180" s="6"/>
      <c r="K180" s="6"/>
    </row>
    <row r="181" spans="2:11" x14ac:dyDescent="0.25">
      <c r="B181" s="6"/>
      <c r="D181" s="6"/>
      <c r="E181" s="6"/>
      <c r="F181" s="6"/>
      <c r="G181" s="6"/>
      <c r="H181" s="6"/>
      <c r="I181" s="6"/>
      <c r="J181" s="6"/>
      <c r="K181" s="6"/>
    </row>
    <row r="182" spans="2:11" x14ac:dyDescent="0.25">
      <c r="B182" s="6"/>
      <c r="D182" s="6"/>
      <c r="E182" s="6"/>
      <c r="F182" s="6"/>
      <c r="G182" s="6"/>
      <c r="H182" s="6"/>
      <c r="I182" s="6"/>
      <c r="J182" s="6"/>
      <c r="K182" s="6"/>
    </row>
    <row r="183" spans="2:11" x14ac:dyDescent="0.25">
      <c r="B183" s="6"/>
      <c r="D183" s="6"/>
      <c r="E183" s="6"/>
      <c r="F183" s="6"/>
      <c r="G183" s="6"/>
      <c r="H183" s="6"/>
      <c r="I183" s="6"/>
      <c r="J183" s="6"/>
      <c r="K183" s="6"/>
    </row>
    <row r="184" spans="2:11" x14ac:dyDescent="0.25">
      <c r="B184" s="6"/>
      <c r="D184" s="6"/>
      <c r="E184" s="6"/>
      <c r="F184" s="6"/>
      <c r="G184" s="6"/>
      <c r="H184" s="6"/>
      <c r="I184" s="6"/>
      <c r="J184" s="6"/>
      <c r="K184" s="6"/>
    </row>
    <row r="185" spans="2:11" x14ac:dyDescent="0.25">
      <c r="B185" s="6"/>
      <c r="D185" s="6"/>
      <c r="E185" s="6"/>
      <c r="F185" s="6"/>
      <c r="G185" s="6"/>
      <c r="H185" s="6"/>
      <c r="I185" s="6"/>
      <c r="J185" s="6"/>
      <c r="K185" s="6"/>
    </row>
    <row r="186" spans="2:11" x14ac:dyDescent="0.25">
      <c r="B186" s="6"/>
      <c r="D186" s="6"/>
      <c r="E186" s="6"/>
      <c r="F186" s="6"/>
      <c r="G186" s="6"/>
      <c r="H186" s="6"/>
      <c r="I186" s="6"/>
      <c r="J186" s="6"/>
      <c r="K186" s="6"/>
    </row>
    <row r="187" spans="2:11" x14ac:dyDescent="0.25">
      <c r="B187" s="6"/>
      <c r="D187" s="6"/>
      <c r="E187" s="6"/>
      <c r="F187" s="6"/>
      <c r="G187" s="6"/>
      <c r="H187" s="6"/>
      <c r="I187" s="6"/>
      <c r="J187" s="6"/>
      <c r="K187" s="6"/>
    </row>
    <row r="188" spans="2:11" x14ac:dyDescent="0.25">
      <c r="B188" s="6"/>
      <c r="D188" s="6"/>
      <c r="E188" s="6"/>
      <c r="F188" s="6"/>
      <c r="G188" s="6"/>
      <c r="H188" s="6"/>
      <c r="I188" s="6"/>
      <c r="J188" s="6"/>
      <c r="K188" s="6"/>
    </row>
  </sheetData>
  <sheetProtection insertRows="0"/>
  <mergeCells count="40">
    <mergeCell ref="A1:P1"/>
    <mergeCell ref="A2:P2"/>
    <mergeCell ref="A3:P3"/>
    <mergeCell ref="A4:D4"/>
    <mergeCell ref="A5:P5"/>
    <mergeCell ref="B15:B20"/>
    <mergeCell ref="B81:F82"/>
    <mergeCell ref="B76:F76"/>
    <mergeCell ref="D22:K22"/>
    <mergeCell ref="D23:K23"/>
    <mergeCell ref="D38:K38"/>
    <mergeCell ref="D39:K39"/>
    <mergeCell ref="B58:E58"/>
    <mergeCell ref="B59:B65"/>
    <mergeCell ref="F24:F26"/>
    <mergeCell ref="G24:J24"/>
    <mergeCell ref="H25:H26"/>
    <mergeCell ref="I25:I26"/>
    <mergeCell ref="J25:J26"/>
    <mergeCell ref="C40:C42"/>
    <mergeCell ref="D15:K15"/>
    <mergeCell ref="B97:B116"/>
    <mergeCell ref="B117:B129"/>
    <mergeCell ref="C24:C26"/>
    <mergeCell ref="D24:D26"/>
    <mergeCell ref="E24:E26"/>
    <mergeCell ref="B88:B95"/>
    <mergeCell ref="B67:E67"/>
    <mergeCell ref="B68:B74"/>
    <mergeCell ref="D16:K16"/>
    <mergeCell ref="D21:K21"/>
    <mergeCell ref="D40:D42"/>
    <mergeCell ref="E40:F40"/>
    <mergeCell ref="E41:E42"/>
    <mergeCell ref="G41:G42"/>
    <mergeCell ref="B10:D10"/>
    <mergeCell ref="F10:S10"/>
    <mergeCell ref="F11:S11"/>
    <mergeCell ref="E12:R12"/>
    <mergeCell ref="E13:R13"/>
  </mergeCells>
  <conditionalFormatting sqref="D53">
    <cfRule type="containsText" dxfId="57" priority="5" operator="containsText" text="ERROR">
      <formula>NOT(ISERROR(SEARCH("ERROR",D53)))</formula>
    </cfRule>
  </conditionalFormatting>
  <conditionalFormatting sqref="F10">
    <cfRule type="notContainsBlanks" dxfId="56" priority="4">
      <formula>LEN(TRIM(F10))&gt;0</formula>
    </cfRule>
  </conditionalFormatting>
  <conditionalFormatting sqref="F11:S11">
    <cfRule type="expression" dxfId="55" priority="2">
      <formula>E11="NO SE REPORTA"</formula>
    </cfRule>
    <cfRule type="expression" dxfId="54" priority="3">
      <formula>E10="NO APLICA"</formula>
    </cfRule>
  </conditionalFormatting>
  <conditionalFormatting sqref="E12:R12">
    <cfRule type="expression" dxfId="53"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8:H19" xr:uid="{00000000-0002-0000-1C00-000000000000}">
      <formula1>0</formula1>
    </dataValidation>
    <dataValidation type="whole" operator="greaterThanOrEqual" allowBlank="1" showInputMessage="1" showErrorMessage="1" errorTitle="ERROR" error="Valor en PESOS (sin centavos)" sqref="G27:J36" xr:uid="{00000000-0002-0000-1C00-000001000000}">
      <formula1>0</formula1>
    </dataValidation>
    <dataValidation type="decimal" allowBlank="1" showInputMessage="1" showErrorMessage="1" errorTitle="ERROR" error="Escriba un valor entre 0% y 100%" sqref="D43:D52" xr:uid="{CE539CBB-63E1-4AE3-B352-D31999817F32}">
      <formula1>0</formula1>
      <formula2>1</formula2>
    </dataValidation>
    <dataValidation allowBlank="1" showInputMessage="1" showErrorMessage="1" sqref="D53 I18:I19 G37:J37 E43:F53" xr:uid="{00000000-0002-0000-1C00-000003000000}"/>
    <dataValidation type="list" allowBlank="1" showInputMessage="1" showErrorMessage="1" sqref="E11" xr:uid="{00000000-0002-0000-1C00-000004000000}">
      <formula1>REPORTE</formula1>
    </dataValidation>
    <dataValidation type="list" allowBlank="1" showInputMessage="1" showErrorMessage="1" sqref="E10" xr:uid="{00000000-0002-0000-1C00-000005000000}">
      <formula1>SI</formula1>
    </dataValidation>
  </dataValidations>
  <hyperlinks>
    <hyperlink ref="B9" location="'ANEXO 3'!A1" display="VOLVER AL INDICE" xr:uid="{00000000-0004-0000-1C00-000000000000}"/>
    <hyperlink ref="E63" r:id="rId1" xr:uid="{00000000-0004-0000-1C00-000001000000}"/>
  </hyperlinks>
  <pageMargins left="0.25" right="0.25" top="0.75" bottom="0.75" header="0.3" footer="0.3"/>
  <pageSetup paperSize="178"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B28"/>
  <sheetViews>
    <sheetView workbookViewId="0">
      <selection sqref="A1:XFD1048576"/>
    </sheetView>
  </sheetViews>
  <sheetFormatPr baseColWidth="10" defaultRowHeight="12.75" x14ac:dyDescent="0.2"/>
  <cols>
    <col min="1" max="16384" width="11.42578125" style="705"/>
  </cols>
  <sheetData>
    <row r="1" spans="1:2" x14ac:dyDescent="0.2">
      <c r="A1" s="705" t="s">
        <v>1835</v>
      </c>
      <c r="B1" s="706" t="s">
        <v>1149</v>
      </c>
    </row>
    <row r="2" spans="1:2" x14ac:dyDescent="0.2">
      <c r="A2" s="705" t="s">
        <v>1836</v>
      </c>
      <c r="B2" s="706" t="s">
        <v>131</v>
      </c>
    </row>
    <row r="3" spans="1:2" x14ac:dyDescent="0.2">
      <c r="A3" s="705" t="s">
        <v>1837</v>
      </c>
      <c r="B3" s="706" t="s">
        <v>162</v>
      </c>
    </row>
    <row r="4" spans="1:2" x14ac:dyDescent="0.2">
      <c r="A4" s="705" t="s">
        <v>1838</v>
      </c>
      <c r="B4" s="706" t="s">
        <v>183</v>
      </c>
    </row>
    <row r="5" spans="1:2" x14ac:dyDescent="0.2">
      <c r="A5" s="705" t="s">
        <v>1839</v>
      </c>
      <c r="B5" s="706" t="s">
        <v>200</v>
      </c>
    </row>
    <row r="6" spans="1:2" x14ac:dyDescent="0.2">
      <c r="A6" s="705" t="s">
        <v>1840</v>
      </c>
      <c r="B6" s="706" t="s">
        <v>220</v>
      </c>
    </row>
    <row r="7" spans="1:2" x14ac:dyDescent="0.2">
      <c r="A7" s="705" t="s">
        <v>1841</v>
      </c>
      <c r="B7" s="706" t="s">
        <v>280</v>
      </c>
    </row>
    <row r="8" spans="1:2" x14ac:dyDescent="0.2">
      <c r="A8" s="705" t="s">
        <v>1842</v>
      </c>
      <c r="B8" s="706" t="s">
        <v>314</v>
      </c>
    </row>
    <row r="9" spans="1:2" x14ac:dyDescent="0.2">
      <c r="A9" s="705" t="s">
        <v>1843</v>
      </c>
      <c r="B9" s="706" t="s">
        <v>348</v>
      </c>
    </row>
    <row r="10" spans="1:2" x14ac:dyDescent="0.2">
      <c r="A10" s="705" t="s">
        <v>1844</v>
      </c>
      <c r="B10" s="706" t="s">
        <v>396</v>
      </c>
    </row>
    <row r="11" spans="1:2" x14ac:dyDescent="0.2">
      <c r="B11" s="706" t="s">
        <v>418</v>
      </c>
    </row>
    <row r="12" spans="1:2" x14ac:dyDescent="0.2">
      <c r="B12" s="706" t="s">
        <v>449</v>
      </c>
    </row>
    <row r="13" spans="1:2" x14ac:dyDescent="0.2">
      <c r="B13" s="706" t="s">
        <v>480</v>
      </c>
    </row>
    <row r="14" spans="1:2" x14ac:dyDescent="0.2">
      <c r="B14" s="706" t="s">
        <v>526</v>
      </c>
    </row>
    <row r="15" spans="1:2" x14ac:dyDescent="0.2">
      <c r="B15" s="706" t="s">
        <v>557</v>
      </c>
    </row>
    <row r="16" spans="1:2" x14ac:dyDescent="0.2">
      <c r="B16" s="706" t="s">
        <v>585</v>
      </c>
    </row>
    <row r="17" spans="2:2" x14ac:dyDescent="0.2">
      <c r="B17" s="706" t="s">
        <v>631</v>
      </c>
    </row>
    <row r="18" spans="2:2" x14ac:dyDescent="0.2">
      <c r="B18" s="706" t="s">
        <v>652</v>
      </c>
    </row>
    <row r="19" spans="2:2" x14ac:dyDescent="0.2">
      <c r="B19" s="706" t="s">
        <v>700</v>
      </c>
    </row>
    <row r="20" spans="2:2" x14ac:dyDescent="0.2">
      <c r="B20" s="706" t="s">
        <v>770</v>
      </c>
    </row>
    <row r="21" spans="2:2" x14ac:dyDescent="0.2">
      <c r="B21" s="706" t="s">
        <v>832</v>
      </c>
    </row>
    <row r="22" spans="2:2" x14ac:dyDescent="0.2">
      <c r="B22" s="706" t="s">
        <v>880</v>
      </c>
    </row>
    <row r="23" spans="2:2" x14ac:dyDescent="0.2">
      <c r="B23" s="706" t="s">
        <v>944</v>
      </c>
    </row>
    <row r="24" spans="2:2" x14ac:dyDescent="0.2">
      <c r="B24" s="706" t="s">
        <v>965</v>
      </c>
    </row>
    <row r="25" spans="2:2" x14ac:dyDescent="0.2">
      <c r="B25" s="706" t="s">
        <v>994</v>
      </c>
    </row>
    <row r="26" spans="2:2" x14ac:dyDescent="0.2">
      <c r="B26" s="706" t="s">
        <v>1067</v>
      </c>
    </row>
    <row r="27" spans="2:2" x14ac:dyDescent="0.2">
      <c r="B27" s="706" t="s">
        <v>1114</v>
      </c>
    </row>
    <row r="28" spans="2:2" x14ac:dyDescent="0.2">
      <c r="B28" s="705" t="s">
        <v>1844</v>
      </c>
    </row>
  </sheetData>
  <hyperlinks>
    <hyperlink ref="B1" location="'1POMCAS'!A1" display="Porcentaje de avance en la formulación y/o ajuste de los Planes de Ordenación y Manejo de Cuencas (POMCAS), Planes de Manejo de Acuíferos (PMA) y Planes de Manejo de Microcuencas (PMM)" xr:uid="{00000000-0004-0000-0200-000000000000}"/>
    <hyperlink ref="B2" location="'2PORH'!A1" display="Porcentaje de cuerpos de agua con planes de ordenamiento del recurso hídrico (PORH) adoptados" xr:uid="{00000000-0004-0000-0200-000001000000}"/>
    <hyperlink ref="B3" location="'3PSMV'!_Toc467769470" display="Porcentaje de Planes de Saneamiento y Manejo de Vertimientos (PSMV) con seguimiento" xr:uid="{00000000-0004-0000-0200-000002000000}"/>
    <hyperlink ref="B4" location="'4UsoAguas'!_Toc467769471" display="Porcentaje de cuerpos de agua con reglamentación del uso de las aguas" xr:uid="{00000000-0004-0000-0200-000003000000}"/>
    <hyperlink ref="B5" location="'5PUEAA'!_Toc467769472" display="Porcentaje de Programas de Uso Eficiente y Ahorro del Agua (PUEAA) con seguimiento" xr:uid="{00000000-0004-0000-0200-000004000000}"/>
    <hyperlink ref="B6" location="'6POMCASejec'!_Toc467769473" display="Porcentaje de Planes de Ordenación y Manejo de Cuencas (POMCAS), Planes de Manejo de Acuíferos (PMA) y Planes de Manejo de Microcuencas (PMM) en ejecución" xr:uid="{00000000-0004-0000-0200-000005000000}"/>
    <hyperlink ref="B7" location="'7Clima'!_Toc467769474" display="Porcentaje de entes territoriales asesorados en la incorporación, planificación y ejecución de acciones relacionadas con cambio climático en el marco de los instrumentos de planificación territorial" xr:uid="{00000000-0004-0000-0200-000006000000}"/>
    <hyperlink ref="B8" location="'8Suelo'!_Toc467769475" display="Porcentaje de suelos degradados en recuperación o rehabilitación" xr:uid="{00000000-0004-0000-0200-000007000000}"/>
    <hyperlink ref="B9" location="'9RUNAP'!_Toc467769476" display="Porcentaje de la superficie de áreas protegidas regionales declaradas, homologadas o recategorizadas, inscritas en el RUNAP" xr:uid="{00000000-0004-0000-0200-000008000000}"/>
    <hyperlink ref="B10" location="'10Paramos'!_Toc467769477" display="Porcentaje de páramos delimitados por el MADS, con zonificación y régimen de usos adoptados por la CAR" xr:uid="{00000000-0004-0000-0200-000009000000}"/>
    <hyperlink ref="B11" location="'11Forest'!_Toc467769478" display="Porcentaje de avance en la formulación del Plan de Ordenación Forestal" xr:uid="{00000000-0004-0000-0200-00000A000000}"/>
    <hyperlink ref="B12" location="'12PlanesAP'!_Toc467769479" display="Porcentaje de áreas protegidas con planes de manejo en ejecución" xr:uid="{00000000-0004-0000-0200-00000B000000}"/>
    <hyperlink ref="B13" location="'13Amenaz'!_Toc467769480" display="Porcentaje de especies amenazadas con medidas de conservación y manejo en ejecución" xr:uid="{00000000-0004-0000-0200-00000C000000}"/>
    <hyperlink ref="B14" location="'14Invasor'!_Toc467769481" display="Porcentaje de especies invasoras con medidas de prevención, control y manejo en ejecución" xr:uid="{00000000-0004-0000-0200-00000D000000}"/>
    <hyperlink ref="B15" location="'15Restaura'!_Toc467769482" display="Porcentaje de áreas de ecosistemas en restauración, rehabilitación y reforestación" xr:uid="{00000000-0004-0000-0200-00000E000000}"/>
    <hyperlink ref="B16" location="'16MIZC'!_Toc467769483" display="Implementación de acciones en manejo integrado de zonas costeras" xr:uid="{00000000-0004-0000-0200-00000F000000}"/>
    <hyperlink ref="B17" location="'17PGIRS'!_Toc467769484" display="Porcentaje de Planes de Gestión Integral de Residuos Sólidos (PGIRS) con seguimiento a metas de aprovechamiento" xr:uid="{00000000-0004-0000-0200-000010000000}"/>
    <hyperlink ref="B18" location="'18Sector'!_Toc467769485" display="Porcentaje de sectores con acompañamiento para la reconversión hacia sistemas sostenibles de producción" xr:uid="{00000000-0004-0000-0200-000011000000}"/>
    <hyperlink ref="B19" location="'19GAU'!_Toc467769486" display="Porcentaje de ejecución de acciones en Gestión Ambiental Urbana" xr:uid="{00000000-0004-0000-0200-000012000000}"/>
    <hyperlink ref="B20" location="'20Negoc'!_Toc467769487" display="Implementación del Programa Regional de Negocios Verdes por la autoridad ambiental" xr:uid="{00000000-0004-0000-0200-000013000000}"/>
    <hyperlink ref="B22" location="'22Autor'!_Toc467769489" display="Porcentaje de autorizaciones ambientales con seguimiento" xr:uid="{00000000-0004-0000-0200-000014000000}"/>
    <hyperlink ref="B23" location="'23Sanc'!_Toc467769490" display="Porcentaje de Procesos Sancionatorios Resueltos" xr:uid="{00000000-0004-0000-0200-000015000000}"/>
    <hyperlink ref="B24" location="'24POT'!_Toc467769491" display="Porcentaje de municipios asesorados o asistidos en la inclusión del componente ambiental en los procesos de planificación y ordenamiento territorial, con énfasis en la incorporación de las determinantes ambientales para la revisión y ajuste de los POT" xr:uid="{00000000-0004-0000-0200-000016000000}"/>
    <hyperlink ref="B25" location="'25Redes'!_Toc467769492" display="Porcentaje de redes y estaciones de monitoreo en operación" xr:uid="{00000000-0004-0000-0200-000017000000}"/>
    <hyperlink ref="B26" location="'26SIAC'!_Toc467769493" display="Porcentaje de actualización y reporte de la información en el SIAC" xr:uid="{00000000-0004-0000-0200-000018000000}"/>
    <hyperlink ref="B27" location="'27Educa'!_Toc467769494" display="Ejecución de Acciones en Educación Ambiental" xr:uid="{00000000-0004-0000-0200-000019000000}"/>
    <hyperlink ref="B21" location="'21TiempoT'!_Toc467769488" display="Tiempo promedio de trámite para la resolución de autorizaciones ambientales otorgadas por la corporación" xr:uid="{00000000-0004-0000-0200-00001A000000}"/>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29"/>
  <dimension ref="A1:U194"/>
  <sheetViews>
    <sheetView showGridLines="0" topLeftCell="A40" zoomScale="70" zoomScaleNormal="70" workbookViewId="0">
      <selection activeCell="E18" sqref="E18:H18"/>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24.85546875" customWidth="1"/>
    <col min="9" max="9" width="13.85546875" customWidth="1"/>
  </cols>
  <sheetData>
    <row r="1" spans="1:21" s="538" customFormat="1" ht="100.5" customHeight="1" thickBot="1" x14ac:dyDescent="0.3">
      <c r="A1" s="1733"/>
      <c r="B1" s="1734"/>
      <c r="C1" s="1734"/>
      <c r="D1" s="1734"/>
      <c r="E1" s="1734"/>
      <c r="F1" s="1734"/>
      <c r="G1" s="1734"/>
      <c r="H1" s="1734"/>
      <c r="I1" s="1734"/>
      <c r="J1" s="1734"/>
      <c r="K1" s="1734"/>
      <c r="L1" s="1734"/>
      <c r="M1" s="1734"/>
      <c r="N1" s="1734"/>
      <c r="O1" s="1734"/>
      <c r="P1" s="1735"/>
      <c r="Q1" s="412"/>
      <c r="R1" s="412"/>
    </row>
    <row r="2" spans="1:21" s="539" customFormat="1" ht="16.5" thickBot="1" x14ac:dyDescent="0.3">
      <c r="A2" s="1741" t="str">
        <f>'Datos Generales'!C5</f>
        <v>Corporación Autónoma Regional de La Guajira – CORPOGUAJIRA</v>
      </c>
      <c r="B2" s="1742"/>
      <c r="C2" s="1742"/>
      <c r="D2" s="1742"/>
      <c r="E2" s="1742"/>
      <c r="F2" s="1742"/>
      <c r="G2" s="1742"/>
      <c r="H2" s="1742"/>
      <c r="I2" s="1742"/>
      <c r="J2" s="1742"/>
      <c r="K2" s="1742"/>
      <c r="L2" s="1742"/>
      <c r="M2" s="1742"/>
      <c r="N2" s="1742"/>
      <c r="O2" s="1742"/>
      <c r="P2" s="1743"/>
      <c r="Q2" s="412"/>
      <c r="R2" s="412"/>
    </row>
    <row r="3" spans="1:21" s="539" customFormat="1" ht="16.5" thickBot="1" x14ac:dyDescent="0.3">
      <c r="A3" s="1736" t="s">
        <v>1347</v>
      </c>
      <c r="B3" s="1737"/>
      <c r="C3" s="1737"/>
      <c r="D3" s="1737"/>
      <c r="E3" s="1737"/>
      <c r="F3" s="1737"/>
      <c r="G3" s="1737"/>
      <c r="H3" s="1737"/>
      <c r="I3" s="1737"/>
      <c r="J3" s="1737"/>
      <c r="K3" s="1737"/>
      <c r="L3" s="1737"/>
      <c r="M3" s="1737"/>
      <c r="N3" s="1737"/>
      <c r="O3" s="1737"/>
      <c r="P3" s="1738"/>
      <c r="Q3" s="412"/>
      <c r="R3" s="412"/>
    </row>
    <row r="4" spans="1:21" s="539" customFormat="1" ht="16.5" thickBot="1" x14ac:dyDescent="0.3">
      <c r="A4" s="1739" t="s">
        <v>1346</v>
      </c>
      <c r="B4" s="1740"/>
      <c r="C4" s="1740"/>
      <c r="D4" s="1740"/>
      <c r="E4" s="579" t="str">
        <f>'Datos Generales'!C6</f>
        <v>2021-I</v>
      </c>
      <c r="F4" s="579"/>
      <c r="G4" s="579"/>
      <c r="H4" s="579"/>
      <c r="I4" s="579"/>
      <c r="J4" s="579"/>
      <c r="K4" s="579"/>
      <c r="L4" s="581"/>
      <c r="M4" s="581"/>
      <c r="N4" s="581"/>
      <c r="O4" s="581"/>
      <c r="P4" s="582"/>
      <c r="Q4" s="412"/>
      <c r="R4" s="412"/>
    </row>
    <row r="5" spans="1:21" s="245" customFormat="1" ht="16.5" customHeight="1" thickBot="1" x14ac:dyDescent="0.3">
      <c r="A5" s="1736" t="s">
        <v>700</v>
      </c>
      <c r="B5" s="1737"/>
      <c r="C5" s="1737"/>
      <c r="D5" s="1737"/>
      <c r="E5" s="1737"/>
      <c r="F5" s="1737"/>
      <c r="G5" s="1737"/>
      <c r="H5" s="1737"/>
      <c r="I5" s="1737"/>
      <c r="J5" s="1737"/>
      <c r="K5" s="1737"/>
      <c r="L5" s="1737"/>
      <c r="M5" s="1737"/>
      <c r="N5" s="1737"/>
      <c r="O5" s="1737"/>
      <c r="P5" s="1738"/>
    </row>
    <row r="6" spans="1:21" x14ac:dyDescent="0.25">
      <c r="B6" s="2" t="s">
        <v>1</v>
      </c>
      <c r="C6" s="76"/>
      <c r="D6" s="6"/>
      <c r="E6" s="74"/>
      <c r="F6" s="6" t="s">
        <v>128</v>
      </c>
      <c r="G6" s="6"/>
      <c r="H6" s="6"/>
      <c r="I6" s="6"/>
      <c r="J6" s="6"/>
      <c r="K6" s="6"/>
    </row>
    <row r="7" spans="1:21" ht="15.75" thickBot="1" x14ac:dyDescent="0.3">
      <c r="B7" s="75"/>
      <c r="C7" s="77"/>
      <c r="D7" s="6"/>
      <c r="E7" s="18"/>
      <c r="F7" s="6" t="s">
        <v>129</v>
      </c>
      <c r="G7" s="6"/>
      <c r="H7" s="6"/>
      <c r="I7" s="6"/>
      <c r="J7" s="6"/>
      <c r="K7" s="6"/>
    </row>
    <row r="8" spans="1:21" ht="15.75" thickBot="1" x14ac:dyDescent="0.3">
      <c r="B8" s="177" t="s">
        <v>1185</v>
      </c>
      <c r="C8" s="222">
        <v>2021</v>
      </c>
      <c r="D8" s="226">
        <f>IF(E10="NO APLICA","NO APLICA",IF(E11="NO SE REPORTA","SIN INFORMACION",+I38))</f>
        <v>0.58350000000000002</v>
      </c>
      <c r="E8" s="223"/>
      <c r="F8" s="6" t="s">
        <v>130</v>
      </c>
      <c r="G8" s="6"/>
      <c r="H8" s="6"/>
      <c r="I8" s="6"/>
      <c r="J8" s="6"/>
      <c r="K8" s="6"/>
    </row>
    <row r="9" spans="1:21" x14ac:dyDescent="0.25">
      <c r="B9" s="493" t="s">
        <v>1186</v>
      </c>
      <c r="D9" s="6"/>
      <c r="E9" s="6"/>
      <c r="F9" s="6"/>
      <c r="G9" s="6"/>
      <c r="H9" s="6"/>
      <c r="I9" s="6"/>
      <c r="J9" s="6"/>
      <c r="K9" s="6"/>
    </row>
    <row r="10" spans="1:21" s="412" customFormat="1" x14ac:dyDescent="0.25">
      <c r="A10" s="245"/>
      <c r="B10" s="1789" t="s">
        <v>1241</v>
      </c>
      <c r="C10" s="1789"/>
      <c r="D10" s="1789"/>
      <c r="E10" s="499" t="s">
        <v>1238</v>
      </c>
      <c r="F10" s="17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96"/>
      <c r="H10" s="1796"/>
      <c r="I10" s="1796"/>
      <c r="J10" s="1796"/>
      <c r="K10" s="1796"/>
      <c r="L10" s="1796"/>
      <c r="M10" s="1796"/>
      <c r="N10" s="1796"/>
      <c r="O10" s="1796"/>
      <c r="P10" s="1796"/>
      <c r="Q10" s="1796"/>
      <c r="R10" s="1796"/>
      <c r="S10" s="1796"/>
      <c r="T10" s="495"/>
      <c r="U10" s="495"/>
    </row>
    <row r="11" spans="1:21" s="412" customFormat="1" ht="14.45" customHeight="1" x14ac:dyDescent="0.25">
      <c r="A11" s="245"/>
      <c r="B11" s="496"/>
      <c r="C11" s="497"/>
      <c r="D11" s="498" t="str">
        <f>IF(E10="SI APLICA","¿El indicador no se reporta por limitaciones de información disponible? ","")</f>
        <v xml:space="preserve">¿El indicador no se reporta por limitaciones de información disponible? </v>
      </c>
      <c r="E11" s="500" t="s">
        <v>1240</v>
      </c>
      <c r="F11" s="1790"/>
      <c r="G11" s="1791"/>
      <c r="H11" s="1791"/>
      <c r="I11" s="1791"/>
      <c r="J11" s="1791"/>
      <c r="K11" s="1791"/>
      <c r="L11" s="1791"/>
      <c r="M11" s="1791"/>
      <c r="N11" s="1791"/>
      <c r="O11" s="1791"/>
      <c r="P11" s="1791"/>
      <c r="Q11" s="1791"/>
      <c r="R11" s="1791"/>
      <c r="S11" s="1791"/>
    </row>
    <row r="12" spans="1:21" s="412" customFormat="1" ht="23.45" customHeight="1" x14ac:dyDescent="0.25">
      <c r="A12" s="245"/>
      <c r="B12" s="493"/>
      <c r="C12" s="304"/>
      <c r="D12" s="498" t="str">
        <f>IF(E11="SI SE REPORTA","¿Qué programas o proyectos del Plan de Acción están asociados al indicador? ","")</f>
        <v xml:space="preserve">¿Qué programas o proyectos del Plan de Acción están asociados al indicador? </v>
      </c>
      <c r="E12" s="1799" t="str">
        <f>'Anexo 1 Matriz Inf Gestión'!A114</f>
        <v>Proyecto No 4.1. Gestión Ambiental Urbana</v>
      </c>
      <c r="F12" s="1799"/>
      <c r="G12" s="1799"/>
      <c r="H12" s="1799"/>
      <c r="I12" s="1799"/>
      <c r="J12" s="1799"/>
      <c r="K12" s="1799"/>
      <c r="L12" s="1799"/>
      <c r="M12" s="1799"/>
      <c r="N12" s="1799"/>
      <c r="O12" s="1799"/>
      <c r="P12" s="1799"/>
      <c r="Q12" s="1799"/>
      <c r="R12" s="1799"/>
    </row>
    <row r="13" spans="1:21" s="412" customFormat="1" ht="21.95" customHeight="1" x14ac:dyDescent="0.25">
      <c r="A13" s="245"/>
      <c r="B13" s="493"/>
      <c r="C13" s="304"/>
      <c r="D13" s="498" t="s">
        <v>1243</v>
      </c>
      <c r="E13" s="1792" t="s">
        <v>3057</v>
      </c>
      <c r="F13" s="1793"/>
      <c r="G13" s="1793"/>
      <c r="H13" s="1793"/>
      <c r="I13" s="1793"/>
      <c r="J13" s="1793"/>
      <c r="K13" s="1793"/>
      <c r="L13" s="1793"/>
      <c r="M13" s="1793"/>
      <c r="N13" s="1793"/>
      <c r="O13" s="1793"/>
      <c r="P13" s="1793"/>
      <c r="Q13" s="1793"/>
      <c r="R13" s="1794"/>
    </row>
    <row r="14" spans="1:21" s="412" customFormat="1" ht="6.95" customHeight="1" thickBot="1" x14ac:dyDescent="0.3">
      <c r="B14" s="493"/>
      <c r="C14" s="87"/>
      <c r="D14" s="6"/>
      <c r="E14" s="6"/>
      <c r="F14" s="6"/>
      <c r="G14" s="6"/>
      <c r="H14" s="6"/>
      <c r="I14" s="6"/>
      <c r="J14" s="6"/>
      <c r="K14" s="6"/>
    </row>
    <row r="15" spans="1:21" ht="15" customHeight="1" thickTop="1" x14ac:dyDescent="0.25">
      <c r="B15" s="1835" t="s">
        <v>2</v>
      </c>
      <c r="C15" s="89"/>
      <c r="D15" s="1837" t="s">
        <v>336</v>
      </c>
      <c r="E15" s="1838"/>
      <c r="F15" s="1838"/>
      <c r="G15" s="1838"/>
      <c r="H15" s="1838"/>
      <c r="I15" s="1838"/>
      <c r="J15" s="1838"/>
      <c r="K15" s="1838"/>
      <c r="L15" s="1896"/>
    </row>
    <row r="16" spans="1:21" ht="15.75" thickBot="1" x14ac:dyDescent="0.3">
      <c r="B16" s="1836"/>
      <c r="C16" s="92"/>
      <c r="D16" s="1978" t="s">
        <v>749</v>
      </c>
      <c r="E16" s="1979"/>
      <c r="F16" s="1979"/>
      <c r="G16" s="1979"/>
      <c r="H16" s="1979"/>
      <c r="I16" s="1979"/>
      <c r="J16" s="1979"/>
      <c r="K16" s="1979"/>
      <c r="L16" s="2011"/>
    </row>
    <row r="17" spans="2:12" ht="15.75" thickBot="1" x14ac:dyDescent="0.3">
      <c r="B17" s="1836"/>
      <c r="C17" s="90" t="s">
        <v>19</v>
      </c>
      <c r="D17" s="39" t="s">
        <v>253</v>
      </c>
      <c r="E17" s="39" t="s">
        <v>20</v>
      </c>
      <c r="F17" s="39" t="s">
        <v>21</v>
      </c>
      <c r="G17" s="39" t="s">
        <v>22</v>
      </c>
      <c r="H17" s="39" t="s">
        <v>23</v>
      </c>
      <c r="I17" s="39" t="s">
        <v>254</v>
      </c>
      <c r="J17" s="6"/>
      <c r="L17" s="22"/>
    </row>
    <row r="18" spans="2:12" ht="24.75" thickBot="1" x14ac:dyDescent="0.3">
      <c r="B18" s="1836"/>
      <c r="C18" s="91" t="s">
        <v>152</v>
      </c>
      <c r="D18" s="41" t="s">
        <v>762</v>
      </c>
      <c r="E18" s="995">
        <v>8</v>
      </c>
      <c r="F18" s="995">
        <v>13</v>
      </c>
      <c r="G18" s="995">
        <v>15</v>
      </c>
      <c r="H18" s="995">
        <v>13</v>
      </c>
      <c r="I18" s="151">
        <f>SUM(E18:H18)</f>
        <v>49</v>
      </c>
      <c r="J18" s="6"/>
      <c r="L18" s="22"/>
    </row>
    <row r="19" spans="2:12" x14ac:dyDescent="0.25">
      <c r="B19" s="1836"/>
      <c r="C19" s="92"/>
      <c r="D19" s="1843"/>
      <c r="E19" s="1844"/>
      <c r="F19" s="1844"/>
      <c r="G19" s="1844"/>
      <c r="H19" s="1844"/>
      <c r="I19" s="1844"/>
      <c r="J19" s="1844"/>
      <c r="K19" s="1844"/>
      <c r="L19" s="1897"/>
    </row>
    <row r="20" spans="2:12" ht="15.75" thickBot="1" x14ac:dyDescent="0.3">
      <c r="B20" s="436"/>
      <c r="C20" s="92"/>
      <c r="D20" s="1843" t="s">
        <v>763</v>
      </c>
      <c r="E20" s="1844"/>
      <c r="F20" s="1844"/>
      <c r="G20" s="1844"/>
      <c r="H20" s="1844"/>
      <c r="I20" s="1844"/>
      <c r="J20" s="1844"/>
      <c r="K20" s="1844"/>
      <c r="L20" s="1897"/>
    </row>
    <row r="21" spans="2:12" ht="15.75" thickBot="1" x14ac:dyDescent="0.3">
      <c r="B21" s="436"/>
      <c r="C21" s="1944" t="s">
        <v>19</v>
      </c>
      <c r="D21" s="1826" t="s">
        <v>270</v>
      </c>
      <c r="E21" s="1826" t="s">
        <v>619</v>
      </c>
      <c r="F21" s="2008" t="s">
        <v>620</v>
      </c>
      <c r="G21" s="2009"/>
      <c r="H21" s="2009"/>
      <c r="I21" s="2009"/>
      <c r="J21" s="2010"/>
      <c r="L21" s="22"/>
    </row>
    <row r="22" spans="2:12" ht="36.75" thickBot="1" x14ac:dyDescent="0.3">
      <c r="B22" s="436"/>
      <c r="C22" s="1945"/>
      <c r="D22" s="1828"/>
      <c r="E22" s="1828"/>
      <c r="F22" s="41" t="s">
        <v>621</v>
      </c>
      <c r="G22" s="41" t="s">
        <v>622</v>
      </c>
      <c r="H22" s="41" t="s">
        <v>623</v>
      </c>
      <c r="I22" s="41" t="s">
        <v>624</v>
      </c>
      <c r="J22" s="41" t="s">
        <v>55</v>
      </c>
      <c r="L22" s="22"/>
    </row>
    <row r="23" spans="2:12" s="757" customFormat="1" ht="60.75" thickBot="1" x14ac:dyDescent="0.3">
      <c r="B23" s="1118"/>
      <c r="C23" s="1149">
        <v>1</v>
      </c>
      <c r="D23" s="1140" t="s">
        <v>3142</v>
      </c>
      <c r="E23" s="1141" t="s">
        <v>3143</v>
      </c>
      <c r="F23" s="1151">
        <f>+G23*H23</f>
        <v>0.1</v>
      </c>
      <c r="G23" s="1151">
        <v>1</v>
      </c>
      <c r="H23" s="1151">
        <v>0.1</v>
      </c>
      <c r="I23" s="155">
        <f t="shared" ref="I23:I29" si="0">+G23*H23</f>
        <v>0.1</v>
      </c>
      <c r="J23" s="1119"/>
      <c r="L23" s="22"/>
    </row>
    <row r="24" spans="2:12" s="757" customFormat="1" ht="72.75" thickBot="1" x14ac:dyDescent="0.3">
      <c r="B24" s="1118"/>
      <c r="C24" s="1150">
        <v>2</v>
      </c>
      <c r="D24" s="1145" t="s">
        <v>2737</v>
      </c>
      <c r="E24" s="1146" t="s">
        <v>3144</v>
      </c>
      <c r="F24" s="1152">
        <f>+G24*H24</f>
        <v>0</v>
      </c>
      <c r="G24" s="1152">
        <v>0</v>
      </c>
      <c r="H24" s="1152">
        <v>0.03</v>
      </c>
      <c r="I24" s="155">
        <f t="shared" si="0"/>
        <v>0</v>
      </c>
      <c r="J24" s="1119"/>
      <c r="L24" s="22"/>
    </row>
    <row r="25" spans="2:12" s="757" customFormat="1" ht="48.75" thickBot="1" x14ac:dyDescent="0.3">
      <c r="B25" s="1118"/>
      <c r="C25" s="1150">
        <v>3</v>
      </c>
      <c r="D25" s="1145" t="s">
        <v>2738</v>
      </c>
      <c r="E25" s="1146" t="s">
        <v>3144</v>
      </c>
      <c r="F25" s="1152">
        <f>+G25*H25</f>
        <v>3.3500000000000002E-2</v>
      </c>
      <c r="G25" s="1152">
        <v>0.67</v>
      </c>
      <c r="H25" s="1152">
        <v>0.05</v>
      </c>
      <c r="I25" s="155">
        <f t="shared" si="0"/>
        <v>3.3500000000000002E-2</v>
      </c>
      <c r="J25" s="1119"/>
      <c r="L25" s="22"/>
    </row>
    <row r="26" spans="2:12" s="757" customFormat="1" ht="60.75" thickBot="1" x14ac:dyDescent="0.3">
      <c r="B26" s="1118"/>
      <c r="C26" s="1149">
        <v>4</v>
      </c>
      <c r="D26" s="1140" t="s">
        <v>3145</v>
      </c>
      <c r="E26" s="1141" t="s">
        <v>3143</v>
      </c>
      <c r="F26" s="1151">
        <f t="shared" ref="F26:F37" si="1">+G26*H26</f>
        <v>0.08</v>
      </c>
      <c r="G26" s="1151">
        <v>1</v>
      </c>
      <c r="H26" s="1151">
        <v>0.08</v>
      </c>
      <c r="I26" s="155">
        <f t="shared" si="0"/>
        <v>0.08</v>
      </c>
      <c r="J26" s="1119"/>
      <c r="L26" s="22"/>
    </row>
    <row r="27" spans="2:12" s="757" customFormat="1" ht="48.75" thickBot="1" x14ac:dyDescent="0.3">
      <c r="B27" s="1118"/>
      <c r="C27" s="1149">
        <v>5</v>
      </c>
      <c r="D27" s="1140" t="s">
        <v>3146</v>
      </c>
      <c r="E27" s="1141" t="s">
        <v>3143</v>
      </c>
      <c r="F27" s="1151">
        <f t="shared" si="1"/>
        <v>0.04</v>
      </c>
      <c r="G27" s="1151">
        <v>0.5</v>
      </c>
      <c r="H27" s="1151">
        <v>0.08</v>
      </c>
      <c r="I27" s="155">
        <f t="shared" si="0"/>
        <v>0.04</v>
      </c>
      <c r="J27" s="1119"/>
      <c r="L27" s="22"/>
    </row>
    <row r="28" spans="2:12" s="757" customFormat="1" ht="48.75" thickBot="1" x14ac:dyDescent="0.3">
      <c r="B28" s="1118"/>
      <c r="C28" s="1150">
        <v>6</v>
      </c>
      <c r="D28" s="1145" t="s">
        <v>2742</v>
      </c>
      <c r="E28" s="1146" t="s">
        <v>3147</v>
      </c>
      <c r="F28" s="1152">
        <f>+G28*H28</f>
        <v>0</v>
      </c>
      <c r="G28" s="1152">
        <v>0</v>
      </c>
      <c r="H28" s="1152">
        <v>0.05</v>
      </c>
      <c r="I28" s="155">
        <f t="shared" si="0"/>
        <v>0</v>
      </c>
      <c r="J28" s="1119"/>
      <c r="L28" s="22"/>
    </row>
    <row r="29" spans="2:12" s="757" customFormat="1" ht="48.75" thickBot="1" x14ac:dyDescent="0.3">
      <c r="B29" s="1118"/>
      <c r="C29" s="1149">
        <v>7</v>
      </c>
      <c r="D29" s="1140" t="s">
        <v>3148</v>
      </c>
      <c r="E29" s="1141" t="s">
        <v>3143</v>
      </c>
      <c r="F29" s="1151">
        <f t="shared" si="1"/>
        <v>0.05</v>
      </c>
      <c r="G29" s="1151">
        <v>1</v>
      </c>
      <c r="H29" s="1151">
        <v>0.05</v>
      </c>
      <c r="I29" s="155">
        <f t="shared" si="0"/>
        <v>0.05</v>
      </c>
      <c r="J29" s="1119"/>
      <c r="L29" s="22"/>
    </row>
    <row r="30" spans="2:12" ht="72.75" thickBot="1" x14ac:dyDescent="0.3">
      <c r="B30" s="436"/>
      <c r="C30" s="1150">
        <v>8</v>
      </c>
      <c r="D30" s="1145" t="s">
        <v>2743</v>
      </c>
      <c r="E30" s="1146" t="s">
        <v>3149</v>
      </c>
      <c r="F30" s="1152">
        <f t="shared" si="1"/>
        <v>0.08</v>
      </c>
      <c r="G30" s="1152">
        <v>1</v>
      </c>
      <c r="H30" s="1152">
        <v>0.08</v>
      </c>
      <c r="I30" s="155">
        <f>+G30*H30</f>
        <v>0.08</v>
      </c>
      <c r="J30" s="31"/>
      <c r="L30" s="22"/>
    </row>
    <row r="31" spans="2:12" s="757" customFormat="1" ht="72.75" thickBot="1" x14ac:dyDescent="0.3">
      <c r="B31" s="1118"/>
      <c r="C31" s="1149">
        <v>9</v>
      </c>
      <c r="D31" s="1148" t="s">
        <v>3150</v>
      </c>
      <c r="E31" s="1141" t="s">
        <v>3149</v>
      </c>
      <c r="F31" s="1151">
        <f t="shared" si="1"/>
        <v>0.08</v>
      </c>
      <c r="G31" s="1153">
        <v>1</v>
      </c>
      <c r="H31" s="1151">
        <v>0.08</v>
      </c>
      <c r="I31" s="155">
        <f t="shared" ref="I31:I37" si="2">+G31*H31</f>
        <v>0.08</v>
      </c>
      <c r="J31" s="31"/>
      <c r="L31" s="22"/>
    </row>
    <row r="32" spans="2:12" ht="96.75" thickBot="1" x14ac:dyDescent="0.3">
      <c r="B32" s="436"/>
      <c r="C32" s="1149">
        <v>10</v>
      </c>
      <c r="D32" s="1140" t="s">
        <v>3151</v>
      </c>
      <c r="E32" s="1141" t="s">
        <v>3152</v>
      </c>
      <c r="F32" s="1151">
        <f t="shared" si="1"/>
        <v>0.04</v>
      </c>
      <c r="G32" s="1151">
        <v>0.5</v>
      </c>
      <c r="H32" s="1151">
        <v>0.08</v>
      </c>
      <c r="I32" s="155">
        <f t="shared" si="2"/>
        <v>0.04</v>
      </c>
      <c r="J32" s="31"/>
      <c r="L32" s="22"/>
    </row>
    <row r="33" spans="2:12" ht="72.75" thickBot="1" x14ac:dyDescent="0.3">
      <c r="B33" s="436"/>
      <c r="C33" s="1149">
        <v>11</v>
      </c>
      <c r="D33" s="1140" t="s">
        <v>3153</v>
      </c>
      <c r="E33" s="1141" t="s">
        <v>3149</v>
      </c>
      <c r="F33" s="1151">
        <f t="shared" si="1"/>
        <v>0.08</v>
      </c>
      <c r="G33" s="1151">
        <v>1</v>
      </c>
      <c r="H33" s="1151">
        <v>0.08</v>
      </c>
      <c r="I33" s="155">
        <f t="shared" si="2"/>
        <v>0.08</v>
      </c>
      <c r="J33" s="31"/>
      <c r="L33" s="22"/>
    </row>
    <row r="34" spans="2:12" ht="60.75" thickBot="1" x14ac:dyDescent="0.3">
      <c r="B34" s="436"/>
      <c r="C34" s="1149">
        <v>12</v>
      </c>
      <c r="D34" s="1140" t="s">
        <v>3154</v>
      </c>
      <c r="E34" s="1141" t="s">
        <v>3155</v>
      </c>
      <c r="F34" s="1151">
        <f t="shared" si="1"/>
        <v>0</v>
      </c>
      <c r="G34" s="1151">
        <v>0</v>
      </c>
      <c r="H34" s="1151">
        <v>0.04</v>
      </c>
      <c r="I34" s="155">
        <f t="shared" si="2"/>
        <v>0</v>
      </c>
      <c r="J34" s="31"/>
      <c r="L34" s="22"/>
    </row>
    <row r="35" spans="2:12" ht="60.75" thickBot="1" x14ac:dyDescent="0.3">
      <c r="B35" s="436"/>
      <c r="C35" s="1150">
        <v>13</v>
      </c>
      <c r="D35" s="1145" t="s">
        <v>2750</v>
      </c>
      <c r="E35" s="1146" t="s">
        <v>3156</v>
      </c>
      <c r="F35" s="1152">
        <f>+G35*H35</f>
        <v>0</v>
      </c>
      <c r="G35" s="1152">
        <v>0</v>
      </c>
      <c r="H35" s="1152">
        <v>0.05</v>
      </c>
      <c r="I35" s="155">
        <f t="shared" si="2"/>
        <v>0</v>
      </c>
      <c r="J35" s="31"/>
      <c r="L35" s="22"/>
    </row>
    <row r="36" spans="2:12" ht="72.75" thickBot="1" x14ac:dyDescent="0.3">
      <c r="B36" s="436"/>
      <c r="C36" s="1150">
        <v>14</v>
      </c>
      <c r="D36" s="1145" t="s">
        <v>2749</v>
      </c>
      <c r="E36" s="1146" t="s">
        <v>3156</v>
      </c>
      <c r="F36" s="1152">
        <f>+G36*H36</f>
        <v>0</v>
      </c>
      <c r="G36" s="1152">
        <v>0</v>
      </c>
      <c r="H36" s="1152">
        <v>0.05</v>
      </c>
      <c r="I36" s="155">
        <f t="shared" si="2"/>
        <v>0</v>
      </c>
      <c r="J36" s="31"/>
      <c r="L36" s="22"/>
    </row>
    <row r="37" spans="2:12" ht="48.75" thickBot="1" x14ac:dyDescent="0.3">
      <c r="B37" s="436"/>
      <c r="C37" s="1150">
        <v>15</v>
      </c>
      <c r="D37" s="1145" t="s">
        <v>2748</v>
      </c>
      <c r="E37" s="1146" t="s">
        <v>3156</v>
      </c>
      <c r="F37" s="1152">
        <f t="shared" si="1"/>
        <v>0</v>
      </c>
      <c r="G37" s="1152">
        <v>0</v>
      </c>
      <c r="H37" s="1152">
        <v>0.1</v>
      </c>
      <c r="I37" s="155">
        <f t="shared" si="2"/>
        <v>0</v>
      </c>
      <c r="J37" s="31"/>
      <c r="L37" s="22"/>
    </row>
    <row r="38" spans="2:12" ht="15.75" thickBot="1" x14ac:dyDescent="0.3">
      <c r="B38" s="436"/>
      <c r="C38" s="94"/>
      <c r="D38" s="40"/>
      <c r="E38" s="40" t="s">
        <v>151</v>
      </c>
      <c r="F38" s="40"/>
      <c r="G38" s="40"/>
      <c r="H38" s="207" t="str">
        <f>Formulas!$D$23</f>
        <v>ERROR: LA SUMA DE LA COLUMNA DEBE SER 100%</v>
      </c>
      <c r="I38" s="155">
        <f>Formulas!$E$23</f>
        <v>0.58350000000000002</v>
      </c>
      <c r="J38" s="31"/>
      <c r="L38" s="22"/>
    </row>
    <row r="39" spans="2:12" x14ac:dyDescent="0.25">
      <c r="B39" s="436"/>
      <c r="C39" s="92"/>
      <c r="D39" s="1843" t="s">
        <v>627</v>
      </c>
      <c r="E39" s="1844"/>
      <c r="F39" s="1844"/>
      <c r="G39" s="1844"/>
      <c r="H39" s="1844"/>
      <c r="I39" s="1844"/>
      <c r="J39" s="1844"/>
      <c r="K39" s="1844"/>
      <c r="L39" s="1897"/>
    </row>
    <row r="40" spans="2:12" x14ac:dyDescent="0.25">
      <c r="B40" s="436"/>
      <c r="C40" s="92"/>
      <c r="D40" s="1840" t="s">
        <v>246</v>
      </c>
      <c r="E40" s="1841"/>
      <c r="F40" s="1841"/>
      <c r="G40" s="1841"/>
      <c r="H40" s="1841"/>
      <c r="I40" s="1841"/>
      <c r="J40" s="1841"/>
      <c r="K40" s="1841"/>
      <c r="L40" s="1898"/>
    </row>
    <row r="41" spans="2:12" ht="15.75" thickBot="1" x14ac:dyDescent="0.3">
      <c r="B41" s="436"/>
      <c r="C41" s="92"/>
      <c r="D41" s="1846" t="s">
        <v>764</v>
      </c>
      <c r="E41" s="1847"/>
      <c r="F41" s="1847"/>
      <c r="G41" s="1847"/>
      <c r="H41" s="1847"/>
      <c r="I41" s="1847"/>
      <c r="J41" s="1847"/>
      <c r="K41" s="1847"/>
      <c r="L41" s="2012"/>
    </row>
    <row r="42" spans="2:12" ht="15.75" thickBot="1" x14ac:dyDescent="0.3">
      <c r="B42" s="436"/>
      <c r="C42" s="1944" t="s">
        <v>19</v>
      </c>
      <c r="D42" s="1886" t="s">
        <v>270</v>
      </c>
      <c r="E42" s="1886" t="s">
        <v>619</v>
      </c>
      <c r="F42" s="2008" t="s">
        <v>690</v>
      </c>
      <c r="G42" s="2009"/>
      <c r="H42" s="2009"/>
      <c r="I42" s="2009"/>
      <c r="J42" s="2009"/>
      <c r="K42" s="2010"/>
      <c r="L42" s="119"/>
    </row>
    <row r="43" spans="2:12" ht="23.25" thickBot="1" x14ac:dyDescent="0.3">
      <c r="B43" s="436"/>
      <c r="C43" s="1945"/>
      <c r="D43" s="1887"/>
      <c r="E43" s="1887"/>
      <c r="F43" s="65" t="s">
        <v>765</v>
      </c>
      <c r="G43" s="66" t="s">
        <v>344</v>
      </c>
      <c r="H43" s="66" t="s">
        <v>274</v>
      </c>
      <c r="I43" s="66" t="s">
        <v>275</v>
      </c>
      <c r="J43" s="66" t="s">
        <v>766</v>
      </c>
      <c r="K43" s="66" t="s">
        <v>767</v>
      </c>
      <c r="L43" s="12"/>
    </row>
    <row r="44" spans="2:12" ht="60.75" thickBot="1" x14ac:dyDescent="0.3">
      <c r="B44" s="436"/>
      <c r="C44" s="1139">
        <v>1</v>
      </c>
      <c r="D44" s="1140" t="s">
        <v>3142</v>
      </c>
      <c r="E44" s="1141" t="s">
        <v>3143</v>
      </c>
      <c r="F44" s="1142">
        <v>46700298.909999996</v>
      </c>
      <c r="G44" s="1142">
        <v>50036034.57</v>
      </c>
      <c r="H44" s="1142">
        <v>24017297</v>
      </c>
      <c r="I44" s="1143">
        <v>6304509</v>
      </c>
      <c r="J44" s="150">
        <f>+H44/G44</f>
        <v>0.48000000812214644</v>
      </c>
      <c r="K44" s="150">
        <f>+I44/H44</f>
        <v>0.26249869000662313</v>
      </c>
      <c r="L44" s="12"/>
    </row>
    <row r="45" spans="2:12" ht="72.75" thickBot="1" x14ac:dyDescent="0.3">
      <c r="B45" s="436"/>
      <c r="C45" s="1144">
        <v>2</v>
      </c>
      <c r="D45" s="1145" t="s">
        <v>2737</v>
      </c>
      <c r="E45" s="1146" t="s">
        <v>3144</v>
      </c>
      <c r="F45" s="1142">
        <v>46700298.909999996</v>
      </c>
      <c r="G45" s="1142">
        <v>50036034.57</v>
      </c>
      <c r="H45" s="1142">
        <v>24017297</v>
      </c>
      <c r="I45" s="1143">
        <v>6304509</v>
      </c>
      <c r="J45" s="150">
        <f t="shared" ref="J45:J59" si="3">+H45/G45</f>
        <v>0.48000000812214644</v>
      </c>
      <c r="K45" s="150">
        <f t="shared" ref="K45:K59" si="4">+I45/H45</f>
        <v>0.26249869000662313</v>
      </c>
      <c r="L45" s="12"/>
    </row>
    <row r="46" spans="2:12" ht="48.75" thickBot="1" x14ac:dyDescent="0.3">
      <c r="B46" s="436"/>
      <c r="C46" s="1144">
        <v>3</v>
      </c>
      <c r="D46" s="1145" t="s">
        <v>2738</v>
      </c>
      <c r="E46" s="1146" t="s">
        <v>3144</v>
      </c>
      <c r="F46" s="1142">
        <v>46700298.909999996</v>
      </c>
      <c r="G46" s="1142">
        <v>50036034.57</v>
      </c>
      <c r="H46" s="1142">
        <v>24017297</v>
      </c>
      <c r="I46" s="1143">
        <v>6304509</v>
      </c>
      <c r="J46" s="150">
        <f t="shared" si="3"/>
        <v>0.48000000812214644</v>
      </c>
      <c r="K46" s="150">
        <f t="shared" si="4"/>
        <v>0.26249869000662313</v>
      </c>
      <c r="L46" s="12"/>
    </row>
    <row r="47" spans="2:12" ht="60.75" thickBot="1" x14ac:dyDescent="0.3">
      <c r="B47" s="436"/>
      <c r="C47" s="1147">
        <v>5</v>
      </c>
      <c r="D47" s="1140" t="s">
        <v>3145</v>
      </c>
      <c r="E47" s="1141" t="s">
        <v>3143</v>
      </c>
      <c r="F47" s="1142">
        <v>46700298.909999996</v>
      </c>
      <c r="G47" s="1142">
        <v>50036034.57</v>
      </c>
      <c r="H47" s="1142">
        <v>24017297</v>
      </c>
      <c r="I47" s="1143">
        <v>6304509</v>
      </c>
      <c r="J47" s="150">
        <f t="shared" si="3"/>
        <v>0.48000000812214644</v>
      </c>
      <c r="K47" s="150">
        <f t="shared" si="4"/>
        <v>0.26249869000662313</v>
      </c>
      <c r="L47" s="12"/>
    </row>
    <row r="48" spans="2:12" ht="48.75" thickBot="1" x14ac:dyDescent="0.3">
      <c r="B48" s="436"/>
      <c r="C48" s="1147">
        <v>4</v>
      </c>
      <c r="D48" s="1140" t="s">
        <v>3146</v>
      </c>
      <c r="E48" s="1141" t="s">
        <v>3143</v>
      </c>
      <c r="F48" s="1142">
        <v>46700298.909999996</v>
      </c>
      <c r="G48" s="1142">
        <v>50036034.57</v>
      </c>
      <c r="H48" s="1142">
        <v>24017297</v>
      </c>
      <c r="I48" s="1143">
        <v>6304509</v>
      </c>
      <c r="J48" s="150">
        <f t="shared" si="3"/>
        <v>0.48000000812214644</v>
      </c>
      <c r="K48" s="150">
        <f t="shared" si="4"/>
        <v>0.26249869000662313</v>
      </c>
      <c r="L48" s="12"/>
    </row>
    <row r="49" spans="2:12" ht="48.75" thickBot="1" x14ac:dyDescent="0.3">
      <c r="B49" s="436"/>
      <c r="C49" s="1144">
        <v>6</v>
      </c>
      <c r="D49" s="1145" t="s">
        <v>2742</v>
      </c>
      <c r="E49" s="1146" t="s">
        <v>3147</v>
      </c>
      <c r="F49" s="1142">
        <v>46700298.909999996</v>
      </c>
      <c r="G49" s="1142">
        <v>50036034.57</v>
      </c>
      <c r="H49" s="1142">
        <v>24017297</v>
      </c>
      <c r="I49" s="1143">
        <v>6304509</v>
      </c>
      <c r="J49" s="150">
        <f t="shared" si="3"/>
        <v>0.48000000812214644</v>
      </c>
      <c r="K49" s="150">
        <f t="shared" si="4"/>
        <v>0.26249869000662313</v>
      </c>
      <c r="L49" s="12"/>
    </row>
    <row r="50" spans="2:12" s="757" customFormat="1" ht="48.75" thickBot="1" x14ac:dyDescent="0.3">
      <c r="B50" s="1118"/>
      <c r="C50" s="1147">
        <v>7</v>
      </c>
      <c r="D50" s="1140" t="s">
        <v>3148</v>
      </c>
      <c r="E50" s="1141" t="s">
        <v>3143</v>
      </c>
      <c r="F50" s="1142">
        <v>46700298.909999996</v>
      </c>
      <c r="G50" s="1142">
        <v>50036034.57</v>
      </c>
      <c r="H50" s="1142">
        <v>24017297</v>
      </c>
      <c r="I50" s="1143">
        <v>6304509</v>
      </c>
      <c r="J50" s="150"/>
      <c r="K50" s="150"/>
      <c r="L50" s="12"/>
    </row>
    <row r="51" spans="2:12" s="757" customFormat="1" ht="72.75" thickBot="1" x14ac:dyDescent="0.3">
      <c r="B51" s="1118"/>
      <c r="C51" s="1144">
        <v>8</v>
      </c>
      <c r="D51" s="1145" t="s">
        <v>2743</v>
      </c>
      <c r="E51" s="1146" t="s">
        <v>3149</v>
      </c>
      <c r="F51" s="1142">
        <v>46700298.909999996</v>
      </c>
      <c r="G51" s="1142">
        <v>50036034.57</v>
      </c>
      <c r="H51" s="1142">
        <v>24017297</v>
      </c>
      <c r="I51" s="1143">
        <v>6304509</v>
      </c>
      <c r="J51" s="150"/>
      <c r="K51" s="150"/>
      <c r="L51" s="12"/>
    </row>
    <row r="52" spans="2:12" s="757" customFormat="1" ht="72.75" thickBot="1" x14ac:dyDescent="0.3">
      <c r="B52" s="1118"/>
      <c r="C52" s="1147">
        <v>9</v>
      </c>
      <c r="D52" s="1148" t="s">
        <v>3150</v>
      </c>
      <c r="E52" s="1141" t="s">
        <v>3149</v>
      </c>
      <c r="F52" s="1142">
        <v>46700298.909999996</v>
      </c>
      <c r="G52" s="1142">
        <v>50036034.57</v>
      </c>
      <c r="H52" s="1142">
        <v>24017297</v>
      </c>
      <c r="I52" s="1143">
        <v>6304509</v>
      </c>
      <c r="J52" s="150"/>
      <c r="K52" s="150"/>
      <c r="L52" s="12"/>
    </row>
    <row r="53" spans="2:12" s="757" customFormat="1" ht="96.75" thickBot="1" x14ac:dyDescent="0.3">
      <c r="B53" s="1118"/>
      <c r="C53" s="1149">
        <v>10</v>
      </c>
      <c r="D53" s="1140" t="s">
        <v>3151</v>
      </c>
      <c r="E53" s="1141" t="s">
        <v>3152</v>
      </c>
      <c r="F53" s="1142">
        <v>46700298.909999996</v>
      </c>
      <c r="G53" s="1142">
        <v>50036034.57</v>
      </c>
      <c r="H53" s="1142">
        <v>24017297</v>
      </c>
      <c r="I53" s="1143">
        <v>6304509</v>
      </c>
      <c r="J53" s="150"/>
      <c r="K53" s="150"/>
      <c r="L53" s="12"/>
    </row>
    <row r="54" spans="2:12" s="757" customFormat="1" ht="72.75" thickBot="1" x14ac:dyDescent="0.3">
      <c r="B54" s="1118"/>
      <c r="C54" s="1149">
        <v>11</v>
      </c>
      <c r="D54" s="1140" t="s">
        <v>3153</v>
      </c>
      <c r="E54" s="1141" t="s">
        <v>3149</v>
      </c>
      <c r="F54" s="1142">
        <v>46700298.909999996</v>
      </c>
      <c r="G54" s="1142">
        <v>50036034.57</v>
      </c>
      <c r="H54" s="1142">
        <v>24017297</v>
      </c>
      <c r="I54" s="1143">
        <v>6304509</v>
      </c>
      <c r="J54" s="150"/>
      <c r="K54" s="150"/>
      <c r="L54" s="12"/>
    </row>
    <row r="55" spans="2:12" s="757" customFormat="1" ht="60.75" thickBot="1" x14ac:dyDescent="0.3">
      <c r="B55" s="1118"/>
      <c r="C55" s="1149">
        <v>12</v>
      </c>
      <c r="D55" s="1140" t="s">
        <v>3154</v>
      </c>
      <c r="E55" s="1141" t="s">
        <v>3155</v>
      </c>
      <c r="F55" s="1142">
        <v>46700298.909999996</v>
      </c>
      <c r="G55" s="1142">
        <v>50036034.57</v>
      </c>
      <c r="H55" s="1142">
        <v>24017297</v>
      </c>
      <c r="I55" s="1143">
        <v>6304509</v>
      </c>
      <c r="J55" s="150"/>
      <c r="K55" s="150"/>
      <c r="L55" s="12"/>
    </row>
    <row r="56" spans="2:12" s="757" customFormat="1" ht="60.75" thickBot="1" x14ac:dyDescent="0.3">
      <c r="B56" s="1118"/>
      <c r="C56" s="1150">
        <v>13</v>
      </c>
      <c r="D56" s="1145" t="s">
        <v>2750</v>
      </c>
      <c r="E56" s="1146" t="s">
        <v>3156</v>
      </c>
      <c r="F56" s="1142">
        <v>46700298.909999996</v>
      </c>
      <c r="G56" s="1142"/>
      <c r="H56" s="1142"/>
      <c r="I56" s="1143"/>
      <c r="J56" s="150"/>
      <c r="K56" s="150"/>
      <c r="L56" s="12"/>
    </row>
    <row r="57" spans="2:12" s="757" customFormat="1" ht="72.75" thickBot="1" x14ac:dyDescent="0.3">
      <c r="B57" s="1118"/>
      <c r="C57" s="1150">
        <v>14</v>
      </c>
      <c r="D57" s="1145" t="s">
        <v>2749</v>
      </c>
      <c r="E57" s="1146" t="s">
        <v>3156</v>
      </c>
      <c r="F57" s="1142">
        <v>46700298.909999996</v>
      </c>
      <c r="G57" s="1142">
        <v>50036034.57</v>
      </c>
      <c r="H57" s="1142">
        <v>24017297</v>
      </c>
      <c r="I57" s="1143">
        <v>6304509</v>
      </c>
      <c r="J57" s="150"/>
      <c r="K57" s="150"/>
      <c r="L57" s="12"/>
    </row>
    <row r="58" spans="2:12" ht="48.75" thickBot="1" x14ac:dyDescent="0.3">
      <c r="B58" s="436"/>
      <c r="C58" s="1150">
        <v>15</v>
      </c>
      <c r="D58" s="1145" t="s">
        <v>2748</v>
      </c>
      <c r="E58" s="1146" t="s">
        <v>3156</v>
      </c>
      <c r="F58" s="1142">
        <v>46700298.909999996</v>
      </c>
      <c r="G58" s="1142">
        <v>50036034.57</v>
      </c>
      <c r="H58" s="1142">
        <v>24017297</v>
      </c>
      <c r="I58" s="1143">
        <v>6304509</v>
      </c>
      <c r="J58" s="150">
        <f t="shared" si="3"/>
        <v>0.48000000812214644</v>
      </c>
      <c r="K58" s="150">
        <f t="shared" si="4"/>
        <v>0.26249869000662313</v>
      </c>
      <c r="L58" s="12"/>
    </row>
    <row r="59" spans="2:12" ht="15.75" thickBot="1" x14ac:dyDescent="0.3">
      <c r="B59" s="436"/>
      <c r="C59" s="101"/>
      <c r="D59" s="2"/>
      <c r="E59" s="45" t="s">
        <v>151</v>
      </c>
      <c r="F59" s="2"/>
      <c r="G59" s="142">
        <f>SUM(G44:G58)</f>
        <v>700504483.98000014</v>
      </c>
      <c r="H59" s="142">
        <f>SUM(H44:H58)</f>
        <v>336242158</v>
      </c>
      <c r="I59" s="142">
        <f>SUM(I44:I58)</f>
        <v>88263126</v>
      </c>
      <c r="J59" s="150">
        <f t="shared" si="3"/>
        <v>0.48000000812214633</v>
      </c>
      <c r="K59" s="150">
        <f t="shared" si="4"/>
        <v>0.26249869000662313</v>
      </c>
      <c r="L59" s="120"/>
    </row>
    <row r="60" spans="2:12" ht="15.75" thickBot="1" x14ac:dyDescent="0.3">
      <c r="B60" s="437"/>
      <c r="C60" s="93"/>
      <c r="D60" s="1881" t="s">
        <v>627</v>
      </c>
      <c r="E60" s="1882"/>
      <c r="F60" s="1882"/>
      <c r="G60" s="1882"/>
      <c r="H60" s="1882"/>
      <c r="I60" s="1882"/>
      <c r="J60" s="1882"/>
      <c r="K60" s="1882"/>
      <c r="L60" s="1899"/>
    </row>
    <row r="61" spans="2:12" ht="15.75" thickBot="1" x14ac:dyDescent="0.3">
      <c r="B61" s="38"/>
      <c r="C61" s="88"/>
      <c r="D61" s="6"/>
      <c r="E61" s="6"/>
      <c r="F61" s="6"/>
      <c r="G61" s="6"/>
      <c r="H61" s="6"/>
      <c r="I61" s="6"/>
      <c r="J61" s="6"/>
      <c r="K61" s="6"/>
    </row>
    <row r="62" spans="2:12" ht="72.75" thickBot="1" x14ac:dyDescent="0.3">
      <c r="B62" s="52" t="s">
        <v>34</v>
      </c>
      <c r="C62" s="98"/>
      <c r="D62" s="43" t="s">
        <v>768</v>
      </c>
      <c r="E62" s="6"/>
      <c r="F62" s="6"/>
      <c r="G62" s="6"/>
      <c r="H62" s="6"/>
      <c r="I62" s="6"/>
      <c r="J62" s="6"/>
      <c r="K62" s="6"/>
    </row>
    <row r="63" spans="2:12" ht="60.75" thickBot="1" x14ac:dyDescent="0.3">
      <c r="B63" s="52" t="s">
        <v>36</v>
      </c>
      <c r="C63" s="214"/>
      <c r="D63" s="52" t="s">
        <v>346</v>
      </c>
      <c r="E63" s="6"/>
      <c r="F63" s="6"/>
      <c r="G63" s="6"/>
      <c r="H63" s="6"/>
      <c r="I63" s="6"/>
      <c r="J63" s="6"/>
      <c r="K63" s="6"/>
    </row>
    <row r="64" spans="2:12" ht="15.75" thickBot="1" x14ac:dyDescent="0.3">
      <c r="B64" s="2"/>
      <c r="C64" s="76"/>
      <c r="D64" s="6"/>
      <c r="E64" s="6"/>
      <c r="F64" s="6"/>
      <c r="G64" s="6"/>
      <c r="H64" s="6"/>
      <c r="I64" s="6"/>
      <c r="J64" s="6"/>
      <c r="K64" s="6"/>
    </row>
    <row r="65" spans="2:11" ht="24" customHeight="1" thickBot="1" x14ac:dyDescent="0.3">
      <c r="B65" s="1829" t="s">
        <v>38</v>
      </c>
      <c r="C65" s="1830"/>
      <c r="D65" s="1830"/>
      <c r="E65" s="1831"/>
      <c r="F65" s="6"/>
      <c r="G65" s="6"/>
      <c r="H65" s="6"/>
      <c r="I65" s="6"/>
      <c r="J65" s="6"/>
      <c r="K65" s="6"/>
    </row>
    <row r="66" spans="2:11" ht="15.75" thickBot="1" x14ac:dyDescent="0.3">
      <c r="B66" s="1826">
        <v>1</v>
      </c>
      <c r="C66" s="94"/>
      <c r="D66" s="48" t="s">
        <v>39</v>
      </c>
      <c r="E66" s="1137" t="s">
        <v>3077</v>
      </c>
      <c r="F66" s="6"/>
      <c r="G66" s="6"/>
      <c r="H66" s="6"/>
      <c r="I66" s="6"/>
      <c r="J66" s="6"/>
      <c r="K66" s="6"/>
    </row>
    <row r="67" spans="2:11" ht="15.75" thickBot="1" x14ac:dyDescent="0.3">
      <c r="B67" s="1827"/>
      <c r="C67" s="94"/>
      <c r="D67" s="41" t="s">
        <v>40</v>
      </c>
      <c r="E67" s="1137" t="s">
        <v>3137</v>
      </c>
      <c r="F67" s="6"/>
      <c r="G67" s="6"/>
      <c r="H67" s="6"/>
      <c r="I67" s="6"/>
      <c r="J67" s="6"/>
      <c r="K67" s="6"/>
    </row>
    <row r="68" spans="2:11" ht="15.75" thickBot="1" x14ac:dyDescent="0.3">
      <c r="B68" s="1827"/>
      <c r="C68" s="94"/>
      <c r="D68" s="41" t="s">
        <v>41</v>
      </c>
      <c r="E68" s="1137" t="s">
        <v>3138</v>
      </c>
      <c r="F68" s="6"/>
      <c r="G68" s="6"/>
      <c r="H68" s="6"/>
      <c r="I68" s="6"/>
      <c r="J68" s="6"/>
      <c r="K68" s="6"/>
    </row>
    <row r="69" spans="2:11" ht="24.75" thickBot="1" x14ac:dyDescent="0.3">
      <c r="B69" s="1827"/>
      <c r="C69" s="94"/>
      <c r="D69" s="41" t="s">
        <v>42</v>
      </c>
      <c r="E69" s="1137" t="s">
        <v>3139</v>
      </c>
      <c r="F69" s="6"/>
      <c r="G69" s="6"/>
      <c r="H69" s="6"/>
      <c r="I69" s="6"/>
      <c r="J69" s="6"/>
      <c r="K69" s="6"/>
    </row>
    <row r="70" spans="2:11" ht="15.75" thickBot="1" x14ac:dyDescent="0.3">
      <c r="B70" s="1827"/>
      <c r="C70" s="94"/>
      <c r="D70" s="41" t="s">
        <v>43</v>
      </c>
      <c r="E70" s="1138" t="s">
        <v>3140</v>
      </c>
      <c r="F70" s="6"/>
      <c r="G70" s="6"/>
      <c r="H70" s="6"/>
      <c r="I70" s="6"/>
      <c r="J70" s="6"/>
      <c r="K70" s="6"/>
    </row>
    <row r="71" spans="2:11" ht="15.75" thickBot="1" x14ac:dyDescent="0.3">
      <c r="B71" s="1827"/>
      <c r="C71" s="94"/>
      <c r="D71" s="41" t="s">
        <v>44</v>
      </c>
      <c r="E71" s="1137"/>
      <c r="F71" s="6"/>
      <c r="G71" s="6"/>
      <c r="H71" s="6"/>
      <c r="I71" s="6"/>
      <c r="J71" s="6"/>
      <c r="K71" s="6"/>
    </row>
    <row r="72" spans="2:11" ht="15.75" thickBot="1" x14ac:dyDescent="0.3">
      <c r="B72" s="1828"/>
      <c r="C72" s="3"/>
      <c r="D72" s="41" t="s">
        <v>45</v>
      </c>
      <c r="E72" s="1137" t="s">
        <v>3141</v>
      </c>
      <c r="F72" s="6"/>
      <c r="G72" s="6"/>
      <c r="H72" s="6"/>
      <c r="I72" s="6"/>
      <c r="J72" s="6"/>
      <c r="K72" s="6"/>
    </row>
    <row r="73" spans="2:11" ht="15.75" thickBot="1" x14ac:dyDescent="0.3">
      <c r="B73" s="2"/>
      <c r="C73" s="76"/>
      <c r="D73" s="6"/>
      <c r="E73" s="6"/>
      <c r="F73" s="6"/>
      <c r="G73" s="6"/>
      <c r="H73" s="6"/>
      <c r="I73" s="6"/>
      <c r="J73" s="6"/>
      <c r="K73" s="6"/>
    </row>
    <row r="74" spans="2:11" ht="15.75" thickBot="1" x14ac:dyDescent="0.3">
      <c r="B74" s="1829" t="s">
        <v>46</v>
      </c>
      <c r="C74" s="1830"/>
      <c r="D74" s="1830"/>
      <c r="E74" s="1831"/>
      <c r="F74" s="6"/>
      <c r="G74" s="6"/>
      <c r="H74" s="6"/>
      <c r="I74" s="6"/>
      <c r="J74" s="6"/>
      <c r="K74" s="6"/>
    </row>
    <row r="75" spans="2:11" ht="15.75" thickBot="1" x14ac:dyDescent="0.3">
      <c r="B75" s="1826">
        <v>1</v>
      </c>
      <c r="C75" s="94"/>
      <c r="D75" s="48" t="s">
        <v>39</v>
      </c>
      <c r="E75" s="132" t="s">
        <v>47</v>
      </c>
      <c r="F75" s="6"/>
      <c r="G75" s="6"/>
      <c r="H75" s="6"/>
      <c r="I75" s="6"/>
      <c r="J75" s="6"/>
      <c r="K75" s="6"/>
    </row>
    <row r="76" spans="2:11" ht="15.75" thickBot="1" x14ac:dyDescent="0.3">
      <c r="B76" s="1827"/>
      <c r="C76" s="94"/>
      <c r="D76" s="41" t="s">
        <v>40</v>
      </c>
      <c r="E76" s="174" t="s">
        <v>160</v>
      </c>
      <c r="F76" s="6"/>
      <c r="G76" s="6"/>
      <c r="H76" s="6"/>
      <c r="I76" s="6"/>
      <c r="J76" s="6"/>
      <c r="K76" s="6"/>
    </row>
    <row r="77" spans="2:11" ht="15.75" thickBot="1" x14ac:dyDescent="0.3">
      <c r="B77" s="1827"/>
      <c r="C77" s="94"/>
      <c r="D77" s="41" t="s">
        <v>41</v>
      </c>
      <c r="E77" s="175"/>
      <c r="F77" s="6"/>
      <c r="G77" s="6"/>
      <c r="H77" s="6"/>
      <c r="I77" s="6"/>
      <c r="J77" s="6"/>
      <c r="K77" s="6"/>
    </row>
    <row r="78" spans="2:11" ht="15.75" thickBot="1" x14ac:dyDescent="0.3">
      <c r="B78" s="1827"/>
      <c r="C78" s="94"/>
      <c r="D78" s="41" t="s">
        <v>42</v>
      </c>
      <c r="E78" s="175"/>
      <c r="F78" s="6"/>
      <c r="G78" s="6"/>
      <c r="H78" s="6"/>
      <c r="I78" s="6"/>
      <c r="J78" s="6"/>
      <c r="K78" s="6"/>
    </row>
    <row r="79" spans="2:11" ht="15.75" thickBot="1" x14ac:dyDescent="0.3">
      <c r="B79" s="1827"/>
      <c r="C79" s="94"/>
      <c r="D79" s="41" t="s">
        <v>43</v>
      </c>
      <c r="E79" s="175"/>
      <c r="F79" s="6"/>
      <c r="G79" s="6"/>
      <c r="H79" s="6"/>
      <c r="I79" s="6"/>
      <c r="J79" s="6"/>
      <c r="K79" s="6"/>
    </row>
    <row r="80" spans="2:11" ht="15.75" thickBot="1" x14ac:dyDescent="0.3">
      <c r="B80" s="1827"/>
      <c r="C80" s="94"/>
      <c r="D80" s="41" t="s">
        <v>44</v>
      </c>
      <c r="E80" s="175"/>
      <c r="F80" s="6"/>
      <c r="G80" s="6"/>
      <c r="H80" s="6"/>
      <c r="I80" s="6"/>
      <c r="J80" s="6"/>
      <c r="K80" s="6"/>
    </row>
    <row r="81" spans="2:11" ht="15.75" thickBot="1" x14ac:dyDescent="0.3">
      <c r="B81" s="1828"/>
      <c r="C81" s="3"/>
      <c r="D81" s="41" t="s">
        <v>45</v>
      </c>
      <c r="E81" s="175"/>
      <c r="F81" s="6"/>
      <c r="G81" s="6"/>
      <c r="H81" s="6"/>
      <c r="I81" s="6"/>
      <c r="J81" s="6"/>
      <c r="K81" s="6"/>
    </row>
    <row r="82" spans="2:11" ht="15.75" thickBot="1" x14ac:dyDescent="0.3">
      <c r="B82" s="2"/>
      <c r="C82" s="76"/>
      <c r="D82" s="6"/>
      <c r="E82" s="6"/>
      <c r="F82" s="6"/>
      <c r="G82" s="6"/>
      <c r="H82" s="6"/>
      <c r="I82" s="6"/>
      <c r="J82" s="6"/>
      <c r="K82" s="6"/>
    </row>
    <row r="83" spans="2:11" ht="15" customHeight="1" thickBot="1" x14ac:dyDescent="0.3">
      <c r="B83" s="125" t="s">
        <v>49</v>
      </c>
      <c r="C83" s="126"/>
      <c r="D83" s="126"/>
      <c r="E83" s="127"/>
      <c r="G83" s="6"/>
      <c r="H83" s="6"/>
      <c r="I83" s="6"/>
      <c r="J83" s="6"/>
      <c r="K83" s="6"/>
    </row>
    <row r="84" spans="2:11" ht="24.75" thickBot="1" x14ac:dyDescent="0.3">
      <c r="B84" s="47" t="s">
        <v>50</v>
      </c>
      <c r="C84" s="41" t="s">
        <v>51</v>
      </c>
      <c r="D84" s="41" t="s">
        <v>52</v>
      </c>
      <c r="E84" s="41" t="s">
        <v>53</v>
      </c>
      <c r="F84" s="6"/>
      <c r="G84" s="6"/>
      <c r="H84" s="6"/>
      <c r="I84" s="6"/>
      <c r="J84" s="6"/>
    </row>
    <row r="85" spans="2:11" ht="72.75" thickBot="1" x14ac:dyDescent="0.3">
      <c r="B85" s="49">
        <v>42401</v>
      </c>
      <c r="C85" s="41">
        <v>1</v>
      </c>
      <c r="D85" s="41" t="s">
        <v>769</v>
      </c>
      <c r="E85" s="41"/>
      <c r="F85" s="6"/>
      <c r="G85" s="6"/>
      <c r="H85" s="6"/>
      <c r="I85" s="6"/>
      <c r="J85" s="6"/>
    </row>
    <row r="86" spans="2:11" ht="15.75" thickBot="1" x14ac:dyDescent="0.3">
      <c r="B86" s="4"/>
      <c r="C86" s="95"/>
      <c r="D86" s="6"/>
      <c r="E86" s="6"/>
      <c r="F86" s="6"/>
      <c r="G86" s="6"/>
      <c r="H86" s="6"/>
      <c r="I86" s="6"/>
      <c r="J86" s="6"/>
      <c r="K86" s="6"/>
    </row>
    <row r="87" spans="2:11" ht="15.75" thickBot="1" x14ac:dyDescent="0.3">
      <c r="B87" s="195" t="s">
        <v>55</v>
      </c>
      <c r="C87" s="96"/>
      <c r="D87" s="6"/>
      <c r="E87" s="6"/>
      <c r="F87" s="6"/>
      <c r="G87" s="6"/>
      <c r="H87" s="6"/>
      <c r="I87" s="6"/>
      <c r="J87" s="6"/>
      <c r="K87" s="6"/>
    </row>
    <row r="88" spans="2:11" x14ac:dyDescent="0.25">
      <c r="B88" s="2002"/>
      <c r="C88" s="2003"/>
      <c r="D88" s="2003"/>
      <c r="E88" s="2004"/>
      <c r="F88" s="6"/>
      <c r="G88" s="6"/>
      <c r="H88" s="6"/>
      <c r="I88" s="6"/>
      <c r="J88" s="6"/>
      <c r="K88" s="6"/>
    </row>
    <row r="89" spans="2:11" ht="15.75" thickBot="1" x14ac:dyDescent="0.3">
      <c r="B89" s="2005"/>
      <c r="C89" s="2006"/>
      <c r="D89" s="2006"/>
      <c r="E89" s="2007"/>
      <c r="F89" s="6"/>
      <c r="G89" s="6"/>
      <c r="H89" s="6"/>
      <c r="I89" s="6"/>
      <c r="J89" s="6"/>
      <c r="K89" s="6"/>
    </row>
    <row r="90" spans="2:11" ht="15.75" thickBot="1" x14ac:dyDescent="0.3">
      <c r="B90" s="6"/>
      <c r="D90" s="6"/>
      <c r="E90" s="6"/>
      <c r="F90" s="6"/>
      <c r="G90" s="6"/>
      <c r="H90" s="6"/>
      <c r="I90" s="6"/>
      <c r="J90" s="6"/>
      <c r="K90" s="6"/>
    </row>
    <row r="91" spans="2:11" ht="15.75" thickBot="1" x14ac:dyDescent="0.3">
      <c r="B91" s="1829" t="s">
        <v>56</v>
      </c>
      <c r="C91" s="1830"/>
      <c r="D91" s="1831"/>
      <c r="E91" s="6"/>
      <c r="F91" s="6"/>
      <c r="G91" s="6"/>
      <c r="H91" s="6"/>
      <c r="I91" s="6"/>
      <c r="J91" s="6"/>
      <c r="K91" s="6"/>
    </row>
    <row r="92" spans="2:11" ht="60.75" thickBot="1" x14ac:dyDescent="0.3">
      <c r="B92" s="47" t="s">
        <v>57</v>
      </c>
      <c r="C92" s="3"/>
      <c r="D92" s="41" t="s">
        <v>701</v>
      </c>
      <c r="E92" s="6"/>
      <c r="F92" s="6"/>
      <c r="G92" s="6"/>
      <c r="H92" s="6"/>
      <c r="I92" s="6"/>
      <c r="J92" s="6"/>
      <c r="K92" s="6"/>
    </row>
    <row r="93" spans="2:11" x14ac:dyDescent="0.25">
      <c r="B93" s="1826" t="s">
        <v>59</v>
      </c>
      <c r="C93" s="94"/>
      <c r="D93" s="53" t="s">
        <v>60</v>
      </c>
      <c r="E93" s="6"/>
      <c r="F93" s="6"/>
      <c r="G93" s="6"/>
      <c r="H93" s="6"/>
      <c r="I93" s="6"/>
      <c r="J93" s="6"/>
      <c r="K93" s="6"/>
    </row>
    <row r="94" spans="2:11" ht="96" x14ac:dyDescent="0.25">
      <c r="B94" s="1827"/>
      <c r="C94" s="94"/>
      <c r="D94" s="46" t="s">
        <v>702</v>
      </c>
      <c r="E94" s="6"/>
      <c r="F94" s="6"/>
      <c r="G94" s="6"/>
      <c r="H94" s="6"/>
      <c r="I94" s="6"/>
      <c r="J94" s="6"/>
      <c r="K94" s="6"/>
    </row>
    <row r="95" spans="2:11" x14ac:dyDescent="0.25">
      <c r="B95" s="1827"/>
      <c r="C95" s="94"/>
      <c r="D95" s="53" t="s">
        <v>63</v>
      </c>
      <c r="E95" s="6"/>
      <c r="F95" s="6"/>
      <c r="G95" s="6"/>
      <c r="H95" s="6"/>
      <c r="I95" s="6"/>
      <c r="J95" s="6"/>
      <c r="K95" s="6"/>
    </row>
    <row r="96" spans="2:11" x14ac:dyDescent="0.25">
      <c r="B96" s="1827"/>
      <c r="C96" s="94"/>
      <c r="D96" s="46" t="s">
        <v>64</v>
      </c>
      <c r="E96" s="6"/>
      <c r="F96" s="6"/>
      <c r="G96" s="6"/>
      <c r="H96" s="6"/>
      <c r="I96" s="6"/>
      <c r="J96" s="6"/>
      <c r="K96" s="6"/>
    </row>
    <row r="97" spans="2:11" x14ac:dyDescent="0.25">
      <c r="B97" s="1827"/>
      <c r="C97" s="94"/>
      <c r="D97" s="46" t="s">
        <v>703</v>
      </c>
      <c r="E97" s="6"/>
      <c r="F97" s="6"/>
      <c r="G97" s="6"/>
      <c r="H97" s="6"/>
      <c r="I97" s="6"/>
      <c r="J97" s="6"/>
      <c r="K97" s="6"/>
    </row>
    <row r="98" spans="2:11" x14ac:dyDescent="0.25">
      <c r="B98" s="1827"/>
      <c r="C98" s="94"/>
      <c r="D98" s="46" t="s">
        <v>65</v>
      </c>
      <c r="E98" s="6"/>
      <c r="F98" s="6"/>
      <c r="G98" s="6"/>
      <c r="H98" s="6"/>
      <c r="I98" s="6"/>
      <c r="J98" s="6"/>
      <c r="K98" s="6"/>
    </row>
    <row r="99" spans="2:11" x14ac:dyDescent="0.25">
      <c r="B99" s="1827"/>
      <c r="C99" s="94"/>
      <c r="D99" s="46" t="s">
        <v>704</v>
      </c>
      <c r="E99" s="6"/>
      <c r="F99" s="6"/>
      <c r="G99" s="6"/>
      <c r="H99" s="6"/>
      <c r="I99" s="6"/>
      <c r="J99" s="6"/>
      <c r="K99" s="6"/>
    </row>
    <row r="100" spans="2:11" ht="24" x14ac:dyDescent="0.25">
      <c r="B100" s="1827"/>
      <c r="C100" s="94"/>
      <c r="D100" s="46" t="s">
        <v>705</v>
      </c>
      <c r="E100" s="6"/>
      <c r="F100" s="6"/>
      <c r="G100" s="6"/>
      <c r="H100" s="6"/>
      <c r="I100" s="6"/>
      <c r="J100" s="6"/>
      <c r="K100" s="6"/>
    </row>
    <row r="101" spans="2:11" x14ac:dyDescent="0.25">
      <c r="B101" s="1827"/>
      <c r="C101" s="94"/>
      <c r="D101" s="53" t="s">
        <v>288</v>
      </c>
      <c r="E101" s="6"/>
      <c r="F101" s="6"/>
      <c r="G101" s="6"/>
      <c r="H101" s="6"/>
      <c r="I101" s="6"/>
      <c r="J101" s="6"/>
      <c r="K101" s="6"/>
    </row>
    <row r="102" spans="2:11" x14ac:dyDescent="0.25">
      <c r="B102" s="1827"/>
      <c r="C102" s="94"/>
      <c r="D102" s="46" t="s">
        <v>355</v>
      </c>
      <c r="E102" s="6"/>
      <c r="F102" s="6"/>
      <c r="G102" s="6"/>
      <c r="H102" s="6"/>
      <c r="I102" s="6"/>
      <c r="J102" s="6"/>
      <c r="K102" s="6"/>
    </row>
    <row r="103" spans="2:11" x14ac:dyDescent="0.25">
      <c r="B103" s="1827"/>
      <c r="C103" s="94"/>
      <c r="D103" s="46" t="s">
        <v>706</v>
      </c>
      <c r="E103" s="6"/>
      <c r="F103" s="6"/>
      <c r="G103" s="6"/>
      <c r="H103" s="6"/>
      <c r="I103" s="6"/>
      <c r="J103" s="6"/>
      <c r="K103" s="6"/>
    </row>
    <row r="104" spans="2:11" ht="24" x14ac:dyDescent="0.25">
      <c r="B104" s="1827"/>
      <c r="C104" s="94"/>
      <c r="D104" s="46" t="s">
        <v>707</v>
      </c>
      <c r="E104" s="6"/>
      <c r="F104" s="6"/>
      <c r="G104" s="6"/>
      <c r="H104" s="6"/>
      <c r="I104" s="6"/>
      <c r="J104" s="6"/>
      <c r="K104" s="6"/>
    </row>
    <row r="105" spans="2:11" ht="24" x14ac:dyDescent="0.25">
      <c r="B105" s="1827"/>
      <c r="C105" s="94"/>
      <c r="D105" s="46" t="s">
        <v>708</v>
      </c>
      <c r="E105" s="6"/>
      <c r="F105" s="6"/>
      <c r="G105" s="6"/>
      <c r="H105" s="6"/>
      <c r="I105" s="6"/>
      <c r="J105" s="6"/>
      <c r="K105" s="6"/>
    </row>
    <row r="106" spans="2:11" ht="36" x14ac:dyDescent="0.25">
      <c r="B106" s="1827"/>
      <c r="C106" s="94"/>
      <c r="D106" s="46" t="s">
        <v>709</v>
      </c>
      <c r="E106" s="6"/>
      <c r="F106" s="6"/>
      <c r="G106" s="6"/>
      <c r="H106" s="6"/>
      <c r="I106" s="6"/>
      <c r="J106" s="6"/>
      <c r="K106" s="6"/>
    </row>
    <row r="107" spans="2:11" x14ac:dyDescent="0.25">
      <c r="B107" s="1827"/>
      <c r="C107" s="94"/>
      <c r="D107" s="46" t="s">
        <v>710</v>
      </c>
      <c r="E107" s="6"/>
      <c r="F107" s="6"/>
      <c r="G107" s="6"/>
      <c r="H107" s="6"/>
      <c r="I107" s="6"/>
      <c r="J107" s="6"/>
      <c r="K107" s="6"/>
    </row>
    <row r="108" spans="2:11" x14ac:dyDescent="0.25">
      <c r="B108" s="1827"/>
      <c r="C108" s="94"/>
      <c r="D108" s="46" t="s">
        <v>711</v>
      </c>
      <c r="E108" s="6"/>
      <c r="F108" s="6"/>
      <c r="G108" s="6"/>
      <c r="H108" s="6"/>
      <c r="I108" s="6"/>
      <c r="J108" s="6"/>
      <c r="K108" s="6"/>
    </row>
    <row r="109" spans="2:11" ht="15.75" thickBot="1" x14ac:dyDescent="0.3">
      <c r="B109" s="1828"/>
      <c r="C109" s="3"/>
      <c r="D109" s="41" t="s">
        <v>712</v>
      </c>
      <c r="E109" s="6"/>
      <c r="F109" s="6"/>
      <c r="G109" s="6"/>
      <c r="H109" s="6"/>
      <c r="I109" s="6"/>
      <c r="J109" s="6"/>
      <c r="K109" s="6"/>
    </row>
    <row r="110" spans="2:11" ht="24.75" thickBot="1" x14ac:dyDescent="0.3">
      <c r="B110" s="47" t="s">
        <v>72</v>
      </c>
      <c r="C110" s="3"/>
      <c r="D110" s="41"/>
      <c r="E110" s="6"/>
      <c r="F110" s="6"/>
      <c r="G110" s="6"/>
      <c r="H110" s="6"/>
      <c r="I110" s="6"/>
      <c r="J110" s="6"/>
      <c r="K110" s="6"/>
    </row>
    <row r="111" spans="2:11" ht="252" x14ac:dyDescent="0.25">
      <c r="B111" s="1826" t="s">
        <v>73</v>
      </c>
      <c r="C111" s="94"/>
      <c r="D111" s="46" t="s">
        <v>713</v>
      </c>
      <c r="E111" s="6"/>
      <c r="F111" s="6"/>
      <c r="G111" s="6"/>
      <c r="H111" s="6"/>
      <c r="I111" s="6"/>
      <c r="J111" s="6"/>
      <c r="K111" s="6"/>
    </row>
    <row r="112" spans="2:11" ht="24" x14ac:dyDescent="0.25">
      <c r="B112" s="1827"/>
      <c r="C112" s="94"/>
      <c r="D112" s="46" t="s">
        <v>714</v>
      </c>
      <c r="E112" s="6"/>
      <c r="F112" s="6"/>
      <c r="G112" s="6"/>
      <c r="H112" s="6"/>
      <c r="I112" s="6"/>
      <c r="J112" s="6"/>
      <c r="K112" s="6"/>
    </row>
    <row r="113" spans="2:11" ht="108" x14ac:dyDescent="0.25">
      <c r="B113" s="1827"/>
      <c r="C113" s="94"/>
      <c r="D113" s="46" t="s">
        <v>715</v>
      </c>
      <c r="E113" s="6"/>
      <c r="F113" s="6"/>
      <c r="G113" s="6"/>
      <c r="H113" s="6"/>
      <c r="I113" s="6"/>
      <c r="J113" s="6"/>
      <c r="K113" s="6"/>
    </row>
    <row r="114" spans="2:11" ht="384" x14ac:dyDescent="0.25">
      <c r="B114" s="1827"/>
      <c r="C114" s="94"/>
      <c r="D114" s="46" t="s">
        <v>716</v>
      </c>
      <c r="E114" s="6"/>
      <c r="F114" s="6"/>
      <c r="G114" s="6"/>
      <c r="H114" s="6"/>
      <c r="I114" s="6"/>
      <c r="J114" s="6"/>
      <c r="K114" s="6"/>
    </row>
    <row r="115" spans="2:11" ht="192" x14ac:dyDescent="0.25">
      <c r="B115" s="1827"/>
      <c r="C115" s="94"/>
      <c r="D115" s="46" t="s">
        <v>717</v>
      </c>
      <c r="E115" s="6"/>
      <c r="F115" s="6"/>
      <c r="G115" s="6"/>
      <c r="H115" s="6"/>
      <c r="I115" s="6"/>
      <c r="J115" s="6"/>
      <c r="K115" s="6"/>
    </row>
    <row r="116" spans="2:11" ht="72" x14ac:dyDescent="0.25">
      <c r="B116" s="1827"/>
      <c r="C116" s="94"/>
      <c r="D116" s="46" t="s">
        <v>718</v>
      </c>
      <c r="E116" s="6"/>
      <c r="F116" s="6"/>
      <c r="G116" s="6"/>
      <c r="H116" s="6"/>
      <c r="I116" s="6"/>
      <c r="J116" s="6"/>
      <c r="K116" s="6"/>
    </row>
    <row r="117" spans="2:11" ht="24" x14ac:dyDescent="0.25">
      <c r="B117" s="1827"/>
      <c r="C117" s="94"/>
      <c r="D117" s="46" t="s">
        <v>719</v>
      </c>
      <c r="E117" s="6"/>
      <c r="F117" s="6"/>
      <c r="G117" s="6"/>
      <c r="H117" s="6"/>
      <c r="I117" s="6"/>
      <c r="J117" s="6"/>
      <c r="K117" s="6"/>
    </row>
    <row r="118" spans="2:11" ht="24" x14ac:dyDescent="0.25">
      <c r="B118" s="1827"/>
      <c r="C118" s="94"/>
      <c r="D118" s="46" t="s">
        <v>720</v>
      </c>
      <c r="E118" s="6"/>
      <c r="F118" s="6"/>
      <c r="G118" s="6"/>
      <c r="H118" s="6"/>
      <c r="I118" s="6"/>
      <c r="J118" s="6"/>
      <c r="K118" s="6"/>
    </row>
    <row r="119" spans="2:11" ht="24" x14ac:dyDescent="0.25">
      <c r="B119" s="1827"/>
      <c r="C119" s="94"/>
      <c r="D119" s="46" t="s">
        <v>721</v>
      </c>
      <c r="E119" s="6"/>
      <c r="F119" s="6"/>
      <c r="G119" s="6"/>
      <c r="H119" s="6"/>
      <c r="I119" s="6"/>
      <c r="J119" s="6"/>
      <c r="K119" s="6"/>
    </row>
    <row r="120" spans="2:11" ht="84" x14ac:dyDescent="0.25">
      <c r="B120" s="1827"/>
      <c r="C120" s="94"/>
      <c r="D120" s="46" t="s">
        <v>722</v>
      </c>
      <c r="E120" s="6"/>
      <c r="F120" s="6"/>
      <c r="G120" s="6"/>
      <c r="H120" s="6"/>
      <c r="I120" s="6"/>
      <c r="J120" s="6"/>
      <c r="K120" s="6"/>
    </row>
    <row r="121" spans="2:11" ht="24" x14ac:dyDescent="0.25">
      <c r="B121" s="1827"/>
      <c r="C121" s="94"/>
      <c r="D121" s="46" t="s">
        <v>723</v>
      </c>
      <c r="E121" s="6"/>
      <c r="F121" s="6"/>
      <c r="G121" s="6"/>
      <c r="H121" s="6"/>
      <c r="I121" s="6"/>
      <c r="J121" s="6"/>
      <c r="K121" s="6"/>
    </row>
    <row r="122" spans="2:11" ht="24" x14ac:dyDescent="0.25">
      <c r="B122" s="1827"/>
      <c r="C122" s="94"/>
      <c r="D122" s="46" t="s">
        <v>724</v>
      </c>
      <c r="E122" s="6"/>
      <c r="F122" s="6"/>
      <c r="G122" s="6"/>
      <c r="H122" s="6"/>
      <c r="I122" s="6"/>
      <c r="J122" s="6"/>
      <c r="K122" s="6"/>
    </row>
    <row r="123" spans="2:11" x14ac:dyDescent="0.25">
      <c r="B123" s="1827"/>
      <c r="C123" s="94"/>
      <c r="D123" s="46" t="s">
        <v>725</v>
      </c>
      <c r="E123" s="6"/>
      <c r="F123" s="6"/>
      <c r="G123" s="6"/>
      <c r="H123" s="6"/>
      <c r="I123" s="6"/>
      <c r="J123" s="6"/>
      <c r="K123" s="6"/>
    </row>
    <row r="124" spans="2:11" ht="24" x14ac:dyDescent="0.25">
      <c r="B124" s="1827"/>
      <c r="C124" s="94"/>
      <c r="D124" s="46" t="s">
        <v>726</v>
      </c>
      <c r="E124" s="6"/>
      <c r="F124" s="6"/>
      <c r="G124" s="6"/>
      <c r="H124" s="6"/>
      <c r="I124" s="6"/>
      <c r="J124" s="6"/>
      <c r="K124" s="6"/>
    </row>
    <row r="125" spans="2:11" ht="36" x14ac:dyDescent="0.25">
      <c r="B125" s="1827"/>
      <c r="C125" s="94"/>
      <c r="D125" s="46" t="s">
        <v>727</v>
      </c>
      <c r="E125" s="6"/>
      <c r="F125" s="6"/>
      <c r="G125" s="6"/>
      <c r="H125" s="6"/>
      <c r="I125" s="6"/>
      <c r="J125" s="6"/>
      <c r="K125" s="6"/>
    </row>
    <row r="126" spans="2:11" ht="24" x14ac:dyDescent="0.25">
      <c r="B126" s="1827"/>
      <c r="C126" s="94"/>
      <c r="D126" s="46" t="s">
        <v>728</v>
      </c>
      <c r="E126" s="6"/>
      <c r="F126" s="6"/>
      <c r="G126" s="6"/>
      <c r="H126" s="6"/>
      <c r="I126" s="6"/>
      <c r="J126" s="6"/>
      <c r="K126" s="6"/>
    </row>
    <row r="127" spans="2:11" ht="24" x14ac:dyDescent="0.25">
      <c r="B127" s="1827"/>
      <c r="C127" s="94"/>
      <c r="D127" s="46" t="s">
        <v>729</v>
      </c>
      <c r="E127" s="6"/>
      <c r="F127" s="6"/>
      <c r="G127" s="6"/>
      <c r="H127" s="6"/>
      <c r="I127" s="6"/>
      <c r="J127" s="6"/>
      <c r="K127" s="6"/>
    </row>
    <row r="128" spans="2:11" ht="72" x14ac:dyDescent="0.25">
      <c r="B128" s="1827"/>
      <c r="C128" s="94"/>
      <c r="D128" s="46" t="s">
        <v>730</v>
      </c>
      <c r="E128" s="6"/>
      <c r="F128" s="6"/>
      <c r="G128" s="6"/>
      <c r="H128" s="6"/>
      <c r="I128" s="6"/>
      <c r="J128" s="6"/>
      <c r="K128" s="6"/>
    </row>
    <row r="129" spans="2:11" ht="48" x14ac:dyDescent="0.25">
      <c r="B129" s="1827"/>
      <c r="C129" s="94"/>
      <c r="D129" s="46" t="s">
        <v>731</v>
      </c>
      <c r="E129" s="6"/>
      <c r="F129" s="6"/>
      <c r="G129" s="6"/>
      <c r="H129" s="6"/>
      <c r="I129" s="6"/>
      <c r="J129" s="6"/>
      <c r="K129" s="6"/>
    </row>
    <row r="130" spans="2:11" ht="48" x14ac:dyDescent="0.25">
      <c r="B130" s="1827"/>
      <c r="C130" s="94"/>
      <c r="D130" s="46" t="s">
        <v>732</v>
      </c>
      <c r="E130" s="6"/>
      <c r="F130" s="6"/>
      <c r="G130" s="6"/>
      <c r="H130" s="6"/>
      <c r="I130" s="6"/>
      <c r="J130" s="6"/>
      <c r="K130" s="6"/>
    </row>
    <row r="131" spans="2:11" ht="36" x14ac:dyDescent="0.25">
      <c r="B131" s="1827"/>
      <c r="C131" s="94"/>
      <c r="D131" s="46" t="s">
        <v>733</v>
      </c>
      <c r="E131" s="6"/>
      <c r="F131" s="6"/>
      <c r="G131" s="6"/>
      <c r="H131" s="6"/>
      <c r="I131" s="6"/>
      <c r="J131" s="6"/>
      <c r="K131" s="6"/>
    </row>
    <row r="132" spans="2:11" ht="24" x14ac:dyDescent="0.25">
      <c r="B132" s="1827"/>
      <c r="C132" s="94"/>
      <c r="D132" s="46" t="s">
        <v>734</v>
      </c>
      <c r="E132" s="6"/>
      <c r="F132" s="6"/>
      <c r="G132" s="6"/>
      <c r="H132" s="6"/>
      <c r="I132" s="6"/>
      <c r="J132" s="6"/>
      <c r="K132" s="6"/>
    </row>
    <row r="133" spans="2:11" ht="36" x14ac:dyDescent="0.25">
      <c r="B133" s="1827"/>
      <c r="C133" s="94"/>
      <c r="D133" s="46" t="s">
        <v>735</v>
      </c>
      <c r="E133" s="6"/>
      <c r="F133" s="6"/>
      <c r="G133" s="6"/>
      <c r="H133" s="6"/>
      <c r="I133" s="6"/>
      <c r="J133" s="6"/>
      <c r="K133" s="6"/>
    </row>
    <row r="134" spans="2:11" ht="24" x14ac:dyDescent="0.25">
      <c r="B134" s="1827"/>
      <c r="C134" s="94"/>
      <c r="D134" s="46" t="s">
        <v>736</v>
      </c>
      <c r="E134" s="6"/>
      <c r="F134" s="6"/>
      <c r="G134" s="6"/>
      <c r="H134" s="6"/>
      <c r="I134" s="6"/>
      <c r="J134" s="6"/>
      <c r="K134" s="6"/>
    </row>
    <row r="135" spans="2:11" ht="36" x14ac:dyDescent="0.25">
      <c r="B135" s="1827"/>
      <c r="C135" s="94"/>
      <c r="D135" s="46" t="s">
        <v>737</v>
      </c>
      <c r="E135" s="6"/>
      <c r="F135" s="6"/>
      <c r="G135" s="6"/>
      <c r="H135" s="6"/>
      <c r="I135" s="6"/>
      <c r="J135" s="6"/>
      <c r="K135" s="6"/>
    </row>
    <row r="136" spans="2:11" ht="36" x14ac:dyDescent="0.25">
      <c r="B136" s="1827"/>
      <c r="C136" s="94"/>
      <c r="D136" s="46" t="s">
        <v>738</v>
      </c>
      <c r="E136" s="6"/>
      <c r="F136" s="6"/>
      <c r="G136" s="6"/>
      <c r="H136" s="6"/>
      <c r="I136" s="6"/>
      <c r="J136" s="6"/>
      <c r="K136" s="6"/>
    </row>
    <row r="137" spans="2:11" ht="36" x14ac:dyDescent="0.25">
      <c r="B137" s="1827"/>
      <c r="C137" s="94"/>
      <c r="D137" s="46" t="s">
        <v>739</v>
      </c>
      <c r="E137" s="6"/>
      <c r="F137" s="6"/>
      <c r="G137" s="6"/>
      <c r="H137" s="6"/>
      <c r="I137" s="6"/>
      <c r="J137" s="6"/>
      <c r="K137" s="6"/>
    </row>
    <row r="138" spans="2:11" ht="60" x14ac:dyDescent="0.25">
      <c r="B138" s="1827"/>
      <c r="C138" s="94"/>
      <c r="D138" s="46" t="s">
        <v>740</v>
      </c>
      <c r="E138" s="6"/>
      <c r="F138" s="6"/>
      <c r="G138" s="6"/>
      <c r="H138" s="6"/>
      <c r="I138" s="6"/>
      <c r="J138" s="6"/>
      <c r="K138" s="6"/>
    </row>
    <row r="139" spans="2:11" ht="48" x14ac:dyDescent="0.25">
      <c r="B139" s="1827"/>
      <c r="C139" s="94"/>
      <c r="D139" s="46" t="s">
        <v>741</v>
      </c>
      <c r="E139" s="6"/>
      <c r="F139" s="6"/>
      <c r="G139" s="6"/>
      <c r="H139" s="6"/>
      <c r="I139" s="6"/>
      <c r="J139" s="6"/>
      <c r="K139" s="6"/>
    </row>
    <row r="140" spans="2:11" ht="24" x14ac:dyDescent="0.25">
      <c r="B140" s="1827"/>
      <c r="C140" s="94"/>
      <c r="D140" s="46" t="s">
        <v>742</v>
      </c>
      <c r="E140" s="6"/>
      <c r="F140" s="6"/>
      <c r="G140" s="6"/>
      <c r="H140" s="6"/>
      <c r="I140" s="6"/>
      <c r="J140" s="6"/>
      <c r="K140" s="6"/>
    </row>
    <row r="141" spans="2:11" ht="24" x14ac:dyDescent="0.25">
      <c r="B141" s="1827"/>
      <c r="C141" s="94"/>
      <c r="D141" s="46" t="s">
        <v>743</v>
      </c>
      <c r="E141" s="6"/>
      <c r="F141" s="6"/>
      <c r="G141" s="6"/>
      <c r="H141" s="6"/>
      <c r="I141" s="6"/>
      <c r="J141" s="6"/>
      <c r="K141" s="6"/>
    </row>
    <row r="142" spans="2:11" ht="24" x14ac:dyDescent="0.25">
      <c r="B142" s="1827"/>
      <c r="C142" s="94"/>
      <c r="D142" s="46" t="s">
        <v>744</v>
      </c>
      <c r="E142" s="6"/>
      <c r="F142" s="6"/>
      <c r="G142" s="6"/>
      <c r="H142" s="6"/>
      <c r="I142" s="6"/>
      <c r="J142" s="6"/>
      <c r="K142" s="6"/>
    </row>
    <row r="143" spans="2:11" ht="24" x14ac:dyDescent="0.25">
      <c r="B143" s="1827"/>
      <c r="C143" s="94"/>
      <c r="D143" s="46" t="s">
        <v>745</v>
      </c>
      <c r="E143" s="6"/>
      <c r="F143" s="6"/>
      <c r="G143" s="6"/>
      <c r="H143" s="6"/>
      <c r="I143" s="6"/>
      <c r="J143" s="6"/>
      <c r="K143" s="6"/>
    </row>
    <row r="144" spans="2:11" ht="48" x14ac:dyDescent="0.25">
      <c r="B144" s="1827"/>
      <c r="C144" s="94"/>
      <c r="D144" s="46" t="s">
        <v>746</v>
      </c>
      <c r="E144" s="6"/>
      <c r="F144" s="6"/>
      <c r="G144" s="6"/>
      <c r="H144" s="6"/>
      <c r="I144" s="6"/>
      <c r="J144" s="6"/>
      <c r="K144" s="6"/>
    </row>
    <row r="145" spans="2:11" ht="24" x14ac:dyDescent="0.25">
      <c r="B145" s="1827"/>
      <c r="C145" s="94"/>
      <c r="D145" s="46" t="s">
        <v>747</v>
      </c>
      <c r="E145" s="6"/>
      <c r="F145" s="6"/>
      <c r="G145" s="6"/>
      <c r="H145" s="6"/>
      <c r="I145" s="6"/>
      <c r="J145" s="6"/>
      <c r="K145" s="6"/>
    </row>
    <row r="146" spans="2:11" ht="36.75" thickBot="1" x14ac:dyDescent="0.3">
      <c r="B146" s="1828"/>
      <c r="C146" s="3"/>
      <c r="D146" s="41" t="s">
        <v>748</v>
      </c>
      <c r="E146" s="6"/>
      <c r="F146" s="6"/>
      <c r="G146" s="6"/>
      <c r="H146" s="6"/>
      <c r="I146" s="6"/>
      <c r="J146" s="6"/>
      <c r="K146" s="6"/>
    </row>
    <row r="147" spans="2:11" ht="24" x14ac:dyDescent="0.25">
      <c r="B147" s="1826" t="s">
        <v>90</v>
      </c>
      <c r="C147" s="94"/>
      <c r="D147" s="53" t="s">
        <v>749</v>
      </c>
      <c r="E147" s="6"/>
      <c r="F147" s="6"/>
      <c r="G147" s="6"/>
      <c r="H147" s="6"/>
      <c r="I147" s="6"/>
      <c r="J147" s="6"/>
      <c r="K147" s="6"/>
    </row>
    <row r="148" spans="2:11" ht="25.35" customHeight="1" x14ac:dyDescent="0.25">
      <c r="B148" s="1827"/>
      <c r="C148" s="94"/>
      <c r="D148" s="46" t="s">
        <v>248</v>
      </c>
      <c r="E148" s="6"/>
      <c r="F148" s="6"/>
      <c r="G148" s="6"/>
      <c r="H148" s="6"/>
      <c r="I148" s="6"/>
      <c r="J148" s="6"/>
      <c r="K148" s="6"/>
    </row>
    <row r="149" spans="2:11" x14ac:dyDescent="0.25">
      <c r="B149" s="1827"/>
      <c r="C149" s="94"/>
      <c r="D149" s="46" t="s">
        <v>91</v>
      </c>
      <c r="E149" s="6"/>
      <c r="F149" s="6"/>
      <c r="G149" s="6"/>
      <c r="H149" s="6"/>
      <c r="I149" s="6"/>
      <c r="J149" s="6"/>
      <c r="K149" s="6"/>
    </row>
    <row r="150" spans="2:11" ht="37.5" x14ac:dyDescent="0.25">
      <c r="B150" s="1827"/>
      <c r="C150" s="94"/>
      <c r="D150" s="46" t="s">
        <v>750</v>
      </c>
      <c r="E150" s="6"/>
      <c r="F150" s="6"/>
      <c r="G150" s="6"/>
      <c r="H150" s="6"/>
      <c r="I150" s="6"/>
      <c r="J150" s="6"/>
      <c r="K150" s="6"/>
    </row>
    <row r="151" spans="2:11" ht="37.5" x14ac:dyDescent="0.25">
      <c r="B151" s="1827"/>
      <c r="C151" s="94"/>
      <c r="D151" s="46" t="s">
        <v>751</v>
      </c>
      <c r="E151" s="6"/>
      <c r="F151" s="6"/>
      <c r="G151" s="6"/>
      <c r="H151" s="6"/>
      <c r="I151" s="6"/>
      <c r="J151" s="6"/>
      <c r="K151" s="6"/>
    </row>
    <row r="152" spans="2:11" ht="37.5" x14ac:dyDescent="0.25">
      <c r="B152" s="1827"/>
      <c r="C152" s="94"/>
      <c r="D152" s="46" t="s">
        <v>752</v>
      </c>
      <c r="E152" s="6"/>
      <c r="F152" s="6"/>
      <c r="G152" s="6"/>
      <c r="H152" s="6"/>
      <c r="I152" s="6"/>
      <c r="J152" s="6"/>
      <c r="K152" s="6"/>
    </row>
    <row r="153" spans="2:11" ht="37.5" x14ac:dyDescent="0.25">
      <c r="B153" s="1827"/>
      <c r="C153" s="94"/>
      <c r="D153" s="46" t="s">
        <v>753</v>
      </c>
      <c r="E153" s="6"/>
      <c r="F153" s="6"/>
      <c r="G153" s="6"/>
      <c r="H153" s="6"/>
      <c r="I153" s="6"/>
      <c r="J153" s="6"/>
      <c r="K153" s="6"/>
    </row>
    <row r="154" spans="2:11" x14ac:dyDescent="0.25">
      <c r="B154" s="1827"/>
      <c r="C154" s="94"/>
      <c r="D154" s="46" t="s">
        <v>754</v>
      </c>
      <c r="E154" s="6"/>
      <c r="F154" s="6"/>
      <c r="G154" s="6"/>
      <c r="H154" s="6"/>
      <c r="I154" s="6"/>
      <c r="J154" s="6"/>
      <c r="K154" s="6"/>
    </row>
    <row r="155" spans="2:11" x14ac:dyDescent="0.25">
      <c r="B155" s="1827"/>
      <c r="C155" s="94"/>
      <c r="D155" s="46" t="s">
        <v>755</v>
      </c>
      <c r="E155" s="6"/>
      <c r="F155" s="6"/>
      <c r="G155" s="6"/>
      <c r="H155" s="6"/>
      <c r="I155" s="6"/>
      <c r="J155" s="6"/>
      <c r="K155" s="6"/>
    </row>
    <row r="156" spans="2:11" x14ac:dyDescent="0.25">
      <c r="B156" s="1827"/>
      <c r="C156" s="94"/>
      <c r="D156" s="46" t="s">
        <v>756</v>
      </c>
      <c r="E156" s="6"/>
      <c r="F156" s="6"/>
      <c r="G156" s="6"/>
      <c r="H156" s="6"/>
      <c r="I156" s="6"/>
      <c r="J156" s="6"/>
      <c r="K156" s="6"/>
    </row>
    <row r="157" spans="2:11" x14ac:dyDescent="0.25">
      <c r="B157" s="1827"/>
      <c r="C157" s="94"/>
      <c r="D157" s="46" t="s">
        <v>757</v>
      </c>
      <c r="E157" s="6"/>
      <c r="F157" s="6"/>
      <c r="G157" s="6"/>
      <c r="H157" s="6"/>
      <c r="I157" s="6"/>
      <c r="J157" s="6"/>
      <c r="K157" s="6"/>
    </row>
    <row r="158" spans="2:11" ht="84" x14ac:dyDescent="0.25">
      <c r="B158" s="1827"/>
      <c r="C158" s="94"/>
      <c r="D158" s="54" t="s">
        <v>235</v>
      </c>
      <c r="E158" s="6"/>
      <c r="F158" s="6"/>
      <c r="G158" s="6"/>
      <c r="H158" s="6"/>
      <c r="I158" s="6"/>
      <c r="J158" s="6"/>
      <c r="K158" s="6"/>
    </row>
    <row r="159" spans="2:11" x14ac:dyDescent="0.25">
      <c r="B159" s="1827"/>
      <c r="C159" s="94"/>
      <c r="D159" s="57" t="s">
        <v>246</v>
      </c>
      <c r="E159" s="6"/>
      <c r="F159" s="6"/>
      <c r="G159" s="6"/>
      <c r="H159" s="6"/>
      <c r="I159" s="6"/>
      <c r="J159" s="6"/>
      <c r="K159" s="6"/>
    </row>
    <row r="160" spans="2:11" ht="24" x14ac:dyDescent="0.25">
      <c r="B160" s="1827"/>
      <c r="C160" s="94"/>
      <c r="D160" s="53" t="s">
        <v>758</v>
      </c>
      <c r="E160" s="6"/>
      <c r="F160" s="6"/>
      <c r="G160" s="6"/>
      <c r="H160" s="6"/>
      <c r="I160" s="6"/>
      <c r="J160" s="6"/>
      <c r="K160" s="6"/>
    </row>
    <row r="161" spans="2:11" ht="23.1" customHeight="1" x14ac:dyDescent="0.25">
      <c r="B161" s="1827"/>
      <c r="C161" s="94"/>
      <c r="D161" s="46" t="s">
        <v>248</v>
      </c>
      <c r="E161" s="6"/>
      <c r="F161" s="6"/>
      <c r="G161" s="6"/>
      <c r="H161" s="6"/>
      <c r="I161" s="6"/>
      <c r="J161" s="6"/>
      <c r="K161" s="6"/>
    </row>
    <row r="162" spans="2:11" x14ac:dyDescent="0.25">
      <c r="B162" s="1827"/>
      <c r="C162" s="94"/>
      <c r="D162" s="46" t="s">
        <v>91</v>
      </c>
      <c r="E162" s="6"/>
      <c r="F162" s="6"/>
      <c r="G162" s="6"/>
      <c r="H162" s="6"/>
      <c r="I162" s="6"/>
      <c r="J162" s="6"/>
      <c r="K162" s="6"/>
    </row>
    <row r="163" spans="2:11" ht="37.5" x14ac:dyDescent="0.25">
      <c r="B163" s="1827"/>
      <c r="C163" s="94"/>
      <c r="D163" s="46" t="s">
        <v>759</v>
      </c>
      <c r="E163" s="6"/>
      <c r="F163" s="6"/>
      <c r="G163" s="6"/>
      <c r="H163" s="6"/>
      <c r="I163" s="6"/>
      <c r="J163" s="6"/>
      <c r="K163" s="6"/>
    </row>
    <row r="164" spans="2:11" ht="37.5" x14ac:dyDescent="0.25">
      <c r="B164" s="1827"/>
      <c r="C164" s="94"/>
      <c r="D164" s="46" t="s">
        <v>760</v>
      </c>
      <c r="E164" s="6"/>
      <c r="F164" s="6"/>
      <c r="G164" s="6"/>
      <c r="H164" s="6"/>
      <c r="I164" s="6"/>
      <c r="J164" s="6"/>
      <c r="K164" s="6"/>
    </row>
    <row r="165" spans="2:11" ht="38.25" thickBot="1" x14ac:dyDescent="0.3">
      <c r="B165" s="1828"/>
      <c r="C165" s="3"/>
      <c r="D165" s="41" t="s">
        <v>761</v>
      </c>
      <c r="E165" s="6"/>
      <c r="F165" s="6"/>
      <c r="G165" s="6"/>
      <c r="H165" s="6"/>
      <c r="I165" s="6"/>
      <c r="J165" s="6"/>
      <c r="K165" s="6"/>
    </row>
    <row r="166" spans="2:11" x14ac:dyDescent="0.25">
      <c r="B166" s="6"/>
      <c r="D166" s="6"/>
      <c r="E166" s="6"/>
      <c r="F166" s="6"/>
      <c r="G166" s="6"/>
      <c r="H166" s="6"/>
      <c r="I166" s="6"/>
      <c r="J166" s="6"/>
      <c r="K166" s="6"/>
    </row>
    <row r="167" spans="2:11" x14ac:dyDescent="0.25">
      <c r="B167" s="6"/>
      <c r="D167" s="6"/>
      <c r="E167" s="6"/>
      <c r="F167" s="6"/>
      <c r="G167" s="6"/>
      <c r="H167" s="6"/>
      <c r="I167" s="6"/>
      <c r="J167" s="6"/>
      <c r="K167" s="6"/>
    </row>
    <row r="168" spans="2:11" x14ac:dyDescent="0.25">
      <c r="B168" s="6"/>
      <c r="D168" s="6"/>
      <c r="E168" s="6"/>
      <c r="F168" s="6"/>
      <c r="G168" s="6"/>
      <c r="H168" s="6"/>
      <c r="I168" s="6"/>
      <c r="J168" s="6"/>
      <c r="K168" s="6"/>
    </row>
    <row r="169" spans="2:11" x14ac:dyDescent="0.25">
      <c r="B169" s="6"/>
      <c r="D169" s="6"/>
      <c r="E169" s="6"/>
      <c r="F169" s="6"/>
      <c r="G169" s="6"/>
      <c r="H169" s="6"/>
      <c r="I169" s="6"/>
      <c r="J169" s="6"/>
      <c r="K169" s="6"/>
    </row>
    <row r="170" spans="2:11" x14ac:dyDescent="0.25">
      <c r="B170" s="6"/>
      <c r="D170" s="6"/>
      <c r="E170" s="6"/>
      <c r="F170" s="6"/>
      <c r="G170" s="6"/>
      <c r="H170" s="6"/>
      <c r="I170" s="6"/>
      <c r="J170" s="6"/>
      <c r="K170" s="6"/>
    </row>
    <row r="171" spans="2:11" x14ac:dyDescent="0.25">
      <c r="B171" s="6"/>
      <c r="D171" s="6"/>
      <c r="E171" s="6"/>
      <c r="F171" s="6"/>
      <c r="G171" s="6"/>
      <c r="H171" s="6"/>
      <c r="I171" s="6"/>
      <c r="J171" s="6"/>
      <c r="K171" s="6"/>
    </row>
    <row r="172" spans="2:11" x14ac:dyDescent="0.25">
      <c r="B172" s="6"/>
      <c r="D172" s="6"/>
      <c r="E172" s="6"/>
      <c r="F172" s="6"/>
      <c r="G172" s="6"/>
      <c r="H172" s="6"/>
      <c r="I172" s="6"/>
      <c r="J172" s="6"/>
      <c r="K172" s="6"/>
    </row>
    <row r="173" spans="2:11" x14ac:dyDescent="0.25">
      <c r="B173" s="6"/>
      <c r="D173" s="6"/>
      <c r="E173" s="6"/>
      <c r="F173" s="6"/>
      <c r="G173" s="6"/>
      <c r="H173" s="6"/>
      <c r="I173" s="6"/>
      <c r="J173" s="6"/>
      <c r="K173" s="6"/>
    </row>
    <row r="174" spans="2:11" x14ac:dyDescent="0.25">
      <c r="B174" s="6"/>
      <c r="D174" s="6"/>
      <c r="E174" s="6"/>
      <c r="F174" s="6"/>
      <c r="G174" s="6"/>
      <c r="H174" s="6"/>
      <c r="I174" s="6"/>
      <c r="J174" s="6"/>
      <c r="K174" s="6"/>
    </row>
    <row r="175" spans="2:11" x14ac:dyDescent="0.25">
      <c r="B175" s="6"/>
      <c r="D175" s="6"/>
      <c r="E175" s="6"/>
      <c r="F175" s="6"/>
      <c r="G175" s="6"/>
      <c r="H175" s="6"/>
      <c r="I175" s="6"/>
      <c r="J175" s="6"/>
      <c r="K175" s="6"/>
    </row>
    <row r="176" spans="2:11" x14ac:dyDescent="0.25">
      <c r="B176" s="6"/>
      <c r="D176" s="6"/>
      <c r="E176" s="6"/>
      <c r="F176" s="6"/>
      <c r="G176" s="6"/>
      <c r="H176" s="6"/>
      <c r="I176" s="6"/>
      <c r="J176" s="6"/>
      <c r="K176" s="6"/>
    </row>
    <row r="177" spans="2:11" x14ac:dyDescent="0.25">
      <c r="B177" s="6"/>
      <c r="D177" s="6"/>
      <c r="E177" s="6"/>
      <c r="F177" s="6"/>
      <c r="G177" s="6"/>
      <c r="H177" s="6"/>
      <c r="I177" s="6"/>
      <c r="J177" s="6"/>
      <c r="K177" s="6"/>
    </row>
    <row r="178" spans="2:11" x14ac:dyDescent="0.25">
      <c r="B178" s="6"/>
      <c r="D178" s="6"/>
      <c r="E178" s="6"/>
      <c r="F178" s="6"/>
      <c r="G178" s="6"/>
      <c r="H178" s="6"/>
      <c r="I178" s="6"/>
      <c r="J178" s="6"/>
      <c r="K178" s="6"/>
    </row>
    <row r="179" spans="2:11" x14ac:dyDescent="0.25">
      <c r="B179" s="6"/>
      <c r="D179" s="6"/>
      <c r="E179" s="6"/>
      <c r="F179" s="6"/>
      <c r="G179" s="6"/>
      <c r="H179" s="6"/>
      <c r="I179" s="6"/>
      <c r="J179" s="6"/>
      <c r="K179" s="6"/>
    </row>
    <row r="180" spans="2:11" x14ac:dyDescent="0.25">
      <c r="B180" s="6"/>
      <c r="D180" s="6"/>
      <c r="E180" s="6"/>
      <c r="F180" s="6"/>
      <c r="G180" s="6"/>
      <c r="H180" s="6"/>
      <c r="I180" s="6"/>
      <c r="J180" s="6"/>
      <c r="K180" s="6"/>
    </row>
    <row r="181" spans="2:11" x14ac:dyDescent="0.25">
      <c r="B181" s="6"/>
      <c r="D181" s="6"/>
      <c r="E181" s="6"/>
      <c r="F181" s="6"/>
      <c r="G181" s="6"/>
      <c r="H181" s="6"/>
      <c r="I181" s="6"/>
      <c r="J181" s="6"/>
      <c r="K181" s="6"/>
    </row>
    <row r="182" spans="2:11" x14ac:dyDescent="0.25">
      <c r="B182" s="6"/>
      <c r="D182" s="6"/>
      <c r="E182" s="6"/>
      <c r="F182" s="6"/>
      <c r="G182" s="6"/>
      <c r="H182" s="6"/>
      <c r="I182" s="6"/>
      <c r="J182" s="6"/>
      <c r="K182" s="6"/>
    </row>
    <row r="183" spans="2:11" x14ac:dyDescent="0.25">
      <c r="B183" s="6"/>
      <c r="D183" s="6"/>
      <c r="E183" s="6"/>
      <c r="F183" s="6"/>
      <c r="G183" s="6"/>
      <c r="H183" s="6"/>
      <c r="I183" s="6"/>
      <c r="J183" s="6"/>
      <c r="K183" s="6"/>
    </row>
    <row r="184" spans="2:11" x14ac:dyDescent="0.25">
      <c r="B184" s="6"/>
      <c r="D184" s="6"/>
      <c r="E184" s="6"/>
      <c r="F184" s="6"/>
      <c r="G184" s="6"/>
      <c r="H184" s="6"/>
      <c r="I184" s="6"/>
      <c r="J184" s="6"/>
      <c r="K184" s="6"/>
    </row>
    <row r="185" spans="2:11" x14ac:dyDescent="0.25">
      <c r="B185" s="6"/>
      <c r="D185" s="6"/>
      <c r="E185" s="6"/>
      <c r="F185" s="6"/>
      <c r="G185" s="6"/>
      <c r="H185" s="6"/>
      <c r="I185" s="6"/>
      <c r="J185" s="6"/>
      <c r="K185" s="6"/>
    </row>
    <row r="186" spans="2:11" x14ac:dyDescent="0.25">
      <c r="B186" s="6"/>
      <c r="D186" s="6"/>
      <c r="E186" s="6"/>
      <c r="F186" s="6"/>
      <c r="G186" s="6"/>
      <c r="H186" s="6"/>
      <c r="I186" s="6"/>
      <c r="J186" s="6"/>
      <c r="K186" s="6"/>
    </row>
    <row r="187" spans="2:11" x14ac:dyDescent="0.25">
      <c r="B187" s="6"/>
      <c r="D187" s="6"/>
      <c r="E187" s="6"/>
      <c r="F187" s="6"/>
      <c r="G187" s="6"/>
      <c r="H187" s="6"/>
      <c r="I187" s="6"/>
      <c r="J187" s="6"/>
      <c r="K187" s="6"/>
    </row>
    <row r="188" spans="2:11" x14ac:dyDescent="0.25">
      <c r="B188" s="6"/>
      <c r="D188" s="6"/>
      <c r="E188" s="6"/>
      <c r="F188" s="6"/>
      <c r="G188" s="6"/>
      <c r="H188" s="6"/>
      <c r="I188" s="6"/>
      <c r="J188" s="6"/>
      <c r="K188" s="6"/>
    </row>
    <row r="189" spans="2:11" x14ac:dyDescent="0.25">
      <c r="B189" s="6"/>
      <c r="D189" s="6"/>
      <c r="E189" s="6"/>
      <c r="F189" s="6"/>
      <c r="G189" s="6"/>
      <c r="H189" s="6"/>
      <c r="I189" s="6"/>
      <c r="J189" s="6"/>
      <c r="K189" s="6"/>
    </row>
    <row r="190" spans="2:11" x14ac:dyDescent="0.25">
      <c r="B190" s="6"/>
      <c r="D190" s="6"/>
      <c r="E190" s="6"/>
      <c r="F190" s="6"/>
      <c r="G190" s="6"/>
      <c r="H190" s="6"/>
      <c r="I190" s="6"/>
      <c r="J190" s="6"/>
      <c r="K190" s="6"/>
    </row>
    <row r="191" spans="2:11" x14ac:dyDescent="0.25">
      <c r="B191" s="6"/>
      <c r="D191" s="6"/>
      <c r="E191" s="6"/>
      <c r="F191" s="6"/>
      <c r="G191" s="6"/>
      <c r="H191" s="6"/>
      <c r="I191" s="6"/>
      <c r="J191" s="6"/>
      <c r="K191" s="6"/>
    </row>
    <row r="192" spans="2:11" x14ac:dyDescent="0.25">
      <c r="B192" s="6"/>
      <c r="D192" s="6"/>
      <c r="E192" s="6"/>
      <c r="F192" s="6"/>
      <c r="G192" s="6"/>
      <c r="H192" s="6"/>
      <c r="I192" s="6"/>
      <c r="J192" s="6"/>
      <c r="K192" s="6"/>
    </row>
    <row r="193" spans="2:11" x14ac:dyDescent="0.25">
      <c r="B193" s="6"/>
      <c r="D193" s="6"/>
      <c r="E193" s="6"/>
      <c r="F193" s="6"/>
      <c r="G193" s="6"/>
      <c r="H193" s="6"/>
      <c r="I193" s="6"/>
      <c r="J193" s="6"/>
      <c r="K193" s="6"/>
    </row>
    <row r="194" spans="2:11" x14ac:dyDescent="0.25">
      <c r="B194" s="6"/>
      <c r="D194" s="6"/>
      <c r="E194" s="6"/>
      <c r="F194" s="6"/>
      <c r="G194" s="6"/>
      <c r="H194" s="6"/>
      <c r="I194" s="6"/>
      <c r="J194" s="6"/>
      <c r="K194" s="6"/>
    </row>
  </sheetData>
  <sheetProtection insertColumns="0" insertRows="0"/>
  <mergeCells count="36">
    <mergeCell ref="A1:P1"/>
    <mergeCell ref="A2:P2"/>
    <mergeCell ref="A3:P3"/>
    <mergeCell ref="A4:D4"/>
    <mergeCell ref="A5:P5"/>
    <mergeCell ref="B15:B19"/>
    <mergeCell ref="B65:E65"/>
    <mergeCell ref="B66:B72"/>
    <mergeCell ref="B74:E74"/>
    <mergeCell ref="B75:B81"/>
    <mergeCell ref="D15:L15"/>
    <mergeCell ref="D16:L16"/>
    <mergeCell ref="D19:L19"/>
    <mergeCell ref="D20:L20"/>
    <mergeCell ref="D39:L39"/>
    <mergeCell ref="D40:L40"/>
    <mergeCell ref="D41:L41"/>
    <mergeCell ref="D60:L60"/>
    <mergeCell ref="E21:E22"/>
    <mergeCell ref="F21:J21"/>
    <mergeCell ref="C42:C43"/>
    <mergeCell ref="D42:D43"/>
    <mergeCell ref="E42:E43"/>
    <mergeCell ref="F42:K42"/>
    <mergeCell ref="C21:C22"/>
    <mergeCell ref="D21:D22"/>
    <mergeCell ref="B88:E89"/>
    <mergeCell ref="B91:D91"/>
    <mergeCell ref="B93:B109"/>
    <mergeCell ref="B111:B146"/>
    <mergeCell ref="B147:B165"/>
    <mergeCell ref="B10:D10"/>
    <mergeCell ref="F10:S10"/>
    <mergeCell ref="F11:S11"/>
    <mergeCell ref="E12:R12"/>
    <mergeCell ref="E13:R13"/>
  </mergeCells>
  <conditionalFormatting sqref="H38">
    <cfRule type="containsText" dxfId="52" priority="5" operator="containsText" text="ERROR">
      <formula>NOT(ISERROR(SEARCH("ERROR",H38)))</formula>
    </cfRule>
  </conditionalFormatting>
  <conditionalFormatting sqref="F10">
    <cfRule type="notContainsBlanks" dxfId="51" priority="4">
      <formula>LEN(TRIM(F10))&gt;0</formula>
    </cfRule>
  </conditionalFormatting>
  <conditionalFormatting sqref="F11:S11">
    <cfRule type="expression" dxfId="50" priority="2">
      <formula>E11="NO SE REPORTA"</formula>
    </cfRule>
    <cfRule type="expression" dxfId="49" priority="3">
      <formula>E10="NO APLICA"</formula>
    </cfRule>
  </conditionalFormatting>
  <conditionalFormatting sqref="E12:R12">
    <cfRule type="expression" dxfId="48"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8:H18" xr:uid="{4A376DA0-36E1-4528-9420-8ACCD2FE3E3E}">
      <formula1>0</formula1>
    </dataValidation>
    <dataValidation type="whole" operator="greaterThanOrEqual" allowBlank="1" showInputMessage="1" showErrorMessage="1" errorTitle="ERROR" error="Valor en PESOS (sin centavos)" sqref="F44:I58" xr:uid="{00000000-0002-0000-1D00-000001000000}">
      <formula1>0</formula1>
    </dataValidation>
    <dataValidation type="decimal" allowBlank="1" showInputMessage="1" showErrorMessage="1" errorTitle="ERROR" error="Escriba un valor entre 0% y 100%" sqref="F23:H37" xr:uid="{00000000-0002-0000-1D00-000002000000}">
      <formula1>0</formula1>
      <formula2>1</formula2>
    </dataValidation>
    <dataValidation allowBlank="1" showInputMessage="1" showErrorMessage="1" sqref="G59:I59 H38 J44:K59 I23:I38" xr:uid="{00000000-0002-0000-1D00-000003000000}"/>
    <dataValidation type="list" allowBlank="1" showInputMessage="1" showErrorMessage="1" sqref="E11" xr:uid="{00000000-0002-0000-1D00-000004000000}">
      <formula1>REPORTE</formula1>
    </dataValidation>
    <dataValidation type="list" allowBlank="1" showInputMessage="1" showErrorMessage="1" sqref="E10" xr:uid="{00000000-0002-0000-1D00-000005000000}">
      <formula1>SI</formula1>
    </dataValidation>
  </dataValidations>
  <hyperlinks>
    <hyperlink ref="B9" location="'ANEXO 3'!A1" display="VOLVER AL INDICE" xr:uid="{00000000-0004-0000-1D00-000000000000}"/>
    <hyperlink ref="E70" r:id="rId1" xr:uid="{00000000-0004-0000-1D00-000001000000}"/>
  </hyperlinks>
  <pageMargins left="0.25" right="0.25" top="0.75" bottom="0.75" header="0.3" footer="0.3"/>
  <pageSetup paperSize="178" orientation="landscape" horizontalDpi="1200" verticalDpi="1200"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0"/>
  <dimension ref="A1:U177"/>
  <sheetViews>
    <sheetView showGridLines="0" topLeftCell="A49" zoomScale="70" zoomScaleNormal="70" workbookViewId="0">
      <selection activeCell="J38" sqref="J38"/>
    </sheetView>
  </sheetViews>
  <sheetFormatPr baseColWidth="10" defaultRowHeight="15" x14ac:dyDescent="0.25"/>
  <cols>
    <col min="1" max="1" width="1.85546875" customWidth="1"/>
    <col min="2" max="2" width="10.85546875" customWidth="1"/>
    <col min="3" max="3" width="5" style="87" bestFit="1" customWidth="1"/>
    <col min="4" max="4" width="34.85546875" customWidth="1"/>
    <col min="5" max="5" width="18.140625" customWidth="1"/>
    <col min="6" max="6" width="21.85546875" customWidth="1"/>
  </cols>
  <sheetData>
    <row r="1" spans="1:21" s="538" customFormat="1" ht="100.5" customHeight="1" thickBot="1" x14ac:dyDescent="0.3">
      <c r="A1" s="1733"/>
      <c r="B1" s="1734"/>
      <c r="C1" s="1734"/>
      <c r="D1" s="1734"/>
      <c r="E1" s="1734"/>
      <c r="F1" s="1734"/>
      <c r="G1" s="1734"/>
      <c r="H1" s="1734"/>
      <c r="I1" s="1734"/>
      <c r="J1" s="1734"/>
      <c r="K1" s="1734"/>
      <c r="L1" s="1734"/>
      <c r="M1" s="1734"/>
      <c r="N1" s="1734"/>
      <c r="O1" s="1734"/>
      <c r="P1" s="1735"/>
      <c r="Q1" s="412"/>
      <c r="R1" s="412"/>
    </row>
    <row r="2" spans="1:21" s="539" customFormat="1" ht="16.5" thickBot="1" x14ac:dyDescent="0.3">
      <c r="A2" s="1741" t="str">
        <f>'Datos Generales'!C5</f>
        <v>Corporación Autónoma Regional de La Guajira – CORPOGUAJIRA</v>
      </c>
      <c r="B2" s="1742"/>
      <c r="C2" s="1742"/>
      <c r="D2" s="1742"/>
      <c r="E2" s="1742"/>
      <c r="F2" s="1742"/>
      <c r="G2" s="1742"/>
      <c r="H2" s="1742"/>
      <c r="I2" s="1742"/>
      <c r="J2" s="1742"/>
      <c r="K2" s="1742"/>
      <c r="L2" s="1742"/>
      <c r="M2" s="1742"/>
      <c r="N2" s="1742"/>
      <c r="O2" s="1742"/>
      <c r="P2" s="1743"/>
      <c r="Q2" s="412"/>
      <c r="R2" s="412"/>
    </row>
    <row r="3" spans="1:21" s="539" customFormat="1" ht="16.5" thickBot="1" x14ac:dyDescent="0.3">
      <c r="A3" s="1736" t="s">
        <v>1347</v>
      </c>
      <c r="B3" s="1737"/>
      <c r="C3" s="1737"/>
      <c r="D3" s="1737"/>
      <c r="E3" s="1737"/>
      <c r="F3" s="1737"/>
      <c r="G3" s="1737"/>
      <c r="H3" s="1737"/>
      <c r="I3" s="1737"/>
      <c r="J3" s="1737"/>
      <c r="K3" s="1737"/>
      <c r="L3" s="1737"/>
      <c r="M3" s="1737"/>
      <c r="N3" s="1737"/>
      <c r="O3" s="1737"/>
      <c r="P3" s="1738"/>
      <c r="Q3" s="412"/>
      <c r="R3" s="412"/>
    </row>
    <row r="4" spans="1:21" s="539" customFormat="1" ht="16.5" thickBot="1" x14ac:dyDescent="0.3">
      <c r="A4" s="1739" t="s">
        <v>1346</v>
      </c>
      <c r="B4" s="1740"/>
      <c r="C4" s="1740"/>
      <c r="D4" s="1740"/>
      <c r="E4" s="579" t="str">
        <f>'Datos Generales'!C6</f>
        <v>2021-I</v>
      </c>
      <c r="F4" s="579"/>
      <c r="G4" s="579"/>
      <c r="H4" s="579"/>
      <c r="I4" s="579"/>
      <c r="J4" s="579"/>
      <c r="K4" s="579"/>
      <c r="L4" s="581"/>
      <c r="M4" s="581"/>
      <c r="N4" s="581"/>
      <c r="O4" s="581"/>
      <c r="P4" s="582"/>
      <c r="Q4" s="412"/>
      <c r="R4" s="412"/>
    </row>
    <row r="5" spans="1:21" s="245" customFormat="1" ht="16.5" customHeight="1" thickBot="1" x14ac:dyDescent="0.3">
      <c r="A5" s="1736" t="s">
        <v>770</v>
      </c>
      <c r="B5" s="1737"/>
      <c r="C5" s="1737"/>
      <c r="D5" s="1737"/>
      <c r="E5" s="1737"/>
      <c r="F5" s="1737"/>
      <c r="G5" s="1737"/>
      <c r="H5" s="1737"/>
      <c r="I5" s="1737"/>
      <c r="J5" s="1737"/>
      <c r="K5" s="1737"/>
      <c r="L5" s="1737"/>
      <c r="M5" s="1737"/>
      <c r="N5" s="1737"/>
      <c r="O5" s="1737"/>
      <c r="P5" s="1738"/>
    </row>
    <row r="6" spans="1:21" x14ac:dyDescent="0.25">
      <c r="B6" s="2" t="s">
        <v>1</v>
      </c>
      <c r="C6" s="76"/>
      <c r="D6" s="6"/>
      <c r="E6" s="74"/>
      <c r="F6" s="6" t="s">
        <v>128</v>
      </c>
      <c r="G6" s="6"/>
      <c r="H6" s="6"/>
      <c r="I6" s="6"/>
      <c r="J6" s="6"/>
      <c r="K6" s="6"/>
    </row>
    <row r="7" spans="1:21" ht="15.75" thickBot="1" x14ac:dyDescent="0.3">
      <c r="B7" s="75"/>
      <c r="C7" s="77"/>
      <c r="D7" s="6"/>
      <c r="E7" s="18"/>
      <c r="F7" s="6" t="s">
        <v>129</v>
      </c>
      <c r="G7" s="6"/>
      <c r="H7" s="6"/>
      <c r="I7" s="6"/>
      <c r="J7" s="6"/>
      <c r="K7" s="6"/>
    </row>
    <row r="8" spans="1:21" ht="15.75" thickBot="1" x14ac:dyDescent="0.3">
      <c r="B8" s="177" t="s">
        <v>1185</v>
      </c>
      <c r="C8" s="222">
        <v>2021</v>
      </c>
      <c r="D8" s="226">
        <f>IF(E10="NO APLICA","NO APLICA",IF(E11="NO SE REPORTA","SIN INFORMACION",+F39))</f>
        <v>0.99900000000000011</v>
      </c>
      <c r="E8" s="223"/>
      <c r="F8" s="6" t="s">
        <v>130</v>
      </c>
      <c r="G8" s="6"/>
      <c r="H8" s="6"/>
      <c r="I8" s="6"/>
      <c r="J8" s="6"/>
      <c r="K8" s="6"/>
    </row>
    <row r="9" spans="1:21" x14ac:dyDescent="0.25">
      <c r="B9" s="493" t="s">
        <v>1186</v>
      </c>
      <c r="D9" s="6"/>
      <c r="E9" s="6"/>
      <c r="F9" s="6"/>
      <c r="G9" s="6"/>
      <c r="H9" s="6"/>
      <c r="I9" s="6"/>
      <c r="J9" s="6"/>
      <c r="K9" s="6"/>
    </row>
    <row r="10" spans="1:21" s="412" customFormat="1" x14ac:dyDescent="0.25">
      <c r="A10" s="245"/>
      <c r="B10" s="1789" t="s">
        <v>1241</v>
      </c>
      <c r="C10" s="1789"/>
      <c r="D10" s="1789"/>
      <c r="E10" s="499" t="s">
        <v>1238</v>
      </c>
      <c r="F10" s="17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96"/>
      <c r="H10" s="1796"/>
      <c r="I10" s="1796"/>
      <c r="J10" s="1796"/>
      <c r="K10" s="1796"/>
      <c r="L10" s="1796"/>
      <c r="M10" s="1796"/>
      <c r="N10" s="1796"/>
      <c r="O10" s="1796"/>
      <c r="P10" s="1796"/>
      <c r="Q10" s="1796"/>
      <c r="R10" s="1796"/>
      <c r="S10" s="1796"/>
      <c r="T10" s="495"/>
      <c r="U10" s="495"/>
    </row>
    <row r="11" spans="1:21" s="412" customFormat="1" ht="14.45" customHeight="1" x14ac:dyDescent="0.25">
      <c r="A11" s="245"/>
      <c r="B11" s="496"/>
      <c r="C11" s="497"/>
      <c r="D11" s="498" t="str">
        <f>IF(E10="SI APLICA","¿El indicador no se reporta por limitaciones de información disponible? ","")</f>
        <v xml:space="preserve">¿El indicador no se reporta por limitaciones de información disponible? </v>
      </c>
      <c r="E11" s="500" t="s">
        <v>1240</v>
      </c>
      <c r="F11" s="1790"/>
      <c r="G11" s="1791"/>
      <c r="H11" s="1791"/>
      <c r="I11" s="1791"/>
      <c r="J11" s="1791"/>
      <c r="K11" s="1791"/>
      <c r="L11" s="1791"/>
      <c r="M11" s="1791"/>
      <c r="N11" s="1791"/>
      <c r="O11" s="1791"/>
      <c r="P11" s="1791"/>
      <c r="Q11" s="1791"/>
      <c r="R11" s="1791"/>
      <c r="S11" s="1791"/>
    </row>
    <row r="12" spans="1:21" s="412" customFormat="1" ht="23.45" customHeight="1" x14ac:dyDescent="0.25">
      <c r="A12" s="245"/>
      <c r="B12" s="493"/>
      <c r="C12" s="304"/>
      <c r="D12" s="498" t="str">
        <f>IF(E11="SI SE REPORTA","¿Qué programas o proyectos del Plan de Acción están asociados al indicador? ","")</f>
        <v xml:space="preserve">¿Qué programas o proyectos del Plan de Acción están asociados al indicador? </v>
      </c>
      <c r="E12" s="1799" t="str">
        <f>+'Anexo 1 Matriz Inf Gestión'!A105</f>
        <v>Proyecto No 3.4. Negocios verdes y sostenibles.</v>
      </c>
      <c r="F12" s="1799"/>
      <c r="G12" s="1799"/>
      <c r="H12" s="1799"/>
      <c r="I12" s="1799"/>
      <c r="J12" s="1799"/>
      <c r="K12" s="1799"/>
      <c r="L12" s="1799"/>
      <c r="M12" s="1799"/>
      <c r="N12" s="1799"/>
      <c r="O12" s="1799"/>
      <c r="P12" s="1799"/>
      <c r="Q12" s="1799"/>
      <c r="R12" s="1799"/>
    </row>
    <row r="13" spans="1:21" s="412" customFormat="1" ht="21.95" customHeight="1" x14ac:dyDescent="0.25">
      <c r="A13" s="245"/>
      <c r="B13" s="493"/>
      <c r="C13" s="304"/>
      <c r="D13" s="498" t="s">
        <v>1243</v>
      </c>
      <c r="E13" s="1792" t="s">
        <v>3057</v>
      </c>
      <c r="F13" s="1793"/>
      <c r="G13" s="1793"/>
      <c r="H13" s="1793"/>
      <c r="I13" s="1793"/>
      <c r="J13" s="1793"/>
      <c r="K13" s="1793"/>
      <c r="L13" s="1793"/>
      <c r="M13" s="1793"/>
      <c r="N13" s="1793"/>
      <c r="O13" s="1793"/>
      <c r="P13" s="1793"/>
      <c r="Q13" s="1793"/>
      <c r="R13" s="1794"/>
    </row>
    <row r="14" spans="1:21" s="412" customFormat="1" ht="6.95" customHeight="1" thickBot="1" x14ac:dyDescent="0.3">
      <c r="B14" s="493"/>
      <c r="C14" s="87"/>
      <c r="D14" s="6"/>
      <c r="E14" s="6"/>
      <c r="F14" s="6"/>
      <c r="G14" s="6"/>
      <c r="H14" s="6"/>
      <c r="I14" s="6"/>
      <c r="J14" s="6"/>
      <c r="K14" s="6"/>
    </row>
    <row r="15" spans="1:21" ht="15.6" customHeight="1" thickTop="1" thickBot="1" x14ac:dyDescent="0.3">
      <c r="B15" s="1884" t="s">
        <v>2</v>
      </c>
      <c r="C15" s="89"/>
      <c r="D15" s="1837" t="s">
        <v>336</v>
      </c>
      <c r="E15" s="1838"/>
      <c r="F15" s="1838"/>
      <c r="G15" s="1838"/>
      <c r="H15" s="1838"/>
      <c r="I15" s="1838"/>
      <c r="J15" s="1838"/>
      <c r="K15" s="1838"/>
      <c r="L15" s="1896"/>
    </row>
    <row r="16" spans="1:21" ht="15.75" thickBot="1" x14ac:dyDescent="0.3">
      <c r="B16" s="1885"/>
      <c r="C16" s="90" t="s">
        <v>19</v>
      </c>
      <c r="D16" s="39" t="s">
        <v>253</v>
      </c>
      <c r="E16" s="39" t="s">
        <v>20</v>
      </c>
      <c r="F16" s="39" t="s">
        <v>21</v>
      </c>
      <c r="G16" s="39" t="s">
        <v>22</v>
      </c>
      <c r="H16" s="39" t="s">
        <v>23</v>
      </c>
      <c r="I16" s="39" t="s">
        <v>254</v>
      </c>
      <c r="J16" s="6"/>
      <c r="L16" s="22"/>
    </row>
    <row r="17" spans="2:12" ht="48.75" thickBot="1" x14ac:dyDescent="0.3">
      <c r="B17" s="1885"/>
      <c r="C17" s="91" t="s">
        <v>152</v>
      </c>
      <c r="D17" s="41" t="s">
        <v>821</v>
      </c>
      <c r="E17" s="1224">
        <v>3</v>
      </c>
      <c r="F17" s="993">
        <v>3</v>
      </c>
      <c r="G17" s="993">
        <v>3</v>
      </c>
      <c r="H17" s="993">
        <v>3</v>
      </c>
      <c r="I17" s="42">
        <f>SUM(E17:H17)</f>
        <v>12</v>
      </c>
      <c r="J17" s="6"/>
      <c r="L17" s="22"/>
    </row>
    <row r="18" spans="2:12" ht="15.75" thickBot="1" x14ac:dyDescent="0.3">
      <c r="B18" s="1885"/>
      <c r="C18" s="91" t="s">
        <v>154</v>
      </c>
      <c r="D18" s="41" t="s">
        <v>765</v>
      </c>
      <c r="E18" s="1225">
        <v>152865650</v>
      </c>
      <c r="F18" s="1225">
        <v>117924749</v>
      </c>
      <c r="G18" s="1225"/>
      <c r="H18" s="1225"/>
      <c r="I18" s="141">
        <f>SUM(E18:H18)</f>
        <v>270790399</v>
      </c>
      <c r="J18" s="6"/>
      <c r="L18" s="22"/>
    </row>
    <row r="19" spans="2:12" ht="15.75" thickBot="1" x14ac:dyDescent="0.3">
      <c r="B19" s="1885"/>
      <c r="C19" s="91" t="s">
        <v>156</v>
      </c>
      <c r="D19" s="41" t="s">
        <v>822</v>
      </c>
      <c r="E19" s="197"/>
      <c r="F19" s="197"/>
      <c r="G19" s="197"/>
      <c r="H19" s="197"/>
      <c r="I19" s="141">
        <f>SUM(E19:H19)</f>
        <v>0</v>
      </c>
      <c r="J19" s="6"/>
      <c r="L19" s="22"/>
    </row>
    <row r="20" spans="2:12" x14ac:dyDescent="0.25">
      <c r="B20" s="436"/>
      <c r="C20" s="92"/>
      <c r="D20" s="1843"/>
      <c r="E20" s="1844"/>
      <c r="F20" s="1844"/>
      <c r="G20" s="1844"/>
      <c r="H20" s="1844"/>
      <c r="I20" s="1844"/>
      <c r="J20" s="1844"/>
      <c r="K20" s="1844"/>
      <c r="L20" s="1897"/>
    </row>
    <row r="21" spans="2:12" ht="15.75" thickBot="1" x14ac:dyDescent="0.3">
      <c r="B21" s="436"/>
      <c r="C21" s="92"/>
      <c r="D21" s="1881" t="s">
        <v>823</v>
      </c>
      <c r="E21" s="1882"/>
      <c r="F21" s="1882"/>
      <c r="G21" s="1882"/>
      <c r="H21" s="1882"/>
      <c r="I21" s="1882"/>
      <c r="J21" s="1882"/>
      <c r="K21" s="1882"/>
      <c r="L21" s="1899"/>
    </row>
    <row r="22" spans="2:12" ht="15" customHeight="1" thickBot="1" x14ac:dyDescent="0.3">
      <c r="B22" s="436"/>
      <c r="C22" s="1944" t="s">
        <v>19</v>
      </c>
      <c r="D22" s="1826" t="s">
        <v>270</v>
      </c>
      <c r="E22" s="1826" t="s">
        <v>619</v>
      </c>
      <c r="F22" s="1832" t="s">
        <v>620</v>
      </c>
      <c r="G22" s="1834"/>
      <c r="H22" s="1832" t="s">
        <v>690</v>
      </c>
      <c r="I22" s="1833"/>
      <c r="J22" s="1833"/>
      <c r="K22" s="1834"/>
      <c r="L22" s="119"/>
    </row>
    <row r="23" spans="2:12" ht="23.25" thickBot="1" x14ac:dyDescent="0.3">
      <c r="B23" s="436"/>
      <c r="C23" s="1945"/>
      <c r="D23" s="1828"/>
      <c r="E23" s="1828"/>
      <c r="F23" s="65" t="s">
        <v>621</v>
      </c>
      <c r="G23" s="66" t="s">
        <v>622</v>
      </c>
      <c r="H23" s="65" t="s">
        <v>765</v>
      </c>
      <c r="I23" s="65" t="s">
        <v>344</v>
      </c>
      <c r="J23" s="65" t="s">
        <v>274</v>
      </c>
      <c r="K23" s="65" t="s">
        <v>275</v>
      </c>
      <c r="L23" s="12"/>
    </row>
    <row r="24" spans="2:12" ht="23.25" thickBot="1" x14ac:dyDescent="0.3">
      <c r="B24" s="436"/>
      <c r="C24" s="379">
        <v>1</v>
      </c>
      <c r="D24" s="1226" t="s">
        <v>2729</v>
      </c>
      <c r="E24" s="1227" t="s">
        <v>3300</v>
      </c>
      <c r="F24" s="1122">
        <v>1</v>
      </c>
      <c r="G24" s="1122">
        <v>0.25</v>
      </c>
      <c r="H24" s="1228">
        <v>39308249</v>
      </c>
      <c r="I24" s="1228">
        <v>39308249</v>
      </c>
      <c r="J24" s="1228">
        <v>39308249</v>
      </c>
      <c r="K24" s="1228">
        <v>39308249</v>
      </c>
      <c r="L24" s="12"/>
    </row>
    <row r="25" spans="2:12" ht="48.75" thickBot="1" x14ac:dyDescent="0.3">
      <c r="B25" s="436"/>
      <c r="C25" s="379">
        <v>2</v>
      </c>
      <c r="D25" s="1229" t="s">
        <v>2730</v>
      </c>
      <c r="E25" s="1222" t="s">
        <v>825</v>
      </c>
      <c r="F25" s="1122">
        <v>1</v>
      </c>
      <c r="G25" s="1122">
        <v>0.25</v>
      </c>
      <c r="H25" s="1228">
        <v>39308249</v>
      </c>
      <c r="I25" s="1228">
        <v>39308249</v>
      </c>
      <c r="J25" s="1228">
        <v>39308249</v>
      </c>
      <c r="K25" s="1228">
        <v>39308249</v>
      </c>
      <c r="L25" s="12"/>
    </row>
    <row r="26" spans="2:12" ht="72.75" thickBot="1" x14ac:dyDescent="0.3">
      <c r="B26" s="436"/>
      <c r="C26" s="379">
        <v>3</v>
      </c>
      <c r="D26" s="1230" t="s">
        <v>2731</v>
      </c>
      <c r="E26" s="1222" t="s">
        <v>824</v>
      </c>
      <c r="F26" s="1122">
        <v>1</v>
      </c>
      <c r="G26" s="1122">
        <v>0.25</v>
      </c>
      <c r="H26" s="1228">
        <v>39308249</v>
      </c>
      <c r="I26" s="1228">
        <v>39308249</v>
      </c>
      <c r="J26" s="1228">
        <v>39308249</v>
      </c>
      <c r="K26" s="1228">
        <v>39308249</v>
      </c>
      <c r="L26" s="12"/>
    </row>
    <row r="27" spans="2:12" ht="15.75" thickBot="1" x14ac:dyDescent="0.3">
      <c r="B27" s="436"/>
      <c r="C27" s="379">
        <v>4</v>
      </c>
      <c r="D27" s="479"/>
      <c r="E27" s="30"/>
      <c r="F27" s="1231"/>
      <c r="G27" s="1231"/>
      <c r="H27" s="479"/>
      <c r="I27" s="1232"/>
      <c r="J27" s="1232"/>
      <c r="K27" s="1233"/>
      <c r="L27" s="12"/>
    </row>
    <row r="28" spans="2:12" ht="15.75" thickBot="1" x14ac:dyDescent="0.3">
      <c r="B28" s="436"/>
      <c r="C28" s="379">
        <v>5</v>
      </c>
      <c r="D28" s="31"/>
      <c r="E28" s="30"/>
      <c r="F28" s="32"/>
      <c r="G28" s="32"/>
      <c r="H28" s="1225"/>
      <c r="I28" s="197"/>
      <c r="J28" s="1225"/>
      <c r="K28" s="197"/>
      <c r="L28" s="12"/>
    </row>
    <row r="29" spans="2:12" ht="15.75" thickBot="1" x14ac:dyDescent="0.3">
      <c r="B29" s="436"/>
      <c r="C29" s="379">
        <v>6</v>
      </c>
      <c r="D29" s="31"/>
      <c r="E29" s="30"/>
      <c r="F29" s="32"/>
      <c r="G29" s="32"/>
      <c r="H29" s="197"/>
      <c r="I29" s="197"/>
      <c r="J29" s="197"/>
      <c r="K29" s="197"/>
      <c r="L29" s="12"/>
    </row>
    <row r="30" spans="2:12" ht="15.75" thickBot="1" x14ac:dyDescent="0.3">
      <c r="B30" s="436"/>
      <c r="C30" s="76"/>
      <c r="D30" s="45" t="s">
        <v>151</v>
      </c>
      <c r="E30" s="132"/>
      <c r="F30" s="133"/>
      <c r="G30" s="134"/>
      <c r="H30" s="142">
        <f>SUM(H24:H29)</f>
        <v>117924747</v>
      </c>
      <c r="I30" s="142">
        <f>SUM(I24:I29)</f>
        <v>117924747</v>
      </c>
      <c r="J30" s="142">
        <f>SUM(J24:J29)</f>
        <v>117924747</v>
      </c>
      <c r="K30" s="142">
        <f>SUM(K24:K29)</f>
        <v>117924747</v>
      </c>
      <c r="L30" s="13"/>
    </row>
    <row r="31" spans="2:12" x14ac:dyDescent="0.25">
      <c r="B31" s="436"/>
      <c r="C31" s="92"/>
      <c r="D31" s="1843" t="s">
        <v>826</v>
      </c>
      <c r="E31" s="1844"/>
      <c r="F31" s="1844"/>
      <c r="G31" s="1844"/>
      <c r="H31" s="1844"/>
      <c r="I31" s="1844"/>
      <c r="J31" s="1844"/>
      <c r="K31" s="1844"/>
      <c r="L31" s="1897"/>
    </row>
    <row r="32" spans="2:12" ht="24" customHeight="1" thickBot="1" x14ac:dyDescent="0.3">
      <c r="B32" s="436"/>
      <c r="C32" s="92"/>
      <c r="D32" s="1843" t="s">
        <v>827</v>
      </c>
      <c r="E32" s="1844"/>
      <c r="F32" s="1844"/>
      <c r="G32" s="1844"/>
      <c r="H32" s="1844"/>
      <c r="I32" s="1844"/>
      <c r="J32" s="1844"/>
      <c r="K32" s="1844"/>
      <c r="L32" s="1897"/>
    </row>
    <row r="33" spans="2:14" ht="15.75" thickBot="1" x14ac:dyDescent="0.3">
      <c r="B33" s="436"/>
      <c r="C33" s="2019" t="s">
        <v>19</v>
      </c>
      <c r="D33" s="1984" t="s">
        <v>694</v>
      </c>
      <c r="E33" s="67" t="s">
        <v>828</v>
      </c>
      <c r="F33" s="1987" t="s">
        <v>695</v>
      </c>
      <c r="G33" s="1988"/>
      <c r="H33" s="2022" t="s">
        <v>55</v>
      </c>
      <c r="I33" s="6"/>
      <c r="J33" s="6"/>
      <c r="L33" s="22"/>
    </row>
    <row r="34" spans="2:14" x14ac:dyDescent="0.25">
      <c r="B34" s="436"/>
      <c r="C34" s="2020"/>
      <c r="D34" s="1985"/>
      <c r="E34" s="1826" t="s">
        <v>829</v>
      </c>
      <c r="F34" s="1826" t="s">
        <v>696</v>
      </c>
      <c r="G34" s="46" t="s">
        <v>697</v>
      </c>
      <c r="H34" s="2023"/>
      <c r="I34" s="6"/>
      <c r="J34" s="6"/>
      <c r="L34" s="22"/>
    </row>
    <row r="35" spans="2:14" ht="24.75" thickBot="1" x14ac:dyDescent="0.3">
      <c r="B35" s="436"/>
      <c r="C35" s="2021"/>
      <c r="D35" s="1986"/>
      <c r="E35" s="1828"/>
      <c r="F35" s="1828"/>
      <c r="G35" s="41" t="s">
        <v>692</v>
      </c>
      <c r="H35" s="2024"/>
      <c r="I35" s="6"/>
      <c r="J35" s="6"/>
      <c r="L35" s="22"/>
    </row>
    <row r="36" spans="2:14" ht="15.75" thickBot="1" x14ac:dyDescent="0.3">
      <c r="B36" s="436"/>
      <c r="C36" s="455">
        <v>1</v>
      </c>
      <c r="D36" s="481">
        <v>0.33300000000000002</v>
      </c>
      <c r="E36" s="164">
        <v>1</v>
      </c>
      <c r="F36" s="148">
        <f t="shared" ref="F36:G38" si="0">IFERROR(J24/I24,0)</f>
        <v>1</v>
      </c>
      <c r="G36" s="148">
        <f t="shared" si="0"/>
        <v>1</v>
      </c>
      <c r="H36" s="31"/>
      <c r="I36" s="6"/>
      <c r="J36" s="6"/>
      <c r="L36" s="22"/>
    </row>
    <row r="37" spans="2:14" ht="15.75" thickBot="1" x14ac:dyDescent="0.3">
      <c r="B37" s="436"/>
      <c r="C37" s="455">
        <v>2</v>
      </c>
      <c r="D37" s="481">
        <v>0.33300000000000002</v>
      </c>
      <c r="E37" s="164">
        <v>1</v>
      </c>
      <c r="F37" s="148">
        <f t="shared" si="0"/>
        <v>1</v>
      </c>
      <c r="G37" s="148">
        <f t="shared" si="0"/>
        <v>1</v>
      </c>
      <c r="H37" s="31"/>
      <c r="I37" s="6"/>
      <c r="J37" s="6"/>
      <c r="L37" s="22"/>
    </row>
    <row r="38" spans="2:14" ht="15.75" thickBot="1" x14ac:dyDescent="0.3">
      <c r="B38" s="436"/>
      <c r="C38" s="455">
        <v>3</v>
      </c>
      <c r="D38" s="481">
        <v>0.33300000000000002</v>
      </c>
      <c r="E38" s="164">
        <v>1</v>
      </c>
      <c r="F38" s="148">
        <f t="shared" si="0"/>
        <v>1</v>
      </c>
      <c r="G38" s="148">
        <f t="shared" si="0"/>
        <v>1</v>
      </c>
      <c r="H38" s="31"/>
      <c r="I38" s="6"/>
      <c r="J38" s="6"/>
      <c r="L38" s="22"/>
    </row>
    <row r="39" spans="2:14" ht="15.75" thickBot="1" x14ac:dyDescent="0.3">
      <c r="B39" s="437"/>
      <c r="C39" s="106"/>
      <c r="D39" s="207" t="str">
        <f>Formulas!$D$24</f>
        <v>ERROR: LA SUMA DE LA COLUMNA DEBE SER 100%</v>
      </c>
      <c r="E39" s="215">
        <f>+D36*E36+D37*E37+D38*E38</f>
        <v>0.99900000000000011</v>
      </c>
      <c r="F39" s="215">
        <f>D36*F36+D37*F37+D38*F38</f>
        <v>0.99900000000000011</v>
      </c>
      <c r="G39" s="148">
        <f>Formulas!F24</f>
        <v>1</v>
      </c>
      <c r="H39" s="31"/>
      <c r="I39" s="23"/>
      <c r="J39" s="23"/>
      <c r="K39" s="23"/>
      <c r="L39" s="24"/>
      <c r="N39" t="s">
        <v>1195</v>
      </c>
    </row>
    <row r="40" spans="2:14" ht="15.75" thickBot="1" x14ac:dyDescent="0.3">
      <c r="B40" s="38"/>
      <c r="C40" s="88"/>
      <c r="D40" s="6"/>
      <c r="E40" s="6"/>
      <c r="F40" s="6"/>
      <c r="G40" s="6"/>
      <c r="H40" s="6"/>
      <c r="I40" s="6"/>
      <c r="J40" s="6"/>
      <c r="K40" s="6"/>
    </row>
    <row r="41" spans="2:14" ht="108.75" thickBot="1" x14ac:dyDescent="0.3">
      <c r="B41" s="52" t="s">
        <v>34</v>
      </c>
      <c r="C41" s="98"/>
      <c r="D41" s="43" t="s">
        <v>830</v>
      </c>
      <c r="E41" s="6"/>
      <c r="F41" s="6"/>
      <c r="G41" s="6"/>
      <c r="H41" s="6"/>
      <c r="I41" s="6"/>
      <c r="J41" s="6"/>
      <c r="K41" s="6"/>
    </row>
    <row r="42" spans="2:14" ht="48.6" customHeight="1" thickBot="1" x14ac:dyDescent="0.3">
      <c r="B42" s="47" t="s">
        <v>36</v>
      </c>
      <c r="C42" s="3"/>
      <c r="D42" s="41" t="s">
        <v>346</v>
      </c>
      <c r="E42" s="6"/>
      <c r="F42" s="6"/>
      <c r="G42" s="6"/>
      <c r="H42" s="6"/>
      <c r="I42" s="6"/>
      <c r="J42" s="6"/>
      <c r="K42" s="6"/>
    </row>
    <row r="43" spans="2:14" ht="15.75" thickBot="1" x14ac:dyDescent="0.3">
      <c r="B43" s="2"/>
      <c r="C43" s="76"/>
      <c r="D43" s="6"/>
      <c r="E43" s="6"/>
      <c r="F43" s="6"/>
      <c r="G43" s="6"/>
      <c r="H43" s="6"/>
      <c r="I43" s="6"/>
      <c r="J43" s="6"/>
      <c r="K43" s="6"/>
    </row>
    <row r="44" spans="2:14" ht="24" customHeight="1" thickBot="1" x14ac:dyDescent="0.3">
      <c r="B44" s="1829" t="s">
        <v>38</v>
      </c>
      <c r="C44" s="1830"/>
      <c r="D44" s="1830"/>
      <c r="E44" s="1831"/>
      <c r="F44" s="6"/>
      <c r="G44" s="6"/>
      <c r="H44" s="6"/>
      <c r="I44" s="6"/>
      <c r="J44" s="6"/>
      <c r="K44" s="6"/>
    </row>
    <row r="45" spans="2:14" ht="15.75" thickBot="1" x14ac:dyDescent="0.3">
      <c r="B45" s="1826">
        <v>1</v>
      </c>
      <c r="C45" s="94"/>
      <c r="D45" s="48" t="s">
        <v>39</v>
      </c>
      <c r="E45" s="167" t="s">
        <v>2849</v>
      </c>
      <c r="F45" s="6"/>
      <c r="G45" s="6"/>
      <c r="H45" s="6"/>
      <c r="I45" s="6"/>
      <c r="J45" s="6"/>
      <c r="K45" s="6"/>
    </row>
    <row r="46" spans="2:14" ht="15.75" thickBot="1" x14ac:dyDescent="0.3">
      <c r="B46" s="1827"/>
      <c r="C46" s="94"/>
      <c r="D46" s="41" t="s">
        <v>40</v>
      </c>
      <c r="E46" s="167" t="s">
        <v>3259</v>
      </c>
      <c r="F46" s="6"/>
      <c r="G46" s="6"/>
      <c r="H46" s="6"/>
      <c r="I46" s="6"/>
      <c r="J46" s="6"/>
      <c r="K46" s="6"/>
    </row>
    <row r="47" spans="2:14" ht="15.75" thickBot="1" x14ac:dyDescent="0.3">
      <c r="B47" s="1827"/>
      <c r="C47" s="94"/>
      <c r="D47" s="41" t="s">
        <v>41</v>
      </c>
      <c r="E47" s="167" t="s">
        <v>3299</v>
      </c>
      <c r="F47" s="6"/>
      <c r="G47" s="6"/>
      <c r="H47" s="6"/>
      <c r="I47" s="6"/>
      <c r="J47" s="6"/>
      <c r="K47" s="6"/>
    </row>
    <row r="48" spans="2:14" ht="15.75" thickBot="1" x14ac:dyDescent="0.3">
      <c r="B48" s="1827"/>
      <c r="C48" s="94"/>
      <c r="D48" s="41" t="s">
        <v>42</v>
      </c>
      <c r="E48" s="167" t="s">
        <v>3218</v>
      </c>
      <c r="F48" s="6"/>
      <c r="G48" s="6"/>
      <c r="H48" s="6"/>
      <c r="I48" s="6"/>
      <c r="J48" s="6"/>
      <c r="K48" s="6"/>
    </row>
    <row r="49" spans="2:11" ht="15.75" thickBot="1" x14ac:dyDescent="0.3">
      <c r="B49" s="1827"/>
      <c r="C49" s="94"/>
      <c r="D49" s="41" t="s">
        <v>43</v>
      </c>
      <c r="E49" s="1406" t="s">
        <v>3271</v>
      </c>
      <c r="F49" s="6"/>
      <c r="G49" s="6"/>
      <c r="H49" s="6"/>
      <c r="I49" s="6"/>
      <c r="J49" s="6"/>
      <c r="K49" s="6"/>
    </row>
    <row r="50" spans="2:11" ht="15.75" thickBot="1" x14ac:dyDescent="0.3">
      <c r="B50" s="1827"/>
      <c r="C50" s="94"/>
      <c r="D50" s="41" t="s">
        <v>44</v>
      </c>
      <c r="E50" s="167" t="s">
        <v>3327</v>
      </c>
      <c r="F50" s="6"/>
      <c r="G50" s="6"/>
      <c r="H50" s="6"/>
      <c r="I50" s="6"/>
      <c r="J50" s="6"/>
      <c r="K50" s="6"/>
    </row>
    <row r="51" spans="2:11" ht="15.75" thickBot="1" x14ac:dyDescent="0.3">
      <c r="B51" s="1828"/>
      <c r="C51" s="3"/>
      <c r="D51" s="41" t="s">
        <v>45</v>
      </c>
      <c r="E51" s="167" t="s">
        <v>2852</v>
      </c>
      <c r="F51" s="6"/>
      <c r="G51" s="6"/>
      <c r="H51" s="6"/>
      <c r="I51" s="6"/>
      <c r="J51" s="6"/>
      <c r="K51" s="6"/>
    </row>
    <row r="52" spans="2:11" ht="15.75" thickBot="1" x14ac:dyDescent="0.3">
      <c r="B52" s="2"/>
      <c r="C52" s="76"/>
      <c r="D52" s="6"/>
      <c r="E52" s="6"/>
      <c r="F52" s="6"/>
      <c r="G52" s="6"/>
      <c r="H52" s="6"/>
      <c r="I52" s="6"/>
      <c r="J52" s="6"/>
      <c r="K52" s="6"/>
    </row>
    <row r="53" spans="2:11" ht="15.75" thickBot="1" x14ac:dyDescent="0.3">
      <c r="B53" s="1829" t="s">
        <v>46</v>
      </c>
      <c r="C53" s="1830"/>
      <c r="D53" s="1830"/>
      <c r="E53" s="1831"/>
      <c r="F53" s="6"/>
      <c r="G53" s="6"/>
      <c r="H53" s="6"/>
      <c r="I53" s="6"/>
      <c r="J53" s="6"/>
      <c r="K53" s="6"/>
    </row>
    <row r="54" spans="2:11" ht="15.75" thickBot="1" x14ac:dyDescent="0.3">
      <c r="B54" s="1826">
        <v>1</v>
      </c>
      <c r="C54" s="94"/>
      <c r="D54" s="48" t="s">
        <v>39</v>
      </c>
      <c r="E54" s="444" t="s">
        <v>47</v>
      </c>
      <c r="F54" s="6"/>
      <c r="G54" s="6"/>
      <c r="H54" s="6"/>
      <c r="I54" s="6"/>
      <c r="J54" s="6"/>
      <c r="K54" s="6"/>
    </row>
    <row r="55" spans="2:11" ht="15.75" thickBot="1" x14ac:dyDescent="0.3">
      <c r="B55" s="1827"/>
      <c r="C55" s="94"/>
      <c r="D55" s="41" t="s">
        <v>40</v>
      </c>
      <c r="E55" s="444" t="s">
        <v>160</v>
      </c>
      <c r="F55" s="6"/>
      <c r="G55" s="6"/>
      <c r="H55" s="6"/>
      <c r="I55" s="6"/>
      <c r="J55" s="6"/>
      <c r="K55" s="6"/>
    </row>
    <row r="56" spans="2:11" ht="15.75" thickBot="1" x14ac:dyDescent="0.3">
      <c r="B56" s="1827"/>
      <c r="C56" s="94"/>
      <c r="D56" s="41" t="s">
        <v>41</v>
      </c>
      <c r="E56" s="172"/>
      <c r="F56" s="6"/>
      <c r="G56" s="6"/>
      <c r="H56" s="6"/>
      <c r="I56" s="6"/>
      <c r="J56" s="6"/>
      <c r="K56" s="6"/>
    </row>
    <row r="57" spans="2:11" ht="15.75" thickBot="1" x14ac:dyDescent="0.3">
      <c r="B57" s="1827"/>
      <c r="C57" s="94"/>
      <c r="D57" s="41" t="s">
        <v>42</v>
      </c>
      <c r="E57" s="172"/>
      <c r="F57" s="6"/>
      <c r="G57" s="6"/>
      <c r="H57" s="6"/>
      <c r="I57" s="6"/>
      <c r="J57" s="6"/>
      <c r="K57" s="6"/>
    </row>
    <row r="58" spans="2:11" ht="15.75" thickBot="1" x14ac:dyDescent="0.3">
      <c r="B58" s="1827"/>
      <c r="C58" s="94"/>
      <c r="D58" s="41" t="s">
        <v>43</v>
      </c>
      <c r="E58" s="172"/>
      <c r="F58" s="6"/>
      <c r="G58" s="6"/>
      <c r="H58" s="6"/>
      <c r="I58" s="6"/>
      <c r="J58" s="6"/>
      <c r="K58" s="6"/>
    </row>
    <row r="59" spans="2:11" ht="15.75" thickBot="1" x14ac:dyDescent="0.3">
      <c r="B59" s="1827"/>
      <c r="C59" s="94"/>
      <c r="D59" s="41" t="s">
        <v>44</v>
      </c>
      <c r="E59" s="172"/>
      <c r="F59" s="6"/>
      <c r="G59" s="6"/>
      <c r="H59" s="6"/>
      <c r="I59" s="6"/>
      <c r="J59" s="6"/>
      <c r="K59" s="6"/>
    </row>
    <row r="60" spans="2:11" ht="15.75" thickBot="1" x14ac:dyDescent="0.3">
      <c r="B60" s="1828"/>
      <c r="C60" s="3"/>
      <c r="D60" s="41" t="s">
        <v>45</v>
      </c>
      <c r="E60" s="172"/>
      <c r="F60" s="6"/>
      <c r="G60" s="6"/>
      <c r="H60" s="6"/>
      <c r="I60" s="6"/>
      <c r="J60" s="6"/>
      <c r="K60" s="6"/>
    </row>
    <row r="61" spans="2:11" ht="15.75" thickBot="1" x14ac:dyDescent="0.3">
      <c r="B61" s="2"/>
      <c r="C61" s="76"/>
      <c r="D61" s="6"/>
      <c r="E61" s="6"/>
      <c r="F61" s="6"/>
      <c r="G61" s="6"/>
      <c r="H61" s="6"/>
      <c r="I61" s="6"/>
      <c r="J61" s="6"/>
      <c r="K61" s="6"/>
    </row>
    <row r="62" spans="2:11" ht="15" customHeight="1" thickBot="1" x14ac:dyDescent="0.3">
      <c r="B62" s="125" t="s">
        <v>49</v>
      </c>
      <c r="C62" s="126"/>
      <c r="D62" s="126"/>
      <c r="E62" s="127"/>
      <c r="G62" s="6"/>
      <c r="H62" s="6"/>
      <c r="I62" s="6"/>
      <c r="J62" s="6"/>
      <c r="K62" s="6"/>
    </row>
    <row r="63" spans="2:11" ht="24.75" thickBot="1" x14ac:dyDescent="0.3">
      <c r="B63" s="47" t="s">
        <v>50</v>
      </c>
      <c r="C63" s="41" t="s">
        <v>51</v>
      </c>
      <c r="D63" s="41" t="s">
        <v>52</v>
      </c>
      <c r="E63" s="41" t="s">
        <v>53</v>
      </c>
      <c r="F63" s="6"/>
      <c r="G63" s="6"/>
      <c r="H63" s="6"/>
      <c r="I63" s="6"/>
      <c r="J63" s="6"/>
    </row>
    <row r="64" spans="2:11" ht="72.75" thickBot="1" x14ac:dyDescent="0.3">
      <c r="B64" s="49">
        <v>42401</v>
      </c>
      <c r="C64" s="41">
        <v>0.01</v>
      </c>
      <c r="D64" s="50" t="s">
        <v>831</v>
      </c>
      <c r="E64" s="41"/>
      <c r="F64" s="6"/>
      <c r="G64" s="6"/>
      <c r="H64" s="6"/>
      <c r="I64" s="6"/>
      <c r="J64" s="6"/>
    </row>
    <row r="65" spans="2:11" ht="15.75" thickBot="1" x14ac:dyDescent="0.3">
      <c r="B65" s="4"/>
      <c r="C65" s="95"/>
      <c r="D65" s="6"/>
      <c r="E65" s="6"/>
      <c r="F65" s="6"/>
      <c r="G65" s="6"/>
      <c r="H65" s="6"/>
      <c r="I65" s="6"/>
      <c r="J65" s="6"/>
      <c r="K65" s="6"/>
    </row>
    <row r="66" spans="2:11" ht="15.75" thickBot="1" x14ac:dyDescent="0.3">
      <c r="B66" s="482" t="s">
        <v>55</v>
      </c>
      <c r="C66" s="96"/>
      <c r="D66" s="6"/>
      <c r="E66" s="6"/>
      <c r="F66" s="6"/>
      <c r="G66" s="6"/>
      <c r="H66" s="6"/>
      <c r="I66" s="6"/>
      <c r="J66" s="6"/>
      <c r="K66" s="6"/>
    </row>
    <row r="67" spans="2:11" x14ac:dyDescent="0.25">
      <c r="B67" s="2013"/>
      <c r="C67" s="2014"/>
      <c r="D67" s="2014"/>
      <c r="E67" s="2015"/>
      <c r="F67" s="6"/>
      <c r="G67" s="6"/>
      <c r="H67" s="6"/>
      <c r="I67" s="6"/>
      <c r="J67" s="6"/>
      <c r="K67" s="6"/>
    </row>
    <row r="68" spans="2:11" ht="15.75" thickBot="1" x14ac:dyDescent="0.3">
      <c r="B68" s="2016"/>
      <c r="C68" s="2017"/>
      <c r="D68" s="2017"/>
      <c r="E68" s="2018"/>
      <c r="F68" s="6"/>
      <c r="G68" s="6"/>
      <c r="H68" s="6"/>
      <c r="I68" s="6"/>
      <c r="J68" s="6"/>
      <c r="K68" s="6"/>
    </row>
    <row r="69" spans="2:11" x14ac:dyDescent="0.25">
      <c r="B69" s="2"/>
      <c r="C69" s="76"/>
      <c r="D69" s="6"/>
      <c r="E69" s="6"/>
      <c r="F69" s="6"/>
      <c r="G69" s="6"/>
      <c r="H69" s="6"/>
      <c r="I69" s="6"/>
      <c r="J69" s="6"/>
      <c r="K69" s="6"/>
    </row>
    <row r="70" spans="2:11" ht="15.75" thickBot="1" x14ac:dyDescent="0.3">
      <c r="B70" s="6"/>
      <c r="D70" s="6"/>
      <c r="E70" s="6"/>
      <c r="F70" s="6"/>
      <c r="G70" s="6"/>
      <c r="H70" s="6"/>
      <c r="I70" s="6"/>
      <c r="J70" s="6"/>
      <c r="K70" s="6"/>
    </row>
    <row r="71" spans="2:11" ht="24.75" thickBot="1" x14ac:dyDescent="0.3">
      <c r="B71" s="51" t="s">
        <v>56</v>
      </c>
      <c r="C71" s="97"/>
      <c r="D71" s="6"/>
      <c r="E71" s="6"/>
      <c r="F71" s="6"/>
      <c r="G71" s="6"/>
      <c r="H71" s="6"/>
      <c r="I71" s="6"/>
      <c r="J71" s="6"/>
      <c r="K71" s="6"/>
    </row>
    <row r="72" spans="2:11" ht="15.75" thickBot="1" x14ac:dyDescent="0.3">
      <c r="B72" s="38"/>
      <c r="C72" s="88"/>
      <c r="D72" s="6"/>
      <c r="E72" s="6"/>
      <c r="F72" s="6"/>
      <c r="G72" s="6"/>
      <c r="H72" s="6"/>
      <c r="I72" s="6"/>
      <c r="J72" s="6"/>
      <c r="K72" s="6"/>
    </row>
    <row r="73" spans="2:11" ht="48.75" thickBot="1" x14ac:dyDescent="0.3">
      <c r="B73" s="52" t="s">
        <v>57</v>
      </c>
      <c r="C73" s="98"/>
      <c r="D73" s="43" t="s">
        <v>771</v>
      </c>
      <c r="E73" s="6"/>
      <c r="F73" s="6"/>
      <c r="G73" s="6"/>
      <c r="H73" s="6"/>
      <c r="I73" s="6"/>
      <c r="J73" s="6"/>
      <c r="K73" s="6"/>
    </row>
    <row r="74" spans="2:11" x14ac:dyDescent="0.25">
      <c r="B74" s="1826" t="s">
        <v>59</v>
      </c>
      <c r="C74" s="94"/>
      <c r="D74" s="53" t="s">
        <v>60</v>
      </c>
      <c r="E74" s="6"/>
      <c r="F74" s="6"/>
      <c r="G74" s="6"/>
      <c r="H74" s="6"/>
      <c r="I74" s="6"/>
      <c r="J74" s="6"/>
      <c r="K74" s="6"/>
    </row>
    <row r="75" spans="2:11" ht="108" x14ac:dyDescent="0.25">
      <c r="B75" s="1827"/>
      <c r="C75" s="94"/>
      <c r="D75" s="46" t="s">
        <v>772</v>
      </c>
      <c r="E75" s="6"/>
      <c r="F75" s="6"/>
      <c r="G75" s="6"/>
      <c r="H75" s="6"/>
      <c r="I75" s="6"/>
      <c r="J75" s="6"/>
      <c r="K75" s="6"/>
    </row>
    <row r="76" spans="2:11" x14ac:dyDescent="0.25">
      <c r="B76" s="1827"/>
      <c r="C76" s="94"/>
      <c r="D76" s="46" t="s">
        <v>773</v>
      </c>
      <c r="E76" s="6"/>
      <c r="F76" s="6"/>
      <c r="G76" s="6"/>
      <c r="H76" s="6"/>
      <c r="I76" s="6"/>
      <c r="J76" s="6"/>
      <c r="K76" s="6"/>
    </row>
    <row r="77" spans="2:11" ht="24" x14ac:dyDescent="0.25">
      <c r="B77" s="1827"/>
      <c r="C77" s="94"/>
      <c r="D77" s="46" t="s">
        <v>774</v>
      </c>
      <c r="E77" s="6"/>
      <c r="F77" s="6"/>
      <c r="G77" s="6"/>
      <c r="H77" s="6"/>
      <c r="I77" s="6"/>
      <c r="J77" s="6"/>
      <c r="K77" s="6"/>
    </row>
    <row r="78" spans="2:11" ht="24" x14ac:dyDescent="0.25">
      <c r="B78" s="1827"/>
      <c r="C78" s="94"/>
      <c r="D78" s="46" t="s">
        <v>775</v>
      </c>
      <c r="E78" s="6"/>
      <c r="F78" s="6"/>
      <c r="G78" s="6"/>
      <c r="H78" s="6"/>
      <c r="I78" s="6"/>
      <c r="J78" s="6"/>
      <c r="K78" s="6"/>
    </row>
    <row r="79" spans="2:11" x14ac:dyDescent="0.25">
      <c r="B79" s="1827"/>
      <c r="C79" s="94"/>
      <c r="D79" s="53" t="s">
        <v>288</v>
      </c>
      <c r="E79" s="6"/>
      <c r="F79" s="6"/>
      <c r="G79" s="6"/>
      <c r="H79" s="6"/>
      <c r="I79" s="6"/>
      <c r="J79" s="6"/>
      <c r="K79" s="6"/>
    </row>
    <row r="80" spans="2:11" ht="24" x14ac:dyDescent="0.25">
      <c r="B80" s="1827"/>
      <c r="C80" s="94"/>
      <c r="D80" s="46" t="s">
        <v>776</v>
      </c>
      <c r="E80" s="6"/>
      <c r="F80" s="6"/>
      <c r="G80" s="6"/>
      <c r="H80" s="6"/>
      <c r="I80" s="6"/>
      <c r="J80" s="6"/>
      <c r="K80" s="6"/>
    </row>
    <row r="81" spans="2:11" x14ac:dyDescent="0.25">
      <c r="B81" s="1827"/>
      <c r="C81" s="94"/>
      <c r="D81" s="46" t="s">
        <v>777</v>
      </c>
      <c r="E81" s="6"/>
      <c r="F81" s="6"/>
      <c r="G81" s="6"/>
      <c r="H81" s="6"/>
      <c r="I81" s="6"/>
      <c r="J81" s="6"/>
      <c r="K81" s="6"/>
    </row>
    <row r="82" spans="2:11" ht="36" x14ac:dyDescent="0.25">
      <c r="B82" s="1827"/>
      <c r="C82" s="94"/>
      <c r="D82" s="46" t="s">
        <v>778</v>
      </c>
      <c r="E82" s="6"/>
      <c r="F82" s="6"/>
      <c r="G82" s="6"/>
      <c r="H82" s="6"/>
      <c r="I82" s="6"/>
      <c r="J82" s="6"/>
      <c r="K82" s="6"/>
    </row>
    <row r="83" spans="2:11" ht="36" x14ac:dyDescent="0.25">
      <c r="B83" s="1827"/>
      <c r="C83" s="94"/>
      <c r="D83" s="46" t="s">
        <v>779</v>
      </c>
      <c r="E83" s="6"/>
      <c r="F83" s="6"/>
      <c r="G83" s="6"/>
      <c r="H83" s="6"/>
      <c r="I83" s="6"/>
      <c r="J83" s="6"/>
      <c r="K83" s="6"/>
    </row>
    <row r="84" spans="2:11" ht="24" x14ac:dyDescent="0.25">
      <c r="B84" s="1827"/>
      <c r="C84" s="94"/>
      <c r="D84" s="46" t="s">
        <v>780</v>
      </c>
      <c r="E84" s="6"/>
      <c r="F84" s="6"/>
      <c r="G84" s="6"/>
      <c r="H84" s="6"/>
      <c r="I84" s="6"/>
      <c r="J84" s="6"/>
      <c r="K84" s="6"/>
    </row>
    <row r="85" spans="2:11" ht="48" x14ac:dyDescent="0.25">
      <c r="B85" s="1827"/>
      <c r="C85" s="94"/>
      <c r="D85" s="46" t="s">
        <v>781</v>
      </c>
      <c r="E85" s="6"/>
      <c r="F85" s="6"/>
      <c r="G85" s="6"/>
      <c r="H85" s="6"/>
      <c r="I85" s="6"/>
      <c r="J85" s="6"/>
      <c r="K85" s="6"/>
    </row>
    <row r="86" spans="2:11" ht="36" x14ac:dyDescent="0.25">
      <c r="B86" s="1827"/>
      <c r="C86" s="94"/>
      <c r="D86" s="46" t="s">
        <v>782</v>
      </c>
      <c r="E86" s="6"/>
      <c r="F86" s="6"/>
      <c r="G86" s="6"/>
      <c r="H86" s="6"/>
      <c r="I86" s="6"/>
      <c r="J86" s="6"/>
      <c r="K86" s="6"/>
    </row>
    <row r="87" spans="2:11" ht="24" x14ac:dyDescent="0.25">
      <c r="B87" s="1827"/>
      <c r="C87" s="94"/>
      <c r="D87" s="46" t="s">
        <v>783</v>
      </c>
      <c r="E87" s="6"/>
      <c r="F87" s="6"/>
      <c r="G87" s="6"/>
      <c r="H87" s="6"/>
      <c r="I87" s="6"/>
      <c r="J87" s="6"/>
      <c r="K87" s="6"/>
    </row>
    <row r="88" spans="2:11" ht="24" x14ac:dyDescent="0.25">
      <c r="B88" s="1827"/>
      <c r="C88" s="94"/>
      <c r="D88" s="46" t="s">
        <v>784</v>
      </c>
      <c r="E88" s="6"/>
      <c r="F88" s="6"/>
      <c r="G88" s="6"/>
      <c r="H88" s="6"/>
      <c r="I88" s="6"/>
      <c r="J88" s="6"/>
      <c r="K88" s="6"/>
    </row>
    <row r="89" spans="2:11" ht="60.75" thickBot="1" x14ac:dyDescent="0.3">
      <c r="B89" s="1828"/>
      <c r="C89" s="3"/>
      <c r="D89" s="56" t="s">
        <v>785</v>
      </c>
      <c r="E89" s="6"/>
      <c r="F89" s="6"/>
      <c r="G89" s="6"/>
      <c r="H89" s="6"/>
      <c r="I89" s="6"/>
      <c r="J89" s="6"/>
      <c r="K89" s="6"/>
    </row>
    <row r="90" spans="2:11" x14ac:dyDescent="0.25">
      <c r="B90" s="1826" t="s">
        <v>72</v>
      </c>
      <c r="C90" s="99"/>
      <c r="D90" s="1826"/>
      <c r="E90" s="6"/>
      <c r="F90" s="6"/>
      <c r="G90" s="6"/>
      <c r="H90" s="6"/>
      <c r="I90" s="6"/>
      <c r="J90" s="6"/>
      <c r="K90" s="6"/>
    </row>
    <row r="91" spans="2:11" ht="15.75" thickBot="1" x14ac:dyDescent="0.3">
      <c r="B91" s="1828"/>
      <c r="C91" s="100"/>
      <c r="D91" s="1828"/>
      <c r="E91" s="6"/>
      <c r="F91" s="6"/>
      <c r="G91" s="6"/>
      <c r="H91" s="6"/>
      <c r="I91" s="6"/>
      <c r="J91" s="6"/>
      <c r="K91" s="6"/>
    </row>
    <row r="92" spans="2:11" ht="144" x14ac:dyDescent="0.25">
      <c r="B92" s="1826" t="s">
        <v>73</v>
      </c>
      <c r="C92" s="94"/>
      <c r="D92" s="46" t="s">
        <v>786</v>
      </c>
      <c r="E92" s="6"/>
      <c r="F92" s="6"/>
      <c r="G92" s="6"/>
      <c r="H92" s="6"/>
      <c r="I92" s="6"/>
      <c r="J92" s="6"/>
      <c r="K92" s="6"/>
    </row>
    <row r="93" spans="2:11" ht="192" x14ac:dyDescent="0.25">
      <c r="B93" s="1827"/>
      <c r="C93" s="94"/>
      <c r="D93" s="46" t="s">
        <v>787</v>
      </c>
      <c r="E93" s="6"/>
      <c r="F93" s="6"/>
      <c r="G93" s="6"/>
      <c r="H93" s="6"/>
      <c r="I93" s="6"/>
      <c r="J93" s="6"/>
      <c r="K93" s="6"/>
    </row>
    <row r="94" spans="2:11" ht="36" x14ac:dyDescent="0.25">
      <c r="B94" s="1827"/>
      <c r="C94" s="94"/>
      <c r="D94" s="46" t="s">
        <v>788</v>
      </c>
      <c r="E94" s="6"/>
      <c r="F94" s="6"/>
      <c r="G94" s="6"/>
      <c r="H94" s="6"/>
      <c r="I94" s="6"/>
      <c r="J94" s="6"/>
      <c r="K94" s="6"/>
    </row>
    <row r="95" spans="2:11" ht="36" x14ac:dyDescent="0.25">
      <c r="B95" s="1827"/>
      <c r="C95" s="94"/>
      <c r="D95" s="46" t="s">
        <v>789</v>
      </c>
      <c r="E95" s="6"/>
      <c r="F95" s="6"/>
      <c r="G95" s="6"/>
      <c r="H95" s="6"/>
      <c r="I95" s="6"/>
      <c r="J95" s="6"/>
      <c r="K95" s="6"/>
    </row>
    <row r="96" spans="2:11" ht="36" x14ac:dyDescent="0.25">
      <c r="B96" s="1827"/>
      <c r="C96" s="94"/>
      <c r="D96" s="46" t="s">
        <v>790</v>
      </c>
      <c r="E96" s="6"/>
      <c r="F96" s="6"/>
      <c r="G96" s="6"/>
      <c r="H96" s="6"/>
      <c r="I96" s="6"/>
      <c r="J96" s="6"/>
      <c r="K96" s="6"/>
    </row>
    <row r="97" spans="2:11" ht="48" x14ac:dyDescent="0.25">
      <c r="B97" s="1827"/>
      <c r="C97" s="94"/>
      <c r="D97" s="46" t="s">
        <v>791</v>
      </c>
      <c r="E97" s="6"/>
      <c r="F97" s="6"/>
      <c r="G97" s="6"/>
      <c r="H97" s="6"/>
      <c r="I97" s="6"/>
      <c r="J97" s="6"/>
      <c r="K97" s="6"/>
    </row>
    <row r="98" spans="2:11" ht="48" x14ac:dyDescent="0.25">
      <c r="B98" s="1827"/>
      <c r="C98" s="94"/>
      <c r="D98" s="46" t="s">
        <v>792</v>
      </c>
      <c r="E98" s="6"/>
      <c r="F98" s="6"/>
      <c r="G98" s="6"/>
      <c r="H98" s="6"/>
      <c r="I98" s="6"/>
      <c r="J98" s="6"/>
      <c r="K98" s="6"/>
    </row>
    <row r="99" spans="2:11" ht="36" x14ac:dyDescent="0.25">
      <c r="B99" s="1827"/>
      <c r="C99" s="94"/>
      <c r="D99" s="26" t="s">
        <v>793</v>
      </c>
      <c r="E99" s="6"/>
      <c r="F99" s="6"/>
      <c r="G99" s="6"/>
      <c r="H99" s="6"/>
      <c r="I99" s="6"/>
      <c r="J99" s="6"/>
      <c r="K99" s="6"/>
    </row>
    <row r="100" spans="2:11" ht="36" x14ac:dyDescent="0.25">
      <c r="B100" s="1827"/>
      <c r="C100" s="94"/>
      <c r="D100" s="26" t="s">
        <v>794</v>
      </c>
      <c r="E100" s="6"/>
      <c r="F100" s="6"/>
      <c r="G100" s="6"/>
      <c r="H100" s="6"/>
      <c r="I100" s="6"/>
      <c r="J100" s="6"/>
      <c r="K100" s="6"/>
    </row>
    <row r="101" spans="2:11" ht="24" x14ac:dyDescent="0.25">
      <c r="B101" s="1827"/>
      <c r="C101" s="94"/>
      <c r="D101" s="26" t="s">
        <v>795</v>
      </c>
      <c r="E101" s="6"/>
      <c r="F101" s="6"/>
      <c r="G101" s="6"/>
      <c r="H101" s="6"/>
      <c r="I101" s="6"/>
      <c r="J101" s="6"/>
      <c r="K101" s="6"/>
    </row>
    <row r="102" spans="2:11" ht="24" x14ac:dyDescent="0.25">
      <c r="B102" s="1827"/>
      <c r="C102" s="94"/>
      <c r="D102" s="26" t="s">
        <v>796</v>
      </c>
      <c r="E102" s="6"/>
      <c r="F102" s="6"/>
      <c r="G102" s="6"/>
      <c r="H102" s="6"/>
      <c r="I102" s="6"/>
      <c r="J102" s="6"/>
      <c r="K102" s="6"/>
    </row>
    <row r="103" spans="2:11" ht="60" x14ac:dyDescent="0.25">
      <c r="B103" s="1827"/>
      <c r="C103" s="94"/>
      <c r="D103" s="26" t="s">
        <v>797</v>
      </c>
      <c r="E103" s="6"/>
      <c r="F103" s="6"/>
      <c r="G103" s="6"/>
      <c r="H103" s="6"/>
      <c r="I103" s="6"/>
      <c r="J103" s="6"/>
      <c r="K103" s="6"/>
    </row>
    <row r="104" spans="2:11" ht="36" x14ac:dyDescent="0.25">
      <c r="B104" s="1827"/>
      <c r="C104" s="94"/>
      <c r="D104" s="26" t="s">
        <v>798</v>
      </c>
      <c r="E104" s="6"/>
      <c r="F104" s="6"/>
      <c r="G104" s="6"/>
      <c r="H104" s="6"/>
      <c r="I104" s="6"/>
      <c r="J104" s="6"/>
      <c r="K104" s="6"/>
    </row>
    <row r="105" spans="2:11" ht="36" x14ac:dyDescent="0.25">
      <c r="B105" s="1827"/>
      <c r="C105" s="94"/>
      <c r="D105" s="26" t="s">
        <v>799</v>
      </c>
      <c r="E105" s="6"/>
      <c r="F105" s="6"/>
      <c r="G105" s="6"/>
      <c r="H105" s="6"/>
      <c r="I105" s="6"/>
      <c r="J105" s="6"/>
      <c r="K105" s="6"/>
    </row>
    <row r="106" spans="2:11" ht="60" x14ac:dyDescent="0.25">
      <c r="B106" s="1827"/>
      <c r="C106" s="94"/>
      <c r="D106" s="26" t="s">
        <v>800</v>
      </c>
      <c r="E106" s="6"/>
      <c r="F106" s="6"/>
      <c r="G106" s="6"/>
      <c r="H106" s="6"/>
      <c r="I106" s="6"/>
      <c r="J106" s="6"/>
      <c r="K106" s="6"/>
    </row>
    <row r="107" spans="2:11" ht="24" x14ac:dyDescent="0.25">
      <c r="B107" s="1827"/>
      <c r="C107" s="94"/>
      <c r="D107" s="26" t="s">
        <v>801</v>
      </c>
      <c r="E107" s="6"/>
      <c r="F107" s="6"/>
      <c r="G107" s="6"/>
      <c r="H107" s="6"/>
      <c r="I107" s="6"/>
      <c r="J107" s="6"/>
      <c r="K107" s="6"/>
    </row>
    <row r="108" spans="2:11" ht="24" x14ac:dyDescent="0.25">
      <c r="B108" s="1827"/>
      <c r="C108" s="94"/>
      <c r="D108" s="26" t="s">
        <v>802</v>
      </c>
      <c r="E108" s="6"/>
      <c r="F108" s="6"/>
      <c r="G108" s="6"/>
      <c r="H108" s="6"/>
      <c r="I108" s="6"/>
      <c r="J108" s="6"/>
      <c r="K108" s="6"/>
    </row>
    <row r="109" spans="2:11" x14ac:dyDescent="0.25">
      <c r="B109" s="1827"/>
      <c r="C109" s="94"/>
      <c r="D109" s="26" t="s">
        <v>803</v>
      </c>
      <c r="E109" s="6"/>
      <c r="F109" s="6"/>
      <c r="G109" s="6"/>
      <c r="H109" s="6"/>
      <c r="I109" s="6"/>
      <c r="J109" s="6"/>
      <c r="K109" s="6"/>
    </row>
    <row r="110" spans="2:11" ht="36" x14ac:dyDescent="0.25">
      <c r="B110" s="1827"/>
      <c r="C110" s="94"/>
      <c r="D110" s="26" t="s">
        <v>804</v>
      </c>
      <c r="E110" s="6"/>
      <c r="F110" s="6"/>
      <c r="G110" s="6"/>
      <c r="H110" s="6"/>
      <c r="I110" s="6"/>
      <c r="J110" s="6"/>
      <c r="K110" s="6"/>
    </row>
    <row r="111" spans="2:11" ht="36" x14ac:dyDescent="0.25">
      <c r="B111" s="1827"/>
      <c r="C111" s="94"/>
      <c r="D111" s="26" t="s">
        <v>805</v>
      </c>
      <c r="E111" s="6"/>
      <c r="F111" s="6"/>
      <c r="G111" s="6"/>
      <c r="H111" s="6"/>
      <c r="I111" s="6"/>
      <c r="J111" s="6"/>
      <c r="K111" s="6"/>
    </row>
    <row r="112" spans="2:11" ht="36" x14ac:dyDescent="0.25">
      <c r="B112" s="1827"/>
      <c r="C112" s="94"/>
      <c r="D112" s="26" t="s">
        <v>806</v>
      </c>
      <c r="E112" s="6"/>
      <c r="F112" s="6"/>
      <c r="G112" s="6"/>
      <c r="H112" s="6"/>
      <c r="I112" s="6"/>
      <c r="J112" s="6"/>
      <c r="K112" s="6"/>
    </row>
    <row r="113" spans="2:11" ht="252" x14ac:dyDescent="0.25">
      <c r="B113" s="1827"/>
      <c r="C113" s="94"/>
      <c r="D113" s="46" t="s">
        <v>807</v>
      </c>
      <c r="E113" s="6"/>
      <c r="F113" s="6"/>
      <c r="G113" s="6"/>
      <c r="H113" s="6"/>
      <c r="I113" s="6"/>
      <c r="J113" s="6"/>
      <c r="K113" s="6"/>
    </row>
    <row r="114" spans="2:11" ht="60.75" thickBot="1" x14ac:dyDescent="0.3">
      <c r="B114" s="1828"/>
      <c r="C114" s="3"/>
      <c r="D114" s="41" t="s">
        <v>808</v>
      </c>
      <c r="E114" s="6"/>
      <c r="F114" s="6"/>
      <c r="G114" s="6"/>
      <c r="H114" s="6"/>
      <c r="I114" s="6"/>
      <c r="J114" s="6"/>
      <c r="K114" s="6"/>
    </row>
    <row r="115" spans="2:11" ht="24" x14ac:dyDescent="0.25">
      <c r="B115" s="1826" t="s">
        <v>90</v>
      </c>
      <c r="C115" s="94"/>
      <c r="D115" s="53" t="s">
        <v>770</v>
      </c>
      <c r="E115" s="6"/>
      <c r="F115" s="6"/>
      <c r="G115" s="6"/>
      <c r="H115" s="6"/>
      <c r="I115" s="6"/>
      <c r="J115" s="6"/>
      <c r="K115" s="6"/>
    </row>
    <row r="116" spans="2:11" ht="20.45" customHeight="1" x14ac:dyDescent="0.25">
      <c r="B116" s="1827"/>
      <c r="C116" s="94"/>
      <c r="D116" s="17"/>
      <c r="E116" s="6"/>
      <c r="F116" s="6"/>
      <c r="G116" s="6"/>
      <c r="H116" s="6"/>
      <c r="I116" s="6"/>
      <c r="J116" s="6"/>
      <c r="K116" s="6"/>
    </row>
    <row r="117" spans="2:11" x14ac:dyDescent="0.25">
      <c r="B117" s="1827"/>
      <c r="C117" s="94"/>
      <c r="D117" s="46" t="s">
        <v>91</v>
      </c>
      <c r="E117" s="6"/>
      <c r="F117" s="6"/>
      <c r="G117" s="6"/>
      <c r="H117" s="6"/>
      <c r="I117" s="6"/>
      <c r="J117" s="6"/>
      <c r="K117" s="6"/>
    </row>
    <row r="118" spans="2:11" ht="37.5" x14ac:dyDescent="0.25">
      <c r="B118" s="1827"/>
      <c r="C118" s="94"/>
      <c r="D118" s="46" t="s">
        <v>809</v>
      </c>
      <c r="E118" s="6"/>
      <c r="F118" s="6"/>
      <c r="G118" s="6"/>
      <c r="H118" s="6"/>
      <c r="I118" s="6"/>
      <c r="J118" s="6"/>
      <c r="K118" s="6"/>
    </row>
    <row r="119" spans="2:11" ht="37.5" x14ac:dyDescent="0.25">
      <c r="B119" s="1827"/>
      <c r="C119" s="94"/>
      <c r="D119" s="46" t="s">
        <v>810</v>
      </c>
      <c r="E119" s="6"/>
      <c r="F119" s="6"/>
      <c r="G119" s="6"/>
      <c r="H119" s="6"/>
      <c r="I119" s="6"/>
      <c r="J119" s="6"/>
      <c r="K119" s="6"/>
    </row>
    <row r="120" spans="2:11" ht="37.5" x14ac:dyDescent="0.25">
      <c r="B120" s="1827"/>
      <c r="C120" s="94"/>
      <c r="D120" s="46" t="s">
        <v>811</v>
      </c>
      <c r="E120" s="6"/>
      <c r="F120" s="6"/>
      <c r="G120" s="6"/>
      <c r="H120" s="6"/>
      <c r="I120" s="6"/>
      <c r="J120" s="6"/>
      <c r="K120" s="6"/>
    </row>
    <row r="121" spans="2:11" ht="37.5" x14ac:dyDescent="0.25">
      <c r="B121" s="1827"/>
      <c r="C121" s="94"/>
      <c r="D121" s="46" t="s">
        <v>812</v>
      </c>
      <c r="E121" s="6"/>
      <c r="F121" s="6"/>
      <c r="G121" s="6"/>
      <c r="H121" s="6"/>
      <c r="I121" s="6"/>
      <c r="J121" s="6"/>
      <c r="K121" s="6"/>
    </row>
    <row r="122" spans="2:11" x14ac:dyDescent="0.25">
      <c r="B122" s="1827"/>
      <c r="C122" s="94"/>
      <c r="D122" s="46" t="s">
        <v>813</v>
      </c>
      <c r="E122" s="6"/>
      <c r="F122" s="6"/>
      <c r="G122" s="6"/>
      <c r="H122" s="6"/>
      <c r="I122" s="6"/>
      <c r="J122" s="6"/>
      <c r="K122" s="6"/>
    </row>
    <row r="123" spans="2:11" x14ac:dyDescent="0.25">
      <c r="B123" s="1827"/>
      <c r="C123" s="94"/>
      <c r="D123" s="46" t="s">
        <v>814</v>
      </c>
      <c r="E123" s="6"/>
      <c r="F123" s="6"/>
      <c r="G123" s="6"/>
      <c r="H123" s="6"/>
      <c r="I123" s="6"/>
      <c r="J123" s="6"/>
      <c r="K123" s="6"/>
    </row>
    <row r="124" spans="2:11" x14ac:dyDescent="0.25">
      <c r="B124" s="1827"/>
      <c r="C124" s="94"/>
      <c r="D124" s="46" t="s">
        <v>815</v>
      </c>
      <c r="E124" s="6"/>
      <c r="F124" s="6"/>
      <c r="G124" s="6"/>
      <c r="H124" s="6"/>
      <c r="I124" s="6"/>
      <c r="J124" s="6"/>
      <c r="K124" s="6"/>
    </row>
    <row r="125" spans="2:11" x14ac:dyDescent="0.25">
      <c r="B125" s="1827"/>
      <c r="C125" s="94"/>
      <c r="D125" s="46" t="s">
        <v>816</v>
      </c>
      <c r="E125" s="6"/>
      <c r="F125" s="6"/>
      <c r="G125" s="6"/>
      <c r="H125" s="6"/>
      <c r="I125" s="6"/>
      <c r="J125" s="6"/>
      <c r="K125" s="6"/>
    </row>
    <row r="126" spans="2:11" ht="84" x14ac:dyDescent="0.25">
      <c r="B126" s="1827"/>
      <c r="C126" s="94"/>
      <c r="D126" s="54" t="s">
        <v>235</v>
      </c>
      <c r="E126" s="6"/>
      <c r="F126" s="6"/>
      <c r="G126" s="6"/>
      <c r="H126" s="6"/>
      <c r="I126" s="6"/>
      <c r="J126" s="6"/>
      <c r="K126" s="6"/>
    </row>
    <row r="127" spans="2:11" x14ac:dyDescent="0.25">
      <c r="B127" s="1827"/>
      <c r="C127" s="94"/>
      <c r="D127" s="46" t="s">
        <v>246</v>
      </c>
      <c r="E127" s="6"/>
      <c r="F127" s="6"/>
      <c r="G127" s="6"/>
      <c r="H127" s="6"/>
      <c r="I127" s="6"/>
      <c r="J127" s="6"/>
      <c r="K127" s="6"/>
    </row>
    <row r="128" spans="2:11" ht="48" x14ac:dyDescent="0.25">
      <c r="B128" s="1827"/>
      <c r="C128" s="94"/>
      <c r="D128" s="53" t="s">
        <v>817</v>
      </c>
      <c r="E128" s="6"/>
      <c r="F128" s="6"/>
      <c r="G128" s="6"/>
      <c r="H128" s="6"/>
      <c r="I128" s="6"/>
      <c r="J128" s="6"/>
      <c r="K128" s="6"/>
    </row>
    <row r="129" spans="2:11" x14ac:dyDescent="0.25">
      <c r="B129" s="1827"/>
      <c r="C129" s="94"/>
      <c r="D129" s="17"/>
      <c r="E129" s="6"/>
      <c r="F129" s="6"/>
      <c r="G129" s="6"/>
      <c r="H129" s="6"/>
      <c r="I129" s="6"/>
      <c r="J129" s="6"/>
      <c r="K129" s="6"/>
    </row>
    <row r="130" spans="2:11" x14ac:dyDescent="0.25">
      <c r="B130" s="1827"/>
      <c r="C130" s="94"/>
      <c r="D130" s="46" t="s">
        <v>91</v>
      </c>
      <c r="E130" s="6"/>
      <c r="F130" s="6"/>
      <c r="G130" s="6"/>
      <c r="H130" s="6"/>
      <c r="I130" s="6"/>
      <c r="J130" s="6"/>
      <c r="K130" s="6"/>
    </row>
    <row r="131" spans="2:11" ht="49.5" x14ac:dyDescent="0.25">
      <c r="B131" s="1827"/>
      <c r="C131" s="94"/>
      <c r="D131" s="46" t="s">
        <v>818</v>
      </c>
      <c r="E131" s="6"/>
      <c r="F131" s="6"/>
      <c r="G131" s="6"/>
      <c r="H131" s="6"/>
      <c r="I131" s="6"/>
      <c r="J131" s="6"/>
      <c r="K131" s="6"/>
    </row>
    <row r="132" spans="2:11" ht="49.5" x14ac:dyDescent="0.25">
      <c r="B132" s="1827"/>
      <c r="C132" s="94"/>
      <c r="D132" s="46" t="s">
        <v>819</v>
      </c>
      <c r="E132" s="6"/>
      <c r="F132" s="6"/>
      <c r="G132" s="6"/>
      <c r="H132" s="6"/>
      <c r="I132" s="6"/>
      <c r="J132" s="6"/>
      <c r="K132" s="6"/>
    </row>
    <row r="133" spans="2:11" ht="38.25" thickBot="1" x14ac:dyDescent="0.3">
      <c r="B133" s="1828"/>
      <c r="C133" s="3"/>
      <c r="D133" s="41" t="s">
        <v>820</v>
      </c>
      <c r="E133" s="6"/>
      <c r="F133" s="6"/>
      <c r="G133" s="6"/>
      <c r="H133" s="6"/>
      <c r="I133" s="6"/>
      <c r="J133" s="6"/>
      <c r="K133" s="6"/>
    </row>
    <row r="134" spans="2:11" x14ac:dyDescent="0.25">
      <c r="B134" s="6"/>
      <c r="D134" s="6"/>
      <c r="E134" s="6"/>
      <c r="F134" s="6"/>
      <c r="G134" s="6"/>
      <c r="H134" s="6"/>
      <c r="I134" s="6"/>
      <c r="J134" s="6"/>
      <c r="K134" s="6"/>
    </row>
    <row r="135" spans="2:11" x14ac:dyDescent="0.25">
      <c r="B135" s="6"/>
      <c r="D135" s="6"/>
      <c r="E135" s="6"/>
      <c r="F135" s="6"/>
      <c r="G135" s="6"/>
      <c r="H135" s="6"/>
      <c r="I135" s="6"/>
      <c r="J135" s="6"/>
      <c r="K135" s="6"/>
    </row>
    <row r="136" spans="2:11" x14ac:dyDescent="0.25">
      <c r="B136" s="6"/>
      <c r="D136" s="6"/>
      <c r="E136" s="6"/>
      <c r="F136" s="6"/>
      <c r="G136" s="6"/>
      <c r="H136" s="6"/>
      <c r="I136" s="6"/>
      <c r="J136" s="6"/>
      <c r="K136" s="6"/>
    </row>
    <row r="137" spans="2:11" x14ac:dyDescent="0.25">
      <c r="B137" s="6"/>
      <c r="D137" s="6"/>
      <c r="E137" s="6"/>
      <c r="F137" s="6"/>
      <c r="G137" s="6"/>
      <c r="H137" s="6"/>
      <c r="I137" s="6"/>
      <c r="J137" s="6"/>
      <c r="K137" s="6"/>
    </row>
    <row r="138" spans="2:11" x14ac:dyDescent="0.25">
      <c r="B138" s="6"/>
      <c r="D138" s="6"/>
      <c r="E138" s="6"/>
      <c r="F138" s="6"/>
      <c r="G138" s="6"/>
      <c r="H138" s="6"/>
      <c r="I138" s="6"/>
      <c r="J138" s="6"/>
      <c r="K138" s="6"/>
    </row>
    <row r="139" spans="2:11" x14ac:dyDescent="0.25">
      <c r="B139" s="6"/>
      <c r="D139" s="6"/>
      <c r="E139" s="6"/>
      <c r="F139" s="6"/>
      <c r="G139" s="6"/>
      <c r="H139" s="6"/>
      <c r="I139" s="6"/>
      <c r="J139" s="6"/>
      <c r="K139" s="6"/>
    </row>
    <row r="140" spans="2:11" x14ac:dyDescent="0.25">
      <c r="B140" s="6"/>
      <c r="D140" s="6"/>
      <c r="E140" s="6"/>
      <c r="F140" s="6"/>
      <c r="G140" s="6"/>
      <c r="H140" s="6"/>
      <c r="I140" s="6"/>
      <c r="J140" s="6"/>
      <c r="K140" s="6"/>
    </row>
    <row r="141" spans="2:11" x14ac:dyDescent="0.25">
      <c r="B141" s="6"/>
      <c r="D141" s="6"/>
      <c r="E141" s="6"/>
      <c r="F141" s="6"/>
      <c r="G141" s="6"/>
      <c r="H141" s="6"/>
      <c r="I141" s="6"/>
      <c r="J141" s="6"/>
      <c r="K141" s="6"/>
    </row>
    <row r="142" spans="2:11" x14ac:dyDescent="0.25">
      <c r="B142" s="6"/>
      <c r="D142" s="6"/>
      <c r="E142" s="6"/>
      <c r="F142" s="6"/>
      <c r="G142" s="6"/>
      <c r="H142" s="6"/>
      <c r="I142" s="6"/>
      <c r="J142" s="6"/>
      <c r="K142" s="6"/>
    </row>
    <row r="143" spans="2:11" x14ac:dyDescent="0.25">
      <c r="B143" s="6"/>
      <c r="D143" s="6"/>
      <c r="E143" s="6"/>
      <c r="F143" s="6"/>
      <c r="G143" s="6"/>
      <c r="H143" s="6"/>
      <c r="I143" s="6"/>
      <c r="J143" s="6"/>
      <c r="K143" s="6"/>
    </row>
    <row r="144" spans="2:11" x14ac:dyDescent="0.25">
      <c r="B144" s="6"/>
      <c r="D144" s="6"/>
      <c r="E144" s="6"/>
      <c r="F144" s="6"/>
      <c r="G144" s="6"/>
      <c r="H144" s="6"/>
      <c r="I144" s="6"/>
      <c r="J144" s="6"/>
      <c r="K144" s="6"/>
    </row>
    <row r="145" spans="2:11" x14ac:dyDescent="0.25">
      <c r="B145" s="6"/>
      <c r="D145" s="6"/>
      <c r="E145" s="6"/>
      <c r="F145" s="6"/>
      <c r="G145" s="6"/>
      <c r="H145" s="6"/>
      <c r="I145" s="6"/>
      <c r="J145" s="6"/>
      <c r="K145" s="6"/>
    </row>
    <row r="146" spans="2:11" x14ac:dyDescent="0.25">
      <c r="B146" s="6"/>
      <c r="D146" s="6"/>
      <c r="E146" s="6"/>
      <c r="F146" s="6"/>
      <c r="G146" s="6"/>
      <c r="H146" s="6"/>
      <c r="I146" s="6"/>
      <c r="J146" s="6"/>
      <c r="K146" s="6"/>
    </row>
    <row r="147" spans="2:11" x14ac:dyDescent="0.25">
      <c r="B147" s="6"/>
      <c r="D147" s="6"/>
      <c r="E147" s="6"/>
      <c r="F147" s="6"/>
      <c r="G147" s="6"/>
      <c r="H147" s="6"/>
      <c r="I147" s="6"/>
      <c r="J147" s="6"/>
      <c r="K147" s="6"/>
    </row>
    <row r="148" spans="2:11" x14ac:dyDescent="0.25">
      <c r="B148" s="6"/>
      <c r="D148" s="6"/>
      <c r="E148" s="6"/>
      <c r="F148" s="6"/>
      <c r="G148" s="6"/>
      <c r="H148" s="6"/>
      <c r="I148" s="6"/>
      <c r="J148" s="6"/>
      <c r="K148" s="6"/>
    </row>
    <row r="149" spans="2:11" x14ac:dyDescent="0.25">
      <c r="B149" s="6"/>
      <c r="D149" s="6"/>
      <c r="E149" s="6"/>
      <c r="F149" s="6"/>
      <c r="G149" s="6"/>
      <c r="H149" s="6"/>
      <c r="I149" s="6"/>
      <c r="J149" s="6"/>
      <c r="K149" s="6"/>
    </row>
    <row r="150" spans="2:11" x14ac:dyDescent="0.25">
      <c r="B150" s="6"/>
      <c r="D150" s="6"/>
      <c r="E150" s="6"/>
      <c r="F150" s="6"/>
      <c r="G150" s="6"/>
      <c r="H150" s="6"/>
      <c r="I150" s="6"/>
      <c r="J150" s="6"/>
      <c r="K150" s="6"/>
    </row>
    <row r="151" spans="2:11" x14ac:dyDescent="0.25">
      <c r="B151" s="6"/>
      <c r="D151" s="6"/>
      <c r="E151" s="6"/>
      <c r="F151" s="6"/>
      <c r="G151" s="6"/>
      <c r="H151" s="6"/>
      <c r="I151" s="6"/>
      <c r="J151" s="6"/>
      <c r="K151" s="6"/>
    </row>
    <row r="152" spans="2:11" x14ac:dyDescent="0.25">
      <c r="B152" s="6"/>
      <c r="D152" s="6"/>
      <c r="E152" s="6"/>
      <c r="F152" s="6"/>
      <c r="G152" s="6"/>
      <c r="H152" s="6"/>
      <c r="I152" s="6"/>
      <c r="J152" s="6"/>
      <c r="K152" s="6"/>
    </row>
    <row r="153" spans="2:11" x14ac:dyDescent="0.25">
      <c r="B153" s="6"/>
      <c r="D153" s="6"/>
      <c r="E153" s="6"/>
      <c r="F153" s="6"/>
      <c r="G153" s="6"/>
      <c r="H153" s="6"/>
      <c r="I153" s="6"/>
      <c r="J153" s="6"/>
      <c r="K153" s="6"/>
    </row>
    <row r="154" spans="2:11" x14ac:dyDescent="0.25">
      <c r="B154" s="6"/>
      <c r="D154" s="6"/>
      <c r="E154" s="6"/>
      <c r="F154" s="6"/>
      <c r="G154" s="6"/>
      <c r="H154" s="6"/>
      <c r="I154" s="6"/>
      <c r="J154" s="6"/>
      <c r="K154" s="6"/>
    </row>
    <row r="155" spans="2:11" x14ac:dyDescent="0.25">
      <c r="B155" s="6"/>
      <c r="D155" s="6"/>
      <c r="E155" s="6"/>
      <c r="F155" s="6"/>
      <c r="G155" s="6"/>
      <c r="H155" s="6"/>
      <c r="I155" s="6"/>
      <c r="J155" s="6"/>
      <c r="K155" s="6"/>
    </row>
    <row r="156" spans="2:11" x14ac:dyDescent="0.25">
      <c r="B156" s="6"/>
      <c r="D156" s="6"/>
      <c r="E156" s="6"/>
      <c r="F156" s="6"/>
      <c r="G156" s="6"/>
      <c r="H156" s="6"/>
      <c r="I156" s="6"/>
      <c r="J156" s="6"/>
      <c r="K156" s="6"/>
    </row>
    <row r="157" spans="2:11" x14ac:dyDescent="0.25">
      <c r="B157" s="6"/>
      <c r="D157" s="6"/>
      <c r="E157" s="6"/>
      <c r="F157" s="6"/>
      <c r="G157" s="6"/>
      <c r="H157" s="6"/>
      <c r="I157" s="6"/>
      <c r="J157" s="6"/>
      <c r="K157" s="6"/>
    </row>
    <row r="158" spans="2:11" x14ac:dyDescent="0.25">
      <c r="B158" s="6"/>
      <c r="D158" s="6"/>
      <c r="E158" s="6"/>
      <c r="F158" s="6"/>
      <c r="G158" s="6"/>
      <c r="H158" s="6"/>
      <c r="I158" s="6"/>
      <c r="J158" s="6"/>
      <c r="K158" s="6"/>
    </row>
    <row r="159" spans="2:11" x14ac:dyDescent="0.25">
      <c r="B159" s="6"/>
      <c r="D159" s="6"/>
      <c r="E159" s="6"/>
      <c r="F159" s="6"/>
      <c r="G159" s="6"/>
      <c r="H159" s="6"/>
      <c r="I159" s="6"/>
      <c r="J159" s="6"/>
      <c r="K159" s="6"/>
    </row>
    <row r="160" spans="2:11" x14ac:dyDescent="0.25">
      <c r="B160" s="6"/>
      <c r="D160" s="6"/>
      <c r="E160" s="6"/>
      <c r="F160" s="6"/>
      <c r="G160" s="6"/>
      <c r="H160" s="6"/>
      <c r="I160" s="6"/>
      <c r="J160" s="6"/>
      <c r="K160" s="6"/>
    </row>
    <row r="161" spans="2:11" x14ac:dyDescent="0.25">
      <c r="B161" s="6"/>
      <c r="D161" s="6"/>
      <c r="E161" s="6"/>
      <c r="F161" s="6"/>
      <c r="G161" s="6"/>
      <c r="H161" s="6"/>
      <c r="I161" s="6"/>
      <c r="J161" s="6"/>
      <c r="K161" s="6"/>
    </row>
    <row r="162" spans="2:11" x14ac:dyDescent="0.25">
      <c r="B162" s="6"/>
      <c r="D162" s="6"/>
      <c r="E162" s="6"/>
      <c r="F162" s="6"/>
      <c r="G162" s="6"/>
      <c r="H162" s="6"/>
      <c r="I162" s="6"/>
      <c r="J162" s="6"/>
      <c r="K162" s="6"/>
    </row>
    <row r="163" spans="2:11" x14ac:dyDescent="0.25">
      <c r="B163" s="6"/>
      <c r="D163" s="6"/>
      <c r="E163" s="6"/>
      <c r="F163" s="6"/>
      <c r="G163" s="6"/>
      <c r="H163" s="6"/>
      <c r="I163" s="6"/>
      <c r="J163" s="6"/>
      <c r="K163" s="6"/>
    </row>
    <row r="164" spans="2:11" x14ac:dyDescent="0.25">
      <c r="B164" s="6"/>
      <c r="D164" s="6"/>
      <c r="E164" s="6"/>
      <c r="F164" s="6"/>
      <c r="G164" s="6"/>
      <c r="H164" s="6"/>
      <c r="I164" s="6"/>
      <c r="J164" s="6"/>
      <c r="K164" s="6"/>
    </row>
    <row r="165" spans="2:11" x14ac:dyDescent="0.25">
      <c r="B165" s="6"/>
      <c r="D165" s="6"/>
      <c r="E165" s="6"/>
      <c r="F165" s="6"/>
      <c r="G165" s="6"/>
      <c r="H165" s="6"/>
      <c r="I165" s="6"/>
      <c r="J165" s="6"/>
      <c r="K165" s="6"/>
    </row>
    <row r="166" spans="2:11" x14ac:dyDescent="0.25">
      <c r="B166" s="6"/>
      <c r="D166" s="6"/>
      <c r="E166" s="6"/>
      <c r="F166" s="6"/>
      <c r="G166" s="6"/>
      <c r="H166" s="6"/>
      <c r="I166" s="6"/>
      <c r="J166" s="6"/>
      <c r="K166" s="6"/>
    </row>
    <row r="167" spans="2:11" x14ac:dyDescent="0.25">
      <c r="B167" s="6"/>
      <c r="D167" s="6"/>
      <c r="E167" s="6"/>
      <c r="F167" s="6"/>
      <c r="G167" s="6"/>
      <c r="H167" s="6"/>
      <c r="I167" s="6"/>
      <c r="J167" s="6"/>
      <c r="K167" s="6"/>
    </row>
    <row r="168" spans="2:11" x14ac:dyDescent="0.25">
      <c r="B168" s="6"/>
      <c r="D168" s="6"/>
      <c r="E168" s="6"/>
      <c r="F168" s="6"/>
      <c r="G168" s="6"/>
      <c r="H168" s="6"/>
      <c r="I168" s="6"/>
      <c r="J168" s="6"/>
      <c r="K168" s="6"/>
    </row>
    <row r="169" spans="2:11" x14ac:dyDescent="0.25">
      <c r="B169" s="6"/>
      <c r="D169" s="6"/>
      <c r="E169" s="6"/>
      <c r="F169" s="6"/>
      <c r="G169" s="6"/>
      <c r="H169" s="6"/>
      <c r="I169" s="6"/>
      <c r="J169" s="6"/>
      <c r="K169" s="6"/>
    </row>
    <row r="170" spans="2:11" x14ac:dyDescent="0.25">
      <c r="B170" s="6"/>
      <c r="D170" s="6"/>
      <c r="E170" s="6"/>
      <c r="F170" s="6"/>
      <c r="G170" s="6"/>
      <c r="H170" s="6"/>
      <c r="I170" s="6"/>
      <c r="J170" s="6"/>
      <c r="K170" s="6"/>
    </row>
    <row r="171" spans="2:11" x14ac:dyDescent="0.25">
      <c r="B171" s="6"/>
      <c r="D171" s="6"/>
      <c r="E171" s="6"/>
      <c r="F171" s="6"/>
      <c r="G171" s="6"/>
      <c r="H171" s="6"/>
      <c r="I171" s="6"/>
      <c r="J171" s="6"/>
      <c r="K171" s="6"/>
    </row>
    <row r="172" spans="2:11" x14ac:dyDescent="0.25">
      <c r="B172" s="6"/>
      <c r="D172" s="6"/>
      <c r="E172" s="6"/>
      <c r="F172" s="6"/>
      <c r="G172" s="6"/>
      <c r="H172" s="6"/>
      <c r="I172" s="6"/>
      <c r="J172" s="6"/>
      <c r="K172" s="6"/>
    </row>
    <row r="173" spans="2:11" x14ac:dyDescent="0.25">
      <c r="B173" s="6"/>
      <c r="D173" s="6"/>
      <c r="E173" s="6"/>
      <c r="F173" s="6"/>
      <c r="G173" s="6"/>
      <c r="H173" s="6"/>
      <c r="I173" s="6"/>
      <c r="J173" s="6"/>
      <c r="K173" s="6"/>
    </row>
    <row r="174" spans="2:11" x14ac:dyDescent="0.25">
      <c r="B174" s="6"/>
      <c r="D174" s="6"/>
      <c r="E174" s="6"/>
      <c r="F174" s="6"/>
      <c r="G174" s="6"/>
      <c r="H174" s="6"/>
      <c r="I174" s="6"/>
      <c r="J174" s="6"/>
      <c r="K174" s="6"/>
    </row>
    <row r="175" spans="2:11" x14ac:dyDescent="0.25">
      <c r="B175" s="6"/>
      <c r="D175" s="6"/>
      <c r="E175" s="6"/>
      <c r="F175" s="6"/>
      <c r="G175" s="6"/>
      <c r="H175" s="6"/>
      <c r="I175" s="6"/>
      <c r="J175" s="6"/>
      <c r="K175" s="6"/>
    </row>
    <row r="176" spans="2:11" x14ac:dyDescent="0.25">
      <c r="B176" s="6"/>
      <c r="D176" s="6"/>
      <c r="E176" s="6"/>
      <c r="F176" s="6"/>
      <c r="G176" s="6"/>
      <c r="H176" s="6"/>
      <c r="I176" s="6"/>
      <c r="J176" s="6"/>
      <c r="K176" s="6"/>
    </row>
    <row r="177" spans="2:11" x14ac:dyDescent="0.25">
      <c r="B177" s="6"/>
      <c r="D177" s="6"/>
      <c r="E177" s="6"/>
      <c r="F177" s="6"/>
      <c r="G177" s="6"/>
      <c r="H177" s="6"/>
      <c r="I177" s="6"/>
      <c r="J177" s="6"/>
      <c r="K177" s="6"/>
    </row>
  </sheetData>
  <mergeCells count="37">
    <mergeCell ref="A1:P1"/>
    <mergeCell ref="A2:P2"/>
    <mergeCell ref="A3:P3"/>
    <mergeCell ref="A4:D4"/>
    <mergeCell ref="A5:P5"/>
    <mergeCell ref="B15:B19"/>
    <mergeCell ref="D21:L21"/>
    <mergeCell ref="D22:D23"/>
    <mergeCell ref="E22:E23"/>
    <mergeCell ref="F22:G22"/>
    <mergeCell ref="H22:K22"/>
    <mergeCell ref="D15:L15"/>
    <mergeCell ref="D20:L20"/>
    <mergeCell ref="F33:G33"/>
    <mergeCell ref="H33:H35"/>
    <mergeCell ref="E34:E35"/>
    <mergeCell ref="F34:F35"/>
    <mergeCell ref="D31:L31"/>
    <mergeCell ref="D32:L32"/>
    <mergeCell ref="B115:B133"/>
    <mergeCell ref="B67:E68"/>
    <mergeCell ref="C22:C23"/>
    <mergeCell ref="B74:B89"/>
    <mergeCell ref="B90:B91"/>
    <mergeCell ref="D90:D91"/>
    <mergeCell ref="B92:B114"/>
    <mergeCell ref="C33:C35"/>
    <mergeCell ref="D33:D35"/>
    <mergeCell ref="B44:E44"/>
    <mergeCell ref="B45:B51"/>
    <mergeCell ref="B53:E53"/>
    <mergeCell ref="B54:B60"/>
    <mergeCell ref="B10:D10"/>
    <mergeCell ref="F10:S10"/>
    <mergeCell ref="F11:S11"/>
    <mergeCell ref="E12:R12"/>
    <mergeCell ref="E13:R13"/>
  </mergeCells>
  <conditionalFormatting sqref="D39">
    <cfRule type="containsText" dxfId="47" priority="5" operator="containsText" text="ERROR">
      <formula>NOT(ISERROR(SEARCH("ERROR",D39)))</formula>
    </cfRule>
  </conditionalFormatting>
  <conditionalFormatting sqref="F10">
    <cfRule type="notContainsBlanks" dxfId="46" priority="4">
      <formula>LEN(TRIM(F10))&gt;0</formula>
    </cfRule>
  </conditionalFormatting>
  <conditionalFormatting sqref="F11:S11">
    <cfRule type="expression" dxfId="45" priority="2">
      <formula>E11="NO SE REPORTA"</formula>
    </cfRule>
    <cfRule type="expression" dxfId="44" priority="3">
      <formula>E10="NO APLICA"</formula>
    </cfRule>
  </conditionalFormatting>
  <conditionalFormatting sqref="E12:R12">
    <cfRule type="expression" dxfId="43"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7:H17" xr:uid="{00000000-0002-0000-1E00-000000000000}">
      <formula1>0</formula1>
    </dataValidation>
    <dataValidation type="whole" operator="greaterThanOrEqual" allowBlank="1" showInputMessage="1" showErrorMessage="1" errorTitle="ERROR" error="Valor en PESOS (sin centavos)" sqref="K24:K28 H29:K29 H28:J28 E18:H19 H24:J26" xr:uid="{00000000-0002-0000-1E00-000001000000}">
      <formula1>0</formula1>
    </dataValidation>
    <dataValidation type="decimal" allowBlank="1" showInputMessage="1" showErrorMessage="1" errorTitle="ERROR" error="Escriba un valor entre 0% y 100%" sqref="I27:J27 F24:G29 E36:E38" xr:uid="{00000000-0002-0000-1E00-000002000000}">
      <formula1>0</formula1>
      <formula2>1</formula2>
    </dataValidation>
    <dataValidation allowBlank="1" showInputMessage="1" showErrorMessage="1" sqref="H30:K30 D39:E39 F36:G39" xr:uid="{00000000-0002-0000-1E00-000003000000}"/>
    <dataValidation type="list" allowBlank="1" showInputMessage="1" showErrorMessage="1" sqref="E11" xr:uid="{00000000-0002-0000-1E00-000004000000}">
      <formula1>REPORTE</formula1>
    </dataValidation>
    <dataValidation type="list" allowBlank="1" showInputMessage="1" showErrorMessage="1" sqref="E10" xr:uid="{00000000-0002-0000-1E00-000005000000}">
      <formula1>SI</formula1>
    </dataValidation>
  </dataValidations>
  <hyperlinks>
    <hyperlink ref="D89" r:id="rId1" xr:uid="{00000000-0004-0000-1E00-000000000000}"/>
    <hyperlink ref="B9" location="'ANEXO 3'!A1" display="VOLVER AL INDICE" xr:uid="{00000000-0004-0000-1E00-000001000000}"/>
    <hyperlink ref="E49" r:id="rId2" xr:uid="{AE775162-2DD1-48FD-B4B6-EAC16F5EEA59}"/>
  </hyperlinks>
  <pageMargins left="0.25" right="0.25" top="0.75" bottom="0.75" header="0.3" footer="0.3"/>
  <pageSetup paperSize="178" orientation="landscape" horizontalDpi="1200" verticalDpi="1200" r:id="rId3"/>
  <drawing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1"/>
  <dimension ref="A1:U189"/>
  <sheetViews>
    <sheetView showGridLines="0" topLeftCell="A37" zoomScale="70" zoomScaleNormal="70" workbookViewId="0">
      <selection activeCell="J55" sqref="J55"/>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 min="9" max="9" width="11.5703125" style="139"/>
  </cols>
  <sheetData>
    <row r="1" spans="1:21" s="538" customFormat="1" ht="100.5" customHeight="1" thickBot="1" x14ac:dyDescent="0.3">
      <c r="A1" s="1733"/>
      <c r="B1" s="1734"/>
      <c r="C1" s="1734"/>
      <c r="D1" s="1734"/>
      <c r="E1" s="1734"/>
      <c r="F1" s="1734"/>
      <c r="G1" s="1734"/>
      <c r="H1" s="1734"/>
      <c r="I1" s="1734"/>
      <c r="J1" s="1734"/>
      <c r="K1" s="1734"/>
      <c r="L1" s="1734"/>
      <c r="M1" s="1734"/>
      <c r="N1" s="1734"/>
      <c r="O1" s="1734"/>
      <c r="P1" s="1735"/>
      <c r="Q1" s="412"/>
      <c r="R1" s="412"/>
    </row>
    <row r="2" spans="1:21" s="539" customFormat="1" ht="16.5" thickBot="1" x14ac:dyDescent="0.3">
      <c r="A2" s="1741" t="str">
        <f>'Datos Generales'!C5</f>
        <v>Corporación Autónoma Regional de La Guajira – CORPOGUAJIRA</v>
      </c>
      <c r="B2" s="1742"/>
      <c r="C2" s="1742"/>
      <c r="D2" s="1742"/>
      <c r="E2" s="1742"/>
      <c r="F2" s="1742"/>
      <c r="G2" s="1742"/>
      <c r="H2" s="1742"/>
      <c r="I2" s="1742"/>
      <c r="J2" s="1742"/>
      <c r="K2" s="1742"/>
      <c r="L2" s="1742"/>
      <c r="M2" s="1742"/>
      <c r="N2" s="1742"/>
      <c r="O2" s="1742"/>
      <c r="P2" s="1743"/>
      <c r="Q2" s="412"/>
      <c r="R2" s="412"/>
    </row>
    <row r="3" spans="1:21" s="539" customFormat="1" ht="16.5" thickBot="1" x14ac:dyDescent="0.3">
      <c r="A3" s="1736" t="s">
        <v>1347</v>
      </c>
      <c r="B3" s="1737"/>
      <c r="C3" s="1737"/>
      <c r="D3" s="1737"/>
      <c r="E3" s="1737"/>
      <c r="F3" s="1737"/>
      <c r="G3" s="1737"/>
      <c r="H3" s="1737"/>
      <c r="I3" s="1737"/>
      <c r="J3" s="1737"/>
      <c r="K3" s="1737"/>
      <c r="L3" s="1737"/>
      <c r="M3" s="1737"/>
      <c r="N3" s="1737"/>
      <c r="O3" s="1737"/>
      <c r="P3" s="1738"/>
      <c r="Q3" s="412"/>
      <c r="R3" s="412"/>
    </row>
    <row r="4" spans="1:21" s="539" customFormat="1" ht="16.5" thickBot="1" x14ac:dyDescent="0.3">
      <c r="A4" s="1739" t="s">
        <v>1346</v>
      </c>
      <c r="B4" s="1740"/>
      <c r="C4" s="1740"/>
      <c r="D4" s="1740"/>
      <c r="E4" s="579" t="str">
        <f>'Datos Generales'!C6</f>
        <v>2021-I</v>
      </c>
      <c r="F4" s="579"/>
      <c r="G4" s="579"/>
      <c r="H4" s="579"/>
      <c r="I4" s="579"/>
      <c r="J4" s="579"/>
      <c r="K4" s="579"/>
      <c r="L4" s="581"/>
      <c r="M4" s="581"/>
      <c r="N4" s="581"/>
      <c r="O4" s="581"/>
      <c r="P4" s="582"/>
      <c r="Q4" s="412"/>
      <c r="R4" s="412"/>
    </row>
    <row r="5" spans="1:21" s="245" customFormat="1" ht="16.5" customHeight="1" thickBot="1" x14ac:dyDescent="0.3">
      <c r="A5" s="1736" t="s">
        <v>832</v>
      </c>
      <c r="B5" s="1737"/>
      <c r="C5" s="1737"/>
      <c r="D5" s="1737"/>
      <c r="E5" s="1737"/>
      <c r="F5" s="1737"/>
      <c r="G5" s="1737"/>
      <c r="H5" s="1737"/>
      <c r="I5" s="1737"/>
      <c r="J5" s="1737"/>
      <c r="K5" s="1737"/>
      <c r="L5" s="1737"/>
      <c r="M5" s="1737"/>
      <c r="N5" s="1737"/>
      <c r="O5" s="1737"/>
      <c r="P5" s="1738"/>
    </row>
    <row r="6" spans="1:21" x14ac:dyDescent="0.25">
      <c r="B6" s="4" t="s">
        <v>1</v>
      </c>
      <c r="C6" s="95"/>
      <c r="D6" s="6"/>
      <c r="E6" s="74"/>
      <c r="F6" s="6" t="s">
        <v>128</v>
      </c>
      <c r="G6" s="6"/>
      <c r="H6" s="6"/>
      <c r="I6" s="87"/>
      <c r="J6" s="6"/>
      <c r="K6" s="6"/>
    </row>
    <row r="7" spans="1:21" ht="15.75" thickBot="1" x14ac:dyDescent="0.3">
      <c r="B7" s="75"/>
      <c r="C7" s="77"/>
      <c r="D7" s="6"/>
      <c r="E7" s="18"/>
      <c r="F7" s="6" t="s">
        <v>129</v>
      </c>
      <c r="G7" s="6"/>
      <c r="H7" s="6"/>
      <c r="I7" s="87"/>
      <c r="J7" s="6"/>
      <c r="K7" s="6"/>
    </row>
    <row r="8" spans="1:21" ht="15.75" thickBot="1" x14ac:dyDescent="0.3">
      <c r="B8" s="178" t="s">
        <v>1185</v>
      </c>
      <c r="C8" s="222">
        <v>2021</v>
      </c>
      <c r="D8" s="226">
        <f>IF(E10="NO APLICA","NO APLICA",IF(E11="NO SE REPORTA","SIN INFORMACION",+G57))</f>
        <v>0.45977936729332308</v>
      </c>
      <c r="E8" s="223"/>
      <c r="F8" s="6" t="s">
        <v>130</v>
      </c>
      <c r="G8" s="6"/>
      <c r="H8" s="6"/>
      <c r="I8" s="87"/>
      <c r="J8" s="6"/>
      <c r="K8" s="6"/>
    </row>
    <row r="9" spans="1:21" x14ac:dyDescent="0.25">
      <c r="B9" s="493" t="s">
        <v>1186</v>
      </c>
      <c r="D9" s="6"/>
      <c r="E9" s="6"/>
      <c r="F9" s="6"/>
      <c r="G9" s="6"/>
      <c r="H9" s="6"/>
      <c r="I9" s="87"/>
      <c r="J9" s="6"/>
      <c r="K9" s="6"/>
    </row>
    <row r="10" spans="1:21" s="412" customFormat="1" x14ac:dyDescent="0.25">
      <c r="A10" s="245"/>
      <c r="B10" s="1789" t="s">
        <v>1241</v>
      </c>
      <c r="C10" s="1789"/>
      <c r="D10" s="1789"/>
      <c r="E10" s="499" t="s">
        <v>1238</v>
      </c>
      <c r="F10" s="17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96"/>
      <c r="H10" s="1796"/>
      <c r="I10" s="1796"/>
      <c r="J10" s="1796"/>
      <c r="K10" s="1796"/>
      <c r="L10" s="1796"/>
      <c r="M10" s="1796"/>
      <c r="N10" s="1796"/>
      <c r="O10" s="1796"/>
      <c r="P10" s="1796"/>
      <c r="Q10" s="1796"/>
      <c r="R10" s="1796"/>
      <c r="S10" s="1796"/>
      <c r="T10" s="495"/>
      <c r="U10" s="495"/>
    </row>
    <row r="11" spans="1:21" s="412" customFormat="1" ht="14.45" customHeight="1" x14ac:dyDescent="0.25">
      <c r="A11" s="245"/>
      <c r="B11" s="496"/>
      <c r="C11" s="497"/>
      <c r="D11" s="498" t="str">
        <f>IF(E10="SI APLICA","¿El indicador no se reporta por limitaciones de información disponible? ","")</f>
        <v xml:space="preserve">¿El indicador no se reporta por limitaciones de información disponible? </v>
      </c>
      <c r="E11" s="500" t="s">
        <v>1240</v>
      </c>
      <c r="F11" s="1790"/>
      <c r="G11" s="1791"/>
      <c r="H11" s="1791"/>
      <c r="I11" s="1791"/>
      <c r="J11" s="1791"/>
      <c r="K11" s="1791"/>
      <c r="L11" s="1791"/>
      <c r="M11" s="1791"/>
      <c r="N11" s="1791"/>
      <c r="O11" s="1791"/>
      <c r="P11" s="1791"/>
      <c r="Q11" s="1791"/>
      <c r="R11" s="1791"/>
      <c r="S11" s="1791"/>
    </row>
    <row r="12" spans="1:21" s="412" customFormat="1" ht="23.45" customHeight="1" x14ac:dyDescent="0.25">
      <c r="A12" s="245"/>
      <c r="B12" s="493"/>
      <c r="C12" s="304"/>
      <c r="D12" s="498" t="str">
        <f>IF(E11="SI SE REPORTA","¿Qué programas o proyectos del Plan de Acción están asociados al indicador? ","")</f>
        <v xml:space="preserve">¿Qué programas o proyectos del Plan de Acción están asociados al indicador? </v>
      </c>
      <c r="E12" s="1799" t="str">
        <f>'Anexo 1 Matriz Inf Gestión'!A180</f>
        <v>Proyecto 6.1. Evaluación, Seguimiento, Monitoreo y Control de la calidad de los recursos naturales y la biodiversidad.</v>
      </c>
      <c r="F12" s="1799"/>
      <c r="G12" s="1799"/>
      <c r="H12" s="1799"/>
      <c r="I12" s="1799"/>
      <c r="J12" s="1799"/>
      <c r="K12" s="1799"/>
      <c r="L12" s="1799"/>
      <c r="M12" s="1799"/>
      <c r="N12" s="1799"/>
      <c r="O12" s="1799"/>
      <c r="P12" s="1799"/>
      <c r="Q12" s="1799"/>
      <c r="R12" s="1799"/>
    </row>
    <row r="13" spans="1:21" s="412" customFormat="1" ht="21.95" customHeight="1" x14ac:dyDescent="0.25">
      <c r="A13" s="245"/>
      <c r="B13" s="493"/>
      <c r="C13" s="304"/>
      <c r="D13" s="498" t="s">
        <v>1243</v>
      </c>
      <c r="E13" s="1792" t="s">
        <v>3057</v>
      </c>
      <c r="F13" s="1793"/>
      <c r="G13" s="1793"/>
      <c r="H13" s="1793"/>
      <c r="I13" s="1793"/>
      <c r="J13" s="1793"/>
      <c r="K13" s="1793"/>
      <c r="L13" s="1793"/>
      <c r="M13" s="1793"/>
      <c r="N13" s="1793"/>
      <c r="O13" s="1793"/>
      <c r="P13" s="1793"/>
      <c r="Q13" s="1793"/>
      <c r="R13" s="1794"/>
    </row>
    <row r="14" spans="1:21" s="412" customFormat="1" ht="6.95" customHeight="1" thickBot="1" x14ac:dyDescent="0.3">
      <c r="B14" s="493"/>
      <c r="C14" s="87"/>
      <c r="D14" s="6"/>
      <c r="E14" s="6"/>
      <c r="F14" s="6"/>
      <c r="G14" s="6"/>
      <c r="H14" s="6"/>
      <c r="I14" s="87"/>
      <c r="J14" s="6"/>
      <c r="K14" s="6"/>
    </row>
    <row r="15" spans="1:21" x14ac:dyDescent="0.25">
      <c r="B15" s="1826" t="s">
        <v>2</v>
      </c>
      <c r="C15" s="89"/>
      <c r="D15" s="1837" t="s">
        <v>3</v>
      </c>
      <c r="E15" s="1838"/>
      <c r="F15" s="1838"/>
      <c r="G15" s="1838"/>
      <c r="H15" s="1838"/>
      <c r="I15" s="1839"/>
      <c r="J15" s="6"/>
      <c r="K15" s="6"/>
    </row>
    <row r="16" spans="1:21" x14ac:dyDescent="0.25">
      <c r="B16" s="1827"/>
      <c r="C16" s="92"/>
      <c r="D16" s="1978" t="s">
        <v>859</v>
      </c>
      <c r="E16" s="1979"/>
      <c r="F16" s="1979"/>
      <c r="G16" s="1979"/>
      <c r="H16" s="1979"/>
      <c r="I16" s="1980"/>
      <c r="J16" s="6"/>
      <c r="K16" s="6"/>
    </row>
    <row r="17" spans="2:11" ht="15.75" thickBot="1" x14ac:dyDescent="0.3">
      <c r="B17" s="1827"/>
      <c r="C17" s="92"/>
      <c r="D17" s="1881"/>
      <c r="E17" s="1882"/>
      <c r="F17" s="1882"/>
      <c r="G17" s="1882"/>
      <c r="H17" s="1882"/>
      <c r="I17" s="1883"/>
      <c r="J17" s="6"/>
      <c r="K17" s="6"/>
    </row>
    <row r="18" spans="2:11" ht="15.75" thickBot="1" x14ac:dyDescent="0.3">
      <c r="B18" s="1827"/>
      <c r="C18" s="94"/>
      <c r="D18" s="43" t="s">
        <v>150</v>
      </c>
      <c r="E18" s="39" t="s">
        <v>20</v>
      </c>
      <c r="F18" s="39" t="s">
        <v>21</v>
      </c>
      <c r="G18" s="39" t="s">
        <v>22</v>
      </c>
      <c r="H18" s="39" t="s">
        <v>23</v>
      </c>
      <c r="I18" s="90" t="s">
        <v>151</v>
      </c>
      <c r="J18" s="6"/>
      <c r="K18" s="6"/>
    </row>
    <row r="19" spans="2:11" ht="36.75" thickBot="1" x14ac:dyDescent="0.3">
      <c r="B19" s="1827"/>
      <c r="C19" s="94"/>
      <c r="D19" s="129" t="s">
        <v>860</v>
      </c>
      <c r="E19" s="7">
        <v>141</v>
      </c>
      <c r="F19" s="7">
        <v>227</v>
      </c>
      <c r="G19" s="7"/>
      <c r="H19" s="7"/>
      <c r="I19" s="151">
        <f>SUM(E19:H19)</f>
        <v>368</v>
      </c>
      <c r="J19" s="6"/>
      <c r="K19" s="6"/>
    </row>
    <row r="20" spans="2:11" ht="24.75" thickBot="1" x14ac:dyDescent="0.3">
      <c r="B20" s="1827"/>
      <c r="C20" s="94"/>
      <c r="D20" s="129" t="s">
        <v>861</v>
      </c>
      <c r="E20" s="7">
        <v>1</v>
      </c>
      <c r="F20" s="7">
        <v>1</v>
      </c>
      <c r="G20" s="7"/>
      <c r="H20" s="7"/>
      <c r="I20" s="151">
        <f>SUM(E20:H20)</f>
        <v>2</v>
      </c>
      <c r="J20" s="6"/>
      <c r="K20" s="6"/>
    </row>
    <row r="21" spans="2:11" ht="36.75" thickBot="1" x14ac:dyDescent="0.3">
      <c r="B21" s="1827"/>
      <c r="C21" s="94"/>
      <c r="D21" s="129" t="s">
        <v>862</v>
      </c>
      <c r="E21" s="152">
        <f>+E19/E20</f>
        <v>141</v>
      </c>
      <c r="F21" s="152">
        <f>+F19/F20</f>
        <v>227</v>
      </c>
      <c r="G21" s="152" t="e">
        <f>+G19/G20</f>
        <v>#DIV/0!</v>
      </c>
      <c r="H21" s="152" t="e">
        <f>+H19/H20</f>
        <v>#DIV/0!</v>
      </c>
      <c r="I21" s="152">
        <f>+I19/I20</f>
        <v>184</v>
      </c>
      <c r="J21" s="6"/>
      <c r="K21" s="6"/>
    </row>
    <row r="22" spans="2:11" x14ac:dyDescent="0.25">
      <c r="B22" s="1827"/>
      <c r="C22" s="92"/>
      <c r="D22" s="1837"/>
      <c r="E22" s="1838"/>
      <c r="F22" s="1838"/>
      <c r="G22" s="1838"/>
      <c r="H22" s="1838"/>
      <c r="I22" s="1839"/>
      <c r="J22" s="6"/>
      <c r="K22" s="6"/>
    </row>
    <row r="23" spans="2:11" x14ac:dyDescent="0.25">
      <c r="B23" s="1827"/>
      <c r="C23" s="92"/>
      <c r="D23" s="1978" t="s">
        <v>863</v>
      </c>
      <c r="E23" s="1979"/>
      <c r="F23" s="1979"/>
      <c r="G23" s="1979"/>
      <c r="H23" s="1979"/>
      <c r="I23" s="1980"/>
      <c r="J23" s="6"/>
      <c r="K23" s="6"/>
    </row>
    <row r="24" spans="2:11" ht="15.75" thickBot="1" x14ac:dyDescent="0.3">
      <c r="B24" s="1827"/>
      <c r="C24" s="92"/>
      <c r="D24" s="1846"/>
      <c r="E24" s="1847"/>
      <c r="F24" s="1847"/>
      <c r="G24" s="1847"/>
      <c r="H24" s="1847"/>
      <c r="I24" s="1848"/>
      <c r="J24" s="6"/>
      <c r="K24" s="6"/>
    </row>
    <row r="25" spans="2:11" ht="15.75" thickBot="1" x14ac:dyDescent="0.3">
      <c r="B25" s="1827"/>
      <c r="C25" s="94"/>
      <c r="D25" s="43" t="s">
        <v>150</v>
      </c>
      <c r="E25" s="39" t="s">
        <v>20</v>
      </c>
      <c r="F25" s="39" t="s">
        <v>21</v>
      </c>
      <c r="G25" s="39" t="s">
        <v>22</v>
      </c>
      <c r="H25" s="39" t="s">
        <v>23</v>
      </c>
      <c r="I25" s="90" t="s">
        <v>151</v>
      </c>
      <c r="J25" s="6"/>
      <c r="K25" s="6"/>
    </row>
    <row r="26" spans="2:11" ht="15.75" thickBot="1" x14ac:dyDescent="0.3">
      <c r="B26" s="1827"/>
      <c r="C26" s="94"/>
      <c r="D26" s="129">
        <v>2</v>
      </c>
      <c r="E26" s="7">
        <v>2083</v>
      </c>
      <c r="F26" s="7">
        <v>1679</v>
      </c>
      <c r="G26" s="7"/>
      <c r="H26" s="7"/>
      <c r="I26" s="151">
        <f>SUM(E26:H26)</f>
        <v>3762</v>
      </c>
      <c r="J26" s="6"/>
      <c r="K26" s="6"/>
    </row>
    <row r="27" spans="2:11" ht="36.75" thickBot="1" x14ac:dyDescent="0.3">
      <c r="B27" s="1827"/>
      <c r="C27" s="94"/>
      <c r="D27" s="129" t="s">
        <v>864</v>
      </c>
      <c r="E27" s="7">
        <v>15</v>
      </c>
      <c r="F27" s="7">
        <v>6</v>
      </c>
      <c r="G27" s="7"/>
      <c r="H27" s="7"/>
      <c r="I27" s="151">
        <f>SUM(E27:H27)</f>
        <v>21</v>
      </c>
      <c r="J27" s="6"/>
      <c r="K27" s="6"/>
    </row>
    <row r="28" spans="2:11" ht="36.75" thickBot="1" x14ac:dyDescent="0.3">
      <c r="B28" s="1827"/>
      <c r="C28" s="94"/>
      <c r="D28" s="129" t="s">
        <v>865</v>
      </c>
      <c r="E28" s="152">
        <f>+E26/E27</f>
        <v>138.86666666666667</v>
      </c>
      <c r="F28" s="152">
        <f>+F26/F27</f>
        <v>279.83333333333331</v>
      </c>
      <c r="G28" s="152" t="e">
        <f>+G26/G27</f>
        <v>#DIV/0!</v>
      </c>
      <c r="H28" s="152" t="e">
        <f>+H26/H27</f>
        <v>#DIV/0!</v>
      </c>
      <c r="I28" s="152">
        <f>+I26/I27</f>
        <v>179.14285714285714</v>
      </c>
      <c r="J28" s="6"/>
      <c r="K28" s="6"/>
    </row>
    <row r="29" spans="2:11" x14ac:dyDescent="0.25">
      <c r="B29" s="1827"/>
      <c r="C29" s="92"/>
      <c r="D29" s="1837"/>
      <c r="E29" s="1838"/>
      <c r="F29" s="1838"/>
      <c r="G29" s="1838"/>
      <c r="H29" s="1838"/>
      <c r="I29" s="1839"/>
      <c r="J29" s="6"/>
      <c r="K29" s="6"/>
    </row>
    <row r="30" spans="2:11" x14ac:dyDescent="0.25">
      <c r="B30" s="1827"/>
      <c r="C30" s="92"/>
      <c r="D30" s="1978" t="s">
        <v>866</v>
      </c>
      <c r="E30" s="1979"/>
      <c r="F30" s="1979"/>
      <c r="G30" s="1979"/>
      <c r="H30" s="1979"/>
      <c r="I30" s="1980"/>
      <c r="J30" s="6"/>
      <c r="K30" s="6"/>
    </row>
    <row r="31" spans="2:11" ht="15.75" thickBot="1" x14ac:dyDescent="0.3">
      <c r="B31" s="1827"/>
      <c r="C31" s="92"/>
      <c r="D31" s="1881"/>
      <c r="E31" s="1882"/>
      <c r="F31" s="1882"/>
      <c r="G31" s="1882"/>
      <c r="H31" s="1882"/>
      <c r="I31" s="1883"/>
      <c r="J31" s="6"/>
      <c r="K31" s="6"/>
    </row>
    <row r="32" spans="2:11" ht="15.75" thickBot="1" x14ac:dyDescent="0.3">
      <c r="B32" s="1827"/>
      <c r="C32" s="94"/>
      <c r="D32" s="43" t="s">
        <v>150</v>
      </c>
      <c r="E32" s="39" t="s">
        <v>20</v>
      </c>
      <c r="F32" s="39" t="s">
        <v>21</v>
      </c>
      <c r="G32" s="39" t="s">
        <v>22</v>
      </c>
      <c r="H32" s="39" t="s">
        <v>23</v>
      </c>
      <c r="I32" s="90" t="s">
        <v>151</v>
      </c>
      <c r="J32" s="6"/>
      <c r="K32" s="6"/>
    </row>
    <row r="33" spans="2:11" ht="36.75" thickBot="1" x14ac:dyDescent="0.3">
      <c r="B33" s="1827"/>
      <c r="C33" s="94"/>
      <c r="D33" s="129" t="s">
        <v>867</v>
      </c>
      <c r="E33" s="7">
        <v>725</v>
      </c>
      <c r="F33" s="7">
        <v>0</v>
      </c>
      <c r="G33" s="7"/>
      <c r="H33" s="7"/>
      <c r="I33" s="151">
        <f>SUM(E33:H33)</f>
        <v>725</v>
      </c>
      <c r="J33" s="6"/>
      <c r="K33" s="6"/>
    </row>
    <row r="34" spans="2:11" ht="24.75" thickBot="1" x14ac:dyDescent="0.3">
      <c r="B34" s="1827"/>
      <c r="C34" s="94"/>
      <c r="D34" s="129" t="s">
        <v>868</v>
      </c>
      <c r="E34" s="7">
        <v>7</v>
      </c>
      <c r="F34" s="7">
        <v>0</v>
      </c>
      <c r="G34" s="7"/>
      <c r="H34" s="7"/>
      <c r="I34" s="151">
        <f>SUM(E34:H34)</f>
        <v>7</v>
      </c>
      <c r="J34" s="6"/>
      <c r="K34" s="6"/>
    </row>
    <row r="35" spans="2:11" ht="36.75" thickBot="1" x14ac:dyDescent="0.3">
      <c r="B35" s="1827"/>
      <c r="C35" s="94"/>
      <c r="D35" s="129" t="s">
        <v>869</v>
      </c>
      <c r="E35" s="152">
        <f>+E33/E34</f>
        <v>103.57142857142857</v>
      </c>
      <c r="F35" s="152" t="e">
        <f>+F33/F34</f>
        <v>#DIV/0!</v>
      </c>
      <c r="G35" s="152" t="e">
        <f>+G33/G34</f>
        <v>#DIV/0!</v>
      </c>
      <c r="H35" s="152" t="e">
        <f>+H33/H34</f>
        <v>#DIV/0!</v>
      </c>
      <c r="I35" s="152">
        <f>+I33/I34</f>
        <v>103.57142857142857</v>
      </c>
      <c r="J35" s="6"/>
      <c r="K35" s="6"/>
    </row>
    <row r="36" spans="2:11" x14ac:dyDescent="0.25">
      <c r="B36" s="1827"/>
      <c r="C36" s="92"/>
      <c r="D36" s="1837"/>
      <c r="E36" s="1838"/>
      <c r="F36" s="1838"/>
      <c r="G36" s="1838"/>
      <c r="H36" s="1838"/>
      <c r="I36" s="1839"/>
      <c r="J36" s="6"/>
      <c r="K36" s="6"/>
    </row>
    <row r="37" spans="2:11" x14ac:dyDescent="0.25">
      <c r="B37" s="1827"/>
      <c r="C37" s="92"/>
      <c r="D37" s="1978" t="s">
        <v>870</v>
      </c>
      <c r="E37" s="1979"/>
      <c r="F37" s="1979"/>
      <c r="G37" s="1979"/>
      <c r="H37" s="1979"/>
      <c r="I37" s="1980"/>
      <c r="J37" s="6"/>
      <c r="K37" s="6"/>
    </row>
    <row r="38" spans="2:11" ht="15.75" thickBot="1" x14ac:dyDescent="0.3">
      <c r="B38" s="1827"/>
      <c r="C38" s="92"/>
      <c r="D38" s="1881"/>
      <c r="E38" s="1882"/>
      <c r="F38" s="1882"/>
      <c r="G38" s="1882"/>
      <c r="H38" s="1882"/>
      <c r="I38" s="1883"/>
      <c r="J38" s="6"/>
      <c r="K38" s="6"/>
    </row>
    <row r="39" spans="2:11" ht="15.75" thickBot="1" x14ac:dyDescent="0.3">
      <c r="B39" s="1827"/>
      <c r="C39" s="94"/>
      <c r="D39" s="43" t="s">
        <v>150</v>
      </c>
      <c r="E39" s="39" t="s">
        <v>20</v>
      </c>
      <c r="F39" s="39" t="s">
        <v>21</v>
      </c>
      <c r="G39" s="39" t="s">
        <v>22</v>
      </c>
      <c r="H39" s="39" t="s">
        <v>23</v>
      </c>
      <c r="I39" s="90" t="s">
        <v>151</v>
      </c>
      <c r="J39" s="6"/>
      <c r="K39" s="6"/>
    </row>
    <row r="40" spans="2:11" ht="36.75" thickBot="1" x14ac:dyDescent="0.3">
      <c r="B40" s="1827"/>
      <c r="C40" s="94"/>
      <c r="D40" s="129" t="s">
        <v>871</v>
      </c>
      <c r="E40" s="7">
        <v>281</v>
      </c>
      <c r="F40" s="7">
        <v>958</v>
      </c>
      <c r="G40" s="7"/>
      <c r="H40" s="7"/>
      <c r="I40" s="151">
        <f>SUM(E40:H40)</f>
        <v>1239</v>
      </c>
      <c r="J40" s="6"/>
      <c r="K40" s="6"/>
    </row>
    <row r="41" spans="2:11" ht="36.75" thickBot="1" x14ac:dyDescent="0.3">
      <c r="B41" s="1827"/>
      <c r="C41" s="94"/>
      <c r="D41" s="129" t="s">
        <v>872</v>
      </c>
      <c r="E41" s="7">
        <v>15</v>
      </c>
      <c r="F41" s="7">
        <v>9</v>
      </c>
      <c r="G41" s="7"/>
      <c r="H41" s="7"/>
      <c r="I41" s="151">
        <f>SUM(E41:H41)</f>
        <v>24</v>
      </c>
      <c r="J41" s="6"/>
      <c r="K41" s="6"/>
    </row>
    <row r="42" spans="2:11" ht="36.75" thickBot="1" x14ac:dyDescent="0.3">
      <c r="B42" s="1827"/>
      <c r="C42" s="94"/>
      <c r="D42" s="129" t="s">
        <v>873</v>
      </c>
      <c r="E42" s="152">
        <f>+E40/E41</f>
        <v>18.733333333333334</v>
      </c>
      <c r="F42" s="152">
        <f>+F40/F41</f>
        <v>106.44444444444444</v>
      </c>
      <c r="G42" s="152" t="e">
        <f>+G40/G41</f>
        <v>#DIV/0!</v>
      </c>
      <c r="H42" s="152" t="e">
        <f>+H40/H41</f>
        <v>#DIV/0!</v>
      </c>
      <c r="I42" s="152">
        <f>+I40/I41</f>
        <v>51.625</v>
      </c>
      <c r="J42" s="6"/>
      <c r="K42" s="6"/>
    </row>
    <row r="43" spans="2:11" x14ac:dyDescent="0.25">
      <c r="B43" s="1827"/>
      <c r="C43" s="92"/>
      <c r="D43" s="1837"/>
      <c r="E43" s="1838"/>
      <c r="F43" s="1838"/>
      <c r="G43" s="1838"/>
      <c r="H43" s="1838"/>
      <c r="I43" s="1839"/>
      <c r="J43" s="6"/>
      <c r="K43" s="6"/>
    </row>
    <row r="44" spans="2:11" x14ac:dyDescent="0.25">
      <c r="B44" s="1827"/>
      <c r="C44" s="92"/>
      <c r="D44" s="1978" t="s">
        <v>874</v>
      </c>
      <c r="E44" s="1979"/>
      <c r="F44" s="1979"/>
      <c r="G44" s="1979"/>
      <c r="H44" s="1979"/>
      <c r="I44" s="1980"/>
      <c r="J44" s="6"/>
      <c r="K44" s="6"/>
    </row>
    <row r="45" spans="2:11" ht="15.75" thickBot="1" x14ac:dyDescent="0.3">
      <c r="B45" s="1827"/>
      <c r="C45" s="92"/>
      <c r="D45" s="1881"/>
      <c r="E45" s="1882"/>
      <c r="F45" s="1882"/>
      <c r="G45" s="1882"/>
      <c r="H45" s="1882"/>
      <c r="I45" s="1883"/>
      <c r="J45" s="6"/>
      <c r="K45" s="6"/>
    </row>
    <row r="46" spans="2:11" ht="15.75" thickBot="1" x14ac:dyDescent="0.3">
      <c r="B46" s="1827"/>
      <c r="C46" s="94"/>
      <c r="D46" s="43" t="s">
        <v>150</v>
      </c>
      <c r="E46" s="39" t="s">
        <v>20</v>
      </c>
      <c r="F46" s="39" t="s">
        <v>21</v>
      </c>
      <c r="G46" s="39" t="s">
        <v>22</v>
      </c>
      <c r="H46" s="39" t="s">
        <v>23</v>
      </c>
      <c r="I46" s="90" t="s">
        <v>151</v>
      </c>
      <c r="J46" s="6"/>
      <c r="K46" s="6"/>
    </row>
    <row r="47" spans="2:11" ht="36.75" thickBot="1" x14ac:dyDescent="0.3">
      <c r="B47" s="1827"/>
      <c r="C47" s="94"/>
      <c r="D47" s="129" t="s">
        <v>875</v>
      </c>
      <c r="E47" s="7">
        <v>45</v>
      </c>
      <c r="F47" s="7">
        <v>980</v>
      </c>
      <c r="G47" s="7"/>
      <c r="H47" s="7"/>
      <c r="I47" s="151">
        <f>SUM(E47:H47)</f>
        <v>1025</v>
      </c>
      <c r="J47" s="6"/>
      <c r="K47" s="6"/>
    </row>
    <row r="48" spans="2:11" ht="36.75" thickBot="1" x14ac:dyDescent="0.3">
      <c r="B48" s="1827"/>
      <c r="C48" s="94"/>
      <c r="D48" s="129" t="s">
        <v>876</v>
      </c>
      <c r="E48" s="7">
        <v>1</v>
      </c>
      <c r="F48" s="7">
        <v>3</v>
      </c>
      <c r="G48" s="7"/>
      <c r="H48" s="7"/>
      <c r="I48" s="151">
        <f>SUM(E48:H48)</f>
        <v>4</v>
      </c>
      <c r="J48" s="6"/>
      <c r="K48" s="6"/>
    </row>
    <row r="49" spans="2:11" ht="36.75" thickBot="1" x14ac:dyDescent="0.3">
      <c r="B49" s="1828"/>
      <c r="C49" s="3"/>
      <c r="D49" s="129" t="s">
        <v>877</v>
      </c>
      <c r="E49" s="152">
        <f>+E47/E48</f>
        <v>45</v>
      </c>
      <c r="F49" s="152">
        <f>+F47/F48</f>
        <v>326.66666666666669</v>
      </c>
      <c r="G49" s="152" t="e">
        <f>+G47/G48</f>
        <v>#DIV/0!</v>
      </c>
      <c r="H49" s="152" t="e">
        <f>+H47/H48</f>
        <v>#DIV/0!</v>
      </c>
      <c r="I49" s="152">
        <f>+I47/I48</f>
        <v>256.25</v>
      </c>
      <c r="J49" s="6"/>
      <c r="K49" s="6"/>
    </row>
    <row r="50" spans="2:11" s="412" customFormat="1" ht="15.75" thickBot="1" x14ac:dyDescent="0.3"/>
    <row r="51" spans="2:11" s="412" customFormat="1" ht="24.75" thickBot="1" x14ac:dyDescent="0.3">
      <c r="D51" s="299" t="s">
        <v>1230</v>
      </c>
      <c r="E51" s="299" t="s">
        <v>1233</v>
      </c>
      <c r="F51" s="299" t="s">
        <v>1234</v>
      </c>
      <c r="G51" s="454" t="s">
        <v>1235</v>
      </c>
    </row>
    <row r="52" spans="2:11" s="412" customFormat="1" ht="15.75" thickBot="1" x14ac:dyDescent="0.3">
      <c r="D52" s="299" t="str">
        <f>+D16</f>
        <v>Licencias ambientales</v>
      </c>
      <c r="E52" s="152">
        <f>+F21</f>
        <v>227</v>
      </c>
      <c r="F52" s="483">
        <v>90</v>
      </c>
      <c r="G52" s="196">
        <f>IF(F52/E52&gt;1,1,F52/E52)</f>
        <v>0.3964757709251101</v>
      </c>
    </row>
    <row r="53" spans="2:11" s="412" customFormat="1" ht="15.75" thickBot="1" x14ac:dyDescent="0.3">
      <c r="D53" s="299" t="str">
        <f>+D23</f>
        <v>Concesiones de agua</v>
      </c>
      <c r="E53" s="152">
        <f>+F28</f>
        <v>279.83333333333331</v>
      </c>
      <c r="F53" s="483">
        <v>90</v>
      </c>
      <c r="G53" s="196">
        <f>IF(F53/E53&gt;1,1,F53/E53)</f>
        <v>0.3216200119118523</v>
      </c>
    </row>
    <row r="54" spans="2:11" s="412" customFormat="1" ht="15.75" thickBot="1" x14ac:dyDescent="0.3">
      <c r="D54" s="299" t="str">
        <f>+D30</f>
        <v>Permisos de vertimiento de agua</v>
      </c>
      <c r="E54" s="152"/>
      <c r="F54" s="483">
        <v>90</v>
      </c>
      <c r="G54" s="196"/>
    </row>
    <row r="55" spans="2:11" s="412" customFormat="1" ht="15.75" thickBot="1" x14ac:dyDescent="0.3">
      <c r="D55" s="299" t="str">
        <f>+D37</f>
        <v>Permisos de aprovechamiento forestal</v>
      </c>
      <c r="E55" s="152">
        <f>+F42</f>
        <v>106.44444444444444</v>
      </c>
      <c r="F55" s="483">
        <v>90</v>
      </c>
      <c r="G55" s="196">
        <f>IF(F55/E55&gt;1,1,F55/E55)</f>
        <v>0.8455114822546973</v>
      </c>
    </row>
    <row r="56" spans="2:11" s="412" customFormat="1" ht="15.75" thickBot="1" x14ac:dyDescent="0.3">
      <c r="D56" s="299" t="str">
        <f>+D44</f>
        <v>Permisos de emisiones atmosféricas</v>
      </c>
      <c r="E56" s="152">
        <f>+F49</f>
        <v>326.66666666666669</v>
      </c>
      <c r="F56" s="483">
        <v>90</v>
      </c>
      <c r="G56" s="196">
        <f>IF(F56/E56&gt;1,1,F56/E56)</f>
        <v>0.27551020408163263</v>
      </c>
    </row>
    <row r="57" spans="2:11" s="412" customFormat="1" ht="24.75" thickBot="1" x14ac:dyDescent="0.3">
      <c r="D57" s="299" t="s">
        <v>1229</v>
      </c>
      <c r="E57" s="152">
        <f>AVERAGE(E52:E56)</f>
        <v>234.98611111111109</v>
      </c>
      <c r="F57" s="152">
        <f>AVERAGE(F52:F56)</f>
        <v>90</v>
      </c>
      <c r="G57" s="196">
        <f>AVERAGE(G52:G56)</f>
        <v>0.45977936729332308</v>
      </c>
    </row>
    <row r="58" spans="2:11" s="412" customFormat="1" x14ac:dyDescent="0.25">
      <c r="G58" s="1426"/>
    </row>
    <row r="59" spans="2:11" s="412" customFormat="1" ht="15.75" thickBot="1" x14ac:dyDescent="0.3"/>
    <row r="60" spans="2:11" ht="60" customHeight="1" thickBot="1" x14ac:dyDescent="0.3">
      <c r="B60" s="52" t="s">
        <v>34</v>
      </c>
      <c r="C60" s="214"/>
      <c r="D60" s="1832" t="s">
        <v>878</v>
      </c>
      <c r="E60" s="1833"/>
      <c r="F60" s="1833"/>
      <c r="G60" s="1833"/>
      <c r="H60" s="1833"/>
      <c r="I60" s="1834"/>
      <c r="J60" s="6"/>
      <c r="K60" s="6"/>
    </row>
    <row r="61" spans="2:11" ht="36" customHeight="1" thickBot="1" x14ac:dyDescent="0.3">
      <c r="B61" s="47" t="s">
        <v>36</v>
      </c>
      <c r="C61" s="93"/>
      <c r="D61" s="1832" t="s">
        <v>159</v>
      </c>
      <c r="E61" s="1833"/>
      <c r="F61" s="1833"/>
      <c r="G61" s="1833"/>
      <c r="H61" s="1833"/>
      <c r="I61" s="1834"/>
      <c r="J61" s="6"/>
      <c r="K61" s="6"/>
    </row>
    <row r="62" spans="2:11" ht="15.75" thickBot="1" x14ac:dyDescent="0.3">
      <c r="B62" s="2"/>
      <c r="C62" s="76"/>
      <c r="D62" s="6"/>
      <c r="E62" s="6"/>
      <c r="F62" s="6"/>
      <c r="G62" s="6"/>
      <c r="H62" s="6"/>
      <c r="I62" s="87"/>
      <c r="J62" s="6"/>
      <c r="K62" s="6"/>
    </row>
    <row r="63" spans="2:11" ht="24" customHeight="1" thickBot="1" x14ac:dyDescent="0.3">
      <c r="B63" s="1829" t="s">
        <v>38</v>
      </c>
      <c r="C63" s="1830"/>
      <c r="D63" s="1830"/>
      <c r="E63" s="1831"/>
      <c r="F63" s="6"/>
      <c r="G63" s="6"/>
      <c r="H63" s="6"/>
      <c r="I63" s="87"/>
      <c r="J63" s="6"/>
      <c r="K63" s="6"/>
    </row>
    <row r="64" spans="2:11" ht="15.75" thickBot="1" x14ac:dyDescent="0.3">
      <c r="B64" s="1826">
        <v>1</v>
      </c>
      <c r="C64" s="94"/>
      <c r="D64" s="48" t="s">
        <v>39</v>
      </c>
      <c r="E64" s="140" t="s">
        <v>2849</v>
      </c>
      <c r="F64" s="6"/>
      <c r="G64" s="6"/>
      <c r="H64" s="6"/>
      <c r="I64" s="87"/>
      <c r="J64" s="6"/>
      <c r="K64" s="6"/>
    </row>
    <row r="65" spans="2:11" ht="15.75" thickBot="1" x14ac:dyDescent="0.3">
      <c r="B65" s="1827"/>
      <c r="C65" s="94"/>
      <c r="D65" s="41" t="s">
        <v>40</v>
      </c>
      <c r="E65" s="140" t="s">
        <v>3212</v>
      </c>
      <c r="F65" s="6"/>
      <c r="G65" s="6"/>
      <c r="H65" s="6"/>
      <c r="I65" s="87"/>
      <c r="J65" s="6"/>
      <c r="K65" s="6"/>
    </row>
    <row r="66" spans="2:11" ht="15.75" thickBot="1" x14ac:dyDescent="0.3">
      <c r="B66" s="1827"/>
      <c r="C66" s="94"/>
      <c r="D66" s="41" t="s">
        <v>41</v>
      </c>
      <c r="E66" s="140" t="s">
        <v>3213</v>
      </c>
      <c r="F66" s="6"/>
      <c r="G66" s="6"/>
      <c r="H66" s="6"/>
      <c r="I66" s="87"/>
      <c r="J66" s="6"/>
      <c r="K66" s="6"/>
    </row>
    <row r="67" spans="2:11" ht="15.75" thickBot="1" x14ac:dyDescent="0.3">
      <c r="B67" s="1827"/>
      <c r="C67" s="94"/>
      <c r="D67" s="41" t="s">
        <v>42</v>
      </c>
      <c r="E67" s="140" t="s">
        <v>2850</v>
      </c>
      <c r="F67" s="6"/>
      <c r="G67" s="6"/>
      <c r="H67" s="6"/>
      <c r="I67" s="87"/>
      <c r="J67" s="6"/>
      <c r="K67" s="6"/>
    </row>
    <row r="68" spans="2:11" ht="15.75" thickBot="1" x14ac:dyDescent="0.3">
      <c r="B68" s="1827"/>
      <c r="C68" s="94"/>
      <c r="D68" s="41" t="s">
        <v>43</v>
      </c>
      <c r="E68" s="1190" t="s">
        <v>3214</v>
      </c>
      <c r="F68" s="6"/>
      <c r="G68" s="6"/>
      <c r="H68" s="6"/>
      <c r="I68" s="87"/>
      <c r="J68" s="6"/>
      <c r="K68" s="6"/>
    </row>
    <row r="69" spans="2:11" ht="15.75" thickBot="1" x14ac:dyDescent="0.3">
      <c r="B69" s="1827"/>
      <c r="C69" s="94"/>
      <c r="D69" s="41" t="s">
        <v>44</v>
      </c>
      <c r="E69" s="140" t="s">
        <v>3215</v>
      </c>
      <c r="F69" s="6"/>
      <c r="G69" s="6"/>
      <c r="H69" s="6"/>
      <c r="I69" s="87"/>
      <c r="J69" s="6"/>
      <c r="K69" s="6"/>
    </row>
    <row r="70" spans="2:11" ht="15.75" thickBot="1" x14ac:dyDescent="0.3">
      <c r="B70" s="1828"/>
      <c r="C70" s="3"/>
      <c r="D70" s="41" t="s">
        <v>45</v>
      </c>
      <c r="E70" s="140" t="s">
        <v>2852</v>
      </c>
      <c r="F70" s="6"/>
      <c r="G70" s="6"/>
      <c r="H70" s="6"/>
      <c r="I70" s="87"/>
      <c r="J70" s="6"/>
      <c r="K70" s="6"/>
    </row>
    <row r="71" spans="2:11" ht="15.75" thickBot="1" x14ac:dyDescent="0.3">
      <c r="B71" s="2"/>
      <c r="C71" s="76"/>
      <c r="D71" s="6"/>
      <c r="E71" s="6"/>
      <c r="F71" s="6"/>
      <c r="G71" s="6"/>
      <c r="H71" s="6"/>
      <c r="I71" s="87"/>
      <c r="J71" s="6"/>
      <c r="K71" s="6"/>
    </row>
    <row r="72" spans="2:11" ht="15.75" thickBot="1" x14ac:dyDescent="0.3">
      <c r="B72" s="1829" t="s">
        <v>46</v>
      </c>
      <c r="C72" s="1830"/>
      <c r="D72" s="1830"/>
      <c r="E72" s="1831"/>
      <c r="F72" s="6"/>
      <c r="G72" s="6"/>
      <c r="H72" s="6"/>
      <c r="I72" s="87"/>
      <c r="J72" s="6"/>
      <c r="K72" s="6"/>
    </row>
    <row r="73" spans="2:11" ht="15.75" thickBot="1" x14ac:dyDescent="0.3">
      <c r="B73" s="1826">
        <v>1</v>
      </c>
      <c r="C73" s="94"/>
      <c r="D73" s="48" t="s">
        <v>39</v>
      </c>
      <c r="E73" s="132" t="s">
        <v>47</v>
      </c>
      <c r="F73" s="6"/>
      <c r="G73" s="6"/>
      <c r="H73" s="6"/>
      <c r="I73" s="87"/>
      <c r="J73" s="6"/>
      <c r="K73" s="6"/>
    </row>
    <row r="74" spans="2:11" ht="15.75" thickBot="1" x14ac:dyDescent="0.3">
      <c r="B74" s="1827"/>
      <c r="C74" s="94"/>
      <c r="D74" s="41" t="s">
        <v>40</v>
      </c>
      <c r="E74" s="132" t="s">
        <v>160</v>
      </c>
      <c r="F74" s="6"/>
      <c r="G74" s="6"/>
      <c r="H74" s="6"/>
      <c r="I74" s="87"/>
      <c r="J74" s="6"/>
      <c r="K74" s="6"/>
    </row>
    <row r="75" spans="2:11" ht="15.75" thickBot="1" x14ac:dyDescent="0.3">
      <c r="B75" s="1827"/>
      <c r="C75" s="94"/>
      <c r="D75" s="41" t="s">
        <v>41</v>
      </c>
      <c r="E75" s="176"/>
      <c r="F75" s="6"/>
      <c r="G75" s="6"/>
      <c r="H75" s="6"/>
      <c r="I75" s="87"/>
      <c r="J75" s="6"/>
      <c r="K75" s="6"/>
    </row>
    <row r="76" spans="2:11" ht="15.75" thickBot="1" x14ac:dyDescent="0.3">
      <c r="B76" s="1827"/>
      <c r="C76" s="94"/>
      <c r="D76" s="41" t="s">
        <v>42</v>
      </c>
      <c r="E76" s="176"/>
      <c r="F76" s="6"/>
      <c r="G76" s="6"/>
      <c r="H76" s="6"/>
      <c r="I76" s="87"/>
      <c r="J76" s="6"/>
      <c r="K76" s="6"/>
    </row>
    <row r="77" spans="2:11" ht="15.75" thickBot="1" x14ac:dyDescent="0.3">
      <c r="B77" s="1827"/>
      <c r="C77" s="94"/>
      <c r="D77" s="41" t="s">
        <v>43</v>
      </c>
      <c r="E77" s="176"/>
      <c r="F77" s="6"/>
      <c r="G77" s="6"/>
      <c r="H77" s="6"/>
      <c r="I77" s="87"/>
      <c r="J77" s="6"/>
      <c r="K77" s="6"/>
    </row>
    <row r="78" spans="2:11" ht="15.75" thickBot="1" x14ac:dyDescent="0.3">
      <c r="B78" s="1827"/>
      <c r="C78" s="94"/>
      <c r="D78" s="41" t="s">
        <v>44</v>
      </c>
      <c r="E78" s="176"/>
      <c r="F78" s="6"/>
      <c r="G78" s="6"/>
      <c r="H78" s="6"/>
      <c r="I78" s="87"/>
      <c r="J78" s="6"/>
      <c r="K78" s="6"/>
    </row>
    <row r="79" spans="2:11" ht="15.75" thickBot="1" x14ac:dyDescent="0.3">
      <c r="B79" s="1828"/>
      <c r="C79" s="3"/>
      <c r="D79" s="41" t="s">
        <v>45</v>
      </c>
      <c r="E79" s="176"/>
      <c r="F79" s="6"/>
      <c r="G79" s="6"/>
      <c r="H79" s="6"/>
      <c r="I79" s="87"/>
      <c r="J79" s="6"/>
      <c r="K79" s="6"/>
    </row>
    <row r="80" spans="2:11" ht="15.75" thickBot="1" x14ac:dyDescent="0.3">
      <c r="B80" s="2"/>
      <c r="C80" s="76"/>
      <c r="D80" s="6"/>
      <c r="E80" s="6"/>
      <c r="F80" s="6"/>
      <c r="G80" s="6"/>
      <c r="H80" s="6"/>
      <c r="I80" s="87"/>
      <c r="J80" s="6"/>
      <c r="K80" s="6"/>
    </row>
    <row r="81" spans="2:11" ht="15" customHeight="1" thickBot="1" x14ac:dyDescent="0.3">
      <c r="B81" s="121" t="s">
        <v>49</v>
      </c>
      <c r="C81" s="122"/>
      <c r="D81" s="122"/>
      <c r="E81" s="123"/>
      <c r="G81" s="6"/>
      <c r="H81" s="6"/>
      <c r="I81" s="87"/>
      <c r="J81" s="6"/>
      <c r="K81" s="6"/>
    </row>
    <row r="82" spans="2:11" ht="24.75" thickBot="1" x14ac:dyDescent="0.3">
      <c r="B82" s="47" t="s">
        <v>50</v>
      </c>
      <c r="C82" s="41" t="s">
        <v>51</v>
      </c>
      <c r="D82" s="41" t="s">
        <v>52</v>
      </c>
      <c r="E82" s="41" t="s">
        <v>53</v>
      </c>
      <c r="F82" s="6"/>
      <c r="G82" s="6"/>
      <c r="H82" s="6"/>
      <c r="I82" s="87"/>
      <c r="J82" s="6"/>
    </row>
    <row r="83" spans="2:11" ht="72.75" thickBot="1" x14ac:dyDescent="0.3">
      <c r="B83" s="49">
        <v>42401</v>
      </c>
      <c r="C83" s="41">
        <v>0.01</v>
      </c>
      <c r="D83" s="50" t="s">
        <v>879</v>
      </c>
      <c r="E83" s="41"/>
      <c r="F83" s="6"/>
      <c r="G83" s="6"/>
      <c r="H83" s="6"/>
      <c r="I83" s="87"/>
      <c r="J83" s="6"/>
    </row>
    <row r="84" spans="2:11" ht="15.75" thickBot="1" x14ac:dyDescent="0.3">
      <c r="B84" s="2"/>
      <c r="C84" s="76"/>
      <c r="D84" s="6"/>
      <c r="E84" s="6"/>
      <c r="F84" s="6"/>
      <c r="G84" s="6"/>
      <c r="H84" s="6"/>
      <c r="I84" s="87"/>
      <c r="J84" s="6"/>
      <c r="K84" s="6"/>
    </row>
    <row r="85" spans="2:11" ht="15.75" thickBot="1" x14ac:dyDescent="0.3">
      <c r="B85" s="443" t="s">
        <v>55</v>
      </c>
      <c r="C85" s="96"/>
      <c r="D85" s="6"/>
      <c r="E85" s="6"/>
      <c r="F85" s="6"/>
      <c r="G85" s="6"/>
      <c r="H85" s="6"/>
      <c r="I85" s="87"/>
      <c r="J85" s="6"/>
      <c r="K85" s="6"/>
    </row>
    <row r="86" spans="2:11" x14ac:dyDescent="0.25">
      <c r="B86" s="2013"/>
      <c r="C86" s="2014"/>
      <c r="D86" s="2015"/>
      <c r="E86" s="6"/>
      <c r="F86" s="6"/>
      <c r="G86" s="6"/>
      <c r="H86" s="6"/>
      <c r="I86" s="87"/>
      <c r="J86" s="6"/>
      <c r="K86" s="6"/>
    </row>
    <row r="87" spans="2:11" ht="15.75" thickBot="1" x14ac:dyDescent="0.3">
      <c r="B87" s="2016"/>
      <c r="C87" s="2017"/>
      <c r="D87" s="2018"/>
      <c r="E87" s="6"/>
      <c r="F87" s="6"/>
      <c r="G87" s="6"/>
      <c r="H87" s="6"/>
      <c r="I87" s="87"/>
      <c r="J87" s="6"/>
      <c r="K87" s="6"/>
    </row>
    <row r="88" spans="2:11" ht="15.75" thickBot="1" x14ac:dyDescent="0.3">
      <c r="B88" s="6"/>
      <c r="D88" s="6"/>
      <c r="E88" s="6"/>
      <c r="F88" s="6"/>
      <c r="G88" s="6"/>
      <c r="H88" s="6"/>
      <c r="I88" s="87"/>
      <c r="J88" s="6"/>
      <c r="K88" s="6"/>
    </row>
    <row r="89" spans="2:11" ht="24.75" thickBot="1" x14ac:dyDescent="0.3">
      <c r="B89" s="51" t="s">
        <v>56</v>
      </c>
      <c r="C89" s="97"/>
      <c r="D89" s="6"/>
      <c r="E89" s="6"/>
      <c r="F89" s="6"/>
      <c r="G89" s="6"/>
      <c r="H89" s="6"/>
      <c r="I89" s="87"/>
      <c r="J89" s="6"/>
      <c r="K89" s="6"/>
    </row>
    <row r="90" spans="2:11" ht="15.75" thickBot="1" x14ac:dyDescent="0.3">
      <c r="B90" s="2"/>
      <c r="C90" s="76"/>
      <c r="D90" s="6"/>
      <c r="E90" s="6"/>
      <c r="F90" s="6"/>
      <c r="G90" s="6"/>
      <c r="H90" s="6"/>
      <c r="I90" s="87"/>
      <c r="J90" s="6"/>
      <c r="K90" s="6"/>
    </row>
    <row r="91" spans="2:11" ht="144" x14ac:dyDescent="0.25">
      <c r="B91" s="1826" t="s">
        <v>57</v>
      </c>
      <c r="C91" s="105"/>
      <c r="D91" s="63" t="s">
        <v>833</v>
      </c>
      <c r="E91" s="6"/>
      <c r="F91" s="6"/>
      <c r="G91" s="6"/>
      <c r="H91" s="6"/>
      <c r="I91" s="87"/>
      <c r="J91" s="6"/>
      <c r="K91" s="6"/>
    </row>
    <row r="92" spans="2:11" ht="120.75" thickBot="1" x14ac:dyDescent="0.3">
      <c r="B92" s="1828"/>
      <c r="C92" s="3"/>
      <c r="D92" s="41" t="s">
        <v>834</v>
      </c>
      <c r="E92" s="6"/>
      <c r="F92" s="6"/>
      <c r="G92" s="6"/>
      <c r="H92" s="6"/>
      <c r="I92" s="87"/>
      <c r="J92" s="6"/>
      <c r="K92" s="6"/>
    </row>
    <row r="93" spans="2:11" x14ac:dyDescent="0.25">
      <c r="B93" s="1826" t="s">
        <v>59</v>
      </c>
      <c r="C93" s="94"/>
      <c r="D93" s="53" t="s">
        <v>60</v>
      </c>
      <c r="E93" s="6"/>
      <c r="F93" s="6"/>
      <c r="G93" s="6"/>
      <c r="H93" s="6"/>
      <c r="I93" s="87"/>
      <c r="J93" s="6"/>
      <c r="K93" s="6"/>
    </row>
    <row r="94" spans="2:11" ht="108" x14ac:dyDescent="0.25">
      <c r="B94" s="1827"/>
      <c r="C94" s="94"/>
      <c r="D94" s="46" t="s">
        <v>835</v>
      </c>
      <c r="E94" s="6"/>
      <c r="F94" s="6"/>
      <c r="G94" s="6"/>
      <c r="H94" s="6"/>
      <c r="I94" s="87"/>
      <c r="J94" s="6"/>
      <c r="K94" s="6"/>
    </row>
    <row r="95" spans="2:11" x14ac:dyDescent="0.25">
      <c r="B95" s="1827"/>
      <c r="C95" s="94"/>
      <c r="D95" s="53" t="s">
        <v>134</v>
      </c>
      <c r="E95" s="6"/>
      <c r="F95" s="6"/>
      <c r="G95" s="6"/>
      <c r="H95" s="6"/>
      <c r="I95" s="87"/>
      <c r="J95" s="6"/>
      <c r="K95" s="6"/>
    </row>
    <row r="96" spans="2:11" x14ac:dyDescent="0.25">
      <c r="B96" s="1827"/>
      <c r="C96" s="94"/>
      <c r="D96" s="46" t="s">
        <v>64</v>
      </c>
      <c r="E96" s="6"/>
      <c r="F96" s="6"/>
      <c r="G96" s="6"/>
      <c r="H96" s="6"/>
      <c r="I96" s="87"/>
      <c r="J96" s="6"/>
      <c r="K96" s="6"/>
    </row>
    <row r="97" spans="2:11" x14ac:dyDescent="0.25">
      <c r="B97" s="1827"/>
      <c r="C97" s="94"/>
      <c r="D97" s="46" t="s">
        <v>65</v>
      </c>
      <c r="E97" s="6"/>
      <c r="F97" s="6"/>
      <c r="G97" s="6"/>
      <c r="H97" s="6"/>
      <c r="I97" s="87"/>
      <c r="J97" s="6"/>
      <c r="K97" s="6"/>
    </row>
    <row r="98" spans="2:11" x14ac:dyDescent="0.25">
      <c r="B98" s="1827"/>
      <c r="C98" s="94"/>
      <c r="D98" s="46" t="s">
        <v>836</v>
      </c>
      <c r="E98" s="6"/>
      <c r="F98" s="6"/>
      <c r="G98" s="6"/>
      <c r="H98" s="6"/>
      <c r="I98" s="87"/>
      <c r="J98" s="6"/>
      <c r="K98" s="6"/>
    </row>
    <row r="99" spans="2:11" ht="24" x14ac:dyDescent="0.25">
      <c r="B99" s="1827"/>
      <c r="C99" s="94"/>
      <c r="D99" s="46" t="s">
        <v>837</v>
      </c>
      <c r="E99" s="6"/>
      <c r="F99" s="6"/>
      <c r="G99" s="6"/>
      <c r="H99" s="6"/>
      <c r="I99" s="87"/>
      <c r="J99" s="6"/>
      <c r="K99" s="6"/>
    </row>
    <row r="100" spans="2:11" ht="24" x14ac:dyDescent="0.25">
      <c r="B100" s="1827"/>
      <c r="C100" s="94"/>
      <c r="D100" s="46" t="s">
        <v>838</v>
      </c>
      <c r="E100" s="6"/>
      <c r="F100" s="6"/>
      <c r="G100" s="6"/>
      <c r="H100" s="6"/>
      <c r="I100" s="87"/>
      <c r="J100" s="6"/>
      <c r="K100" s="6"/>
    </row>
    <row r="101" spans="2:11" ht="24" x14ac:dyDescent="0.25">
      <c r="B101" s="1827"/>
      <c r="C101" s="94"/>
      <c r="D101" s="46" t="s">
        <v>839</v>
      </c>
      <c r="E101" s="6"/>
      <c r="F101" s="6"/>
      <c r="G101" s="6"/>
      <c r="H101" s="6"/>
      <c r="I101" s="87"/>
      <c r="J101" s="6"/>
      <c r="K101" s="6"/>
    </row>
    <row r="102" spans="2:11" ht="48" x14ac:dyDescent="0.25">
      <c r="B102" s="1827"/>
      <c r="C102" s="94"/>
      <c r="D102" s="46" t="s">
        <v>840</v>
      </c>
      <c r="E102" s="6"/>
      <c r="F102" s="6"/>
      <c r="G102" s="6"/>
      <c r="H102" s="6"/>
      <c r="I102" s="87"/>
      <c r="J102" s="6"/>
      <c r="K102" s="6"/>
    </row>
    <row r="103" spans="2:11" ht="36.75" thickBot="1" x14ac:dyDescent="0.3">
      <c r="B103" s="1828"/>
      <c r="C103" s="3"/>
      <c r="D103" s="41" t="s">
        <v>841</v>
      </c>
      <c r="E103" s="6"/>
      <c r="F103" s="6"/>
      <c r="G103" s="6"/>
      <c r="H103" s="6"/>
      <c r="I103" s="87"/>
      <c r="J103" s="6"/>
      <c r="K103" s="6"/>
    </row>
    <row r="104" spans="2:11" ht="24.75" thickBot="1" x14ac:dyDescent="0.3">
      <c r="B104" s="47" t="s">
        <v>72</v>
      </c>
      <c r="C104" s="3"/>
      <c r="D104" s="41"/>
      <c r="E104" s="6"/>
      <c r="F104" s="6"/>
      <c r="G104" s="6"/>
      <c r="H104" s="6"/>
      <c r="I104" s="87"/>
      <c r="J104" s="6"/>
      <c r="K104" s="6"/>
    </row>
    <row r="105" spans="2:11" ht="252" x14ac:dyDescent="0.25">
      <c r="B105" s="1826" t="s">
        <v>73</v>
      </c>
      <c r="C105" s="94"/>
      <c r="D105" s="46" t="s">
        <v>842</v>
      </c>
      <c r="E105" s="6"/>
      <c r="F105" s="6"/>
      <c r="G105" s="6"/>
      <c r="H105" s="6"/>
      <c r="I105" s="87"/>
      <c r="J105" s="6"/>
      <c r="K105" s="6"/>
    </row>
    <row r="106" spans="2:11" ht="72" x14ac:dyDescent="0.25">
      <c r="B106" s="1827"/>
      <c r="C106" s="94"/>
      <c r="D106" s="46" t="s">
        <v>843</v>
      </c>
      <c r="E106" s="6"/>
      <c r="F106" s="6"/>
      <c r="G106" s="6"/>
      <c r="H106" s="6"/>
      <c r="I106" s="87"/>
      <c r="J106" s="6"/>
      <c r="K106" s="6"/>
    </row>
    <row r="107" spans="2:11" ht="72" x14ac:dyDescent="0.25">
      <c r="B107" s="1827"/>
      <c r="C107" s="94"/>
      <c r="D107" s="46" t="s">
        <v>844</v>
      </c>
      <c r="E107" s="6"/>
      <c r="F107" s="6"/>
      <c r="G107" s="6"/>
      <c r="H107" s="6"/>
      <c r="I107" s="87"/>
      <c r="J107" s="6"/>
      <c r="K107" s="6"/>
    </row>
    <row r="108" spans="2:11" ht="156" x14ac:dyDescent="0.25">
      <c r="B108" s="1827"/>
      <c r="C108" s="94"/>
      <c r="D108" s="46" t="s">
        <v>845</v>
      </c>
      <c r="E108" s="6"/>
      <c r="F108" s="6"/>
      <c r="G108" s="6"/>
      <c r="H108" s="6"/>
      <c r="I108" s="87"/>
      <c r="J108" s="6"/>
      <c r="K108" s="6"/>
    </row>
    <row r="109" spans="2:11" ht="168" x14ac:dyDescent="0.25">
      <c r="B109" s="1827"/>
      <c r="C109" s="94"/>
      <c r="D109" s="46" t="s">
        <v>846</v>
      </c>
      <c r="E109" s="6"/>
      <c r="F109" s="6"/>
      <c r="G109" s="6"/>
      <c r="H109" s="6"/>
      <c r="I109" s="87"/>
      <c r="J109" s="6"/>
      <c r="K109" s="6"/>
    </row>
    <row r="110" spans="2:11" ht="108" x14ac:dyDescent="0.25">
      <c r="B110" s="1827"/>
      <c r="C110" s="94"/>
      <c r="D110" s="46" t="s">
        <v>847</v>
      </c>
      <c r="E110" s="6"/>
      <c r="F110" s="6"/>
      <c r="G110" s="6"/>
      <c r="H110" s="6"/>
      <c r="I110" s="87"/>
      <c r="J110" s="6"/>
      <c r="K110" s="6"/>
    </row>
    <row r="111" spans="2:11" ht="60.75" thickBot="1" x14ac:dyDescent="0.3">
      <c r="B111" s="1828"/>
      <c r="C111" s="3"/>
      <c r="D111" s="41" t="s">
        <v>848</v>
      </c>
      <c r="E111" s="6"/>
      <c r="F111" s="6"/>
      <c r="G111" s="6"/>
      <c r="H111" s="6"/>
      <c r="I111" s="87"/>
      <c r="J111" s="6"/>
      <c r="K111" s="6"/>
    </row>
    <row r="112" spans="2:11" ht="36" x14ac:dyDescent="0.25">
      <c r="B112" s="1826" t="s">
        <v>90</v>
      </c>
      <c r="C112" s="94"/>
      <c r="D112" s="53" t="s">
        <v>832</v>
      </c>
      <c r="E112" s="6"/>
      <c r="F112" s="6"/>
      <c r="G112" s="6"/>
      <c r="H112" s="6"/>
      <c r="I112" s="87"/>
      <c r="J112" s="6"/>
      <c r="K112" s="6"/>
    </row>
    <row r="113" spans="2:11" x14ac:dyDescent="0.25">
      <c r="B113" s="1827"/>
      <c r="C113" s="94"/>
      <c r="D113" s="17"/>
      <c r="E113" s="6"/>
      <c r="F113" s="6"/>
      <c r="G113" s="6"/>
      <c r="H113" s="6"/>
      <c r="I113" s="87"/>
      <c r="J113" s="6"/>
      <c r="K113" s="6"/>
    </row>
    <row r="114" spans="2:11" x14ac:dyDescent="0.25">
      <c r="B114" s="1827"/>
      <c r="C114" s="94"/>
      <c r="D114" s="46" t="s">
        <v>91</v>
      </c>
      <c r="E114" s="6"/>
      <c r="F114" s="6"/>
      <c r="G114" s="6"/>
      <c r="H114" s="6"/>
      <c r="I114" s="87"/>
      <c r="J114" s="6"/>
      <c r="K114" s="6"/>
    </row>
    <row r="115" spans="2:11" ht="24" x14ac:dyDescent="0.25">
      <c r="B115" s="1827"/>
      <c r="C115" s="94"/>
      <c r="D115" s="46" t="s">
        <v>849</v>
      </c>
      <c r="E115" s="6"/>
      <c r="F115" s="6"/>
      <c r="G115" s="6"/>
      <c r="H115" s="6"/>
      <c r="I115" s="87"/>
      <c r="J115" s="6"/>
      <c r="K115" s="6"/>
    </row>
    <row r="116" spans="2:11" ht="24" x14ac:dyDescent="0.25">
      <c r="B116" s="1827"/>
      <c r="C116" s="94"/>
      <c r="D116" s="46" t="s">
        <v>850</v>
      </c>
      <c r="E116" s="6"/>
      <c r="F116" s="6"/>
      <c r="G116" s="6"/>
      <c r="H116" s="6"/>
      <c r="I116" s="87"/>
      <c r="J116" s="6"/>
      <c r="K116" s="6"/>
    </row>
    <row r="117" spans="2:11" ht="60" x14ac:dyDescent="0.25">
      <c r="B117" s="1827"/>
      <c r="C117" s="94"/>
      <c r="D117" s="46" t="s">
        <v>851</v>
      </c>
      <c r="E117" s="6"/>
      <c r="F117" s="6"/>
      <c r="G117" s="6"/>
      <c r="H117" s="6"/>
      <c r="I117" s="87"/>
      <c r="J117" s="6"/>
      <c r="K117" s="6"/>
    </row>
    <row r="118" spans="2:11" ht="60" x14ac:dyDescent="0.25">
      <c r="B118" s="1827"/>
      <c r="C118" s="94"/>
      <c r="D118" s="46" t="s">
        <v>852</v>
      </c>
      <c r="E118" s="6"/>
      <c r="F118" s="6"/>
      <c r="G118" s="6"/>
      <c r="H118" s="6"/>
      <c r="I118" s="87"/>
      <c r="J118" s="6"/>
      <c r="K118" s="6"/>
    </row>
    <row r="119" spans="2:11" ht="60" x14ac:dyDescent="0.25">
      <c r="B119" s="1827"/>
      <c r="C119" s="94"/>
      <c r="D119" s="58" t="s">
        <v>853</v>
      </c>
      <c r="E119" s="6"/>
      <c r="F119" s="6"/>
      <c r="G119" s="6"/>
      <c r="H119" s="6"/>
      <c r="I119" s="87"/>
      <c r="J119" s="6"/>
      <c r="K119" s="6"/>
    </row>
    <row r="120" spans="2:11" ht="36" x14ac:dyDescent="0.25">
      <c r="B120" s="1827"/>
      <c r="C120" s="94"/>
      <c r="D120" s="46" t="s">
        <v>854</v>
      </c>
      <c r="E120" s="6"/>
      <c r="F120" s="6"/>
      <c r="G120" s="6"/>
      <c r="H120" s="6"/>
      <c r="I120" s="87"/>
      <c r="J120" s="6"/>
      <c r="K120" s="6"/>
    </row>
    <row r="121" spans="2:11" ht="36" x14ac:dyDescent="0.25">
      <c r="B121" s="1827"/>
      <c r="C121" s="94"/>
      <c r="D121" s="46" t="s">
        <v>855</v>
      </c>
      <c r="E121" s="6"/>
      <c r="F121" s="6"/>
      <c r="G121" s="6"/>
      <c r="H121" s="6"/>
      <c r="I121" s="87"/>
      <c r="J121" s="6"/>
      <c r="K121" s="6"/>
    </row>
    <row r="122" spans="2:11" ht="36" x14ac:dyDescent="0.25">
      <c r="B122" s="1827"/>
      <c r="C122" s="94"/>
      <c r="D122" s="46" t="s">
        <v>856</v>
      </c>
      <c r="E122" s="6"/>
      <c r="F122" s="6"/>
      <c r="G122" s="6"/>
      <c r="H122" s="6"/>
      <c r="I122" s="87"/>
      <c r="J122" s="6"/>
      <c r="K122" s="6"/>
    </row>
    <row r="123" spans="2:11" ht="36" x14ac:dyDescent="0.25">
      <c r="B123" s="1827"/>
      <c r="C123" s="94"/>
      <c r="D123" s="46" t="s">
        <v>857</v>
      </c>
      <c r="E123" s="6"/>
      <c r="F123" s="6"/>
      <c r="G123" s="6"/>
      <c r="H123" s="6"/>
      <c r="I123" s="87"/>
      <c r="J123" s="6"/>
      <c r="K123" s="6"/>
    </row>
    <row r="124" spans="2:11" ht="36.75" thickBot="1" x14ac:dyDescent="0.3">
      <c r="B124" s="1828"/>
      <c r="C124" s="3"/>
      <c r="D124" s="41" t="s">
        <v>858</v>
      </c>
      <c r="E124" s="6"/>
      <c r="F124" s="6"/>
      <c r="G124" s="6"/>
      <c r="H124" s="6"/>
      <c r="I124" s="87"/>
      <c r="J124" s="6"/>
      <c r="K124" s="6"/>
    </row>
    <row r="125" spans="2:11" x14ac:dyDescent="0.25">
      <c r="B125" s="6"/>
      <c r="D125" s="6"/>
      <c r="E125" s="6"/>
      <c r="F125" s="6"/>
      <c r="G125" s="6"/>
      <c r="H125" s="6"/>
      <c r="I125" s="87"/>
      <c r="J125" s="6"/>
      <c r="K125" s="6"/>
    </row>
    <row r="126" spans="2:11" x14ac:dyDescent="0.25">
      <c r="B126" s="6"/>
      <c r="D126" s="6"/>
      <c r="E126" s="6"/>
      <c r="F126" s="6"/>
      <c r="G126" s="6"/>
      <c r="H126" s="6"/>
      <c r="I126" s="87"/>
      <c r="J126" s="6"/>
      <c r="K126" s="6"/>
    </row>
    <row r="127" spans="2:11" x14ac:dyDescent="0.25">
      <c r="B127" s="6"/>
      <c r="D127" s="6"/>
      <c r="E127" s="6"/>
      <c r="F127" s="6"/>
      <c r="G127" s="6"/>
      <c r="H127" s="6"/>
      <c r="I127" s="87"/>
      <c r="J127" s="6"/>
      <c r="K127" s="6"/>
    </row>
    <row r="128" spans="2:11" x14ac:dyDescent="0.25">
      <c r="B128" s="6"/>
      <c r="D128" s="6"/>
      <c r="E128" s="6"/>
      <c r="F128" s="6"/>
      <c r="G128" s="6"/>
      <c r="H128" s="6"/>
      <c r="I128" s="87"/>
      <c r="J128" s="6"/>
      <c r="K128" s="6"/>
    </row>
    <row r="129" spans="2:11" x14ac:dyDescent="0.25">
      <c r="B129" s="6"/>
      <c r="D129" s="6"/>
      <c r="E129" s="6"/>
      <c r="F129" s="6"/>
      <c r="G129" s="6"/>
      <c r="H129" s="6"/>
      <c r="I129" s="87"/>
      <c r="J129" s="6"/>
      <c r="K129" s="6"/>
    </row>
    <row r="130" spans="2:11" x14ac:dyDescent="0.25">
      <c r="B130" s="6"/>
      <c r="D130" s="6"/>
      <c r="E130" s="6"/>
      <c r="F130" s="6"/>
      <c r="G130" s="6"/>
      <c r="H130" s="6"/>
      <c r="I130" s="87"/>
      <c r="J130" s="6"/>
      <c r="K130" s="6"/>
    </row>
    <row r="131" spans="2:11" x14ac:dyDescent="0.25">
      <c r="B131" s="6"/>
      <c r="D131" s="6"/>
      <c r="E131" s="6"/>
      <c r="F131" s="6"/>
      <c r="G131" s="6"/>
      <c r="H131" s="6"/>
      <c r="I131" s="87"/>
      <c r="J131" s="6"/>
      <c r="K131" s="6"/>
    </row>
    <row r="132" spans="2:11" x14ac:dyDescent="0.25">
      <c r="B132" s="6"/>
      <c r="D132" s="6"/>
      <c r="E132" s="6"/>
      <c r="F132" s="6"/>
      <c r="G132" s="6"/>
      <c r="H132" s="6"/>
      <c r="I132" s="87"/>
      <c r="J132" s="6"/>
      <c r="K132" s="6"/>
    </row>
    <row r="133" spans="2:11" x14ac:dyDescent="0.25">
      <c r="B133" s="6"/>
      <c r="D133" s="6"/>
      <c r="E133" s="6"/>
      <c r="F133" s="6"/>
      <c r="G133" s="6"/>
      <c r="H133" s="6"/>
      <c r="I133" s="87"/>
      <c r="J133" s="6"/>
      <c r="K133" s="6"/>
    </row>
    <row r="134" spans="2:11" x14ac:dyDescent="0.25">
      <c r="B134" s="6"/>
      <c r="D134" s="6"/>
      <c r="E134" s="6"/>
      <c r="F134" s="6"/>
      <c r="G134" s="6"/>
      <c r="H134" s="6"/>
      <c r="I134" s="87"/>
      <c r="J134" s="6"/>
      <c r="K134" s="6"/>
    </row>
    <row r="135" spans="2:11" x14ac:dyDescent="0.25">
      <c r="B135" s="6"/>
      <c r="D135" s="6"/>
      <c r="E135" s="6"/>
      <c r="F135" s="6"/>
      <c r="G135" s="6"/>
      <c r="H135" s="6"/>
      <c r="I135" s="87"/>
      <c r="J135" s="6"/>
      <c r="K135" s="6"/>
    </row>
    <row r="136" spans="2:11" x14ac:dyDescent="0.25">
      <c r="B136" s="6"/>
      <c r="D136" s="6"/>
      <c r="E136" s="6"/>
      <c r="F136" s="6"/>
      <c r="G136" s="6"/>
      <c r="H136" s="6"/>
      <c r="I136" s="87"/>
      <c r="J136" s="6"/>
      <c r="K136" s="6"/>
    </row>
    <row r="137" spans="2:11" x14ac:dyDescent="0.25">
      <c r="B137" s="6"/>
      <c r="D137" s="6"/>
      <c r="E137" s="6"/>
      <c r="F137" s="6"/>
      <c r="G137" s="6"/>
      <c r="H137" s="6"/>
      <c r="I137" s="87"/>
      <c r="J137" s="6"/>
      <c r="K137" s="6"/>
    </row>
    <row r="138" spans="2:11" x14ac:dyDescent="0.25">
      <c r="B138" s="6"/>
      <c r="D138" s="6"/>
      <c r="E138" s="6"/>
      <c r="F138" s="6"/>
      <c r="G138" s="6"/>
      <c r="H138" s="6"/>
      <c r="I138" s="87"/>
      <c r="J138" s="6"/>
      <c r="K138" s="6"/>
    </row>
    <row r="139" spans="2:11" x14ac:dyDescent="0.25">
      <c r="B139" s="6"/>
      <c r="D139" s="6"/>
      <c r="E139" s="6"/>
      <c r="F139" s="6"/>
      <c r="G139" s="6"/>
      <c r="H139" s="6"/>
      <c r="I139" s="87"/>
      <c r="J139" s="6"/>
      <c r="K139" s="6"/>
    </row>
    <row r="140" spans="2:11" x14ac:dyDescent="0.25">
      <c r="B140" s="6"/>
      <c r="D140" s="6"/>
      <c r="E140" s="6"/>
      <c r="F140" s="6"/>
      <c r="G140" s="6"/>
      <c r="H140" s="6"/>
      <c r="I140" s="87"/>
      <c r="J140" s="6"/>
      <c r="K140" s="6"/>
    </row>
    <row r="141" spans="2:11" x14ac:dyDescent="0.25">
      <c r="B141" s="6"/>
      <c r="D141" s="6"/>
      <c r="E141" s="6"/>
      <c r="F141" s="6"/>
      <c r="G141" s="6"/>
      <c r="H141" s="6"/>
      <c r="I141" s="87"/>
      <c r="J141" s="6"/>
      <c r="K141" s="6"/>
    </row>
    <row r="142" spans="2:11" x14ac:dyDescent="0.25">
      <c r="B142" s="6"/>
      <c r="D142" s="6"/>
      <c r="E142" s="6"/>
      <c r="F142" s="6"/>
      <c r="G142" s="6"/>
      <c r="H142" s="6"/>
      <c r="I142" s="87"/>
      <c r="J142" s="6"/>
      <c r="K142" s="6"/>
    </row>
    <row r="143" spans="2:11" x14ac:dyDescent="0.25">
      <c r="B143" s="6"/>
      <c r="D143" s="6"/>
      <c r="E143" s="6"/>
      <c r="F143" s="6"/>
      <c r="G143" s="6"/>
      <c r="H143" s="6"/>
      <c r="I143" s="87"/>
      <c r="J143" s="6"/>
      <c r="K143" s="6"/>
    </row>
    <row r="144" spans="2:11" x14ac:dyDescent="0.25">
      <c r="B144" s="6"/>
      <c r="D144" s="6"/>
      <c r="E144" s="6"/>
      <c r="F144" s="6"/>
      <c r="G144" s="6"/>
      <c r="H144" s="6"/>
      <c r="I144" s="87"/>
      <c r="J144" s="6"/>
      <c r="K144" s="6"/>
    </row>
    <row r="145" spans="2:11" x14ac:dyDescent="0.25">
      <c r="B145" s="6"/>
      <c r="D145" s="6"/>
      <c r="E145" s="6"/>
      <c r="F145" s="6"/>
      <c r="G145" s="6"/>
      <c r="H145" s="6"/>
      <c r="I145" s="87"/>
      <c r="J145" s="6"/>
      <c r="K145" s="6"/>
    </row>
    <row r="146" spans="2:11" x14ac:dyDescent="0.25">
      <c r="B146" s="6"/>
      <c r="D146" s="6"/>
      <c r="E146" s="6"/>
      <c r="F146" s="6"/>
      <c r="G146" s="6"/>
      <c r="H146" s="6"/>
      <c r="I146" s="87"/>
      <c r="J146" s="6"/>
      <c r="K146" s="6"/>
    </row>
    <row r="147" spans="2:11" x14ac:dyDescent="0.25">
      <c r="B147" s="6"/>
      <c r="D147" s="6"/>
      <c r="E147" s="6"/>
      <c r="F147" s="6"/>
      <c r="G147" s="6"/>
      <c r="H147" s="6"/>
      <c r="I147" s="87"/>
      <c r="J147" s="6"/>
      <c r="K147" s="6"/>
    </row>
    <row r="148" spans="2:11" x14ac:dyDescent="0.25">
      <c r="B148" s="6"/>
      <c r="D148" s="6"/>
      <c r="E148" s="6"/>
      <c r="F148" s="6"/>
      <c r="G148" s="6"/>
      <c r="H148" s="6"/>
      <c r="I148" s="87"/>
      <c r="J148" s="6"/>
      <c r="K148" s="6"/>
    </row>
    <row r="149" spans="2:11" x14ac:dyDescent="0.25">
      <c r="B149" s="6"/>
      <c r="D149" s="6"/>
      <c r="E149" s="6"/>
      <c r="F149" s="6"/>
      <c r="G149" s="6"/>
      <c r="H149" s="6"/>
      <c r="I149" s="87"/>
      <c r="J149" s="6"/>
      <c r="K149" s="6"/>
    </row>
    <row r="150" spans="2:11" x14ac:dyDescent="0.25">
      <c r="B150" s="6"/>
      <c r="D150" s="6"/>
      <c r="E150" s="6"/>
      <c r="F150" s="6"/>
      <c r="G150" s="6"/>
      <c r="H150" s="6"/>
      <c r="I150" s="87"/>
      <c r="J150" s="6"/>
      <c r="K150" s="6"/>
    </row>
    <row r="151" spans="2:11" x14ac:dyDescent="0.25">
      <c r="B151" s="6"/>
      <c r="D151" s="6"/>
      <c r="E151" s="6"/>
      <c r="F151" s="6"/>
      <c r="G151" s="6"/>
      <c r="H151" s="6"/>
      <c r="I151" s="87"/>
      <c r="J151" s="6"/>
      <c r="K151" s="6"/>
    </row>
    <row r="152" spans="2:11" x14ac:dyDescent="0.25">
      <c r="B152" s="6"/>
      <c r="D152" s="6"/>
      <c r="E152" s="6"/>
      <c r="F152" s="6"/>
      <c r="G152" s="6"/>
      <c r="H152" s="6"/>
      <c r="I152" s="87"/>
      <c r="J152" s="6"/>
      <c r="K152" s="6"/>
    </row>
    <row r="153" spans="2:11" x14ac:dyDescent="0.25">
      <c r="B153" s="6"/>
      <c r="D153" s="6"/>
      <c r="E153" s="6"/>
      <c r="F153" s="6"/>
      <c r="G153" s="6"/>
      <c r="H153" s="6"/>
      <c r="I153" s="87"/>
      <c r="J153" s="6"/>
      <c r="K153" s="6"/>
    </row>
    <row r="154" spans="2:11" x14ac:dyDescent="0.25">
      <c r="B154" s="6"/>
      <c r="D154" s="6"/>
      <c r="E154" s="6"/>
      <c r="F154" s="6"/>
      <c r="G154" s="6"/>
      <c r="H154" s="6"/>
      <c r="I154" s="87"/>
      <c r="J154" s="6"/>
      <c r="K154" s="6"/>
    </row>
    <row r="155" spans="2:11" x14ac:dyDescent="0.25">
      <c r="B155" s="6"/>
      <c r="D155" s="6"/>
      <c r="E155" s="6"/>
      <c r="F155" s="6"/>
      <c r="G155" s="6"/>
      <c r="H155" s="6"/>
      <c r="I155" s="87"/>
      <c r="J155" s="6"/>
      <c r="K155" s="6"/>
    </row>
    <row r="156" spans="2:11" x14ac:dyDescent="0.25">
      <c r="B156" s="6"/>
      <c r="D156" s="6"/>
      <c r="E156" s="6"/>
      <c r="F156" s="6"/>
      <c r="G156" s="6"/>
      <c r="H156" s="6"/>
      <c r="I156" s="87"/>
      <c r="J156" s="6"/>
      <c r="K156" s="6"/>
    </row>
    <row r="157" spans="2:11" x14ac:dyDescent="0.25">
      <c r="B157" s="6"/>
      <c r="D157" s="6"/>
      <c r="E157" s="6"/>
      <c r="F157" s="6"/>
      <c r="G157" s="6"/>
      <c r="H157" s="6"/>
      <c r="I157" s="87"/>
      <c r="J157" s="6"/>
      <c r="K157" s="6"/>
    </row>
    <row r="158" spans="2:11" x14ac:dyDescent="0.25">
      <c r="B158" s="6"/>
      <c r="D158" s="6"/>
      <c r="E158" s="6"/>
      <c r="F158" s="6"/>
      <c r="G158" s="6"/>
      <c r="H158" s="6"/>
      <c r="I158" s="87"/>
      <c r="J158" s="6"/>
      <c r="K158" s="6"/>
    </row>
    <row r="159" spans="2:11" x14ac:dyDescent="0.25">
      <c r="B159" s="6"/>
      <c r="D159" s="6"/>
      <c r="E159" s="6"/>
      <c r="F159" s="6"/>
      <c r="G159" s="6"/>
      <c r="H159" s="6"/>
      <c r="I159" s="87"/>
      <c r="J159" s="6"/>
      <c r="K159" s="6"/>
    </row>
    <row r="160" spans="2:11" x14ac:dyDescent="0.25">
      <c r="B160" s="6"/>
      <c r="D160" s="6"/>
      <c r="E160" s="6"/>
      <c r="F160" s="6"/>
      <c r="G160" s="6"/>
      <c r="H160" s="6"/>
      <c r="I160" s="87"/>
      <c r="J160" s="6"/>
      <c r="K160" s="6"/>
    </row>
    <row r="161" spans="2:11" x14ac:dyDescent="0.25">
      <c r="B161" s="6"/>
      <c r="D161" s="6"/>
      <c r="E161" s="6"/>
      <c r="F161" s="6"/>
      <c r="G161" s="6"/>
      <c r="H161" s="6"/>
      <c r="I161" s="87"/>
      <c r="J161" s="6"/>
      <c r="K161" s="6"/>
    </row>
    <row r="162" spans="2:11" x14ac:dyDescent="0.25">
      <c r="B162" s="6"/>
      <c r="D162" s="6"/>
      <c r="E162" s="6"/>
      <c r="F162" s="6"/>
      <c r="G162" s="6"/>
      <c r="H162" s="6"/>
      <c r="I162" s="87"/>
      <c r="J162" s="6"/>
      <c r="K162" s="6"/>
    </row>
    <row r="163" spans="2:11" x14ac:dyDescent="0.25">
      <c r="B163" s="6"/>
      <c r="D163" s="6"/>
      <c r="E163" s="6"/>
      <c r="F163" s="6"/>
      <c r="G163" s="6"/>
      <c r="H163" s="6"/>
      <c r="I163" s="87"/>
      <c r="J163" s="6"/>
      <c r="K163" s="6"/>
    </row>
    <row r="164" spans="2:11" x14ac:dyDescent="0.25">
      <c r="B164" s="6"/>
      <c r="D164" s="6"/>
      <c r="E164" s="6"/>
      <c r="F164" s="6"/>
      <c r="G164" s="6"/>
      <c r="H164" s="6"/>
      <c r="I164" s="87"/>
      <c r="J164" s="6"/>
      <c r="K164" s="6"/>
    </row>
    <row r="165" spans="2:11" x14ac:dyDescent="0.25">
      <c r="B165" s="6"/>
      <c r="D165" s="6"/>
      <c r="E165" s="6"/>
      <c r="F165" s="6"/>
      <c r="G165" s="6"/>
      <c r="H165" s="6"/>
      <c r="I165" s="87"/>
      <c r="J165" s="6"/>
      <c r="K165" s="6"/>
    </row>
    <row r="166" spans="2:11" x14ac:dyDescent="0.25">
      <c r="B166" s="6"/>
      <c r="D166" s="6"/>
      <c r="E166" s="6"/>
      <c r="F166" s="6"/>
      <c r="G166" s="6"/>
      <c r="H166" s="6"/>
      <c r="I166" s="87"/>
      <c r="J166" s="6"/>
      <c r="K166" s="6"/>
    </row>
    <row r="167" spans="2:11" x14ac:dyDescent="0.25">
      <c r="B167" s="6"/>
      <c r="D167" s="6"/>
      <c r="E167" s="6"/>
      <c r="F167" s="6"/>
      <c r="G167" s="6"/>
      <c r="H167" s="6"/>
      <c r="I167" s="87"/>
      <c r="J167" s="6"/>
      <c r="K167" s="6"/>
    </row>
    <row r="168" spans="2:11" x14ac:dyDescent="0.25">
      <c r="B168" s="6"/>
      <c r="D168" s="6"/>
      <c r="E168" s="6"/>
      <c r="F168" s="6"/>
      <c r="G168" s="6"/>
      <c r="H168" s="6"/>
      <c r="I168" s="87"/>
      <c r="J168" s="6"/>
      <c r="K168" s="6"/>
    </row>
    <row r="169" spans="2:11" x14ac:dyDescent="0.25">
      <c r="B169" s="6"/>
      <c r="D169" s="6"/>
      <c r="E169" s="6"/>
      <c r="F169" s="6"/>
      <c r="G169" s="6"/>
      <c r="H169" s="6"/>
      <c r="I169" s="87"/>
      <c r="J169" s="6"/>
      <c r="K169" s="6"/>
    </row>
    <row r="170" spans="2:11" x14ac:dyDescent="0.25">
      <c r="B170" s="6"/>
      <c r="D170" s="6"/>
      <c r="E170" s="6"/>
      <c r="F170" s="6"/>
      <c r="G170" s="6"/>
      <c r="H170" s="6"/>
      <c r="I170" s="87"/>
      <c r="J170" s="6"/>
      <c r="K170" s="6"/>
    </row>
    <row r="171" spans="2:11" x14ac:dyDescent="0.25">
      <c r="B171" s="6"/>
      <c r="D171" s="6"/>
      <c r="E171" s="6"/>
      <c r="F171" s="6"/>
      <c r="G171" s="6"/>
      <c r="H171" s="6"/>
      <c r="I171" s="87"/>
      <c r="J171" s="6"/>
      <c r="K171" s="6"/>
    </row>
    <row r="172" spans="2:11" x14ac:dyDescent="0.25">
      <c r="B172" s="6"/>
      <c r="D172" s="6"/>
      <c r="E172" s="6"/>
      <c r="F172" s="6"/>
      <c r="G172" s="6"/>
      <c r="H172" s="6"/>
      <c r="I172" s="87"/>
      <c r="J172" s="6"/>
      <c r="K172" s="6"/>
    </row>
    <row r="173" spans="2:11" x14ac:dyDescent="0.25">
      <c r="B173" s="6"/>
      <c r="D173" s="6"/>
      <c r="E173" s="6"/>
      <c r="F173" s="6"/>
      <c r="G173" s="6"/>
      <c r="H173" s="6"/>
      <c r="I173" s="87"/>
      <c r="J173" s="6"/>
      <c r="K173" s="6"/>
    </row>
    <row r="174" spans="2:11" x14ac:dyDescent="0.25">
      <c r="B174" s="6"/>
      <c r="D174" s="6"/>
      <c r="E174" s="6"/>
      <c r="F174" s="6"/>
      <c r="G174" s="6"/>
      <c r="H174" s="6"/>
      <c r="I174" s="87"/>
      <c r="J174" s="6"/>
      <c r="K174" s="6"/>
    </row>
    <row r="175" spans="2:11" x14ac:dyDescent="0.25">
      <c r="B175" s="6"/>
      <c r="D175" s="6"/>
      <c r="E175" s="6"/>
      <c r="F175" s="6"/>
      <c r="G175" s="6"/>
      <c r="H175" s="6"/>
      <c r="I175" s="87"/>
      <c r="J175" s="6"/>
      <c r="K175" s="6"/>
    </row>
    <row r="176" spans="2:11" x14ac:dyDescent="0.25">
      <c r="B176" s="6"/>
      <c r="D176" s="6"/>
      <c r="E176" s="6"/>
      <c r="F176" s="6"/>
      <c r="G176" s="6"/>
      <c r="H176" s="6"/>
      <c r="I176" s="87"/>
      <c r="J176" s="6"/>
      <c r="K176" s="6"/>
    </row>
    <row r="177" spans="2:11" x14ac:dyDescent="0.25">
      <c r="B177" s="6"/>
      <c r="D177" s="6"/>
      <c r="E177" s="6"/>
      <c r="F177" s="6"/>
      <c r="G177" s="6"/>
      <c r="H177" s="6"/>
      <c r="I177" s="87"/>
      <c r="J177" s="6"/>
      <c r="K177" s="6"/>
    </row>
    <row r="178" spans="2:11" x14ac:dyDescent="0.25">
      <c r="B178" s="6"/>
      <c r="D178" s="6"/>
      <c r="E178" s="6"/>
      <c r="F178" s="6"/>
      <c r="G178" s="6"/>
      <c r="H178" s="6"/>
      <c r="I178" s="87"/>
      <c r="J178" s="6"/>
      <c r="K178" s="6"/>
    </row>
    <row r="179" spans="2:11" x14ac:dyDescent="0.25">
      <c r="B179" s="6"/>
      <c r="D179" s="6"/>
      <c r="E179" s="6"/>
      <c r="F179" s="6"/>
      <c r="G179" s="6"/>
      <c r="H179" s="6"/>
      <c r="I179" s="87"/>
      <c r="J179" s="6"/>
      <c r="K179" s="6"/>
    </row>
    <row r="180" spans="2:11" x14ac:dyDescent="0.25">
      <c r="B180" s="6"/>
      <c r="D180" s="6"/>
      <c r="E180" s="6"/>
      <c r="F180" s="6"/>
      <c r="G180" s="6"/>
      <c r="H180" s="6"/>
      <c r="I180" s="87"/>
      <c r="J180" s="6"/>
      <c r="K180" s="6"/>
    </row>
    <row r="181" spans="2:11" x14ac:dyDescent="0.25">
      <c r="B181" s="6"/>
      <c r="D181" s="6"/>
      <c r="E181" s="6"/>
      <c r="F181" s="6"/>
      <c r="G181" s="6"/>
      <c r="H181" s="6"/>
      <c r="I181" s="87"/>
      <c r="J181" s="6"/>
      <c r="K181" s="6"/>
    </row>
    <row r="182" spans="2:11" x14ac:dyDescent="0.25">
      <c r="B182" s="6"/>
      <c r="D182" s="6"/>
      <c r="E182" s="6"/>
      <c r="F182" s="6"/>
      <c r="G182" s="6"/>
      <c r="H182" s="6"/>
      <c r="I182" s="87"/>
      <c r="J182" s="6"/>
      <c r="K182" s="6"/>
    </row>
    <row r="183" spans="2:11" x14ac:dyDescent="0.25">
      <c r="B183" s="6"/>
      <c r="D183" s="6"/>
      <c r="E183" s="6"/>
      <c r="F183" s="6"/>
      <c r="G183" s="6"/>
      <c r="H183" s="6"/>
      <c r="I183" s="87"/>
      <c r="J183" s="6"/>
      <c r="K183" s="6"/>
    </row>
    <row r="184" spans="2:11" x14ac:dyDescent="0.25">
      <c r="B184" s="6"/>
      <c r="D184" s="6"/>
      <c r="E184" s="6"/>
      <c r="F184" s="6"/>
      <c r="G184" s="6"/>
      <c r="H184" s="6"/>
      <c r="I184" s="87"/>
      <c r="J184" s="6"/>
      <c r="K184" s="6"/>
    </row>
    <row r="185" spans="2:11" x14ac:dyDescent="0.25">
      <c r="B185" s="6"/>
      <c r="D185" s="6"/>
      <c r="E185" s="6"/>
      <c r="F185" s="6"/>
      <c r="G185" s="6"/>
      <c r="H185" s="6"/>
      <c r="I185" s="87"/>
      <c r="J185" s="6"/>
      <c r="K185" s="6"/>
    </row>
    <row r="186" spans="2:11" x14ac:dyDescent="0.25">
      <c r="B186" s="6"/>
      <c r="D186" s="6"/>
      <c r="E186" s="6"/>
      <c r="F186" s="6"/>
      <c r="G186" s="6"/>
      <c r="H186" s="6"/>
      <c r="I186" s="87"/>
      <c r="J186" s="6"/>
      <c r="K186" s="6"/>
    </row>
    <row r="187" spans="2:11" x14ac:dyDescent="0.25">
      <c r="B187" s="6"/>
      <c r="D187" s="6"/>
      <c r="E187" s="6"/>
      <c r="F187" s="6"/>
      <c r="G187" s="6"/>
      <c r="H187" s="6"/>
      <c r="I187" s="87"/>
      <c r="J187" s="6"/>
      <c r="K187" s="6"/>
    </row>
    <row r="188" spans="2:11" x14ac:dyDescent="0.25">
      <c r="B188" s="6"/>
      <c r="D188" s="6"/>
      <c r="E188" s="6"/>
      <c r="F188" s="6"/>
      <c r="G188" s="6"/>
      <c r="H188" s="6"/>
      <c r="I188" s="87"/>
      <c r="J188" s="6"/>
      <c r="K188" s="6"/>
    </row>
    <row r="189" spans="2:11" x14ac:dyDescent="0.25">
      <c r="B189" s="6"/>
      <c r="D189" s="6"/>
      <c r="E189" s="6"/>
      <c r="F189" s="6"/>
      <c r="G189" s="6"/>
      <c r="H189" s="6"/>
      <c r="I189" s="87"/>
      <c r="J189" s="6"/>
      <c r="K189" s="6"/>
    </row>
  </sheetData>
  <sheetProtection insertColumns="0" insertRows="0"/>
  <mergeCells count="37">
    <mergeCell ref="A1:P1"/>
    <mergeCell ref="A2:P2"/>
    <mergeCell ref="A3:P3"/>
    <mergeCell ref="A4:D4"/>
    <mergeCell ref="A5:P5"/>
    <mergeCell ref="B86:D87"/>
    <mergeCell ref="D61:I61"/>
    <mergeCell ref="B63:E63"/>
    <mergeCell ref="B64:B70"/>
    <mergeCell ref="B72:E72"/>
    <mergeCell ref="B73:B79"/>
    <mergeCell ref="D38:I38"/>
    <mergeCell ref="D43:I43"/>
    <mergeCell ref="D44:I44"/>
    <mergeCell ref="D45:I45"/>
    <mergeCell ref="D60:I60"/>
    <mergeCell ref="D37:I37"/>
    <mergeCell ref="B91:B92"/>
    <mergeCell ref="B93:B103"/>
    <mergeCell ref="B105:B111"/>
    <mergeCell ref="B112:B124"/>
    <mergeCell ref="B15:B49"/>
    <mergeCell ref="D15:I15"/>
    <mergeCell ref="D16:I16"/>
    <mergeCell ref="D17:I17"/>
    <mergeCell ref="D22:I22"/>
    <mergeCell ref="D23:I23"/>
    <mergeCell ref="D24:I24"/>
    <mergeCell ref="D29:I29"/>
    <mergeCell ref="D30:I30"/>
    <mergeCell ref="D31:I31"/>
    <mergeCell ref="D36:I36"/>
    <mergeCell ref="B10:D10"/>
    <mergeCell ref="F10:S10"/>
    <mergeCell ref="F11:S11"/>
    <mergeCell ref="E12:R12"/>
    <mergeCell ref="E13:R13"/>
  </mergeCells>
  <conditionalFormatting sqref="F10">
    <cfRule type="notContainsBlanks" dxfId="42" priority="4">
      <formula>LEN(TRIM(F10))&gt;0</formula>
    </cfRule>
  </conditionalFormatting>
  <conditionalFormatting sqref="F11:S11">
    <cfRule type="expression" dxfId="41" priority="2">
      <formula>E11="NO SE REPORTA"</formula>
    </cfRule>
    <cfRule type="expression" dxfId="40" priority="3">
      <formula>E10="NO APLICA"</formula>
    </cfRule>
  </conditionalFormatting>
  <conditionalFormatting sqref="E12:R12">
    <cfRule type="expression" dxfId="39" priority="1">
      <formula>E11="SI SE REPORTA"</formula>
    </cfRule>
  </conditionalFormatting>
  <dataValidations xWindow="979" yWindow="476" count="4">
    <dataValidation type="whole" operator="greaterThanOrEqual" allowBlank="1" showErrorMessage="1" errorTitle="ERROR" error="Escriba un número igual o mayor que 0" promptTitle="ERROR" prompt="Escriba un número igual o mayor que 0" sqref="E40:H41 E19:H20 E26:H27 E33:H34 E47:H48" xr:uid="{00000000-0002-0000-1F00-000000000000}">
      <formula1>0</formula1>
    </dataValidation>
    <dataValidation allowBlank="1" showInputMessage="1" showErrorMessage="1" sqref="E49:H49 E52:E57 I47:I49 F57 E21:H21 I26:I28 E28:H28 E35:I35 I33:I34 I40:I42 E42:H42 G52:G57" xr:uid="{00000000-0002-0000-1F00-000001000000}"/>
    <dataValidation type="list" allowBlank="1" showInputMessage="1" showErrorMessage="1" sqref="E11" xr:uid="{00000000-0002-0000-1F00-000002000000}">
      <formula1>REPORTE</formula1>
    </dataValidation>
    <dataValidation type="list" allowBlank="1" showInputMessage="1" showErrorMessage="1" sqref="E10" xr:uid="{00000000-0002-0000-1F00-000003000000}">
      <formula1>SI</formula1>
    </dataValidation>
  </dataValidations>
  <hyperlinks>
    <hyperlink ref="B9" location="'ANEXO 3'!A1" display="VOLVER AL INDICE" xr:uid="{00000000-0004-0000-1F00-000000000000}"/>
    <hyperlink ref="E68" r:id="rId1" xr:uid="{00000000-0004-0000-1F00-000001000000}"/>
  </hyperlinks>
  <pageMargins left="0.25" right="0.25" top="0.75" bottom="0.75" header="0.3" footer="0.3"/>
  <pageSetup paperSize="178" orientation="landscape" horizontalDpi="1200" verticalDpi="1200"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2"/>
  <dimension ref="A1:U197"/>
  <sheetViews>
    <sheetView showGridLines="0" zoomScale="80" zoomScaleNormal="80" workbookViewId="0">
      <selection activeCell="G150" sqref="G150"/>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 min="9" max="9" width="11.5703125" style="139"/>
  </cols>
  <sheetData>
    <row r="1" spans="1:21" s="538" customFormat="1" ht="100.5" customHeight="1" thickBot="1" x14ac:dyDescent="0.3">
      <c r="A1" s="1733"/>
      <c r="B1" s="1734"/>
      <c r="C1" s="1734"/>
      <c r="D1" s="1734"/>
      <c r="E1" s="1734"/>
      <c r="F1" s="1734"/>
      <c r="G1" s="1734"/>
      <c r="H1" s="1734"/>
      <c r="I1" s="1734"/>
      <c r="J1" s="1734"/>
      <c r="K1" s="1734"/>
      <c r="L1" s="1734"/>
      <c r="M1" s="1734"/>
      <c r="N1" s="1734"/>
      <c r="O1" s="1734"/>
      <c r="P1" s="1735"/>
      <c r="Q1" s="412"/>
      <c r="R1" s="412"/>
    </row>
    <row r="2" spans="1:21" s="539" customFormat="1" ht="16.5" thickBot="1" x14ac:dyDescent="0.3">
      <c r="A2" s="1741" t="str">
        <f>'Datos Generales'!C5</f>
        <v>Corporación Autónoma Regional de La Guajira – CORPOGUAJIRA</v>
      </c>
      <c r="B2" s="1742"/>
      <c r="C2" s="1742"/>
      <c r="D2" s="1742"/>
      <c r="E2" s="1742"/>
      <c r="F2" s="1742"/>
      <c r="G2" s="1742"/>
      <c r="H2" s="1742"/>
      <c r="I2" s="1742"/>
      <c r="J2" s="1742"/>
      <c r="K2" s="1742"/>
      <c r="L2" s="1742"/>
      <c r="M2" s="1742"/>
      <c r="N2" s="1742"/>
      <c r="O2" s="1742"/>
      <c r="P2" s="1743"/>
      <c r="Q2" s="412"/>
      <c r="R2" s="412"/>
    </row>
    <row r="3" spans="1:21" s="539" customFormat="1" ht="16.5" thickBot="1" x14ac:dyDescent="0.3">
      <c r="A3" s="1736" t="s">
        <v>1347</v>
      </c>
      <c r="B3" s="1737"/>
      <c r="C3" s="1737"/>
      <c r="D3" s="1737"/>
      <c r="E3" s="1737"/>
      <c r="F3" s="1737"/>
      <c r="G3" s="1737"/>
      <c r="H3" s="1737"/>
      <c r="I3" s="1737"/>
      <c r="J3" s="1737"/>
      <c r="K3" s="1737"/>
      <c r="L3" s="1737"/>
      <c r="M3" s="1737"/>
      <c r="N3" s="1737"/>
      <c r="O3" s="1737"/>
      <c r="P3" s="1738"/>
      <c r="Q3" s="412"/>
      <c r="R3" s="412"/>
    </row>
    <row r="4" spans="1:21" s="539" customFormat="1" ht="16.5" thickBot="1" x14ac:dyDescent="0.3">
      <c r="A4" s="1739" t="s">
        <v>1346</v>
      </c>
      <c r="B4" s="1740"/>
      <c r="C4" s="1740"/>
      <c r="D4" s="1740"/>
      <c r="E4" s="579" t="str">
        <f>'Datos Generales'!C6</f>
        <v>2021-I</v>
      </c>
      <c r="F4" s="579"/>
      <c r="G4" s="579"/>
      <c r="H4" s="579"/>
      <c r="I4" s="579"/>
      <c r="J4" s="579"/>
      <c r="K4" s="579"/>
      <c r="L4" s="581"/>
      <c r="M4" s="581"/>
      <c r="N4" s="581"/>
      <c r="O4" s="581"/>
      <c r="P4" s="582"/>
      <c r="Q4" s="412"/>
      <c r="R4" s="412"/>
    </row>
    <row r="5" spans="1:21" s="245" customFormat="1" ht="16.5" customHeight="1" thickBot="1" x14ac:dyDescent="0.3">
      <c r="A5" s="1736" t="s">
        <v>880</v>
      </c>
      <c r="B5" s="1737"/>
      <c r="C5" s="1737"/>
      <c r="D5" s="1737"/>
      <c r="E5" s="1737"/>
      <c r="F5" s="1737"/>
      <c r="G5" s="1737"/>
      <c r="H5" s="1737"/>
      <c r="I5" s="1737"/>
      <c r="J5" s="1737"/>
      <c r="K5" s="1737"/>
      <c r="L5" s="1737"/>
      <c r="M5" s="1737"/>
      <c r="N5" s="1737"/>
      <c r="O5" s="1737"/>
      <c r="P5" s="1738"/>
    </row>
    <row r="6" spans="1:21" x14ac:dyDescent="0.25">
      <c r="B6" s="2" t="s">
        <v>1</v>
      </c>
      <c r="C6" s="76"/>
      <c r="D6" s="6"/>
      <c r="E6" s="74"/>
      <c r="F6" s="6" t="s">
        <v>128</v>
      </c>
      <c r="G6" s="6"/>
      <c r="H6" s="6"/>
      <c r="I6" s="87"/>
      <c r="J6" s="6"/>
      <c r="K6" s="6"/>
    </row>
    <row r="7" spans="1:21" ht="15.75" thickBot="1" x14ac:dyDescent="0.3">
      <c r="B7" s="75"/>
      <c r="C7" s="77"/>
      <c r="D7" s="6"/>
      <c r="E7" s="18"/>
      <c r="F7" s="6" t="s">
        <v>129</v>
      </c>
      <c r="G7" s="6"/>
      <c r="H7" s="6"/>
      <c r="I7" s="87"/>
      <c r="J7" s="6"/>
      <c r="K7" s="6"/>
    </row>
    <row r="8" spans="1:21" ht="15.75" thickBot="1" x14ac:dyDescent="0.3">
      <c r="B8" s="178" t="s">
        <v>1185</v>
      </c>
      <c r="C8" s="222">
        <v>2021</v>
      </c>
      <c r="D8" s="226">
        <f>IF(E10="NO APLICA","NO APLICA",IF(E11="NO SE REPORTA","SIN INFORMACION",+G122))</f>
        <v>0.91259358288770076</v>
      </c>
      <c r="E8" s="223"/>
      <c r="F8" s="6" t="s">
        <v>130</v>
      </c>
      <c r="G8" s="6"/>
      <c r="H8" s="6"/>
      <c r="I8" s="87"/>
      <c r="J8" s="6"/>
      <c r="K8" s="6"/>
    </row>
    <row r="9" spans="1:21" x14ac:dyDescent="0.25">
      <c r="A9" s="245"/>
      <c r="B9" s="493" t="s">
        <v>1186</v>
      </c>
      <c r="C9" s="304"/>
      <c r="D9" s="248"/>
      <c r="E9" s="248"/>
      <c r="F9" s="248"/>
      <c r="G9" s="248"/>
      <c r="H9" s="248"/>
      <c r="I9" s="265"/>
      <c r="J9" s="248"/>
      <c r="K9" s="6"/>
    </row>
    <row r="10" spans="1:21" s="412" customFormat="1" x14ac:dyDescent="0.25">
      <c r="A10" s="245"/>
      <c r="B10" s="1789" t="s">
        <v>1241</v>
      </c>
      <c r="C10" s="1789"/>
      <c r="D10" s="1789"/>
      <c r="E10" s="499" t="s">
        <v>1238</v>
      </c>
      <c r="F10" s="17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96"/>
      <c r="H10" s="1796"/>
      <c r="I10" s="1796"/>
      <c r="J10" s="1796"/>
      <c r="K10" s="1796"/>
      <c r="L10" s="1796"/>
      <c r="M10" s="1796"/>
      <c r="N10" s="1796"/>
      <c r="O10" s="1796"/>
      <c r="P10" s="1796"/>
      <c r="Q10" s="1796"/>
      <c r="R10" s="1796"/>
      <c r="S10" s="1796"/>
      <c r="T10" s="495"/>
      <c r="U10" s="495"/>
    </row>
    <row r="11" spans="1:21" s="412" customFormat="1" ht="14.45" customHeight="1" x14ac:dyDescent="0.25">
      <c r="A11" s="245"/>
      <c r="B11" s="496"/>
      <c r="C11" s="497"/>
      <c r="D11" s="498" t="str">
        <f>IF(E10="SI APLICA","¿El indicador no se reporta por limitaciones de información disponible? ","")</f>
        <v xml:space="preserve">¿El indicador no se reporta por limitaciones de información disponible? </v>
      </c>
      <c r="E11" s="500" t="s">
        <v>1240</v>
      </c>
      <c r="F11" s="1790"/>
      <c r="G11" s="1791"/>
      <c r="H11" s="1791"/>
      <c r="I11" s="1791"/>
      <c r="J11" s="1791"/>
      <c r="K11" s="1791"/>
      <c r="L11" s="1791"/>
      <c r="M11" s="1791"/>
      <c r="N11" s="1791"/>
      <c r="O11" s="1791"/>
      <c r="P11" s="1791"/>
      <c r="Q11" s="1791"/>
      <c r="R11" s="1791"/>
      <c r="S11" s="1791"/>
    </row>
    <row r="12" spans="1:21" s="412" customFormat="1" ht="23.45" customHeight="1" x14ac:dyDescent="0.25">
      <c r="A12" s="245"/>
      <c r="B12" s="493"/>
      <c r="C12" s="304"/>
      <c r="D12" s="498" t="str">
        <f>IF(E11="SI SE REPORTA","¿Qué programas o proyectos del Plan de Acción están asociados al indicador? ","")</f>
        <v xml:space="preserve">¿Qué programas o proyectos del Plan de Acción están asociados al indicador? </v>
      </c>
      <c r="E12" s="1799" t="str">
        <f>'Anexo 1 Matriz Inf Gestión'!A180</f>
        <v>Proyecto 6.1. Evaluación, Seguimiento, Monitoreo y Control de la calidad de los recursos naturales y la biodiversidad.</v>
      </c>
      <c r="F12" s="1799"/>
      <c r="G12" s="1799"/>
      <c r="H12" s="1799"/>
      <c r="I12" s="1799"/>
      <c r="J12" s="1799"/>
      <c r="K12" s="1799"/>
      <c r="L12" s="1799"/>
      <c r="M12" s="1799"/>
      <c r="N12" s="1799"/>
      <c r="O12" s="1799"/>
      <c r="P12" s="1799"/>
      <c r="Q12" s="1799"/>
      <c r="R12" s="1799"/>
    </row>
    <row r="13" spans="1:21" s="412" customFormat="1" ht="21.95" customHeight="1" x14ac:dyDescent="0.25">
      <c r="A13" s="245"/>
      <c r="B13" s="493"/>
      <c r="C13" s="304"/>
      <c r="D13" s="498" t="s">
        <v>1243</v>
      </c>
      <c r="E13" s="1792" t="s">
        <v>3057</v>
      </c>
      <c r="F13" s="1793"/>
      <c r="G13" s="1793"/>
      <c r="H13" s="1793"/>
      <c r="I13" s="1793"/>
      <c r="J13" s="1793"/>
      <c r="K13" s="1793"/>
      <c r="L13" s="1793"/>
      <c r="M13" s="1793"/>
      <c r="N13" s="1793"/>
      <c r="O13" s="1793"/>
      <c r="P13" s="1793"/>
      <c r="Q13" s="1793"/>
      <c r="R13" s="1794"/>
    </row>
    <row r="14" spans="1:21" s="412" customFormat="1" ht="6.95" customHeight="1" thickBot="1" x14ac:dyDescent="0.3">
      <c r="A14" s="245"/>
      <c r="B14" s="493"/>
      <c r="C14" s="304"/>
      <c r="D14" s="248"/>
      <c r="E14" s="248"/>
      <c r="F14" s="248"/>
      <c r="G14" s="248"/>
      <c r="H14" s="248"/>
      <c r="I14" s="265"/>
      <c r="J14" s="248"/>
      <c r="K14" s="6"/>
    </row>
    <row r="15" spans="1:21" x14ac:dyDescent="0.25">
      <c r="A15" s="245"/>
      <c r="B15" s="1768" t="s">
        <v>2</v>
      </c>
      <c r="C15" s="268"/>
      <c r="D15" s="1750" t="s">
        <v>3</v>
      </c>
      <c r="E15" s="1751"/>
      <c r="F15" s="1751"/>
      <c r="G15" s="1751"/>
      <c r="H15" s="1751"/>
      <c r="I15" s="1752"/>
      <c r="J15" s="248"/>
      <c r="K15" s="6"/>
    </row>
    <row r="16" spans="1:21" x14ac:dyDescent="0.25">
      <c r="A16" s="245"/>
      <c r="B16" s="1769"/>
      <c r="C16" s="276"/>
      <c r="D16" s="2028" t="s">
        <v>898</v>
      </c>
      <c r="E16" s="2029"/>
      <c r="F16" s="2029"/>
      <c r="G16" s="2029"/>
      <c r="H16" s="2029"/>
      <c r="I16" s="2030"/>
      <c r="J16" s="248"/>
      <c r="K16" s="6"/>
    </row>
    <row r="17" spans="1:11" ht="15.75" thickBot="1" x14ac:dyDescent="0.3">
      <c r="A17" s="245"/>
      <c r="B17" s="1769"/>
      <c r="C17" s="276"/>
      <c r="D17" s="1756"/>
      <c r="E17" s="1803"/>
      <c r="F17" s="1803"/>
      <c r="G17" s="1803"/>
      <c r="H17" s="1803"/>
      <c r="I17" s="1758"/>
      <c r="J17" s="248"/>
      <c r="K17" s="6"/>
    </row>
    <row r="18" spans="1:11" ht="36.75" thickBot="1" x14ac:dyDescent="0.3">
      <c r="A18" s="245"/>
      <c r="B18" s="1769"/>
      <c r="C18" s="272"/>
      <c r="D18" s="421" t="s">
        <v>1771</v>
      </c>
      <c r="E18" s="1004">
        <v>33</v>
      </c>
      <c r="F18" s="248"/>
      <c r="G18" s="248"/>
      <c r="H18" s="248"/>
      <c r="I18" s="447"/>
      <c r="J18" s="248"/>
      <c r="K18" s="6"/>
    </row>
    <row r="19" spans="1:11" ht="36.75" thickBot="1" x14ac:dyDescent="0.3">
      <c r="A19" s="245"/>
      <c r="B19" s="1769"/>
      <c r="C19" s="272"/>
      <c r="D19" s="426" t="s">
        <v>899</v>
      </c>
      <c r="E19" s="1004">
        <v>33</v>
      </c>
      <c r="F19" s="248"/>
      <c r="G19" s="248"/>
      <c r="H19" s="248"/>
      <c r="I19" s="447"/>
      <c r="J19" s="248"/>
      <c r="K19" s="6"/>
    </row>
    <row r="20" spans="1:11" ht="15.75" thickBot="1" x14ac:dyDescent="0.3">
      <c r="A20" s="245"/>
      <c r="B20" s="1769"/>
      <c r="C20" s="276"/>
      <c r="D20" s="1780"/>
      <c r="E20" s="1781"/>
      <c r="F20" s="1781"/>
      <c r="G20" s="1781"/>
      <c r="H20" s="1781"/>
      <c r="I20" s="1782"/>
      <c r="J20" s="248"/>
      <c r="K20" s="6"/>
    </row>
    <row r="21" spans="1:11" ht="15.75" thickBot="1" x14ac:dyDescent="0.3">
      <c r="A21" s="245"/>
      <c r="B21" s="1769"/>
      <c r="C21" s="272"/>
      <c r="D21" s="421" t="s">
        <v>150</v>
      </c>
      <c r="E21" s="280" t="s">
        <v>20</v>
      </c>
      <c r="F21" s="280" t="s">
        <v>21</v>
      </c>
      <c r="G21" s="280" t="s">
        <v>22</v>
      </c>
      <c r="H21" s="280" t="s">
        <v>23</v>
      </c>
      <c r="I21" s="317" t="s">
        <v>151</v>
      </c>
      <c r="J21" s="248"/>
      <c r="K21" s="6"/>
    </row>
    <row r="22" spans="1:11" ht="24.75" thickBot="1" x14ac:dyDescent="0.3">
      <c r="A22" s="245"/>
      <c r="B22" s="1769"/>
      <c r="C22" s="272"/>
      <c r="D22" s="426" t="s">
        <v>900</v>
      </c>
      <c r="E22" s="1004">
        <v>20</v>
      </c>
      <c r="F22" s="1004">
        <v>33</v>
      </c>
      <c r="G22" s="153"/>
      <c r="H22" s="153"/>
      <c r="I22" s="448">
        <f>SUM(E22:H22)</f>
        <v>53</v>
      </c>
      <c r="J22" s="248"/>
      <c r="K22" s="6"/>
    </row>
    <row r="23" spans="1:11" ht="24.75" thickBot="1" x14ac:dyDescent="0.3">
      <c r="A23" s="245"/>
      <c r="B23" s="1769"/>
      <c r="C23" s="272"/>
      <c r="D23" s="426" t="s">
        <v>901</v>
      </c>
      <c r="E23" s="1004">
        <v>17</v>
      </c>
      <c r="F23" s="1004">
        <v>27</v>
      </c>
      <c r="G23" s="153"/>
      <c r="H23" s="153"/>
      <c r="I23" s="448">
        <f>SUM(E23:H23)</f>
        <v>44</v>
      </c>
      <c r="J23" s="248"/>
      <c r="K23" s="6"/>
    </row>
    <row r="24" spans="1:11" ht="24.75" thickBot="1" x14ac:dyDescent="0.3">
      <c r="A24" s="245"/>
      <c r="B24" s="1769"/>
      <c r="C24" s="272"/>
      <c r="D24" s="426" t="s">
        <v>902</v>
      </c>
      <c r="E24" s="196">
        <f>+E23/E22</f>
        <v>0.85</v>
      </c>
      <c r="F24" s="196">
        <f>+F23/F22</f>
        <v>0.81818181818181823</v>
      </c>
      <c r="G24" s="196" t="e">
        <f>+G23/G22</f>
        <v>#DIV/0!</v>
      </c>
      <c r="H24" s="196" t="e">
        <f>+H23/H22</f>
        <v>#DIV/0!</v>
      </c>
      <c r="I24" s="196">
        <f>+I23/I22</f>
        <v>0.83018867924528306</v>
      </c>
      <c r="J24" s="248"/>
      <c r="K24" s="6"/>
    </row>
    <row r="25" spans="1:11" x14ac:dyDescent="0.25">
      <c r="A25" s="245"/>
      <c r="B25" s="1769"/>
      <c r="C25" s="276"/>
      <c r="D25" s="1750" t="s">
        <v>903</v>
      </c>
      <c r="E25" s="1751"/>
      <c r="F25" s="1751"/>
      <c r="G25" s="1751"/>
      <c r="H25" s="1751"/>
      <c r="I25" s="1752"/>
      <c r="J25" s="248"/>
      <c r="K25" s="6"/>
    </row>
    <row r="26" spans="1:11" ht="15.75" thickBot="1" x14ac:dyDescent="0.3">
      <c r="A26" s="245"/>
      <c r="B26" s="1769"/>
      <c r="C26" s="276"/>
      <c r="D26" s="1756"/>
      <c r="E26" s="1803"/>
      <c r="F26" s="1803"/>
      <c r="G26" s="1803"/>
      <c r="H26" s="1803"/>
      <c r="I26" s="1758"/>
      <c r="J26" s="248"/>
      <c r="K26" s="6"/>
    </row>
    <row r="27" spans="1:11" ht="24" x14ac:dyDescent="0.25">
      <c r="A27" s="245"/>
      <c r="B27" s="1769"/>
      <c r="C27" s="272"/>
      <c r="D27" s="1752" t="s">
        <v>904</v>
      </c>
      <c r="E27" s="1768" t="s">
        <v>905</v>
      </c>
      <c r="F27" s="1768" t="s">
        <v>906</v>
      </c>
      <c r="G27" s="1768" t="s">
        <v>907</v>
      </c>
      <c r="H27" s="419" t="s">
        <v>908</v>
      </c>
      <c r="I27" s="447"/>
      <c r="J27" s="248"/>
      <c r="K27" s="6"/>
    </row>
    <row r="28" spans="1:11" ht="15.75" thickBot="1" x14ac:dyDescent="0.3">
      <c r="A28" s="245"/>
      <c r="B28" s="1769"/>
      <c r="C28" s="272"/>
      <c r="D28" s="1782"/>
      <c r="E28" s="1770"/>
      <c r="F28" s="1770"/>
      <c r="G28" s="1770"/>
      <c r="H28" s="426" t="s">
        <v>909</v>
      </c>
      <c r="I28" s="447"/>
      <c r="J28" s="248"/>
      <c r="K28" s="6"/>
    </row>
    <row r="29" spans="1:11" ht="15.75" thickBot="1" x14ac:dyDescent="0.3">
      <c r="A29" s="245"/>
      <c r="B29" s="1769"/>
      <c r="C29" s="272"/>
      <c r="D29" s="31" t="s">
        <v>1194</v>
      </c>
      <c r="E29" s="1005">
        <v>11</v>
      </c>
      <c r="F29" s="1005">
        <v>11</v>
      </c>
      <c r="G29" s="1005">
        <v>11</v>
      </c>
      <c r="H29" s="1005">
        <v>6</v>
      </c>
      <c r="I29" s="447"/>
      <c r="J29" s="248"/>
      <c r="K29" s="6"/>
    </row>
    <row r="30" spans="1:11" ht="15.75" thickBot="1" x14ac:dyDescent="0.3">
      <c r="A30" s="245"/>
      <c r="B30" s="1769"/>
      <c r="C30" s="272"/>
      <c r="D30" s="31" t="s">
        <v>2897</v>
      </c>
      <c r="E30" s="1005">
        <v>5</v>
      </c>
      <c r="F30" s="1005">
        <v>5</v>
      </c>
      <c r="G30" s="1005">
        <v>5</v>
      </c>
      <c r="H30" s="1005">
        <v>4</v>
      </c>
      <c r="I30" s="447"/>
      <c r="J30" s="248"/>
      <c r="K30" s="6"/>
    </row>
    <row r="31" spans="1:11" ht="15.75" thickBot="1" x14ac:dyDescent="0.3">
      <c r="A31" s="245"/>
      <c r="B31" s="1769"/>
      <c r="C31" s="272"/>
      <c r="D31" s="31" t="s">
        <v>2898</v>
      </c>
      <c r="E31" s="1005">
        <v>1</v>
      </c>
      <c r="F31" s="1005">
        <v>1</v>
      </c>
      <c r="G31" s="1005">
        <v>1</v>
      </c>
      <c r="H31" s="1005">
        <v>1</v>
      </c>
      <c r="I31" s="447"/>
      <c r="J31" s="248"/>
      <c r="K31" s="6"/>
    </row>
    <row r="32" spans="1:11" s="412" customFormat="1" ht="15.75" thickBot="1" x14ac:dyDescent="0.3">
      <c r="A32" s="245"/>
      <c r="B32" s="1769"/>
      <c r="C32" s="272"/>
      <c r="D32" s="31" t="s">
        <v>2899</v>
      </c>
      <c r="E32" s="1005">
        <v>1</v>
      </c>
      <c r="F32" s="1005">
        <v>1</v>
      </c>
      <c r="G32" s="1005">
        <v>1</v>
      </c>
      <c r="H32" s="1005">
        <v>1</v>
      </c>
      <c r="I32" s="447"/>
      <c r="J32" s="248"/>
      <c r="K32" s="6"/>
    </row>
    <row r="33" spans="1:11" s="412" customFormat="1" ht="15.75" thickBot="1" x14ac:dyDescent="0.3">
      <c r="A33" s="245"/>
      <c r="B33" s="1769"/>
      <c r="C33" s="272"/>
      <c r="D33" s="31" t="s">
        <v>2900</v>
      </c>
      <c r="E33" s="1005">
        <v>2</v>
      </c>
      <c r="F33" s="1005">
        <v>2</v>
      </c>
      <c r="G33" s="1005">
        <v>2</v>
      </c>
      <c r="H33" s="1005">
        <v>2</v>
      </c>
      <c r="I33" s="447"/>
      <c r="J33" s="248"/>
      <c r="K33" s="6"/>
    </row>
    <row r="34" spans="1:11" s="412" customFormat="1" ht="15.75" thickBot="1" x14ac:dyDescent="0.3">
      <c r="A34" s="245"/>
      <c r="B34" s="1769"/>
      <c r="C34" s="272"/>
      <c r="D34" s="31" t="s">
        <v>2901</v>
      </c>
      <c r="E34" s="1005">
        <v>8</v>
      </c>
      <c r="F34" s="1005">
        <v>8</v>
      </c>
      <c r="G34" s="1005">
        <v>8</v>
      </c>
      <c r="H34" s="1005">
        <v>8</v>
      </c>
      <c r="I34" s="447"/>
      <c r="J34" s="248"/>
      <c r="K34" s="6"/>
    </row>
    <row r="35" spans="1:11" s="412" customFormat="1" ht="15.75" thickBot="1" x14ac:dyDescent="0.3">
      <c r="A35" s="245"/>
      <c r="B35" s="1769"/>
      <c r="C35" s="272"/>
      <c r="D35" s="31" t="s">
        <v>2902</v>
      </c>
      <c r="E35" s="1005">
        <v>1</v>
      </c>
      <c r="F35" s="1005">
        <v>1</v>
      </c>
      <c r="G35" s="1005">
        <v>1</v>
      </c>
      <c r="H35" s="1005">
        <v>1</v>
      </c>
      <c r="I35" s="447"/>
      <c r="J35" s="248"/>
      <c r="K35" s="6"/>
    </row>
    <row r="36" spans="1:11" s="412" customFormat="1" ht="15.75" thickBot="1" x14ac:dyDescent="0.3">
      <c r="A36" s="245"/>
      <c r="B36" s="1769"/>
      <c r="C36" s="272"/>
      <c r="D36" s="31" t="s">
        <v>12</v>
      </c>
      <c r="E36" s="1005">
        <v>1</v>
      </c>
      <c r="F36" s="1005">
        <v>1</v>
      </c>
      <c r="G36" s="1005">
        <v>1</v>
      </c>
      <c r="H36" s="1005">
        <v>1</v>
      </c>
      <c r="I36" s="447"/>
      <c r="J36" s="248"/>
      <c r="K36" s="6"/>
    </row>
    <row r="37" spans="1:11" s="412" customFormat="1" ht="15.75" thickBot="1" x14ac:dyDescent="0.3">
      <c r="A37" s="245"/>
      <c r="B37" s="1769"/>
      <c r="C37" s="272"/>
      <c r="D37" s="31" t="s">
        <v>2903</v>
      </c>
      <c r="E37" s="1005">
        <v>1</v>
      </c>
      <c r="F37" s="1005">
        <v>1</v>
      </c>
      <c r="G37" s="1005">
        <v>1</v>
      </c>
      <c r="H37" s="1005">
        <v>1</v>
      </c>
      <c r="I37" s="447"/>
      <c r="J37" s="248"/>
      <c r="K37" s="6"/>
    </row>
    <row r="38" spans="1:11" s="412" customFormat="1" ht="15.75" thickBot="1" x14ac:dyDescent="0.3">
      <c r="A38" s="245"/>
      <c r="B38" s="1769"/>
      <c r="C38" s="272"/>
      <c r="D38" s="31" t="s">
        <v>2904</v>
      </c>
      <c r="E38" s="1005">
        <v>1</v>
      </c>
      <c r="F38" s="1005">
        <v>1</v>
      </c>
      <c r="G38" s="1005">
        <v>1</v>
      </c>
      <c r="H38" s="1005">
        <v>1</v>
      </c>
      <c r="I38" s="447"/>
      <c r="J38" s="248"/>
      <c r="K38" s="6"/>
    </row>
    <row r="39" spans="1:11" s="412" customFormat="1" ht="15.75" thickBot="1" x14ac:dyDescent="0.3">
      <c r="A39" s="245"/>
      <c r="B39" s="1769"/>
      <c r="C39" s="272"/>
      <c r="D39" s="31" t="s">
        <v>2905</v>
      </c>
      <c r="E39" s="1005">
        <v>1</v>
      </c>
      <c r="F39" s="1005">
        <v>1</v>
      </c>
      <c r="G39" s="1005">
        <v>1</v>
      </c>
      <c r="H39" s="1005">
        <v>1</v>
      </c>
      <c r="I39" s="447"/>
      <c r="J39" s="248"/>
      <c r="K39" s="6"/>
    </row>
    <row r="40" spans="1:11" ht="15.75" thickBot="1" x14ac:dyDescent="0.3">
      <c r="A40" s="245"/>
      <c r="B40" s="1769"/>
      <c r="C40" s="272"/>
      <c r="D40" s="31"/>
      <c r="E40" s="153"/>
      <c r="F40" s="153"/>
      <c r="G40" s="153"/>
      <c r="H40" s="153"/>
      <c r="I40" s="447"/>
      <c r="J40" s="248"/>
      <c r="K40" s="6"/>
    </row>
    <row r="41" spans="1:11" ht="15.75" thickBot="1" x14ac:dyDescent="0.3">
      <c r="A41" s="245"/>
      <c r="B41" s="1769"/>
      <c r="C41" s="272"/>
      <c r="D41" s="426" t="s">
        <v>151</v>
      </c>
      <c r="E41" s="449">
        <f>SUM(E29:E40)</f>
        <v>33</v>
      </c>
      <c r="F41" s="449">
        <f>SUM(F29:F40)</f>
        <v>33</v>
      </c>
      <c r="G41" s="449">
        <f>SUM(G29:G40)</f>
        <v>33</v>
      </c>
      <c r="H41" s="449">
        <f>SUM(H29:H40)</f>
        <v>27</v>
      </c>
      <c r="I41" s="447"/>
      <c r="J41" s="248"/>
      <c r="K41" s="6"/>
    </row>
    <row r="42" spans="1:11" x14ac:dyDescent="0.25">
      <c r="A42" s="245"/>
      <c r="B42" s="1769"/>
      <c r="C42" s="276"/>
      <c r="D42" s="1756"/>
      <c r="E42" s="1803"/>
      <c r="F42" s="1803"/>
      <c r="G42" s="1803"/>
      <c r="H42" s="1803"/>
      <c r="I42" s="1758"/>
      <c r="J42" s="248"/>
      <c r="K42" s="6"/>
    </row>
    <row r="43" spans="1:11" x14ac:dyDescent="0.25">
      <c r="A43" s="245"/>
      <c r="B43" s="1769"/>
      <c r="C43" s="276"/>
      <c r="D43" s="2028" t="s">
        <v>910</v>
      </c>
      <c r="E43" s="2029"/>
      <c r="F43" s="2029"/>
      <c r="G43" s="2029"/>
      <c r="H43" s="2029"/>
      <c r="I43" s="2030"/>
      <c r="J43" s="248"/>
      <c r="K43" s="6"/>
    </row>
    <row r="44" spans="1:11" ht="15.75" thickBot="1" x14ac:dyDescent="0.3">
      <c r="A44" s="245"/>
      <c r="B44" s="1769"/>
      <c r="C44" s="276"/>
      <c r="D44" s="1756"/>
      <c r="E44" s="1803"/>
      <c r="F44" s="1803"/>
      <c r="G44" s="1803"/>
      <c r="H44" s="1803"/>
      <c r="I44" s="1758"/>
      <c r="J44" s="248"/>
      <c r="K44" s="6"/>
    </row>
    <row r="45" spans="1:11" ht="15.75" thickBot="1" x14ac:dyDescent="0.3">
      <c r="A45" s="245"/>
      <c r="B45" s="1769"/>
      <c r="C45" s="272"/>
      <c r="D45" s="421" t="s">
        <v>150</v>
      </c>
      <c r="E45" s="280" t="s">
        <v>911</v>
      </c>
      <c r="F45" s="248"/>
      <c r="G45" s="248"/>
      <c r="H45" s="248"/>
      <c r="I45" s="447"/>
      <c r="J45" s="248"/>
      <c r="K45" s="6"/>
    </row>
    <row r="46" spans="1:11" ht="15.75" thickBot="1" x14ac:dyDescent="0.3">
      <c r="A46" s="245"/>
      <c r="B46" s="1769"/>
      <c r="C46" s="272"/>
      <c r="D46" s="426" t="s">
        <v>1772</v>
      </c>
      <c r="E46" s="1004">
        <v>1430</v>
      </c>
      <c r="F46" s="248"/>
      <c r="G46" s="248"/>
      <c r="H46" s="248"/>
      <c r="I46" s="447"/>
      <c r="J46" s="248"/>
      <c r="K46" s="6"/>
    </row>
    <row r="47" spans="1:11" ht="24.75" thickBot="1" x14ac:dyDescent="0.3">
      <c r="A47" s="245"/>
      <c r="B47" s="1769"/>
      <c r="C47" s="272"/>
      <c r="D47" s="426" t="s">
        <v>1773</v>
      </c>
      <c r="E47" s="1004">
        <v>1522</v>
      </c>
      <c r="F47" s="248"/>
      <c r="G47" s="248"/>
      <c r="H47" s="248"/>
      <c r="I47" s="447"/>
      <c r="J47" s="248"/>
      <c r="K47" s="6"/>
    </row>
    <row r="48" spans="1:11" ht="24.75" thickBot="1" x14ac:dyDescent="0.3">
      <c r="A48" s="245"/>
      <c r="B48" s="1769"/>
      <c r="C48" s="272"/>
      <c r="D48" s="426" t="s">
        <v>1774</v>
      </c>
      <c r="E48" s="1004">
        <v>1522</v>
      </c>
      <c r="F48" s="248"/>
      <c r="G48" s="248"/>
      <c r="H48" s="248"/>
      <c r="I48" s="447"/>
      <c r="J48" s="248"/>
      <c r="K48" s="6"/>
    </row>
    <row r="49" spans="1:11" x14ac:dyDescent="0.25">
      <c r="A49" s="245"/>
      <c r="B49" s="1769"/>
      <c r="C49" s="276"/>
      <c r="D49" s="1756"/>
      <c r="E49" s="1803"/>
      <c r="F49" s="1803"/>
      <c r="G49" s="1803"/>
      <c r="H49" s="1803"/>
      <c r="I49" s="1758"/>
      <c r="J49" s="248"/>
      <c r="K49" s="6"/>
    </row>
    <row r="50" spans="1:11" x14ac:dyDescent="0.25">
      <c r="A50" s="245"/>
      <c r="B50" s="1769"/>
      <c r="C50" s="276"/>
      <c r="D50" s="1756" t="s">
        <v>912</v>
      </c>
      <c r="E50" s="1803"/>
      <c r="F50" s="1803"/>
      <c r="G50" s="1803"/>
      <c r="H50" s="1803"/>
      <c r="I50" s="1758"/>
      <c r="J50" s="248"/>
      <c r="K50" s="6"/>
    </row>
    <row r="51" spans="1:11" ht="15.75" thickBot="1" x14ac:dyDescent="0.3">
      <c r="A51" s="245"/>
      <c r="B51" s="1769"/>
      <c r="C51" s="276"/>
      <c r="D51" s="1780"/>
      <c r="E51" s="1781"/>
      <c r="F51" s="1781"/>
      <c r="G51" s="1781"/>
      <c r="H51" s="1781"/>
      <c r="I51" s="1782"/>
      <c r="J51" s="248"/>
      <c r="K51" s="6"/>
    </row>
    <row r="52" spans="1:11" ht="15.75" thickBot="1" x14ac:dyDescent="0.3">
      <c r="A52" s="245"/>
      <c r="B52" s="1769"/>
      <c r="C52" s="272"/>
      <c r="D52" s="421" t="s">
        <v>150</v>
      </c>
      <c r="E52" s="280" t="s">
        <v>20</v>
      </c>
      <c r="F52" s="280" t="s">
        <v>21</v>
      </c>
      <c r="G52" s="280" t="s">
        <v>22</v>
      </c>
      <c r="H52" s="280" t="s">
        <v>23</v>
      </c>
      <c r="I52" s="317" t="s">
        <v>151</v>
      </c>
      <c r="J52" s="248"/>
      <c r="K52" s="6"/>
    </row>
    <row r="53" spans="1:11" ht="24.75" thickBot="1" x14ac:dyDescent="0.3">
      <c r="A53" s="245"/>
      <c r="B53" s="1769"/>
      <c r="C53" s="272"/>
      <c r="D53" s="426" t="s">
        <v>913</v>
      </c>
      <c r="E53" s="1005">
        <v>210</v>
      </c>
      <c r="F53" s="1005">
        <v>220</v>
      </c>
      <c r="G53" s="153"/>
      <c r="H53" s="153"/>
      <c r="I53" s="449">
        <f>SUM(E53:H53)</f>
        <v>430</v>
      </c>
      <c r="J53" s="248"/>
      <c r="K53" s="6"/>
    </row>
    <row r="54" spans="1:11" ht="24.75" thickBot="1" x14ac:dyDescent="0.3">
      <c r="A54" s="245"/>
      <c r="B54" s="1769"/>
      <c r="C54" s="272"/>
      <c r="D54" s="426" t="s">
        <v>914</v>
      </c>
      <c r="E54" s="1005">
        <v>201</v>
      </c>
      <c r="F54" s="1005">
        <v>214</v>
      </c>
      <c r="G54" s="153"/>
      <c r="H54" s="153"/>
      <c r="I54" s="449">
        <f>SUM(E54:H54)</f>
        <v>415</v>
      </c>
      <c r="J54" s="248"/>
      <c r="K54" s="6"/>
    </row>
    <row r="55" spans="1:11" ht="24.75" thickBot="1" x14ac:dyDescent="0.3">
      <c r="A55" s="245"/>
      <c r="B55" s="1769"/>
      <c r="C55" s="272"/>
      <c r="D55" s="426" t="s">
        <v>915</v>
      </c>
      <c r="E55" s="196">
        <f>+E54/E53</f>
        <v>0.95714285714285718</v>
      </c>
      <c r="F55" s="196">
        <f>+F54/F53</f>
        <v>0.97272727272727277</v>
      </c>
      <c r="G55" s="196" t="e">
        <f>+G54/G53</f>
        <v>#DIV/0!</v>
      </c>
      <c r="H55" s="196" t="e">
        <f>+H54/H53</f>
        <v>#DIV/0!</v>
      </c>
      <c r="I55" s="196">
        <f>+I54/I53</f>
        <v>0.96511627906976749</v>
      </c>
      <c r="J55" s="248"/>
      <c r="K55" s="6"/>
    </row>
    <row r="56" spans="1:11" x14ac:dyDescent="0.25">
      <c r="A56" s="245"/>
      <c r="B56" s="1769"/>
      <c r="C56" s="276"/>
      <c r="D56" s="1750"/>
      <c r="E56" s="1751"/>
      <c r="F56" s="1751"/>
      <c r="G56" s="1751"/>
      <c r="H56" s="1751"/>
      <c r="I56" s="1752"/>
      <c r="J56" s="248"/>
      <c r="K56" s="6"/>
    </row>
    <row r="57" spans="1:11" x14ac:dyDescent="0.25">
      <c r="A57" s="245"/>
      <c r="B57" s="1769"/>
      <c r="C57" s="276"/>
      <c r="D57" s="1756" t="s">
        <v>916</v>
      </c>
      <c r="E57" s="1803"/>
      <c r="F57" s="1803"/>
      <c r="G57" s="1803"/>
      <c r="H57" s="1803"/>
      <c r="I57" s="1758"/>
      <c r="J57" s="248"/>
      <c r="K57" s="6"/>
    </row>
    <row r="58" spans="1:11" ht="15.75" thickBot="1" x14ac:dyDescent="0.3">
      <c r="A58" s="245"/>
      <c r="B58" s="1769"/>
      <c r="C58" s="276"/>
      <c r="D58" s="1780"/>
      <c r="E58" s="1781"/>
      <c r="F58" s="1781"/>
      <c r="G58" s="1781"/>
      <c r="H58" s="1781"/>
      <c r="I58" s="1782"/>
      <c r="J58" s="248"/>
      <c r="K58" s="6"/>
    </row>
    <row r="59" spans="1:11" ht="15.75" thickBot="1" x14ac:dyDescent="0.3">
      <c r="A59" s="245"/>
      <c r="B59" s="1769"/>
      <c r="C59" s="272"/>
      <c r="D59" s="421" t="s">
        <v>150</v>
      </c>
      <c r="E59" s="280" t="s">
        <v>20</v>
      </c>
      <c r="F59" s="280" t="s">
        <v>21</v>
      </c>
      <c r="G59" s="280" t="s">
        <v>22</v>
      </c>
      <c r="H59" s="280" t="s">
        <v>23</v>
      </c>
      <c r="I59" s="317" t="s">
        <v>151</v>
      </c>
      <c r="J59" s="248"/>
      <c r="K59" s="6"/>
    </row>
    <row r="60" spans="1:11" ht="24.75" thickBot="1" x14ac:dyDescent="0.3">
      <c r="A60" s="245"/>
      <c r="B60" s="1769"/>
      <c r="C60" s="272"/>
      <c r="D60" s="426" t="s">
        <v>917</v>
      </c>
      <c r="E60" s="1005">
        <v>3</v>
      </c>
      <c r="F60" s="1005">
        <v>3</v>
      </c>
      <c r="G60" s="153"/>
      <c r="H60" s="153"/>
      <c r="I60" s="449">
        <f>SUM(E60:H60)</f>
        <v>6</v>
      </c>
      <c r="J60" s="248"/>
      <c r="K60" s="6"/>
    </row>
    <row r="61" spans="1:11" ht="24.75" thickBot="1" x14ac:dyDescent="0.3">
      <c r="A61" s="245"/>
      <c r="B61" s="1769"/>
      <c r="C61" s="272"/>
      <c r="D61" s="426" t="s">
        <v>918</v>
      </c>
      <c r="E61" s="1005">
        <v>2</v>
      </c>
      <c r="F61" s="1005">
        <v>3</v>
      </c>
      <c r="G61" s="153"/>
      <c r="H61" s="153"/>
      <c r="I61" s="449">
        <f>SUM(E61:H61)</f>
        <v>5</v>
      </c>
      <c r="J61" s="248"/>
      <c r="K61" s="6"/>
    </row>
    <row r="62" spans="1:11" ht="24.75" thickBot="1" x14ac:dyDescent="0.3">
      <c r="A62" s="245"/>
      <c r="B62" s="1769"/>
      <c r="C62" s="272"/>
      <c r="D62" s="426" t="s">
        <v>919</v>
      </c>
      <c r="E62" s="196">
        <f>+E61/E60</f>
        <v>0.66666666666666663</v>
      </c>
      <c r="F62" s="196">
        <f>+F61/F60</f>
        <v>1</v>
      </c>
      <c r="G62" s="196" t="e">
        <f>+G61/G60</f>
        <v>#DIV/0!</v>
      </c>
      <c r="H62" s="196" t="e">
        <f>+H61/H60</f>
        <v>#DIV/0!</v>
      </c>
      <c r="I62" s="196">
        <f>+I61/I60</f>
        <v>0.83333333333333337</v>
      </c>
      <c r="J62" s="248"/>
      <c r="K62" s="6"/>
    </row>
    <row r="63" spans="1:11" x14ac:dyDescent="0.25">
      <c r="A63" s="245"/>
      <c r="B63" s="1769"/>
      <c r="C63" s="276"/>
      <c r="D63" s="1750"/>
      <c r="E63" s="1751"/>
      <c r="F63" s="1751"/>
      <c r="G63" s="1751"/>
      <c r="H63" s="1751"/>
      <c r="I63" s="1752"/>
      <c r="J63" s="248"/>
      <c r="K63" s="6"/>
    </row>
    <row r="64" spans="1:11" x14ac:dyDescent="0.25">
      <c r="A64" s="245"/>
      <c r="B64" s="1769"/>
      <c r="C64" s="276"/>
      <c r="D64" s="2028" t="s">
        <v>1228</v>
      </c>
      <c r="E64" s="2029"/>
      <c r="F64" s="2029"/>
      <c r="G64" s="2029"/>
      <c r="H64" s="2029"/>
      <c r="I64" s="2030"/>
      <c r="J64" s="248"/>
      <c r="K64" s="6"/>
    </row>
    <row r="65" spans="1:11" ht="15.75" thickBot="1" x14ac:dyDescent="0.3">
      <c r="A65" s="245"/>
      <c r="B65" s="1769"/>
      <c r="C65" s="276"/>
      <c r="D65" s="1756"/>
      <c r="E65" s="1803"/>
      <c r="F65" s="1803"/>
      <c r="G65" s="1803"/>
      <c r="H65" s="1803"/>
      <c r="I65" s="1758"/>
      <c r="J65" s="248"/>
      <c r="K65" s="6"/>
    </row>
    <row r="66" spans="1:11" ht="15.75" thickBot="1" x14ac:dyDescent="0.3">
      <c r="A66" s="245"/>
      <c r="B66" s="1769"/>
      <c r="C66" s="272"/>
      <c r="D66" s="421" t="s">
        <v>150</v>
      </c>
      <c r="E66" s="280" t="s">
        <v>911</v>
      </c>
      <c r="F66" s="248"/>
      <c r="G66" s="248"/>
      <c r="H66" s="248"/>
      <c r="I66" s="447"/>
      <c r="J66" s="248"/>
      <c r="K66" s="6"/>
    </row>
    <row r="67" spans="1:11" ht="24.75" thickBot="1" x14ac:dyDescent="0.3">
      <c r="A67" s="245"/>
      <c r="B67" s="1769"/>
      <c r="C67" s="272"/>
      <c r="D67" s="426" t="s">
        <v>1775</v>
      </c>
      <c r="E67" s="1004">
        <v>40</v>
      </c>
      <c r="F67" s="248"/>
      <c r="G67" s="248"/>
      <c r="H67" s="248"/>
      <c r="I67" s="447"/>
      <c r="J67" s="248"/>
      <c r="K67" s="6"/>
    </row>
    <row r="68" spans="1:11" ht="24.75" thickBot="1" x14ac:dyDescent="0.3">
      <c r="A68" s="245"/>
      <c r="B68" s="1769"/>
      <c r="C68" s="272"/>
      <c r="D68" s="426" t="s">
        <v>1776</v>
      </c>
      <c r="E68" s="1004">
        <v>68</v>
      </c>
      <c r="F68" s="248"/>
      <c r="G68" s="248"/>
      <c r="H68" s="248"/>
      <c r="I68" s="447"/>
      <c r="J68" s="248"/>
      <c r="K68" s="6"/>
    </row>
    <row r="69" spans="1:11" ht="24.75" thickBot="1" x14ac:dyDescent="0.3">
      <c r="A69" s="245"/>
      <c r="B69" s="1769"/>
      <c r="C69" s="272"/>
      <c r="D69" s="426" t="s">
        <v>1777</v>
      </c>
      <c r="E69" s="1004">
        <v>68</v>
      </c>
      <c r="F69" s="248"/>
      <c r="G69" s="248"/>
      <c r="H69" s="248"/>
      <c r="I69" s="447"/>
      <c r="J69" s="248"/>
      <c r="K69" s="6"/>
    </row>
    <row r="70" spans="1:11" x14ac:dyDescent="0.25">
      <c r="A70" s="245"/>
      <c r="B70" s="1769"/>
      <c r="C70" s="276"/>
      <c r="D70" s="1756"/>
      <c r="E70" s="1803"/>
      <c r="F70" s="1803"/>
      <c r="G70" s="1803"/>
      <c r="H70" s="1803"/>
      <c r="I70" s="1758"/>
      <c r="J70" s="248"/>
      <c r="K70" s="6"/>
    </row>
    <row r="71" spans="1:11" x14ac:dyDescent="0.25">
      <c r="A71" s="245"/>
      <c r="B71" s="1769"/>
      <c r="C71" s="276"/>
      <c r="D71" s="1756" t="s">
        <v>920</v>
      </c>
      <c r="E71" s="1803"/>
      <c r="F71" s="1803"/>
      <c r="G71" s="1803"/>
      <c r="H71" s="1803"/>
      <c r="I71" s="1758"/>
      <c r="J71" s="248"/>
      <c r="K71" s="6"/>
    </row>
    <row r="72" spans="1:11" ht="15.75" thickBot="1" x14ac:dyDescent="0.3">
      <c r="A72" s="245"/>
      <c r="B72" s="1769"/>
      <c r="C72" s="276"/>
      <c r="D72" s="1780"/>
      <c r="E72" s="1781"/>
      <c r="F72" s="1781"/>
      <c r="G72" s="1781"/>
      <c r="H72" s="1781"/>
      <c r="I72" s="1782"/>
      <c r="J72" s="248"/>
      <c r="K72" s="6"/>
    </row>
    <row r="73" spans="1:11" ht="15.75" thickBot="1" x14ac:dyDescent="0.3">
      <c r="A73" s="245"/>
      <c r="B73" s="1769"/>
      <c r="C73" s="272"/>
      <c r="D73" s="421" t="s">
        <v>150</v>
      </c>
      <c r="E73" s="280" t="s">
        <v>20</v>
      </c>
      <c r="F73" s="280" t="s">
        <v>21</v>
      </c>
      <c r="G73" s="280" t="s">
        <v>22</v>
      </c>
      <c r="H73" s="280" t="s">
        <v>23</v>
      </c>
      <c r="I73" s="317" t="s">
        <v>151</v>
      </c>
      <c r="J73" s="248"/>
      <c r="K73" s="6"/>
    </row>
    <row r="74" spans="1:11" ht="36.75" thickBot="1" x14ac:dyDescent="0.3">
      <c r="A74" s="245"/>
      <c r="B74" s="1769"/>
      <c r="C74" s="272"/>
      <c r="D74" s="426" t="s">
        <v>921</v>
      </c>
      <c r="E74" s="1004">
        <v>25</v>
      </c>
      <c r="F74" s="1004">
        <v>68</v>
      </c>
      <c r="G74" s="153"/>
      <c r="H74" s="153"/>
      <c r="I74" s="449">
        <f>SUM(E74:H74)</f>
        <v>93</v>
      </c>
      <c r="J74" s="248"/>
      <c r="K74" s="6"/>
    </row>
    <row r="75" spans="1:11" ht="24.75" thickBot="1" x14ac:dyDescent="0.3">
      <c r="A75" s="245"/>
      <c r="B75" s="1769"/>
      <c r="C75" s="272"/>
      <c r="D75" s="426" t="s">
        <v>922</v>
      </c>
      <c r="E75" s="1004">
        <v>17</v>
      </c>
      <c r="F75" s="1004">
        <v>61</v>
      </c>
      <c r="G75" s="153"/>
      <c r="H75" s="153"/>
      <c r="I75" s="449">
        <f>SUM(E75:H75)</f>
        <v>78</v>
      </c>
      <c r="J75" s="248"/>
      <c r="K75" s="6"/>
    </row>
    <row r="76" spans="1:11" ht="24.75" thickBot="1" x14ac:dyDescent="0.3">
      <c r="A76" s="245"/>
      <c r="B76" s="1769"/>
      <c r="C76" s="272"/>
      <c r="D76" s="426" t="s">
        <v>923</v>
      </c>
      <c r="E76" s="196">
        <f>+E75/E74</f>
        <v>0.68</v>
      </c>
      <c r="F76" s="196">
        <f>+F75/F74</f>
        <v>0.8970588235294118</v>
      </c>
      <c r="G76" s="196" t="e">
        <f>+G75/G74</f>
        <v>#DIV/0!</v>
      </c>
      <c r="H76" s="196" t="e">
        <f>+H75/H74</f>
        <v>#DIV/0!</v>
      </c>
      <c r="I76" s="196">
        <f>+I75/I74</f>
        <v>0.83870967741935487</v>
      </c>
      <c r="J76" s="248"/>
      <c r="K76" s="6"/>
    </row>
    <row r="77" spans="1:11" ht="15.75" thickBot="1" x14ac:dyDescent="0.3">
      <c r="A77" s="245"/>
      <c r="B77" s="1769"/>
      <c r="C77" s="404"/>
      <c r="D77" s="420"/>
      <c r="E77" s="450"/>
      <c r="F77" s="450"/>
      <c r="G77" s="450"/>
      <c r="H77" s="450"/>
      <c r="I77" s="451"/>
      <c r="J77" s="248"/>
      <c r="K77" s="6"/>
    </row>
    <row r="78" spans="1:11" x14ac:dyDescent="0.25">
      <c r="A78" s="245"/>
      <c r="B78" s="1769"/>
      <c r="C78" s="276"/>
      <c r="D78" s="1750" t="s">
        <v>924</v>
      </c>
      <c r="E78" s="1751"/>
      <c r="F78" s="1751"/>
      <c r="G78" s="1751"/>
      <c r="H78" s="1751"/>
      <c r="I78" s="1752"/>
      <c r="J78" s="248"/>
      <c r="K78" s="6"/>
    </row>
    <row r="79" spans="1:11" ht="15.75" thickBot="1" x14ac:dyDescent="0.3">
      <c r="A79" s="245"/>
      <c r="B79" s="1769"/>
      <c r="C79" s="276"/>
      <c r="D79" s="1780"/>
      <c r="E79" s="1781"/>
      <c r="F79" s="1781"/>
      <c r="G79" s="1781"/>
      <c r="H79" s="1781"/>
      <c r="I79" s="1782"/>
      <c r="J79" s="248"/>
      <c r="K79" s="6"/>
    </row>
    <row r="80" spans="1:11" ht="15.75" thickBot="1" x14ac:dyDescent="0.3">
      <c r="A80" s="245"/>
      <c r="B80" s="1769"/>
      <c r="C80" s="272"/>
      <c r="D80" s="421" t="s">
        <v>150</v>
      </c>
      <c r="E80" s="280" t="s">
        <v>20</v>
      </c>
      <c r="F80" s="280" t="s">
        <v>21</v>
      </c>
      <c r="G80" s="280" t="s">
        <v>22</v>
      </c>
      <c r="H80" s="280" t="s">
        <v>23</v>
      </c>
      <c r="I80" s="317" t="s">
        <v>151</v>
      </c>
      <c r="J80" s="248"/>
      <c r="K80" s="6"/>
    </row>
    <row r="81" spans="1:11" ht="24.75" thickBot="1" x14ac:dyDescent="0.3">
      <c r="A81" s="245"/>
      <c r="B81" s="1769"/>
      <c r="C81" s="272"/>
      <c r="D81" s="426" t="s">
        <v>925</v>
      </c>
      <c r="E81" s="1005">
        <v>1</v>
      </c>
      <c r="F81" s="1005">
        <v>2</v>
      </c>
      <c r="G81" s="153"/>
      <c r="H81" s="153"/>
      <c r="I81" s="449">
        <f>SUM(E81:H81)</f>
        <v>3</v>
      </c>
      <c r="J81" s="248"/>
      <c r="K81" s="6"/>
    </row>
    <row r="82" spans="1:11" ht="24.75" thickBot="1" x14ac:dyDescent="0.3">
      <c r="A82" s="245"/>
      <c r="B82" s="1769"/>
      <c r="C82" s="272"/>
      <c r="D82" s="426" t="s">
        <v>926</v>
      </c>
      <c r="E82" s="1005">
        <v>0</v>
      </c>
      <c r="F82" s="1005">
        <v>2</v>
      </c>
      <c r="G82" s="153"/>
      <c r="H82" s="153"/>
      <c r="I82" s="449">
        <f>SUM(E82:H82)</f>
        <v>2</v>
      </c>
      <c r="J82" s="248"/>
      <c r="K82" s="6"/>
    </row>
    <row r="83" spans="1:11" ht="24.75" thickBot="1" x14ac:dyDescent="0.3">
      <c r="A83" s="245"/>
      <c r="B83" s="1769"/>
      <c r="C83" s="272"/>
      <c r="D83" s="426" t="s">
        <v>927</v>
      </c>
      <c r="E83" s="196">
        <f>+E82/E81</f>
        <v>0</v>
      </c>
      <c r="F83" s="196">
        <f>+F82/F81</f>
        <v>1</v>
      </c>
      <c r="G83" s="196" t="e">
        <f>+G82/G81</f>
        <v>#DIV/0!</v>
      </c>
      <c r="H83" s="196" t="e">
        <f>+H82/H81</f>
        <v>#DIV/0!</v>
      </c>
      <c r="I83" s="196">
        <f>+I82/I81</f>
        <v>0.66666666666666663</v>
      </c>
      <c r="J83" s="248"/>
      <c r="K83" s="6"/>
    </row>
    <row r="84" spans="1:11" x14ac:dyDescent="0.25">
      <c r="A84" s="245"/>
      <c r="B84" s="1769"/>
      <c r="C84" s="276"/>
      <c r="D84" s="1750"/>
      <c r="E84" s="1751"/>
      <c r="F84" s="1751"/>
      <c r="G84" s="1751"/>
      <c r="H84" s="1751"/>
      <c r="I84" s="1752"/>
      <c r="J84" s="248"/>
      <c r="K84" s="6"/>
    </row>
    <row r="85" spans="1:11" ht="15.75" thickBot="1" x14ac:dyDescent="0.3">
      <c r="A85" s="245"/>
      <c r="B85" s="1769"/>
      <c r="C85" s="276"/>
      <c r="D85" s="2028" t="s">
        <v>928</v>
      </c>
      <c r="E85" s="2029"/>
      <c r="F85" s="2029"/>
      <c r="G85" s="2029"/>
      <c r="H85" s="2029"/>
      <c r="I85" s="2030"/>
      <c r="J85" s="248"/>
      <c r="K85" s="6"/>
    </row>
    <row r="86" spans="1:11" ht="15.75" thickBot="1" x14ac:dyDescent="0.3">
      <c r="A86" s="245"/>
      <c r="B86" s="1769"/>
      <c r="C86" s="272"/>
      <c r="D86" s="421" t="s">
        <v>150</v>
      </c>
      <c r="E86" s="280" t="s">
        <v>911</v>
      </c>
      <c r="F86" s="248"/>
      <c r="G86" s="248"/>
      <c r="H86" s="248"/>
      <c r="I86" s="447"/>
      <c r="J86" s="248"/>
      <c r="K86" s="6"/>
    </row>
    <row r="87" spans="1:11" ht="24.75" thickBot="1" x14ac:dyDescent="0.3">
      <c r="A87" s="245"/>
      <c r="B87" s="1769"/>
      <c r="C87" s="272"/>
      <c r="D87" s="426" t="s">
        <v>1778</v>
      </c>
      <c r="E87" s="153">
        <v>7</v>
      </c>
      <c r="F87" s="248"/>
      <c r="G87" s="248"/>
      <c r="H87" s="248"/>
      <c r="I87" s="447"/>
      <c r="J87" s="248"/>
      <c r="K87" s="6"/>
    </row>
    <row r="88" spans="1:11" ht="24.75" thickBot="1" x14ac:dyDescent="0.3">
      <c r="A88" s="245"/>
      <c r="B88" s="1769"/>
      <c r="C88" s="272"/>
      <c r="D88" s="426" t="s">
        <v>1779</v>
      </c>
      <c r="E88" s="153">
        <v>13</v>
      </c>
      <c r="F88" s="248"/>
      <c r="G88" s="248"/>
      <c r="H88" s="248"/>
      <c r="I88" s="447"/>
      <c r="J88" s="248"/>
      <c r="K88" s="6"/>
    </row>
    <row r="89" spans="1:11" x14ac:dyDescent="0.25">
      <c r="A89" s="245"/>
      <c r="B89" s="1769"/>
      <c r="C89" s="276"/>
      <c r="D89" s="1756"/>
      <c r="E89" s="1803"/>
      <c r="F89" s="1803"/>
      <c r="G89" s="1803"/>
      <c r="H89" s="1803"/>
      <c r="I89" s="1758"/>
      <c r="J89" s="248"/>
      <c r="K89" s="6"/>
    </row>
    <row r="90" spans="1:11" ht="15.75" thickBot="1" x14ac:dyDescent="0.3">
      <c r="A90" s="245"/>
      <c r="B90" s="1769"/>
      <c r="C90" s="276"/>
      <c r="D90" s="1780" t="s">
        <v>929</v>
      </c>
      <c r="E90" s="1781"/>
      <c r="F90" s="1781"/>
      <c r="G90" s="1781"/>
      <c r="H90" s="1781"/>
      <c r="I90" s="1782"/>
      <c r="J90" s="248"/>
      <c r="K90" s="6"/>
    </row>
    <row r="91" spans="1:11" ht="15.75" thickBot="1" x14ac:dyDescent="0.3">
      <c r="A91" s="245"/>
      <c r="B91" s="1769"/>
      <c r="C91" s="272"/>
      <c r="D91" s="421" t="s">
        <v>150</v>
      </c>
      <c r="E91" s="280" t="s">
        <v>20</v>
      </c>
      <c r="F91" s="280" t="s">
        <v>21</v>
      </c>
      <c r="G91" s="280" t="s">
        <v>22</v>
      </c>
      <c r="H91" s="280" t="s">
        <v>23</v>
      </c>
      <c r="I91" s="317" t="s">
        <v>151</v>
      </c>
      <c r="J91" s="248"/>
      <c r="K91" s="6"/>
    </row>
    <row r="92" spans="1:11" ht="36.75" thickBot="1" x14ac:dyDescent="0.3">
      <c r="A92" s="245"/>
      <c r="B92" s="1769"/>
      <c r="C92" s="272"/>
      <c r="D92" s="426" t="s">
        <v>930</v>
      </c>
      <c r="E92" s="153">
        <v>16</v>
      </c>
      <c r="F92" s="153">
        <v>13</v>
      </c>
      <c r="G92" s="153"/>
      <c r="H92" s="153"/>
      <c r="I92" s="449">
        <f>SUM(E92:H92)</f>
        <v>29</v>
      </c>
      <c r="J92" s="248"/>
      <c r="K92" s="6"/>
    </row>
    <row r="93" spans="1:11" ht="24.75" thickBot="1" x14ac:dyDescent="0.3">
      <c r="A93" s="245"/>
      <c r="B93" s="1769"/>
      <c r="C93" s="272"/>
      <c r="D93" s="426" t="s">
        <v>931</v>
      </c>
      <c r="E93" s="153">
        <v>12</v>
      </c>
      <c r="F93" s="153">
        <v>13</v>
      </c>
      <c r="G93" s="153"/>
      <c r="H93" s="153"/>
      <c r="I93" s="449">
        <f>SUM(E93:H93)</f>
        <v>25</v>
      </c>
      <c r="J93" s="248"/>
      <c r="K93" s="6"/>
    </row>
    <row r="94" spans="1:11" ht="36.75" thickBot="1" x14ac:dyDescent="0.3">
      <c r="A94" s="245"/>
      <c r="B94" s="1769"/>
      <c r="C94" s="272"/>
      <c r="D94" s="426" t="s">
        <v>932</v>
      </c>
      <c r="E94" s="196">
        <f>+E93/E92</f>
        <v>0.75</v>
      </c>
      <c r="F94" s="196">
        <f>+F93/F92</f>
        <v>1</v>
      </c>
      <c r="G94" s="196" t="e">
        <f>+G93/G92</f>
        <v>#DIV/0!</v>
      </c>
      <c r="H94" s="196" t="e">
        <f>+H93/H92</f>
        <v>#DIV/0!</v>
      </c>
      <c r="I94" s="196">
        <f>+I93/I92</f>
        <v>0.86206896551724133</v>
      </c>
      <c r="J94" s="248"/>
      <c r="K94" s="6"/>
    </row>
    <row r="95" spans="1:11" x14ac:dyDescent="0.25">
      <c r="A95" s="245"/>
      <c r="B95" s="1769"/>
      <c r="C95" s="276"/>
      <c r="D95" s="1750"/>
      <c r="E95" s="1751"/>
      <c r="F95" s="1751"/>
      <c r="G95" s="1751"/>
      <c r="H95" s="1751"/>
      <c r="I95" s="1752"/>
      <c r="J95" s="248"/>
      <c r="K95" s="6"/>
    </row>
    <row r="96" spans="1:11" x14ac:dyDescent="0.25">
      <c r="A96" s="245"/>
      <c r="B96" s="1769"/>
      <c r="C96" s="276"/>
      <c r="D96" s="1756" t="s">
        <v>933</v>
      </c>
      <c r="E96" s="1803"/>
      <c r="F96" s="1803"/>
      <c r="G96" s="1803"/>
      <c r="H96" s="1803"/>
      <c r="I96" s="1758"/>
      <c r="J96" s="248"/>
      <c r="K96" s="6"/>
    </row>
    <row r="97" spans="1:11" ht="15.75" thickBot="1" x14ac:dyDescent="0.3">
      <c r="A97" s="245"/>
      <c r="B97" s="1769"/>
      <c r="C97" s="276"/>
      <c r="D97" s="1780"/>
      <c r="E97" s="1781"/>
      <c r="F97" s="1781"/>
      <c r="G97" s="1781"/>
      <c r="H97" s="1781"/>
      <c r="I97" s="1782"/>
      <c r="J97" s="248"/>
      <c r="K97" s="6"/>
    </row>
    <row r="98" spans="1:11" ht="15.75" thickBot="1" x14ac:dyDescent="0.3">
      <c r="A98" s="245"/>
      <c r="B98" s="1769"/>
      <c r="C98" s="272"/>
      <c r="D98" s="421" t="s">
        <v>150</v>
      </c>
      <c r="E98" s="280" t="s">
        <v>20</v>
      </c>
      <c r="F98" s="280" t="s">
        <v>21</v>
      </c>
      <c r="G98" s="280" t="s">
        <v>22</v>
      </c>
      <c r="H98" s="280" t="s">
        <v>23</v>
      </c>
      <c r="I98" s="317" t="s">
        <v>151</v>
      </c>
      <c r="J98" s="248"/>
      <c r="K98" s="6"/>
    </row>
    <row r="99" spans="1:11" ht="24.75" thickBot="1" x14ac:dyDescent="0.3">
      <c r="A99" s="245"/>
      <c r="B99" s="1769"/>
      <c r="C99" s="272"/>
      <c r="D99" s="426" t="s">
        <v>934</v>
      </c>
      <c r="E99" s="153">
        <v>250000</v>
      </c>
      <c r="F99" s="153">
        <v>250000</v>
      </c>
      <c r="G99" s="153"/>
      <c r="H99" s="153"/>
      <c r="I99" s="449">
        <f>SUM(E99:H99)</f>
        <v>500000</v>
      </c>
      <c r="J99" s="248"/>
      <c r="K99" s="6"/>
    </row>
    <row r="100" spans="1:11" ht="24.75" thickBot="1" x14ac:dyDescent="0.3">
      <c r="A100" s="245"/>
      <c r="B100" s="1769"/>
      <c r="C100" s="272"/>
      <c r="D100" s="426" t="s">
        <v>935</v>
      </c>
      <c r="E100" s="153">
        <v>400</v>
      </c>
      <c r="F100" s="153">
        <v>250000</v>
      </c>
      <c r="G100" s="153"/>
      <c r="H100" s="153"/>
      <c r="I100" s="449">
        <f>SUM(E100:H100)</f>
        <v>250400</v>
      </c>
      <c r="J100" s="248"/>
      <c r="K100" s="6"/>
    </row>
    <row r="101" spans="1:11" ht="36.75" thickBot="1" x14ac:dyDescent="0.3">
      <c r="A101" s="245"/>
      <c r="B101" s="1769"/>
      <c r="C101" s="272"/>
      <c r="D101" s="426" t="s">
        <v>936</v>
      </c>
      <c r="E101" s="196">
        <f>+E100/E99</f>
        <v>1.6000000000000001E-3</v>
      </c>
      <c r="F101" s="196">
        <f>+F100/F99</f>
        <v>1</v>
      </c>
      <c r="G101" s="196" t="e">
        <f>+G100/G99</f>
        <v>#DIV/0!</v>
      </c>
      <c r="H101" s="196" t="e">
        <f>+H100/H99</f>
        <v>#DIV/0!</v>
      </c>
      <c r="I101" s="196">
        <f>+I100/I99</f>
        <v>0.50080000000000002</v>
      </c>
      <c r="J101" s="248"/>
      <c r="K101" s="6"/>
    </row>
    <row r="102" spans="1:11" x14ac:dyDescent="0.25">
      <c r="A102" s="245"/>
      <c r="B102" s="1769"/>
      <c r="C102" s="276"/>
      <c r="D102" s="1750"/>
      <c r="E102" s="1751"/>
      <c r="F102" s="1751"/>
      <c r="G102" s="1751"/>
      <c r="H102" s="1751"/>
      <c r="I102" s="1752"/>
      <c r="J102" s="248"/>
      <c r="K102" s="6"/>
    </row>
    <row r="103" spans="1:11" x14ac:dyDescent="0.25">
      <c r="A103" s="245"/>
      <c r="B103" s="1769"/>
      <c r="C103" s="276"/>
      <c r="D103" s="2028" t="s">
        <v>937</v>
      </c>
      <c r="E103" s="2029"/>
      <c r="F103" s="2029"/>
      <c r="G103" s="2029"/>
      <c r="H103" s="2029"/>
      <c r="I103" s="2030"/>
      <c r="J103" s="248"/>
      <c r="K103" s="6"/>
    </row>
    <row r="104" spans="1:11" ht="15.75" thickBot="1" x14ac:dyDescent="0.3">
      <c r="A104" s="245"/>
      <c r="B104" s="1769"/>
      <c r="C104" s="276"/>
      <c r="D104" s="1756"/>
      <c r="E104" s="1803"/>
      <c r="F104" s="1803"/>
      <c r="G104" s="1803"/>
      <c r="H104" s="1803"/>
      <c r="I104" s="1758"/>
      <c r="J104" s="248"/>
      <c r="K104" s="6"/>
    </row>
    <row r="105" spans="1:11" ht="15.75" thickBot="1" x14ac:dyDescent="0.3">
      <c r="A105" s="245"/>
      <c r="B105" s="1769"/>
      <c r="C105" s="272"/>
      <c r="D105" s="421" t="s">
        <v>150</v>
      </c>
      <c r="E105" s="280" t="s">
        <v>911</v>
      </c>
      <c r="F105" s="248"/>
      <c r="G105" s="248"/>
      <c r="H105" s="248"/>
      <c r="I105" s="447"/>
      <c r="J105" s="248"/>
      <c r="K105" s="6"/>
    </row>
    <row r="106" spans="1:11" ht="24.75" thickBot="1" x14ac:dyDescent="0.3">
      <c r="A106" s="245"/>
      <c r="B106" s="1769"/>
      <c r="C106" s="272"/>
      <c r="D106" s="426" t="s">
        <v>1780</v>
      </c>
      <c r="E106" s="153">
        <v>15</v>
      </c>
      <c r="F106" s="248"/>
      <c r="G106" s="248"/>
      <c r="H106" s="248"/>
      <c r="I106" s="447"/>
      <c r="J106" s="248"/>
      <c r="K106" s="6"/>
    </row>
    <row r="107" spans="1:11" ht="24.75" thickBot="1" x14ac:dyDescent="0.3">
      <c r="A107" s="245"/>
      <c r="B107" s="1769"/>
      <c r="C107" s="272"/>
      <c r="D107" s="426" t="s">
        <v>1781</v>
      </c>
      <c r="E107" s="153">
        <v>16</v>
      </c>
      <c r="F107" s="248"/>
      <c r="G107" s="248"/>
      <c r="H107" s="248"/>
      <c r="I107" s="447"/>
      <c r="J107" s="248"/>
      <c r="K107" s="6"/>
    </row>
    <row r="108" spans="1:11" x14ac:dyDescent="0.25">
      <c r="A108" s="245"/>
      <c r="B108" s="1769"/>
      <c r="C108" s="276"/>
      <c r="D108" s="1756"/>
      <c r="E108" s="1803"/>
      <c r="F108" s="1803"/>
      <c r="G108" s="1803"/>
      <c r="H108" s="1803"/>
      <c r="I108" s="1758"/>
      <c r="J108" s="248"/>
      <c r="K108" s="6"/>
    </row>
    <row r="109" spans="1:11" x14ac:dyDescent="0.25">
      <c r="A109" s="245"/>
      <c r="B109" s="1769"/>
      <c r="C109" s="276"/>
      <c r="D109" s="1756" t="s">
        <v>938</v>
      </c>
      <c r="E109" s="1803"/>
      <c r="F109" s="1803"/>
      <c r="G109" s="1803"/>
      <c r="H109" s="1803"/>
      <c r="I109" s="1758"/>
      <c r="J109" s="248"/>
      <c r="K109" s="6"/>
    </row>
    <row r="110" spans="1:11" ht="15.75" thickBot="1" x14ac:dyDescent="0.3">
      <c r="A110" s="245"/>
      <c r="B110" s="1769"/>
      <c r="C110" s="276"/>
      <c r="D110" s="1780"/>
      <c r="E110" s="1781"/>
      <c r="F110" s="1781"/>
      <c r="G110" s="1781"/>
      <c r="H110" s="1781"/>
      <c r="I110" s="1782"/>
      <c r="J110" s="248"/>
      <c r="K110" s="6"/>
    </row>
    <row r="111" spans="1:11" ht="15.75" thickBot="1" x14ac:dyDescent="0.3">
      <c r="A111" s="245"/>
      <c r="B111" s="1769"/>
      <c r="C111" s="272"/>
      <c r="D111" s="421" t="s">
        <v>150</v>
      </c>
      <c r="E111" s="280" t="s">
        <v>20</v>
      </c>
      <c r="F111" s="280" t="s">
        <v>21</v>
      </c>
      <c r="G111" s="280" t="s">
        <v>22</v>
      </c>
      <c r="H111" s="280" t="s">
        <v>23</v>
      </c>
      <c r="I111" s="317" t="s">
        <v>151</v>
      </c>
      <c r="J111" s="248"/>
      <c r="K111" s="6"/>
    </row>
    <row r="112" spans="1:11" ht="36.75" thickBot="1" x14ac:dyDescent="0.3">
      <c r="A112" s="245"/>
      <c r="B112" s="1769"/>
      <c r="C112" s="272"/>
      <c r="D112" s="426" t="s">
        <v>939</v>
      </c>
      <c r="E112" s="153">
        <v>15</v>
      </c>
      <c r="F112" s="153">
        <v>16</v>
      </c>
      <c r="G112" s="153"/>
      <c r="H112" s="153"/>
      <c r="I112" s="449">
        <f>SUM(E112:H112)</f>
        <v>31</v>
      </c>
      <c r="J112" s="248"/>
      <c r="K112" s="6"/>
    </row>
    <row r="113" spans="1:11" ht="24.75" thickBot="1" x14ac:dyDescent="0.3">
      <c r="A113" s="245"/>
      <c r="B113" s="1769"/>
      <c r="C113" s="272"/>
      <c r="D113" s="426" t="s">
        <v>940</v>
      </c>
      <c r="E113" s="153">
        <v>12</v>
      </c>
      <c r="F113" s="153">
        <v>14</v>
      </c>
      <c r="G113" s="153"/>
      <c r="H113" s="153"/>
      <c r="I113" s="449">
        <f>SUM(E113:H113)</f>
        <v>26</v>
      </c>
      <c r="J113" s="248"/>
      <c r="K113" s="6"/>
    </row>
    <row r="114" spans="1:11" ht="24.75" thickBot="1" x14ac:dyDescent="0.3">
      <c r="A114" s="245"/>
      <c r="B114" s="1770"/>
      <c r="C114" s="428"/>
      <c r="D114" s="426" t="s">
        <v>941</v>
      </c>
      <c r="E114" s="196">
        <f>+E113/E112</f>
        <v>0.8</v>
      </c>
      <c r="F114" s="196">
        <f>+F113/F112</f>
        <v>0.875</v>
      </c>
      <c r="G114" s="196" t="e">
        <f>+G113/G112</f>
        <v>#DIV/0!</v>
      </c>
      <c r="H114" s="196" t="e">
        <f>+H113/H112</f>
        <v>#DIV/0!</v>
      </c>
      <c r="I114" s="196">
        <f>+I113/I112</f>
        <v>0.83870967741935487</v>
      </c>
      <c r="J114" s="248"/>
      <c r="K114" s="6"/>
    </row>
    <row r="115" spans="1:11" ht="15.75" thickBot="1" x14ac:dyDescent="0.3">
      <c r="A115" s="245"/>
      <c r="B115" s="318"/>
      <c r="C115" s="304"/>
      <c r="D115" s="248"/>
      <c r="E115" s="248"/>
      <c r="F115" s="248"/>
      <c r="G115" s="248"/>
      <c r="H115" s="248"/>
      <c r="I115" s="265"/>
      <c r="J115" s="248"/>
      <c r="K115" s="6"/>
    </row>
    <row r="116" spans="1:11" s="412" customFormat="1" ht="24.75" thickBot="1" x14ac:dyDescent="0.3">
      <c r="A116" s="245"/>
      <c r="B116" s="318"/>
      <c r="C116" s="304"/>
      <c r="D116" s="299" t="s">
        <v>1230</v>
      </c>
      <c r="E116" s="299" t="s">
        <v>1231</v>
      </c>
      <c r="F116" s="299" t="s">
        <v>694</v>
      </c>
      <c r="G116" s="299" t="s">
        <v>1232</v>
      </c>
      <c r="H116" s="248"/>
      <c r="I116" s="265"/>
      <c r="J116" s="248"/>
      <c r="K116" s="6"/>
    </row>
    <row r="117" spans="1:11" s="412" customFormat="1" ht="24.75" thickBot="1" x14ac:dyDescent="0.3">
      <c r="A117" s="245"/>
      <c r="B117" s="318"/>
      <c r="C117" s="304"/>
      <c r="D117" s="299" t="str">
        <f>+D24</f>
        <v>Porcentaje de licencias ambientales con seguimiento (PLACS)</v>
      </c>
      <c r="E117" s="196">
        <f>+F24</f>
        <v>0.81818181818181823</v>
      </c>
      <c r="F117" s="445">
        <v>0.2</v>
      </c>
      <c r="G117" s="196">
        <f>+E117*F117</f>
        <v>0.16363636363636366</v>
      </c>
      <c r="H117" s="248"/>
      <c r="I117" s="265"/>
      <c r="J117" s="248"/>
      <c r="K117" s="6"/>
    </row>
    <row r="118" spans="1:11" s="412" customFormat="1" ht="24.75" thickBot="1" x14ac:dyDescent="0.3">
      <c r="A118" s="245"/>
      <c r="B118" s="318"/>
      <c r="C118" s="304"/>
      <c r="D118" s="299" t="str">
        <f>+D55</f>
        <v>Porcentaje de concesiones de agua con seguimiento (PCACS)</v>
      </c>
      <c r="E118" s="196">
        <f>+F55</f>
        <v>0.97272727272727277</v>
      </c>
      <c r="F118" s="445">
        <v>0.2</v>
      </c>
      <c r="G118" s="196">
        <f>+E118*F118</f>
        <v>0.19454545454545458</v>
      </c>
      <c r="H118" s="248"/>
      <c r="I118" s="265"/>
      <c r="J118" s="248"/>
      <c r="K118" s="6"/>
    </row>
    <row r="119" spans="1:11" s="412" customFormat="1" ht="24.75" thickBot="1" x14ac:dyDescent="0.3">
      <c r="A119" s="245"/>
      <c r="B119" s="318"/>
      <c r="C119" s="304"/>
      <c r="D119" s="299" t="str">
        <f>+D76</f>
        <v>Porcentaje de permisos de vertimiento de agua con seguimiento (PVACS)</v>
      </c>
      <c r="E119" s="196">
        <f>+F76</f>
        <v>0.8970588235294118</v>
      </c>
      <c r="F119" s="445">
        <v>0.2</v>
      </c>
      <c r="G119" s="196">
        <f>+E119*F119</f>
        <v>0.17941176470588238</v>
      </c>
      <c r="H119" s="248"/>
      <c r="I119" s="265"/>
      <c r="J119" s="248"/>
      <c r="K119" s="6"/>
    </row>
    <row r="120" spans="1:11" s="412" customFormat="1" ht="36.75" thickBot="1" x14ac:dyDescent="0.3">
      <c r="A120" s="245"/>
      <c r="B120" s="318"/>
      <c r="C120" s="304"/>
      <c r="D120" s="299" t="str">
        <f>+D94</f>
        <v>Porcentaje de permisos de aprovechamiento forestal con seguimiento (PPAFCS)</v>
      </c>
      <c r="E120" s="196">
        <f>+F94</f>
        <v>1</v>
      </c>
      <c r="F120" s="445">
        <v>0.2</v>
      </c>
      <c r="G120" s="196">
        <f>+E120*F120</f>
        <v>0.2</v>
      </c>
      <c r="H120" s="248"/>
      <c r="I120" s="265"/>
      <c r="J120" s="248"/>
      <c r="K120" s="6"/>
    </row>
    <row r="121" spans="1:11" s="412" customFormat="1" ht="24.75" thickBot="1" x14ac:dyDescent="0.3">
      <c r="A121" s="245"/>
      <c r="B121" s="318"/>
      <c r="C121" s="304"/>
      <c r="D121" s="299" t="str">
        <f>+D114</f>
        <v>Porcentaje de permisos de emisiones atmosféricas con seguimiento (PEACS)</v>
      </c>
      <c r="E121" s="196">
        <f>+F114</f>
        <v>0.875</v>
      </c>
      <c r="F121" s="445">
        <v>0.2</v>
      </c>
      <c r="G121" s="196">
        <f>+E121*F121</f>
        <v>0.17500000000000002</v>
      </c>
      <c r="H121" s="248"/>
      <c r="I121" s="265"/>
      <c r="J121" s="248"/>
      <c r="K121" s="6"/>
    </row>
    <row r="122" spans="1:11" s="412" customFormat="1" ht="24.75" thickBot="1" x14ac:dyDescent="0.3">
      <c r="A122" s="245"/>
      <c r="B122" s="318"/>
      <c r="C122" s="304"/>
      <c r="D122" s="299" t="s">
        <v>1229</v>
      </c>
      <c r="E122" s="299"/>
      <c r="F122" s="446">
        <f>+Formulas!D26</f>
        <v>1</v>
      </c>
      <c r="G122" s="196">
        <f>SUM(G117:G121)</f>
        <v>0.91259358288770076</v>
      </c>
      <c r="H122" s="248"/>
      <c r="I122" s="265"/>
      <c r="J122" s="248"/>
      <c r="K122" s="6"/>
    </row>
    <row r="123" spans="1:11" s="412" customFormat="1" ht="15.75" thickBot="1" x14ac:dyDescent="0.3">
      <c r="B123" s="38"/>
      <c r="C123" s="88"/>
      <c r="D123" s="6"/>
      <c r="E123" s="6"/>
      <c r="F123" s="6"/>
      <c r="G123" s="6"/>
      <c r="H123" s="6"/>
      <c r="I123" s="87"/>
      <c r="J123" s="6"/>
      <c r="K123" s="6"/>
    </row>
    <row r="124" spans="1:11" ht="108.75" thickBot="1" x14ac:dyDescent="0.3">
      <c r="B124" s="52" t="s">
        <v>34</v>
      </c>
      <c r="C124" s="98"/>
      <c r="D124" s="43" t="s">
        <v>942</v>
      </c>
      <c r="E124" s="6"/>
      <c r="F124" s="6"/>
      <c r="G124" s="6"/>
      <c r="H124" s="6"/>
      <c r="I124" s="87"/>
      <c r="J124" s="6"/>
      <c r="K124" s="6"/>
    </row>
    <row r="125" spans="1:11" ht="72.75" thickBot="1" x14ac:dyDescent="0.3">
      <c r="B125" s="47" t="s">
        <v>36</v>
      </c>
      <c r="C125" s="3"/>
      <c r="D125" s="41" t="s">
        <v>159</v>
      </c>
      <c r="E125" s="6"/>
      <c r="F125" s="6"/>
      <c r="G125" s="6"/>
      <c r="H125" s="6"/>
      <c r="I125" s="87"/>
      <c r="J125" s="6"/>
      <c r="K125" s="6"/>
    </row>
    <row r="126" spans="1:11" ht="15.75" thickBot="1" x14ac:dyDescent="0.3">
      <c r="B126" s="2"/>
      <c r="C126" s="76"/>
      <c r="D126" s="6"/>
      <c r="E126" s="6"/>
      <c r="F126" s="6"/>
      <c r="G126" s="6"/>
      <c r="H126" s="6"/>
      <c r="I126" s="87"/>
      <c r="J126" s="6"/>
      <c r="K126" s="6"/>
    </row>
    <row r="127" spans="1:11" ht="24" customHeight="1" thickBot="1" x14ac:dyDescent="0.3">
      <c r="B127" s="1829" t="s">
        <v>38</v>
      </c>
      <c r="C127" s="1830"/>
      <c r="D127" s="1830"/>
      <c r="E127" s="1831"/>
      <c r="F127" s="6"/>
      <c r="G127" s="6"/>
      <c r="H127" s="6"/>
      <c r="I127" s="87"/>
      <c r="J127" s="6"/>
      <c r="K127" s="6"/>
    </row>
    <row r="128" spans="1:11" ht="15.75" thickBot="1" x14ac:dyDescent="0.3">
      <c r="B128" s="1826">
        <v>1</v>
      </c>
      <c r="C128" s="94"/>
      <c r="D128" s="48" t="s">
        <v>39</v>
      </c>
      <c r="E128" s="167"/>
      <c r="F128" s="6"/>
      <c r="G128" s="6"/>
      <c r="H128" s="6"/>
      <c r="I128" s="87"/>
      <c r="J128" s="6"/>
      <c r="K128" s="6"/>
    </row>
    <row r="129" spans="2:11" ht="72.75" thickBot="1" x14ac:dyDescent="0.3">
      <c r="B129" s="1827"/>
      <c r="C129" s="94"/>
      <c r="D129" s="41" t="s">
        <v>40</v>
      </c>
      <c r="E129" s="478" t="s">
        <v>2893</v>
      </c>
      <c r="F129" s="6"/>
      <c r="G129" s="6"/>
      <c r="H129" s="6"/>
      <c r="I129" s="87"/>
      <c r="J129" s="6"/>
      <c r="K129" s="6"/>
    </row>
    <row r="130" spans="2:11" ht="24.75" thickBot="1" x14ac:dyDescent="0.3">
      <c r="B130" s="1827"/>
      <c r="C130" s="94"/>
      <c r="D130" s="41" t="s">
        <v>41</v>
      </c>
      <c r="E130" s="478" t="s">
        <v>3313</v>
      </c>
      <c r="F130" s="6"/>
      <c r="G130" s="6"/>
      <c r="H130" s="6"/>
      <c r="I130" s="87"/>
      <c r="J130" s="6"/>
      <c r="K130" s="6"/>
    </row>
    <row r="131" spans="2:11" ht="84.75" thickBot="1" x14ac:dyDescent="0.3">
      <c r="B131" s="1827"/>
      <c r="C131" s="94"/>
      <c r="D131" s="41" t="s">
        <v>42</v>
      </c>
      <c r="E131" s="478" t="s">
        <v>3314</v>
      </c>
      <c r="F131" s="6"/>
      <c r="G131" s="6"/>
      <c r="H131" s="6"/>
      <c r="I131" s="87"/>
      <c r="J131" s="6"/>
      <c r="K131" s="6"/>
    </row>
    <row r="132" spans="2:11" ht="45.75" thickBot="1" x14ac:dyDescent="0.3">
      <c r="B132" s="1827"/>
      <c r="C132" s="94"/>
      <c r="D132" s="41" t="s">
        <v>43</v>
      </c>
      <c r="E132" s="1352" t="s">
        <v>3315</v>
      </c>
      <c r="F132" s="6"/>
      <c r="G132" s="6"/>
      <c r="H132" s="6"/>
      <c r="I132" s="87"/>
      <c r="J132" s="6"/>
      <c r="K132" s="6"/>
    </row>
    <row r="133" spans="2:11" ht="48.75" thickBot="1" x14ac:dyDescent="0.3">
      <c r="B133" s="1827"/>
      <c r="C133" s="94"/>
      <c r="D133" s="41" t="s">
        <v>44</v>
      </c>
      <c r="E133" s="478" t="s">
        <v>2895</v>
      </c>
      <c r="F133" s="6"/>
      <c r="G133" s="6"/>
      <c r="H133" s="6"/>
      <c r="I133" s="87"/>
      <c r="J133" s="6"/>
      <c r="K133" s="6"/>
    </row>
    <row r="134" spans="2:11" ht="24.75" thickBot="1" x14ac:dyDescent="0.3">
      <c r="B134" s="1828"/>
      <c r="C134" s="3"/>
      <c r="D134" s="41" t="s">
        <v>45</v>
      </c>
      <c r="E134" s="478" t="s">
        <v>2896</v>
      </c>
      <c r="F134" s="6"/>
      <c r="G134" s="6"/>
      <c r="H134" s="6"/>
      <c r="I134" s="87"/>
      <c r="J134" s="6"/>
      <c r="K134" s="6"/>
    </row>
    <row r="135" spans="2:11" ht="15.75" thickBot="1" x14ac:dyDescent="0.3">
      <c r="B135" s="2"/>
      <c r="C135" s="76"/>
      <c r="D135" s="6"/>
      <c r="E135" s="6"/>
      <c r="F135" s="6"/>
      <c r="G135" s="6"/>
      <c r="H135" s="6"/>
      <c r="I135" s="87"/>
      <c r="J135" s="6"/>
      <c r="K135" s="6"/>
    </row>
    <row r="136" spans="2:11" ht="15.75" thickBot="1" x14ac:dyDescent="0.3">
      <c r="B136" s="1829" t="s">
        <v>46</v>
      </c>
      <c r="C136" s="1830"/>
      <c r="D136" s="1830"/>
      <c r="E136" s="1831"/>
      <c r="F136" s="6"/>
      <c r="G136" s="6"/>
      <c r="H136" s="6"/>
      <c r="I136" s="87"/>
      <c r="J136" s="6"/>
      <c r="K136" s="6"/>
    </row>
    <row r="137" spans="2:11" ht="15.75" thickBot="1" x14ac:dyDescent="0.3">
      <c r="B137" s="1826">
        <v>1</v>
      </c>
      <c r="C137" s="94"/>
      <c r="D137" s="48" t="s">
        <v>39</v>
      </c>
      <c r="E137" s="432" t="s">
        <v>47</v>
      </c>
      <c r="F137" s="6"/>
      <c r="G137" s="6"/>
      <c r="H137" s="6"/>
      <c r="I137" s="87"/>
      <c r="J137" s="6"/>
      <c r="K137" s="6"/>
    </row>
    <row r="138" spans="2:11" ht="15.75" thickBot="1" x14ac:dyDescent="0.3">
      <c r="B138" s="1827"/>
      <c r="C138" s="94"/>
      <c r="D138" s="41" t="s">
        <v>40</v>
      </c>
      <c r="E138" s="432" t="s">
        <v>160</v>
      </c>
      <c r="F138" s="6"/>
      <c r="G138" s="6"/>
      <c r="H138" s="6"/>
      <c r="I138" s="87"/>
      <c r="J138" s="6"/>
      <c r="K138" s="6"/>
    </row>
    <row r="139" spans="2:11" ht="15.75" thickBot="1" x14ac:dyDescent="0.3">
      <c r="B139" s="1827"/>
      <c r="C139" s="94"/>
      <c r="D139" s="41" t="s">
        <v>41</v>
      </c>
      <c r="E139" s="172"/>
      <c r="F139" s="6"/>
      <c r="G139" s="6"/>
      <c r="H139" s="6"/>
      <c r="I139" s="87"/>
      <c r="J139" s="6"/>
      <c r="K139" s="6"/>
    </row>
    <row r="140" spans="2:11" ht="15.75" thickBot="1" x14ac:dyDescent="0.3">
      <c r="B140" s="1827"/>
      <c r="C140" s="94"/>
      <c r="D140" s="41" t="s">
        <v>42</v>
      </c>
      <c r="E140" s="172"/>
      <c r="F140" s="6"/>
      <c r="G140" s="6"/>
      <c r="H140" s="6"/>
      <c r="I140" s="87"/>
      <c r="J140" s="6"/>
      <c r="K140" s="6"/>
    </row>
    <row r="141" spans="2:11" ht="15.75" thickBot="1" x14ac:dyDescent="0.3">
      <c r="B141" s="1827"/>
      <c r="C141" s="94"/>
      <c r="D141" s="41" t="s">
        <v>43</v>
      </c>
      <c r="E141" s="172"/>
      <c r="F141" s="6"/>
      <c r="G141" s="6"/>
      <c r="H141" s="6"/>
      <c r="I141" s="87"/>
      <c r="J141" s="6"/>
      <c r="K141" s="6"/>
    </row>
    <row r="142" spans="2:11" ht="15.75" thickBot="1" x14ac:dyDescent="0.3">
      <c r="B142" s="1827"/>
      <c r="C142" s="94"/>
      <c r="D142" s="41" t="s">
        <v>44</v>
      </c>
      <c r="E142" s="172"/>
      <c r="F142" s="6"/>
      <c r="G142" s="6"/>
      <c r="H142" s="6"/>
      <c r="I142" s="87"/>
      <c r="J142" s="6"/>
      <c r="K142" s="6"/>
    </row>
    <row r="143" spans="2:11" ht="15.75" thickBot="1" x14ac:dyDescent="0.3">
      <c r="B143" s="1828"/>
      <c r="C143" s="3"/>
      <c r="D143" s="41" t="s">
        <v>45</v>
      </c>
      <c r="E143" s="172"/>
      <c r="F143" s="6"/>
      <c r="G143" s="6"/>
      <c r="H143" s="6"/>
      <c r="I143" s="87"/>
      <c r="J143" s="6"/>
      <c r="K143" s="6"/>
    </row>
    <row r="144" spans="2:11" ht="15.75" thickBot="1" x14ac:dyDescent="0.3">
      <c r="B144" s="2"/>
      <c r="C144" s="76"/>
      <c r="D144" s="6"/>
      <c r="E144" s="6"/>
      <c r="F144" s="6"/>
      <c r="G144" s="6"/>
      <c r="H144" s="6"/>
      <c r="I144" s="87"/>
      <c r="J144" s="6"/>
      <c r="K144" s="6"/>
    </row>
    <row r="145" spans="2:11" ht="15" customHeight="1" thickBot="1" x14ac:dyDescent="0.3">
      <c r="B145" s="171" t="s">
        <v>49</v>
      </c>
      <c r="C145" s="126"/>
      <c r="D145" s="126"/>
      <c r="E145" s="127"/>
      <c r="G145" s="6"/>
      <c r="H145" s="6"/>
      <c r="I145" s="87"/>
      <c r="J145" s="6"/>
      <c r="K145" s="6"/>
    </row>
    <row r="146" spans="2:11" ht="24.75" thickBot="1" x14ac:dyDescent="0.3">
      <c r="B146" s="47" t="s">
        <v>50</v>
      </c>
      <c r="C146" s="41" t="s">
        <v>51</v>
      </c>
      <c r="D146" s="41" t="s">
        <v>52</v>
      </c>
      <c r="E146" s="41" t="s">
        <v>53</v>
      </c>
      <c r="F146" s="6"/>
      <c r="G146" s="6"/>
      <c r="H146" s="6"/>
      <c r="I146" s="87"/>
      <c r="J146" s="6"/>
    </row>
    <row r="147" spans="2:11" ht="60.75" thickBot="1" x14ac:dyDescent="0.3">
      <c r="B147" s="49">
        <v>42401</v>
      </c>
      <c r="C147" s="41">
        <v>0.01</v>
      </c>
      <c r="D147" s="50" t="s">
        <v>943</v>
      </c>
      <c r="E147" s="41"/>
      <c r="F147" s="6"/>
      <c r="G147" s="6"/>
      <c r="H147" s="6"/>
      <c r="I147" s="87"/>
      <c r="J147" s="6"/>
    </row>
    <row r="148" spans="2:11" ht="15.75" thickBot="1" x14ac:dyDescent="0.3">
      <c r="B148" s="4"/>
      <c r="C148" s="95"/>
      <c r="D148" s="6"/>
      <c r="E148" s="6"/>
      <c r="F148" s="6"/>
      <c r="G148" s="6"/>
      <c r="H148" s="6"/>
      <c r="I148" s="87"/>
      <c r="J148" s="6"/>
      <c r="K148" s="6"/>
    </row>
    <row r="149" spans="2:11" ht="15.75" thickBot="1" x14ac:dyDescent="0.3">
      <c r="B149" s="443" t="s">
        <v>55</v>
      </c>
      <c r="C149" s="96"/>
      <c r="D149" s="6"/>
      <c r="E149" s="6"/>
      <c r="F149" s="6"/>
      <c r="G149" s="6"/>
      <c r="H149" s="6"/>
      <c r="I149" s="87"/>
      <c r="J149" s="6"/>
      <c r="K149" s="6"/>
    </row>
    <row r="150" spans="2:11" ht="63" customHeight="1" thickBot="1" x14ac:dyDescent="0.3">
      <c r="B150" s="2025" t="s">
        <v>3475</v>
      </c>
      <c r="C150" s="2026"/>
      <c r="D150" s="2026"/>
      <c r="E150" s="2027"/>
      <c r="F150" s="6"/>
      <c r="G150" s="6"/>
      <c r="H150" s="6"/>
      <c r="I150" s="87"/>
      <c r="J150" s="6"/>
      <c r="K150" s="6"/>
    </row>
    <row r="151" spans="2:11" ht="15.75" thickBot="1" x14ac:dyDescent="0.3">
      <c r="B151" s="6"/>
      <c r="D151" s="6"/>
      <c r="E151" s="6"/>
      <c r="F151" s="6"/>
      <c r="G151" s="6"/>
      <c r="H151" s="6"/>
      <c r="I151" s="87"/>
      <c r="J151" s="6"/>
      <c r="K151" s="6"/>
    </row>
    <row r="152" spans="2:11" ht="24.75" thickBot="1" x14ac:dyDescent="0.3">
      <c r="B152" s="51" t="s">
        <v>56</v>
      </c>
      <c r="C152" s="97"/>
      <c r="D152" s="6"/>
      <c r="E152" s="6"/>
      <c r="F152" s="6"/>
      <c r="G152" s="6"/>
      <c r="H152" s="6"/>
      <c r="I152" s="87"/>
      <c r="J152" s="6"/>
      <c r="K152" s="6"/>
    </row>
    <row r="153" spans="2:11" ht="15.75" thickBot="1" x14ac:dyDescent="0.3">
      <c r="B153" s="2" t="s">
        <v>881</v>
      </c>
      <c r="C153" s="76"/>
      <c r="D153" s="6"/>
      <c r="E153" s="6"/>
      <c r="F153" s="6"/>
      <c r="G153" s="6"/>
      <c r="H153" s="6"/>
      <c r="I153" s="87"/>
      <c r="J153" s="6"/>
      <c r="K153" s="6"/>
    </row>
    <row r="154" spans="2:11" ht="60.75" thickBot="1" x14ac:dyDescent="0.3">
      <c r="B154" s="52" t="s">
        <v>57</v>
      </c>
      <c r="C154" s="98"/>
      <c r="D154" s="43" t="s">
        <v>882</v>
      </c>
      <c r="E154" s="6"/>
      <c r="F154" s="6"/>
      <c r="G154" s="6"/>
      <c r="H154" s="6"/>
      <c r="I154" s="87"/>
      <c r="J154" s="6"/>
      <c r="K154" s="6"/>
    </row>
    <row r="155" spans="2:11" x14ac:dyDescent="0.25">
      <c r="B155" s="1826" t="s">
        <v>59</v>
      </c>
      <c r="C155" s="94"/>
      <c r="D155" s="53" t="s">
        <v>60</v>
      </c>
      <c r="E155" s="6"/>
      <c r="F155" s="6"/>
      <c r="G155" s="6"/>
      <c r="H155" s="6"/>
      <c r="I155" s="87"/>
      <c r="J155" s="6"/>
      <c r="K155" s="6"/>
    </row>
    <row r="156" spans="2:11" ht="108" x14ac:dyDescent="0.25">
      <c r="B156" s="1827"/>
      <c r="C156" s="94"/>
      <c r="D156" s="46" t="s">
        <v>883</v>
      </c>
      <c r="E156" s="6"/>
      <c r="F156" s="6"/>
      <c r="G156" s="6"/>
      <c r="H156" s="6"/>
      <c r="I156" s="87"/>
      <c r="J156" s="6"/>
      <c r="K156" s="6"/>
    </row>
    <row r="157" spans="2:11" x14ac:dyDescent="0.25">
      <c r="B157" s="1827"/>
      <c r="C157" s="94"/>
      <c r="D157" s="53" t="s">
        <v>134</v>
      </c>
      <c r="E157" s="6"/>
      <c r="F157" s="6"/>
      <c r="G157" s="6"/>
      <c r="H157" s="6"/>
      <c r="I157" s="87"/>
      <c r="J157" s="6"/>
      <c r="K157" s="6"/>
    </row>
    <row r="158" spans="2:11" x14ac:dyDescent="0.25">
      <c r="B158" s="1827"/>
      <c r="C158" s="94"/>
      <c r="D158" s="46" t="s">
        <v>64</v>
      </c>
      <c r="E158" s="6"/>
      <c r="F158" s="6"/>
      <c r="G158" s="6"/>
      <c r="H158" s="6"/>
      <c r="I158" s="87"/>
      <c r="J158" s="6"/>
      <c r="K158" s="6"/>
    </row>
    <row r="159" spans="2:11" x14ac:dyDescent="0.25">
      <c r="B159" s="1827"/>
      <c r="C159" s="94"/>
      <c r="D159" s="46" t="s">
        <v>65</v>
      </c>
      <c r="E159" s="6"/>
      <c r="F159" s="6"/>
      <c r="G159" s="6"/>
      <c r="H159" s="6"/>
      <c r="I159" s="87"/>
      <c r="J159" s="6"/>
      <c r="K159" s="6"/>
    </row>
    <row r="160" spans="2:11" x14ac:dyDescent="0.25">
      <c r="B160" s="1827"/>
      <c r="C160" s="94"/>
      <c r="D160" s="46" t="s">
        <v>836</v>
      </c>
      <c r="E160" s="6"/>
      <c r="F160" s="6"/>
      <c r="G160" s="6"/>
      <c r="H160" s="6"/>
      <c r="I160" s="87"/>
      <c r="J160" s="6"/>
      <c r="K160" s="6"/>
    </row>
    <row r="161" spans="2:11" ht="36.75" thickBot="1" x14ac:dyDescent="0.3">
      <c r="B161" s="1828"/>
      <c r="C161" s="3"/>
      <c r="D161" s="41" t="s">
        <v>884</v>
      </c>
      <c r="E161" s="6"/>
      <c r="F161" s="6"/>
      <c r="G161" s="6"/>
      <c r="H161" s="6"/>
      <c r="I161" s="87"/>
      <c r="J161" s="6"/>
      <c r="K161" s="6"/>
    </row>
    <row r="162" spans="2:11" ht="24.75" thickBot="1" x14ac:dyDescent="0.3">
      <c r="B162" s="47" t="s">
        <v>72</v>
      </c>
      <c r="C162" s="3"/>
      <c r="D162" s="41"/>
      <c r="E162" s="6"/>
      <c r="F162" s="6"/>
      <c r="G162" s="6"/>
      <c r="H162" s="6"/>
      <c r="I162" s="87"/>
      <c r="J162" s="6"/>
      <c r="K162" s="6"/>
    </row>
    <row r="163" spans="2:11" ht="312" x14ac:dyDescent="0.25">
      <c r="B163" s="1826" t="s">
        <v>73</v>
      </c>
      <c r="C163" s="94"/>
      <c r="D163" s="46" t="s">
        <v>885</v>
      </c>
      <c r="E163" s="6"/>
      <c r="F163" s="6"/>
      <c r="G163" s="6"/>
      <c r="H163" s="6"/>
      <c r="I163" s="87"/>
      <c r="J163" s="6"/>
      <c r="K163" s="6"/>
    </row>
    <row r="164" spans="2:11" ht="324" x14ac:dyDescent="0.25">
      <c r="B164" s="1827"/>
      <c r="C164" s="94"/>
      <c r="D164" s="46" t="s">
        <v>886</v>
      </c>
      <c r="E164" s="6"/>
      <c r="F164" s="6"/>
      <c r="G164" s="6"/>
      <c r="H164" s="6"/>
      <c r="I164" s="87"/>
      <c r="J164" s="6"/>
      <c r="K164" s="6"/>
    </row>
    <row r="165" spans="2:11" ht="108" x14ac:dyDescent="0.25">
      <c r="B165" s="1827"/>
      <c r="C165" s="94"/>
      <c r="D165" s="46" t="s">
        <v>887</v>
      </c>
      <c r="E165" s="6"/>
      <c r="F165" s="6"/>
      <c r="G165" s="6"/>
      <c r="H165" s="6"/>
      <c r="I165" s="87"/>
      <c r="J165" s="6"/>
      <c r="K165" s="6"/>
    </row>
    <row r="166" spans="2:11" ht="72.75" thickBot="1" x14ac:dyDescent="0.3">
      <c r="B166" s="1828"/>
      <c r="C166" s="3"/>
      <c r="D166" s="41" t="s">
        <v>888</v>
      </c>
      <c r="E166" s="6"/>
      <c r="F166" s="6"/>
      <c r="G166" s="6"/>
      <c r="H166" s="6"/>
      <c r="I166" s="87"/>
      <c r="J166" s="6"/>
      <c r="K166" s="6"/>
    </row>
    <row r="167" spans="2:11" ht="24" x14ac:dyDescent="0.25">
      <c r="B167" s="1826" t="s">
        <v>90</v>
      </c>
      <c r="C167" s="94"/>
      <c r="D167" s="53" t="s">
        <v>880</v>
      </c>
      <c r="E167" s="6"/>
      <c r="F167" s="6"/>
      <c r="G167" s="6"/>
      <c r="H167" s="6"/>
      <c r="I167" s="87"/>
      <c r="J167" s="6"/>
      <c r="K167" s="6"/>
    </row>
    <row r="168" spans="2:11" x14ac:dyDescent="0.25">
      <c r="B168" s="1827"/>
      <c r="C168" s="94"/>
      <c r="D168" s="17"/>
      <c r="E168" s="6"/>
      <c r="F168" s="6"/>
      <c r="G168" s="6"/>
      <c r="H168" s="6"/>
      <c r="I168" s="87"/>
      <c r="J168" s="6"/>
      <c r="K168" s="6"/>
    </row>
    <row r="169" spans="2:11" x14ac:dyDescent="0.25">
      <c r="B169" s="1827"/>
      <c r="C169" s="94"/>
      <c r="D169" s="46" t="s">
        <v>91</v>
      </c>
      <c r="E169" s="6"/>
      <c r="F169" s="6"/>
      <c r="G169" s="6"/>
      <c r="H169" s="6"/>
      <c r="I169" s="87"/>
      <c r="J169" s="6"/>
      <c r="K169" s="6"/>
    </row>
    <row r="170" spans="2:11" ht="37.5" x14ac:dyDescent="0.25">
      <c r="B170" s="1827"/>
      <c r="C170" s="94"/>
      <c r="D170" s="46" t="s">
        <v>889</v>
      </c>
      <c r="E170" s="6"/>
      <c r="F170" s="6"/>
      <c r="G170" s="6"/>
      <c r="H170" s="6"/>
      <c r="I170" s="87"/>
      <c r="J170" s="6"/>
      <c r="K170" s="6"/>
    </row>
    <row r="171" spans="2:11" ht="37.5" x14ac:dyDescent="0.25">
      <c r="B171" s="1827"/>
      <c r="C171" s="94"/>
      <c r="D171" s="46" t="s">
        <v>890</v>
      </c>
      <c r="E171" s="6"/>
      <c r="F171" s="6"/>
      <c r="G171" s="6"/>
      <c r="H171" s="6"/>
      <c r="I171" s="87"/>
      <c r="J171" s="6"/>
      <c r="K171" s="6"/>
    </row>
    <row r="172" spans="2:11" ht="60" x14ac:dyDescent="0.25">
      <c r="B172" s="1827"/>
      <c r="C172" s="94"/>
      <c r="D172" s="46" t="s">
        <v>891</v>
      </c>
      <c r="E172" s="6"/>
      <c r="F172" s="6"/>
      <c r="G172" s="6"/>
      <c r="H172" s="6"/>
      <c r="I172" s="87"/>
      <c r="J172" s="6"/>
      <c r="K172" s="6"/>
    </row>
    <row r="173" spans="2:11" ht="97.5" x14ac:dyDescent="0.25">
      <c r="B173" s="1827"/>
      <c r="C173" s="94"/>
      <c r="D173" s="46" t="s">
        <v>892</v>
      </c>
      <c r="E173" s="6"/>
      <c r="F173" s="6"/>
      <c r="G173" s="6"/>
      <c r="H173" s="6"/>
      <c r="I173" s="87"/>
      <c r="J173" s="6"/>
      <c r="K173" s="6"/>
    </row>
    <row r="174" spans="2:11" ht="24" x14ac:dyDescent="0.25">
      <c r="B174" s="1827"/>
      <c r="C174" s="94"/>
      <c r="D174" s="53" t="s">
        <v>893</v>
      </c>
      <c r="E174" s="6"/>
      <c r="F174" s="6"/>
      <c r="G174" s="6"/>
      <c r="H174" s="6"/>
      <c r="I174" s="87"/>
      <c r="J174" s="6"/>
      <c r="K174" s="6"/>
    </row>
    <row r="175" spans="2:11" x14ac:dyDescent="0.25">
      <c r="B175" s="1827"/>
      <c r="C175" s="94"/>
      <c r="D175" s="17"/>
      <c r="E175" s="6"/>
      <c r="F175" s="6"/>
      <c r="G175" s="6"/>
      <c r="H175" s="6"/>
      <c r="I175" s="87"/>
      <c r="J175" s="6"/>
      <c r="K175" s="6"/>
    </row>
    <row r="176" spans="2:11" x14ac:dyDescent="0.25">
      <c r="B176" s="1827"/>
      <c r="C176" s="94"/>
      <c r="D176" s="46" t="s">
        <v>91</v>
      </c>
      <c r="E176" s="6"/>
      <c r="F176" s="6"/>
      <c r="G176" s="6"/>
      <c r="H176" s="6"/>
      <c r="I176" s="87"/>
      <c r="J176" s="6"/>
      <c r="K176" s="6"/>
    </row>
    <row r="177" spans="2:11" ht="37.5" x14ac:dyDescent="0.25">
      <c r="B177" s="1827"/>
      <c r="C177" s="94"/>
      <c r="D177" s="46" t="s">
        <v>894</v>
      </c>
      <c r="E177" s="6"/>
      <c r="F177" s="6"/>
      <c r="G177" s="6"/>
      <c r="H177" s="6"/>
      <c r="I177" s="87"/>
      <c r="J177" s="6"/>
      <c r="K177" s="6"/>
    </row>
    <row r="178" spans="2:11" ht="37.5" x14ac:dyDescent="0.25">
      <c r="B178" s="1827"/>
      <c r="C178" s="94"/>
      <c r="D178" s="46" t="s">
        <v>895</v>
      </c>
      <c r="E178" s="6"/>
      <c r="F178" s="6"/>
      <c r="G178" s="6"/>
      <c r="H178" s="6"/>
      <c r="I178" s="87"/>
      <c r="J178" s="6"/>
      <c r="K178" s="6"/>
    </row>
    <row r="179" spans="2:11" ht="37.5" x14ac:dyDescent="0.25">
      <c r="B179" s="1827"/>
      <c r="C179" s="94"/>
      <c r="D179" s="46" t="s">
        <v>896</v>
      </c>
      <c r="E179" s="6"/>
      <c r="F179" s="6"/>
      <c r="G179" s="6"/>
      <c r="H179" s="6"/>
      <c r="I179" s="87"/>
      <c r="J179" s="6"/>
      <c r="K179" s="6"/>
    </row>
    <row r="180" spans="2:11" ht="60" x14ac:dyDescent="0.25">
      <c r="B180" s="1827"/>
      <c r="C180" s="94"/>
      <c r="D180" s="46" t="s">
        <v>891</v>
      </c>
      <c r="E180" s="6"/>
      <c r="F180" s="6"/>
      <c r="G180" s="6"/>
      <c r="H180" s="6"/>
      <c r="I180" s="87"/>
      <c r="J180" s="6"/>
      <c r="K180" s="6"/>
    </row>
    <row r="181" spans="2:11" ht="60.75" thickBot="1" x14ac:dyDescent="0.3">
      <c r="B181" s="1828"/>
      <c r="C181" s="3"/>
      <c r="D181" s="41" t="s">
        <v>897</v>
      </c>
      <c r="E181" s="6"/>
      <c r="F181" s="6"/>
      <c r="G181" s="6"/>
      <c r="H181" s="6"/>
      <c r="I181" s="87"/>
      <c r="J181" s="6"/>
      <c r="K181" s="6"/>
    </row>
    <row r="182" spans="2:11" x14ac:dyDescent="0.25">
      <c r="B182" s="6"/>
      <c r="D182" s="6"/>
      <c r="E182" s="6"/>
      <c r="F182" s="6"/>
      <c r="G182" s="6"/>
      <c r="H182" s="6"/>
      <c r="I182" s="87"/>
      <c r="J182" s="6"/>
      <c r="K182" s="6"/>
    </row>
    <row r="183" spans="2:11" x14ac:dyDescent="0.25">
      <c r="B183" s="6"/>
      <c r="D183" s="6"/>
      <c r="E183" s="6"/>
      <c r="F183" s="6"/>
      <c r="G183" s="6"/>
      <c r="H183" s="6"/>
      <c r="I183" s="87"/>
      <c r="J183" s="6"/>
      <c r="K183" s="6"/>
    </row>
    <row r="184" spans="2:11" x14ac:dyDescent="0.25">
      <c r="B184" s="6"/>
      <c r="D184" s="6"/>
      <c r="E184" s="6"/>
      <c r="F184" s="6"/>
      <c r="G184" s="6"/>
      <c r="H184" s="6"/>
      <c r="I184" s="87"/>
      <c r="J184" s="6"/>
      <c r="K184" s="6"/>
    </row>
    <row r="185" spans="2:11" x14ac:dyDescent="0.25">
      <c r="B185" s="6"/>
      <c r="D185" s="6"/>
      <c r="E185" s="6"/>
      <c r="F185" s="6"/>
      <c r="G185" s="6"/>
      <c r="H185" s="6"/>
      <c r="I185" s="87"/>
      <c r="J185" s="6"/>
      <c r="K185" s="6"/>
    </row>
    <row r="186" spans="2:11" x14ac:dyDescent="0.25">
      <c r="B186" s="6"/>
      <c r="D186" s="6"/>
      <c r="E186" s="6"/>
      <c r="F186" s="6"/>
      <c r="G186" s="6"/>
      <c r="H186" s="6"/>
      <c r="I186" s="87"/>
      <c r="J186" s="6"/>
      <c r="K186" s="6"/>
    </row>
    <row r="187" spans="2:11" x14ac:dyDescent="0.25">
      <c r="B187" s="6"/>
      <c r="D187" s="6"/>
      <c r="E187" s="6"/>
      <c r="F187" s="6"/>
      <c r="G187" s="6"/>
      <c r="H187" s="6"/>
      <c r="I187" s="87"/>
      <c r="J187" s="6"/>
      <c r="K187" s="6"/>
    </row>
    <row r="188" spans="2:11" x14ac:dyDescent="0.25">
      <c r="B188" s="6"/>
      <c r="D188" s="6"/>
      <c r="E188" s="6"/>
      <c r="F188" s="6"/>
      <c r="G188" s="6"/>
      <c r="H188" s="6"/>
      <c r="I188" s="87"/>
      <c r="J188" s="6"/>
      <c r="K188" s="6"/>
    </row>
    <row r="189" spans="2:11" x14ac:dyDescent="0.25">
      <c r="B189" s="6"/>
      <c r="D189" s="6"/>
      <c r="E189" s="6"/>
      <c r="F189" s="6"/>
      <c r="G189" s="6"/>
      <c r="H189" s="6"/>
      <c r="I189" s="87"/>
      <c r="J189" s="6"/>
      <c r="K189" s="6"/>
    </row>
    <row r="190" spans="2:11" x14ac:dyDescent="0.25">
      <c r="B190" s="6"/>
      <c r="D190" s="6"/>
      <c r="E190" s="6"/>
      <c r="F190" s="6"/>
      <c r="G190" s="6"/>
      <c r="H190" s="6"/>
      <c r="I190" s="87"/>
      <c r="J190" s="6"/>
      <c r="K190" s="6"/>
    </row>
    <row r="191" spans="2:11" x14ac:dyDescent="0.25">
      <c r="B191" s="6"/>
      <c r="D191" s="6"/>
      <c r="E191" s="6"/>
      <c r="F191" s="6"/>
      <c r="G191" s="6"/>
      <c r="H191" s="6"/>
      <c r="I191" s="87"/>
      <c r="J191" s="6"/>
      <c r="K191" s="6"/>
    </row>
    <row r="192" spans="2:11" x14ac:dyDescent="0.25">
      <c r="B192" s="6"/>
      <c r="D192" s="6"/>
      <c r="E192" s="6"/>
      <c r="F192" s="6"/>
      <c r="G192" s="6"/>
      <c r="H192" s="6"/>
      <c r="I192" s="87"/>
      <c r="J192" s="6"/>
      <c r="K192" s="6"/>
    </row>
    <row r="193" spans="2:11" x14ac:dyDescent="0.25">
      <c r="B193" s="6"/>
      <c r="D193" s="6"/>
      <c r="E193" s="6"/>
      <c r="F193" s="6"/>
      <c r="G193" s="6"/>
      <c r="H193" s="6"/>
      <c r="I193" s="87"/>
      <c r="J193" s="6"/>
      <c r="K193" s="6"/>
    </row>
    <row r="194" spans="2:11" x14ac:dyDescent="0.25">
      <c r="B194" s="6"/>
      <c r="D194" s="6"/>
      <c r="E194" s="6"/>
      <c r="F194" s="6"/>
      <c r="G194" s="6"/>
      <c r="H194" s="6"/>
      <c r="I194" s="87"/>
      <c r="J194" s="6"/>
      <c r="K194" s="6"/>
    </row>
    <row r="195" spans="2:11" x14ac:dyDescent="0.25">
      <c r="B195" s="6"/>
      <c r="D195" s="6"/>
      <c r="E195" s="6"/>
      <c r="F195" s="6"/>
      <c r="G195" s="6"/>
      <c r="H195" s="6"/>
      <c r="I195" s="87"/>
      <c r="J195" s="6"/>
      <c r="K195" s="6"/>
    </row>
    <row r="196" spans="2:11" x14ac:dyDescent="0.25">
      <c r="B196" s="6"/>
      <c r="D196" s="6"/>
      <c r="E196" s="6"/>
      <c r="F196" s="6"/>
      <c r="G196" s="6"/>
      <c r="H196" s="6"/>
      <c r="I196" s="87"/>
      <c r="J196" s="6"/>
      <c r="K196" s="6"/>
    </row>
    <row r="197" spans="2:11" x14ac:dyDescent="0.25">
      <c r="B197" s="6"/>
      <c r="D197" s="6"/>
      <c r="E197" s="6"/>
      <c r="F197" s="6"/>
      <c r="G197" s="6"/>
      <c r="H197" s="6"/>
      <c r="I197" s="87"/>
      <c r="J197" s="6"/>
      <c r="K197" s="6"/>
    </row>
  </sheetData>
  <mergeCells count="59">
    <mergeCell ref="B137:B143"/>
    <mergeCell ref="D104:I104"/>
    <mergeCell ref="D108:I108"/>
    <mergeCell ref="D109:I109"/>
    <mergeCell ref="D110:I110"/>
    <mergeCell ref="B127:E127"/>
    <mergeCell ref="B128:B134"/>
    <mergeCell ref="D95:I95"/>
    <mergeCell ref="D96:I96"/>
    <mergeCell ref="D97:I97"/>
    <mergeCell ref="D102:I102"/>
    <mergeCell ref="B136:E136"/>
    <mergeCell ref="D84:I84"/>
    <mergeCell ref="D85:I85"/>
    <mergeCell ref="D89:I89"/>
    <mergeCell ref="D90:I90"/>
    <mergeCell ref="D79:I79"/>
    <mergeCell ref="G27:G28"/>
    <mergeCell ref="B15:B114"/>
    <mergeCell ref="D15:I15"/>
    <mergeCell ref="D16:I16"/>
    <mergeCell ref="D17:I17"/>
    <mergeCell ref="D20:I20"/>
    <mergeCell ref="D25:I25"/>
    <mergeCell ref="D26:I26"/>
    <mergeCell ref="D42:I42"/>
    <mergeCell ref="D43:I43"/>
    <mergeCell ref="F27:F28"/>
    <mergeCell ref="D71:I71"/>
    <mergeCell ref="D44:I44"/>
    <mergeCell ref="D49:I49"/>
    <mergeCell ref="D50:I50"/>
    <mergeCell ref="D51:I51"/>
    <mergeCell ref="B150:E150"/>
    <mergeCell ref="B155:B161"/>
    <mergeCell ref="B163:B166"/>
    <mergeCell ref="B167:B181"/>
    <mergeCell ref="D27:D28"/>
    <mergeCell ref="E27:E28"/>
    <mergeCell ref="D56:I56"/>
    <mergeCell ref="D57:I57"/>
    <mergeCell ref="D58:I58"/>
    <mergeCell ref="D63:I63"/>
    <mergeCell ref="D64:I64"/>
    <mergeCell ref="D65:I65"/>
    <mergeCell ref="D70:I70"/>
    <mergeCell ref="D103:I103"/>
    <mergeCell ref="D72:I72"/>
    <mergeCell ref="D78:I78"/>
    <mergeCell ref="B10:D10"/>
    <mergeCell ref="F10:S10"/>
    <mergeCell ref="F11:S11"/>
    <mergeCell ref="E12:R12"/>
    <mergeCell ref="E13:R13"/>
    <mergeCell ref="A1:P1"/>
    <mergeCell ref="A2:P2"/>
    <mergeCell ref="A3:P3"/>
    <mergeCell ref="A4:D4"/>
    <mergeCell ref="A5:P5"/>
  </mergeCells>
  <conditionalFormatting sqref="F122">
    <cfRule type="containsText" dxfId="38" priority="5" operator="containsText" text="ERROR">
      <formula>NOT(ISERROR(SEARCH("ERROR",F122)))</formula>
    </cfRule>
  </conditionalFormatting>
  <conditionalFormatting sqref="F10">
    <cfRule type="notContainsBlanks" dxfId="37" priority="4">
      <formula>LEN(TRIM(F10))&gt;0</formula>
    </cfRule>
  </conditionalFormatting>
  <conditionalFormatting sqref="F11:S11">
    <cfRule type="expression" dxfId="36" priority="2">
      <formula>E11="NO SE REPORTA"</formula>
    </cfRule>
    <cfRule type="expression" dxfId="35" priority="3">
      <formula>E10="NO APLICA"</formula>
    </cfRule>
  </conditionalFormatting>
  <conditionalFormatting sqref="E12:R12">
    <cfRule type="expression" dxfId="34" priority="1">
      <formula>E11="SI SE REPORTA"</formula>
    </cfRule>
  </conditionalFormatting>
  <dataValidations count="5">
    <dataValidation type="whole" operator="greaterThanOrEqual" allowBlank="1" showErrorMessage="1" errorTitle="ERROR" error="Escriba un número igual o mayor que 0" promptTitle="ERROR" prompt="Escriba un número igual o mayor que 0" sqref="E99:H100 E60:H61 E92:H93 E112:H113 E18:E19 E46:E48 E53:H54 E67:E69 E74:H75 E81:H82 E106:E107 E87:E88 E22:H23 E29:H40" xr:uid="{00000000-0002-0000-2000-000000000000}">
      <formula1>0</formula1>
    </dataValidation>
    <dataValidation allowBlank="1" showInputMessage="1" showErrorMessage="1" sqref="E62:H62 E76:I76 I74:I75 I81:I83 E83:H83 E24:H24 E41:H41 I53:I55 E55:H55 I60:I62" xr:uid="{00000000-0002-0000-2000-000001000000}"/>
    <dataValidation type="decimal" allowBlank="1" showInputMessage="1" showErrorMessage="1" errorTitle="ERROR" error="Escriba un valor entre 0% y 100%" sqref="F117:F121" xr:uid="{00000000-0002-0000-2000-000002000000}">
      <formula1>0</formula1>
      <formula2>1</formula2>
    </dataValidation>
    <dataValidation type="list" allowBlank="1" showInputMessage="1" showErrorMessage="1" sqref="E11" xr:uid="{00000000-0002-0000-2000-000003000000}">
      <formula1>REPORTE</formula1>
    </dataValidation>
    <dataValidation type="list" allowBlank="1" showInputMessage="1" showErrorMessage="1" sqref="E10" xr:uid="{00000000-0002-0000-2000-000004000000}">
      <formula1>SI</formula1>
    </dataValidation>
  </dataValidations>
  <hyperlinks>
    <hyperlink ref="B9" location="'ANEXO 3'!A1" display="VOLVER AL INDICE" xr:uid="{00000000-0004-0000-2000-000000000000}"/>
    <hyperlink ref="E132" r:id="rId1" xr:uid="{00000000-0004-0000-2000-000001000000}"/>
  </hyperlinks>
  <pageMargins left="0.25" right="0.25" top="0.75" bottom="0.75" header="0.3" footer="0.3"/>
  <pageSetup paperSize="178" orientation="landscape" horizontalDpi="1200" verticalDpi="1200" r:id="rId2"/>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3"/>
  <dimension ref="A1:U179"/>
  <sheetViews>
    <sheetView showGridLines="0" topLeftCell="A35" zoomScaleNormal="100" workbookViewId="0">
      <selection activeCell="F48" sqref="F48"/>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538" customFormat="1" ht="100.5" customHeight="1" thickBot="1" x14ac:dyDescent="0.3">
      <c r="A1" s="1733"/>
      <c r="B1" s="1734"/>
      <c r="C1" s="1734"/>
      <c r="D1" s="1734"/>
      <c r="E1" s="1734"/>
      <c r="F1" s="1734"/>
      <c r="G1" s="1734"/>
      <c r="H1" s="1734"/>
      <c r="I1" s="1734"/>
      <c r="J1" s="1734"/>
      <c r="K1" s="1734"/>
      <c r="L1" s="1734"/>
      <c r="M1" s="1734"/>
      <c r="N1" s="1734"/>
      <c r="O1" s="1734"/>
      <c r="P1" s="1735"/>
      <c r="Q1" s="412"/>
      <c r="R1" s="412"/>
    </row>
    <row r="2" spans="1:21" s="539" customFormat="1" ht="16.5" thickBot="1" x14ac:dyDescent="0.3">
      <c r="A2" s="1741" t="str">
        <f>'Datos Generales'!C5</f>
        <v>Corporación Autónoma Regional de La Guajira – CORPOGUAJIRA</v>
      </c>
      <c r="B2" s="1742"/>
      <c r="C2" s="1742"/>
      <c r="D2" s="1742"/>
      <c r="E2" s="1742"/>
      <c r="F2" s="1742"/>
      <c r="G2" s="1742"/>
      <c r="H2" s="1742"/>
      <c r="I2" s="1742"/>
      <c r="J2" s="1742"/>
      <c r="K2" s="1742"/>
      <c r="L2" s="1742"/>
      <c r="M2" s="1742"/>
      <c r="N2" s="1742"/>
      <c r="O2" s="1742"/>
      <c r="P2" s="1743"/>
      <c r="Q2" s="412"/>
      <c r="R2" s="412"/>
    </row>
    <row r="3" spans="1:21" s="539" customFormat="1" ht="16.5" thickBot="1" x14ac:dyDescent="0.3">
      <c r="A3" s="1736" t="s">
        <v>1347</v>
      </c>
      <c r="B3" s="1737"/>
      <c r="C3" s="1737"/>
      <c r="D3" s="1737"/>
      <c r="E3" s="1737"/>
      <c r="F3" s="1737"/>
      <c r="G3" s="1737"/>
      <c r="H3" s="1737"/>
      <c r="I3" s="1737"/>
      <c r="J3" s="1737"/>
      <c r="K3" s="1737"/>
      <c r="L3" s="1737"/>
      <c r="M3" s="1737"/>
      <c r="N3" s="1737"/>
      <c r="O3" s="1737"/>
      <c r="P3" s="1738"/>
      <c r="Q3" s="412"/>
      <c r="R3" s="412"/>
    </row>
    <row r="4" spans="1:21" s="539" customFormat="1" ht="16.5" thickBot="1" x14ac:dyDescent="0.3">
      <c r="A4" s="1739" t="s">
        <v>1346</v>
      </c>
      <c r="B4" s="1740"/>
      <c r="C4" s="1740"/>
      <c r="D4" s="1740"/>
      <c r="E4" s="579" t="str">
        <f>'Datos Generales'!C6</f>
        <v>2021-I</v>
      </c>
      <c r="F4" s="579"/>
      <c r="G4" s="579"/>
      <c r="H4" s="579"/>
      <c r="I4" s="579"/>
      <c r="J4" s="579"/>
      <c r="K4" s="579"/>
      <c r="L4" s="581"/>
      <c r="M4" s="581"/>
      <c r="N4" s="581"/>
      <c r="O4" s="581"/>
      <c r="P4" s="582"/>
      <c r="Q4" s="412"/>
      <c r="R4" s="412"/>
    </row>
    <row r="5" spans="1:21" s="245" customFormat="1" ht="16.5" customHeight="1" thickBot="1" x14ac:dyDescent="0.3">
      <c r="A5" s="1736" t="s">
        <v>944</v>
      </c>
      <c r="B5" s="1737"/>
      <c r="C5" s="1737"/>
      <c r="D5" s="1737"/>
      <c r="E5" s="1737"/>
      <c r="F5" s="1737"/>
      <c r="G5" s="1737"/>
      <c r="H5" s="1737"/>
      <c r="I5" s="1737"/>
      <c r="J5" s="1737"/>
      <c r="K5" s="1737"/>
      <c r="L5" s="1737"/>
      <c r="M5" s="1737"/>
      <c r="N5" s="1737"/>
      <c r="O5" s="1737"/>
      <c r="P5" s="1738"/>
    </row>
    <row r="6" spans="1:21" x14ac:dyDescent="0.25">
      <c r="A6" s="245"/>
      <c r="B6" s="249" t="s">
        <v>1</v>
      </c>
      <c r="C6" s="250"/>
      <c r="D6" s="248"/>
      <c r="E6" s="259"/>
      <c r="F6" s="248" t="s">
        <v>128</v>
      </c>
      <c r="G6" s="248"/>
      <c r="H6" s="248"/>
      <c r="I6" s="248"/>
      <c r="J6" s="248"/>
      <c r="K6" s="6"/>
    </row>
    <row r="7" spans="1:21" ht="15.75" thickBot="1" x14ac:dyDescent="0.3">
      <c r="A7" s="245"/>
      <c r="B7" s="251"/>
      <c r="C7" s="252"/>
      <c r="D7" s="248"/>
      <c r="E7" s="253"/>
      <c r="F7" s="248" t="s">
        <v>129</v>
      </c>
      <c r="G7" s="248"/>
      <c r="H7" s="248"/>
      <c r="I7" s="248"/>
      <c r="J7" s="248"/>
      <c r="K7" s="6"/>
    </row>
    <row r="8" spans="1:21" ht="15.75" thickBot="1" x14ac:dyDescent="0.3">
      <c r="A8" s="245"/>
      <c r="B8" s="261" t="s">
        <v>1185</v>
      </c>
      <c r="C8" s="262">
        <v>2021</v>
      </c>
      <c r="D8" s="257">
        <f>IF(E10="NO APLICA","NO APLICA",IF(E11="NO SE REPORTA","SIN INFORMACION",+F21))</f>
        <v>7.7834179357021999E-2</v>
      </c>
      <c r="E8" s="264"/>
      <c r="F8" s="248" t="s">
        <v>130</v>
      </c>
      <c r="G8" s="248"/>
      <c r="H8" s="248"/>
      <c r="I8" s="248"/>
      <c r="J8" s="248"/>
      <c r="K8" s="6"/>
    </row>
    <row r="9" spans="1:21" x14ac:dyDescent="0.25">
      <c r="A9" s="245"/>
      <c r="B9" s="493" t="s">
        <v>1186</v>
      </c>
      <c r="C9" s="265"/>
      <c r="D9" s="248"/>
      <c r="E9" s="248"/>
      <c r="F9" s="248"/>
      <c r="G9" s="248"/>
      <c r="H9" s="248"/>
      <c r="I9" s="248"/>
      <c r="J9" s="248"/>
      <c r="K9" s="6"/>
    </row>
    <row r="10" spans="1:21" s="412" customFormat="1" x14ac:dyDescent="0.25">
      <c r="A10" s="245"/>
      <c r="B10" s="1789" t="s">
        <v>1241</v>
      </c>
      <c r="C10" s="1789"/>
      <c r="D10" s="1789"/>
      <c r="E10" s="499" t="s">
        <v>1238</v>
      </c>
      <c r="F10" s="17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96"/>
      <c r="H10" s="1796"/>
      <c r="I10" s="1796"/>
      <c r="J10" s="1796"/>
      <c r="K10" s="1796"/>
      <c r="L10" s="1796"/>
      <c r="M10" s="1796"/>
      <c r="N10" s="1796"/>
      <c r="O10" s="1796"/>
      <c r="P10" s="1796"/>
      <c r="Q10" s="1796"/>
      <c r="R10" s="1796"/>
      <c r="S10" s="1796"/>
      <c r="T10" s="495"/>
      <c r="U10" s="495"/>
    </row>
    <row r="11" spans="1:21" s="412" customFormat="1" ht="14.45" customHeight="1" x14ac:dyDescent="0.25">
      <c r="A11" s="245"/>
      <c r="B11" s="496"/>
      <c r="C11" s="497"/>
      <c r="D11" s="498" t="str">
        <f>IF(E10="SI APLICA","¿El indicador no se reporta por limitaciones de información disponible? ","")</f>
        <v xml:space="preserve">¿El indicador no se reporta por limitaciones de información disponible? </v>
      </c>
      <c r="E11" s="500" t="s">
        <v>1240</v>
      </c>
      <c r="F11" s="1790"/>
      <c r="G11" s="1791"/>
      <c r="H11" s="1791"/>
      <c r="I11" s="1791"/>
      <c r="J11" s="1791"/>
      <c r="K11" s="1791"/>
      <c r="L11" s="1791"/>
      <c r="M11" s="1791"/>
      <c r="N11" s="1791"/>
      <c r="O11" s="1791"/>
      <c r="P11" s="1791"/>
      <c r="Q11" s="1791"/>
      <c r="R11" s="1791"/>
      <c r="S11" s="1791"/>
    </row>
    <row r="12" spans="1:21" s="412" customFormat="1" ht="23.45" customHeight="1" x14ac:dyDescent="0.25">
      <c r="A12" s="245"/>
      <c r="B12" s="493"/>
      <c r="C12" s="304"/>
      <c r="D12" s="498" t="str">
        <f>IF(E11="SI SE REPORTA","¿Qué programas o proyectos del Plan de Acción están asociados al indicador? ","")</f>
        <v xml:space="preserve">¿Qué programas o proyectos del Plan de Acción están asociados al indicador? </v>
      </c>
      <c r="E12" s="1799" t="str">
        <f>'Anexo 1 Matriz Inf Gestión'!A180</f>
        <v>Proyecto 6.1. Evaluación, Seguimiento, Monitoreo y Control de la calidad de los recursos naturales y la biodiversidad.</v>
      </c>
      <c r="F12" s="1799"/>
      <c r="G12" s="1799"/>
      <c r="H12" s="1799"/>
      <c r="I12" s="1799"/>
      <c r="J12" s="1799"/>
      <c r="K12" s="1799"/>
      <c r="L12" s="1799"/>
      <c r="M12" s="1799"/>
      <c r="N12" s="1799"/>
      <c r="O12" s="1799"/>
      <c r="P12" s="1799"/>
      <c r="Q12" s="1799"/>
      <c r="R12" s="1799"/>
    </row>
    <row r="13" spans="1:21" s="412" customFormat="1" ht="21.95" customHeight="1" x14ac:dyDescent="0.25">
      <c r="A13" s="245"/>
      <c r="B13" s="493"/>
      <c r="C13" s="304"/>
      <c r="D13" s="498" t="s">
        <v>1243</v>
      </c>
      <c r="E13" s="1792" t="s">
        <v>3057</v>
      </c>
      <c r="F13" s="1793"/>
      <c r="G13" s="1793"/>
      <c r="H13" s="1793"/>
      <c r="I13" s="1793"/>
      <c r="J13" s="1793"/>
      <c r="K13" s="1793"/>
      <c r="L13" s="1793"/>
      <c r="M13" s="1793"/>
      <c r="N13" s="1793"/>
      <c r="O13" s="1793"/>
      <c r="P13" s="1793"/>
      <c r="Q13" s="1793"/>
      <c r="R13" s="1794"/>
    </row>
    <row r="14" spans="1:21" s="412" customFormat="1" ht="6.95" customHeight="1" thickBot="1" x14ac:dyDescent="0.3">
      <c r="A14" s="245"/>
      <c r="B14" s="493"/>
      <c r="C14" s="265"/>
      <c r="D14" s="248"/>
      <c r="E14" s="248"/>
      <c r="F14" s="248"/>
      <c r="G14" s="248"/>
      <c r="H14" s="248"/>
      <c r="I14" s="248"/>
      <c r="J14" s="248"/>
      <c r="K14" s="6"/>
    </row>
    <row r="15" spans="1:21" x14ac:dyDescent="0.25">
      <c r="A15" s="245"/>
      <c r="B15" s="1768" t="s">
        <v>2</v>
      </c>
      <c r="C15" s="268"/>
      <c r="D15" s="1750"/>
      <c r="E15" s="1751"/>
      <c r="F15" s="1751"/>
      <c r="G15" s="1751"/>
      <c r="H15" s="1751"/>
      <c r="I15" s="1752"/>
      <c r="J15" s="248"/>
      <c r="K15" s="6"/>
    </row>
    <row r="16" spans="1:21" ht="15.75" thickBot="1" x14ac:dyDescent="0.3">
      <c r="A16" s="245"/>
      <c r="B16" s="1769"/>
      <c r="C16" s="276"/>
      <c r="D16" s="1780" t="s">
        <v>3</v>
      </c>
      <c r="E16" s="1781"/>
      <c r="F16" s="1781"/>
      <c r="G16" s="1781"/>
      <c r="H16" s="1781"/>
      <c r="I16" s="1782"/>
      <c r="J16" s="248"/>
      <c r="K16" s="6"/>
    </row>
    <row r="17" spans="1:11" ht="15.75" thickBot="1" x14ac:dyDescent="0.3">
      <c r="A17" s="245"/>
      <c r="B17" s="1769"/>
      <c r="C17" s="272"/>
      <c r="D17" s="421" t="s">
        <v>150</v>
      </c>
      <c r="E17" s="280" t="s">
        <v>20</v>
      </c>
      <c r="F17" s="280" t="s">
        <v>21</v>
      </c>
      <c r="G17" s="280" t="s">
        <v>22</v>
      </c>
      <c r="H17" s="280" t="s">
        <v>23</v>
      </c>
      <c r="I17" s="280" t="s">
        <v>151</v>
      </c>
      <c r="J17" s="248"/>
      <c r="K17" s="6"/>
    </row>
    <row r="18" spans="1:11" ht="36.75" thickBot="1" x14ac:dyDescent="0.3">
      <c r="A18" s="245"/>
      <c r="B18" s="1769"/>
      <c r="C18" s="272"/>
      <c r="D18" s="426" t="s">
        <v>959</v>
      </c>
      <c r="E18" s="1005">
        <v>600</v>
      </c>
      <c r="F18" s="1005">
        <v>591</v>
      </c>
      <c r="G18" s="153"/>
      <c r="H18" s="153"/>
      <c r="I18" s="448">
        <f>SUM(E18:H18)</f>
        <v>1191</v>
      </c>
      <c r="J18" s="248"/>
      <c r="K18" s="1429"/>
    </row>
    <row r="19" spans="1:11" ht="36.75" thickBot="1" x14ac:dyDescent="0.3">
      <c r="A19" s="245"/>
      <c r="B19" s="1769"/>
      <c r="C19" s="272"/>
      <c r="D19" s="426" t="s">
        <v>960</v>
      </c>
      <c r="E19" s="1005">
        <v>19</v>
      </c>
      <c r="F19" s="1005">
        <v>37</v>
      </c>
      <c r="G19" s="153"/>
      <c r="H19" s="153"/>
      <c r="I19" s="448">
        <f>SUM(E19:H19)</f>
        <v>56</v>
      </c>
      <c r="J19" s="248"/>
      <c r="K19" s="6"/>
    </row>
    <row r="20" spans="1:11" ht="36.75" thickBot="1" x14ac:dyDescent="0.3">
      <c r="A20" s="245"/>
      <c r="B20" s="1769"/>
      <c r="C20" s="272"/>
      <c r="D20" s="426" t="s">
        <v>961</v>
      </c>
      <c r="E20" s="1005">
        <v>7</v>
      </c>
      <c r="F20" s="1005">
        <v>9</v>
      </c>
      <c r="G20" s="153"/>
      <c r="H20" s="153"/>
      <c r="I20" s="448">
        <f>SUM(E20:H20)</f>
        <v>16</v>
      </c>
      <c r="J20" s="248"/>
      <c r="K20" s="6"/>
    </row>
    <row r="21" spans="1:11" ht="24.75" thickBot="1" x14ac:dyDescent="0.3">
      <c r="A21" s="245"/>
      <c r="B21" s="1770"/>
      <c r="C21" s="428"/>
      <c r="D21" s="426" t="s">
        <v>962</v>
      </c>
      <c r="E21" s="453">
        <f>+(E19+E20)/E18</f>
        <v>4.3333333333333335E-2</v>
      </c>
      <c r="F21" s="453">
        <f>+(F19+F20)/F18</f>
        <v>7.7834179357021999E-2</v>
      </c>
      <c r="G21" s="453" t="e">
        <f>+(G19+G20)/G18</f>
        <v>#DIV/0!</v>
      </c>
      <c r="H21" s="453" t="e">
        <f>+(H19+H20)/H18</f>
        <v>#DIV/0!</v>
      </c>
      <c r="I21" s="453">
        <f>+(I19+I20)/I18</f>
        <v>6.0453400503778336E-2</v>
      </c>
      <c r="J21" s="248"/>
      <c r="K21" s="6"/>
    </row>
    <row r="22" spans="1:11" ht="36" customHeight="1" thickBot="1" x14ac:dyDescent="0.3">
      <c r="A22" s="245"/>
      <c r="B22" s="425" t="s">
        <v>34</v>
      </c>
      <c r="C22" s="286"/>
      <c r="D22" s="1777" t="s">
        <v>963</v>
      </c>
      <c r="E22" s="1778"/>
      <c r="F22" s="1778"/>
      <c r="G22" s="1778"/>
      <c r="H22" s="1778"/>
      <c r="I22" s="1779"/>
      <c r="J22" s="248"/>
      <c r="K22" s="6"/>
    </row>
    <row r="23" spans="1:11" ht="36" customHeight="1" thickBot="1" x14ac:dyDescent="0.3">
      <c r="A23" s="245"/>
      <c r="B23" s="425" t="s">
        <v>36</v>
      </c>
      <c r="C23" s="286"/>
      <c r="D23" s="1777" t="s">
        <v>159</v>
      </c>
      <c r="E23" s="1778"/>
      <c r="F23" s="1778"/>
      <c r="G23" s="1778"/>
      <c r="H23" s="1778"/>
      <c r="I23" s="1779"/>
      <c r="J23" s="248"/>
      <c r="K23" s="6"/>
    </row>
    <row r="24" spans="1:11" ht="15.75" thickBot="1" x14ac:dyDescent="0.3">
      <c r="A24" s="245"/>
      <c r="B24" s="249"/>
      <c r="C24" s="250"/>
      <c r="D24" s="248"/>
      <c r="E24" s="248"/>
      <c r="F24" s="248"/>
      <c r="G24" s="248"/>
      <c r="H24" s="248"/>
      <c r="I24" s="248"/>
      <c r="J24" s="248"/>
      <c r="K24" s="6"/>
    </row>
    <row r="25" spans="1:11" ht="24" customHeight="1" thickBot="1" x14ac:dyDescent="0.3">
      <c r="A25" s="245"/>
      <c r="B25" s="1765" t="s">
        <v>38</v>
      </c>
      <c r="C25" s="1766"/>
      <c r="D25" s="1766"/>
      <c r="E25" s="1767"/>
      <c r="F25" s="248"/>
      <c r="G25" s="248"/>
      <c r="H25" s="248"/>
      <c r="I25" s="248"/>
      <c r="J25" s="248"/>
      <c r="K25" s="6"/>
    </row>
    <row r="26" spans="1:11" ht="15.75" thickBot="1" x14ac:dyDescent="0.3">
      <c r="A26" s="245"/>
      <c r="B26" s="1768">
        <v>1</v>
      </c>
      <c r="C26" s="272"/>
      <c r="D26" s="289" t="s">
        <v>39</v>
      </c>
      <c r="E26" s="167" t="s">
        <v>2849</v>
      </c>
      <c r="F26" s="248"/>
      <c r="G26" s="248"/>
      <c r="H26" s="248"/>
      <c r="I26" s="248"/>
      <c r="J26" s="248"/>
      <c r="K26" s="6"/>
    </row>
    <row r="27" spans="1:11" ht="15.75" thickBot="1" x14ac:dyDescent="0.3">
      <c r="A27" s="245"/>
      <c r="B27" s="1769"/>
      <c r="C27" s="272"/>
      <c r="D27" s="426" t="s">
        <v>40</v>
      </c>
      <c r="E27" s="167" t="s">
        <v>3216</v>
      </c>
      <c r="F27" s="248"/>
      <c r="G27" s="248"/>
      <c r="H27" s="248"/>
      <c r="I27" s="248"/>
      <c r="J27" s="248"/>
      <c r="K27" s="6"/>
    </row>
    <row r="28" spans="1:11" ht="15.75" thickBot="1" x14ac:dyDescent="0.3">
      <c r="A28" s="245"/>
      <c r="B28" s="1769"/>
      <c r="C28" s="272"/>
      <c r="D28" s="426" t="s">
        <v>41</v>
      </c>
      <c r="E28" s="167" t="s">
        <v>3217</v>
      </c>
      <c r="F28" s="248"/>
      <c r="G28" s="248"/>
      <c r="H28" s="248"/>
      <c r="I28" s="248"/>
      <c r="J28" s="248"/>
      <c r="K28" s="6"/>
    </row>
    <row r="29" spans="1:11" ht="15.75" thickBot="1" x14ac:dyDescent="0.3">
      <c r="A29" s="245"/>
      <c r="B29" s="1769"/>
      <c r="C29" s="272"/>
      <c r="D29" s="426" t="s">
        <v>42</v>
      </c>
      <c r="E29" s="167" t="s">
        <v>3218</v>
      </c>
      <c r="F29" s="248"/>
      <c r="G29" s="248"/>
      <c r="H29" s="248"/>
      <c r="I29" s="248"/>
      <c r="J29" s="248"/>
      <c r="K29" s="6"/>
    </row>
    <row r="30" spans="1:11" ht="15.75" thickBot="1" x14ac:dyDescent="0.3">
      <c r="A30" s="245"/>
      <c r="B30" s="1769"/>
      <c r="C30" s="272"/>
      <c r="D30" s="426" t="s">
        <v>43</v>
      </c>
      <c r="E30" s="167" t="s">
        <v>3214</v>
      </c>
      <c r="F30" s="248"/>
      <c r="G30" s="248"/>
      <c r="H30" s="248"/>
      <c r="I30" s="248"/>
      <c r="J30" s="248"/>
      <c r="K30" s="6"/>
    </row>
    <row r="31" spans="1:11" ht="15.75" thickBot="1" x14ac:dyDescent="0.3">
      <c r="A31" s="245"/>
      <c r="B31" s="1769"/>
      <c r="C31" s="272"/>
      <c r="D31" s="426" t="s">
        <v>44</v>
      </c>
      <c r="E31" s="167" t="s">
        <v>3219</v>
      </c>
      <c r="F31" s="248"/>
      <c r="G31" s="248"/>
      <c r="H31" s="248"/>
      <c r="I31" s="248"/>
      <c r="J31" s="248"/>
      <c r="K31" s="6"/>
    </row>
    <row r="32" spans="1:11" ht="15.75" thickBot="1" x14ac:dyDescent="0.3">
      <c r="A32" s="245"/>
      <c r="B32" s="1770"/>
      <c r="C32" s="428"/>
      <c r="D32" s="426" t="s">
        <v>45</v>
      </c>
      <c r="E32" s="167" t="s">
        <v>2870</v>
      </c>
      <c r="F32" s="248"/>
      <c r="G32" s="248"/>
      <c r="H32" s="248"/>
      <c r="I32" s="248"/>
      <c r="J32" s="248"/>
      <c r="K32" s="6"/>
    </row>
    <row r="33" spans="1:11" ht="15.75" thickBot="1" x14ac:dyDescent="0.3">
      <c r="A33" s="245"/>
      <c r="B33" s="249"/>
      <c r="C33" s="250"/>
      <c r="D33" s="248"/>
      <c r="E33" s="248"/>
      <c r="F33" s="248"/>
      <c r="G33" s="248"/>
      <c r="H33" s="248"/>
      <c r="I33" s="248"/>
      <c r="J33" s="248"/>
      <c r="K33" s="6"/>
    </row>
    <row r="34" spans="1:11" ht="15.75" thickBot="1" x14ac:dyDescent="0.3">
      <c r="A34" s="245"/>
      <c r="B34" s="1765" t="s">
        <v>46</v>
      </c>
      <c r="C34" s="1766"/>
      <c r="D34" s="1766"/>
      <c r="E34" s="1767"/>
      <c r="F34" s="248"/>
      <c r="G34" s="248"/>
      <c r="H34" s="248"/>
      <c r="I34" s="248"/>
      <c r="J34" s="248"/>
      <c r="K34" s="6"/>
    </row>
    <row r="35" spans="1:11" ht="15.75" thickBot="1" x14ac:dyDescent="0.3">
      <c r="A35" s="245"/>
      <c r="B35" s="1768">
        <v>1</v>
      </c>
      <c r="C35" s="272"/>
      <c r="D35" s="289" t="s">
        <v>39</v>
      </c>
      <c r="E35" s="432" t="s">
        <v>47</v>
      </c>
      <c r="F35" s="248"/>
      <c r="G35" s="248"/>
      <c r="H35" s="248"/>
      <c r="I35" s="248"/>
      <c r="J35" s="248"/>
      <c r="K35" s="6"/>
    </row>
    <row r="36" spans="1:11" ht="15.75" thickBot="1" x14ac:dyDescent="0.3">
      <c r="A36" s="245"/>
      <c r="B36" s="1769"/>
      <c r="C36" s="272"/>
      <c r="D36" s="426" t="s">
        <v>40</v>
      </c>
      <c r="E36" s="452" t="s">
        <v>48</v>
      </c>
      <c r="F36" s="248"/>
      <c r="G36" s="248"/>
      <c r="H36" s="248"/>
      <c r="I36" s="248"/>
      <c r="J36" s="248"/>
      <c r="K36" s="6"/>
    </row>
    <row r="37" spans="1:11" ht="15.75" thickBot="1" x14ac:dyDescent="0.3">
      <c r="A37" s="245"/>
      <c r="B37" s="1769"/>
      <c r="C37" s="272"/>
      <c r="D37" s="426" t="s">
        <v>41</v>
      </c>
      <c r="E37" s="172"/>
      <c r="F37" s="248"/>
      <c r="G37" s="248"/>
      <c r="H37" s="248"/>
      <c r="I37" s="248"/>
      <c r="J37" s="248"/>
      <c r="K37" s="6"/>
    </row>
    <row r="38" spans="1:11" ht="15.75" thickBot="1" x14ac:dyDescent="0.3">
      <c r="A38" s="245"/>
      <c r="B38" s="1769"/>
      <c r="C38" s="272"/>
      <c r="D38" s="426" t="s">
        <v>42</v>
      </c>
      <c r="E38" s="172"/>
      <c r="F38" s="248"/>
      <c r="G38" s="248"/>
      <c r="H38" s="248"/>
      <c r="I38" s="248"/>
      <c r="J38" s="248"/>
      <c r="K38" s="6"/>
    </row>
    <row r="39" spans="1:11" ht="15.75" thickBot="1" x14ac:dyDescent="0.3">
      <c r="A39" s="245"/>
      <c r="B39" s="1769"/>
      <c r="C39" s="272"/>
      <c r="D39" s="426" t="s">
        <v>43</v>
      </c>
      <c r="E39" s="172"/>
      <c r="F39" s="248"/>
      <c r="G39" s="248"/>
      <c r="H39" s="248"/>
      <c r="I39" s="248"/>
      <c r="J39" s="248"/>
      <c r="K39" s="6"/>
    </row>
    <row r="40" spans="1:11" ht="15.75" thickBot="1" x14ac:dyDescent="0.3">
      <c r="A40" s="245"/>
      <c r="B40" s="1769"/>
      <c r="C40" s="272"/>
      <c r="D40" s="426" t="s">
        <v>44</v>
      </c>
      <c r="E40" s="172"/>
      <c r="F40" s="248"/>
      <c r="G40" s="248"/>
      <c r="H40" s="248"/>
      <c r="I40" s="248"/>
      <c r="J40" s="248"/>
      <c r="K40" s="6"/>
    </row>
    <row r="41" spans="1:11" ht="15.75" thickBot="1" x14ac:dyDescent="0.3">
      <c r="A41" s="245"/>
      <c r="B41" s="1770"/>
      <c r="C41" s="428"/>
      <c r="D41" s="426" t="s">
        <v>45</v>
      </c>
      <c r="E41" s="172"/>
      <c r="F41" s="248"/>
      <c r="G41" s="248"/>
      <c r="H41" s="248"/>
      <c r="I41" s="248"/>
      <c r="J41" s="248"/>
      <c r="K41" s="6"/>
    </row>
    <row r="42" spans="1:11" ht="15.75" thickBot="1" x14ac:dyDescent="0.3">
      <c r="A42" s="245"/>
      <c r="B42" s="249"/>
      <c r="C42" s="250"/>
      <c r="D42" s="248"/>
      <c r="E42" s="248"/>
      <c r="F42" s="248"/>
      <c r="G42" s="248"/>
      <c r="H42" s="248"/>
      <c r="I42" s="248"/>
      <c r="J42" s="248"/>
      <c r="K42" s="6"/>
    </row>
    <row r="43" spans="1:11" ht="15" customHeight="1" thickBot="1" x14ac:dyDescent="0.3">
      <c r="A43" s="245"/>
      <c r="B43" s="422" t="s">
        <v>49</v>
      </c>
      <c r="C43" s="423"/>
      <c r="D43" s="423"/>
      <c r="E43" s="424"/>
      <c r="F43" s="245"/>
      <c r="G43" s="248"/>
      <c r="H43" s="248"/>
      <c r="I43" s="248"/>
      <c r="J43" s="248"/>
      <c r="K43" s="6"/>
    </row>
    <row r="44" spans="1:11" ht="24.75" thickBot="1" x14ac:dyDescent="0.3">
      <c r="A44" s="245"/>
      <c r="B44" s="425" t="s">
        <v>50</v>
      </c>
      <c r="C44" s="426" t="s">
        <v>51</v>
      </c>
      <c r="D44" s="426" t="s">
        <v>52</v>
      </c>
      <c r="E44" s="426" t="s">
        <v>53</v>
      </c>
      <c r="F44" s="248"/>
      <c r="G44" s="248"/>
      <c r="H44" s="248"/>
      <c r="I44" s="248"/>
      <c r="J44" s="248"/>
    </row>
    <row r="45" spans="1:11" ht="60.75" thickBot="1" x14ac:dyDescent="0.3">
      <c r="A45" s="245"/>
      <c r="B45" s="295">
        <v>42401</v>
      </c>
      <c r="C45" s="426">
        <v>0.01</v>
      </c>
      <c r="D45" s="427" t="s">
        <v>964</v>
      </c>
      <c r="E45" s="426"/>
      <c r="F45" s="248"/>
      <c r="G45" s="248"/>
      <c r="H45" s="248"/>
      <c r="I45" s="248"/>
      <c r="J45" s="248"/>
    </row>
    <row r="46" spans="1:11" ht="15.75" thickBot="1" x14ac:dyDescent="0.3">
      <c r="A46" s="245"/>
      <c r="B46" s="249"/>
      <c r="C46" s="250"/>
      <c r="D46" s="248"/>
      <c r="E46" s="248"/>
      <c r="F46" s="248"/>
      <c r="G46" s="248"/>
      <c r="H46" s="248"/>
      <c r="I46" s="248"/>
      <c r="J46" s="248"/>
      <c r="K46" s="6"/>
    </row>
    <row r="47" spans="1:11" x14ac:dyDescent="0.25">
      <c r="A47" s="245"/>
      <c r="B47" s="297" t="s">
        <v>55</v>
      </c>
      <c r="C47" s="298"/>
      <c r="D47" s="248"/>
      <c r="E47" s="248"/>
      <c r="F47" s="248"/>
      <c r="G47" s="248"/>
      <c r="H47" s="248"/>
      <c r="I47" s="248"/>
      <c r="J47" s="248"/>
      <c r="K47" s="6"/>
    </row>
    <row r="48" spans="1:11" ht="21.75" customHeight="1" x14ac:dyDescent="0.25">
      <c r="A48" s="245"/>
      <c r="B48" s="2031" t="s">
        <v>3540</v>
      </c>
      <c r="C48" s="2032"/>
      <c r="D48" s="2032"/>
      <c r="E48" s="2033"/>
      <c r="F48" s="248"/>
      <c r="G48" s="248"/>
      <c r="H48" s="248"/>
      <c r="I48" s="248"/>
      <c r="J48" s="248"/>
      <c r="K48" s="6"/>
    </row>
    <row r="49" spans="1:11" ht="15.75" customHeight="1" x14ac:dyDescent="0.25">
      <c r="A49" s="245"/>
      <c r="B49" s="2034"/>
      <c r="C49" s="2035"/>
      <c r="D49" s="2035"/>
      <c r="E49" s="2036"/>
      <c r="F49" s="248"/>
      <c r="G49" s="248"/>
      <c r="H49" s="248"/>
      <c r="I49" s="248"/>
      <c r="J49" s="248"/>
      <c r="K49" s="6"/>
    </row>
    <row r="50" spans="1:11" ht="15.75" thickBot="1" x14ac:dyDescent="0.3">
      <c r="A50" s="245"/>
      <c r="B50" s="248"/>
      <c r="C50" s="265"/>
      <c r="D50" s="248"/>
      <c r="E50" s="248"/>
      <c r="F50" s="248"/>
      <c r="G50" s="248"/>
      <c r="H50" s="248"/>
      <c r="I50" s="248"/>
      <c r="J50" s="248"/>
      <c r="K50" s="6"/>
    </row>
    <row r="51" spans="1:11" ht="24.75" thickBot="1" x14ac:dyDescent="0.3">
      <c r="B51" s="51" t="s">
        <v>56</v>
      </c>
      <c r="C51" s="97"/>
      <c r="D51" s="6"/>
      <c r="E51" s="6"/>
      <c r="F51" s="6"/>
      <c r="G51" s="6"/>
      <c r="H51" s="6"/>
      <c r="I51" s="6"/>
      <c r="J51" s="6"/>
      <c r="K51" s="6"/>
    </row>
    <row r="52" spans="1:11" ht="15.75" thickBot="1" x14ac:dyDescent="0.3">
      <c r="B52" s="2"/>
      <c r="C52" s="76"/>
      <c r="D52" s="6"/>
      <c r="E52" s="6"/>
      <c r="F52" s="6"/>
      <c r="G52" s="6"/>
      <c r="H52" s="6"/>
      <c r="I52" s="6"/>
      <c r="J52" s="6"/>
      <c r="K52" s="6"/>
    </row>
    <row r="53" spans="1:11" ht="84.75" thickBot="1" x14ac:dyDescent="0.3">
      <c r="B53" s="52" t="s">
        <v>57</v>
      </c>
      <c r="C53" s="98"/>
      <c r="D53" s="43" t="s">
        <v>945</v>
      </c>
      <c r="E53" s="6"/>
      <c r="F53" s="6"/>
      <c r="G53" s="6"/>
      <c r="H53" s="6"/>
      <c r="I53" s="6"/>
      <c r="J53" s="6"/>
      <c r="K53" s="6"/>
    </row>
    <row r="54" spans="1:11" x14ac:dyDescent="0.25">
      <c r="B54" s="1826" t="s">
        <v>59</v>
      </c>
      <c r="C54" s="94"/>
      <c r="D54" s="53" t="s">
        <v>60</v>
      </c>
      <c r="E54" s="6"/>
      <c r="F54" s="6"/>
      <c r="G54" s="6"/>
      <c r="H54" s="6"/>
      <c r="I54" s="6"/>
      <c r="J54" s="6"/>
      <c r="K54" s="6"/>
    </row>
    <row r="55" spans="1:11" ht="72" x14ac:dyDescent="0.25">
      <c r="B55" s="1827"/>
      <c r="C55" s="94"/>
      <c r="D55" s="53" t="s">
        <v>946</v>
      </c>
      <c r="E55" s="6"/>
      <c r="F55" s="6"/>
      <c r="G55" s="6"/>
      <c r="H55" s="6"/>
      <c r="I55" s="6"/>
      <c r="J55" s="6"/>
      <c r="K55" s="6"/>
    </row>
    <row r="56" spans="1:11" x14ac:dyDescent="0.25">
      <c r="B56" s="1827"/>
      <c r="C56" s="94"/>
      <c r="D56" s="53" t="s">
        <v>134</v>
      </c>
      <c r="E56" s="6"/>
      <c r="F56" s="6"/>
      <c r="G56" s="6"/>
      <c r="H56" s="6"/>
      <c r="I56" s="6"/>
      <c r="J56" s="6"/>
      <c r="K56" s="6"/>
    </row>
    <row r="57" spans="1:11" ht="24" x14ac:dyDescent="0.25">
      <c r="B57" s="1827"/>
      <c r="C57" s="94"/>
      <c r="D57" s="46" t="s">
        <v>947</v>
      </c>
      <c r="E57" s="6"/>
      <c r="F57" s="6"/>
      <c r="G57" s="6"/>
      <c r="H57" s="6"/>
      <c r="I57" s="6"/>
      <c r="J57" s="6"/>
      <c r="K57" s="6"/>
    </row>
    <row r="58" spans="1:11" ht="24" x14ac:dyDescent="0.25">
      <c r="B58" s="1827"/>
      <c r="C58" s="94"/>
      <c r="D58" s="46" t="s">
        <v>948</v>
      </c>
      <c r="E58" s="6"/>
      <c r="F58" s="6"/>
      <c r="G58" s="6"/>
      <c r="H58" s="6"/>
      <c r="I58" s="6"/>
      <c r="J58" s="6"/>
      <c r="K58" s="6"/>
    </row>
    <row r="59" spans="1:11" ht="15.75" thickBot="1" x14ac:dyDescent="0.3">
      <c r="B59" s="1828"/>
      <c r="C59" s="3"/>
      <c r="D59" s="41" t="s">
        <v>65</v>
      </c>
      <c r="E59" s="6"/>
      <c r="F59" s="6"/>
      <c r="G59" s="6"/>
      <c r="H59" s="6"/>
      <c r="I59" s="6"/>
      <c r="J59" s="6"/>
      <c r="K59" s="6"/>
    </row>
    <row r="60" spans="1:11" ht="24.75" thickBot="1" x14ac:dyDescent="0.3">
      <c r="B60" s="47" t="s">
        <v>72</v>
      </c>
      <c r="C60" s="3"/>
      <c r="D60" s="41"/>
      <c r="E60" s="6"/>
      <c r="F60" s="6"/>
      <c r="G60" s="6"/>
      <c r="H60" s="6"/>
      <c r="I60" s="6"/>
      <c r="J60" s="6"/>
      <c r="K60" s="6"/>
    </row>
    <row r="61" spans="1:11" ht="132" x14ac:dyDescent="0.25">
      <c r="B61" s="1826" t="s">
        <v>73</v>
      </c>
      <c r="C61" s="94"/>
      <c r="D61" s="46" t="s">
        <v>949</v>
      </c>
      <c r="E61" s="6"/>
      <c r="F61" s="6"/>
      <c r="G61" s="6"/>
      <c r="H61" s="6"/>
      <c r="I61" s="6"/>
      <c r="J61" s="6"/>
      <c r="K61" s="6"/>
    </row>
    <row r="62" spans="1:11" ht="324" x14ac:dyDescent="0.25">
      <c r="B62" s="1827"/>
      <c r="C62" s="94"/>
      <c r="D62" s="46" t="s">
        <v>950</v>
      </c>
      <c r="E62" s="6"/>
      <c r="F62" s="6"/>
      <c r="G62" s="6"/>
      <c r="H62" s="6"/>
      <c r="I62" s="6"/>
      <c r="J62" s="6"/>
      <c r="K62" s="6"/>
    </row>
    <row r="63" spans="1:11" ht="84" x14ac:dyDescent="0.25">
      <c r="B63" s="1827"/>
      <c r="C63" s="94"/>
      <c r="D63" s="46" t="s">
        <v>951</v>
      </c>
      <c r="E63" s="6"/>
      <c r="F63" s="6"/>
      <c r="G63" s="6"/>
      <c r="H63" s="6"/>
      <c r="I63" s="6"/>
      <c r="J63" s="6"/>
      <c r="K63" s="6"/>
    </row>
    <row r="64" spans="1:11" ht="72" x14ac:dyDescent="0.25">
      <c r="B64" s="1827"/>
      <c r="C64" s="94"/>
      <c r="D64" s="46" t="s">
        <v>952</v>
      </c>
      <c r="E64" s="6"/>
      <c r="F64" s="6"/>
      <c r="G64" s="6"/>
      <c r="H64" s="6"/>
      <c r="I64" s="6"/>
      <c r="J64" s="6"/>
      <c r="K64" s="6"/>
    </row>
    <row r="65" spans="2:11" ht="60.75" thickBot="1" x14ac:dyDescent="0.3">
      <c r="B65" s="1828"/>
      <c r="C65" s="3"/>
      <c r="D65" s="41" t="s">
        <v>953</v>
      </c>
      <c r="E65" s="6"/>
      <c r="F65" s="6"/>
      <c r="G65" s="6"/>
      <c r="H65" s="6"/>
      <c r="I65" s="6"/>
      <c r="J65" s="6"/>
      <c r="K65" s="6"/>
    </row>
    <row r="66" spans="2:11" x14ac:dyDescent="0.25">
      <c r="B66" s="1826" t="s">
        <v>90</v>
      </c>
      <c r="C66" s="94"/>
      <c r="D66" s="46"/>
      <c r="E66" s="6"/>
      <c r="F66" s="6"/>
      <c r="G66" s="6"/>
      <c r="H66" s="6"/>
      <c r="I66" s="6"/>
      <c r="J66" s="6"/>
      <c r="K66" s="6"/>
    </row>
    <row r="67" spans="2:11" x14ac:dyDescent="0.25">
      <c r="B67" s="1827"/>
      <c r="C67" s="94"/>
      <c r="D67" s="17"/>
      <c r="E67" s="6"/>
      <c r="F67" s="6"/>
      <c r="G67" s="6"/>
      <c r="H67" s="6"/>
      <c r="I67" s="6"/>
      <c r="J67" s="6"/>
      <c r="K67" s="6"/>
    </row>
    <row r="68" spans="2:11" x14ac:dyDescent="0.25">
      <c r="B68" s="1827"/>
      <c r="C68" s="94"/>
      <c r="D68" s="46" t="s">
        <v>91</v>
      </c>
      <c r="E68" s="6"/>
      <c r="F68" s="6"/>
      <c r="G68" s="6"/>
      <c r="H68" s="6"/>
      <c r="I68" s="6"/>
      <c r="J68" s="6"/>
      <c r="K68" s="6"/>
    </row>
    <row r="69" spans="2:11" ht="25.5" x14ac:dyDescent="0.25">
      <c r="B69" s="1827"/>
      <c r="C69" s="94"/>
      <c r="D69" s="46" t="s">
        <v>954</v>
      </c>
      <c r="E69" s="6"/>
      <c r="F69" s="6"/>
      <c r="G69" s="6"/>
      <c r="H69" s="6"/>
      <c r="I69" s="6"/>
      <c r="J69" s="6"/>
      <c r="K69" s="6"/>
    </row>
    <row r="70" spans="2:11" ht="37.5" x14ac:dyDescent="0.25">
      <c r="B70" s="1827"/>
      <c r="C70" s="94"/>
      <c r="D70" s="46" t="s">
        <v>955</v>
      </c>
      <c r="E70" s="6"/>
      <c r="F70" s="6"/>
      <c r="G70" s="6"/>
      <c r="H70" s="6"/>
      <c r="I70" s="6"/>
      <c r="J70" s="6"/>
      <c r="K70" s="6"/>
    </row>
    <row r="71" spans="2:11" ht="37.5" x14ac:dyDescent="0.25">
      <c r="B71" s="1827"/>
      <c r="C71" s="94"/>
      <c r="D71" s="46" t="s">
        <v>956</v>
      </c>
      <c r="E71" s="6"/>
      <c r="F71" s="6"/>
      <c r="G71" s="6"/>
      <c r="H71" s="6"/>
      <c r="I71" s="6"/>
      <c r="J71" s="6"/>
      <c r="K71" s="6"/>
    </row>
    <row r="72" spans="2:11" ht="36" x14ac:dyDescent="0.25">
      <c r="B72" s="1827"/>
      <c r="C72" s="94"/>
      <c r="D72" s="46" t="s">
        <v>957</v>
      </c>
      <c r="E72" s="6"/>
      <c r="F72" s="6"/>
      <c r="G72" s="6"/>
      <c r="H72" s="6"/>
      <c r="I72" s="6"/>
      <c r="J72" s="6"/>
      <c r="K72" s="6"/>
    </row>
    <row r="73" spans="2:11" ht="120.75" thickBot="1" x14ac:dyDescent="0.3">
      <c r="B73" s="1828"/>
      <c r="C73" s="3"/>
      <c r="D73" s="41" t="s">
        <v>958</v>
      </c>
      <c r="E73" s="6"/>
      <c r="F73" s="6"/>
      <c r="G73" s="6"/>
      <c r="H73" s="6"/>
      <c r="I73" s="6"/>
      <c r="J73" s="6"/>
      <c r="K73" s="6"/>
    </row>
    <row r="74" spans="2:11" x14ac:dyDescent="0.25">
      <c r="B74" s="6"/>
      <c r="D74" s="6"/>
      <c r="E74" s="6"/>
      <c r="F74" s="6"/>
      <c r="G74" s="6"/>
      <c r="H74" s="6"/>
      <c r="I74" s="6"/>
      <c r="J74" s="6"/>
      <c r="K74" s="6"/>
    </row>
    <row r="75" spans="2:11" x14ac:dyDescent="0.25">
      <c r="B75" s="6"/>
      <c r="D75" s="6"/>
      <c r="E75" s="6"/>
      <c r="F75" s="6"/>
      <c r="G75" s="6"/>
      <c r="H75" s="6"/>
      <c r="I75" s="6"/>
      <c r="J75" s="6"/>
      <c r="K75" s="6"/>
    </row>
    <row r="76" spans="2:11" x14ac:dyDescent="0.25">
      <c r="B76" s="6"/>
      <c r="D76" s="6"/>
      <c r="E76" s="6"/>
      <c r="F76" s="6"/>
      <c r="G76" s="6"/>
      <c r="H76" s="6"/>
      <c r="I76" s="6"/>
      <c r="J76" s="6"/>
      <c r="K76" s="6"/>
    </row>
    <row r="77" spans="2:11" x14ac:dyDescent="0.25">
      <c r="B77" s="6"/>
      <c r="D77" s="6"/>
      <c r="E77" s="6"/>
      <c r="F77" s="6"/>
      <c r="G77" s="6"/>
      <c r="H77" s="6"/>
      <c r="I77" s="6"/>
      <c r="J77" s="6"/>
      <c r="K77" s="6"/>
    </row>
    <row r="78" spans="2:11" x14ac:dyDescent="0.25">
      <c r="B78" s="6"/>
      <c r="D78" s="6"/>
      <c r="E78" s="6"/>
      <c r="F78" s="6"/>
      <c r="G78" s="6"/>
      <c r="H78" s="6"/>
      <c r="I78" s="6"/>
      <c r="J78" s="6"/>
      <c r="K78" s="6"/>
    </row>
    <row r="79" spans="2:11" x14ac:dyDescent="0.25">
      <c r="B79" s="6"/>
      <c r="D79" s="6"/>
      <c r="E79" s="6"/>
      <c r="F79" s="6"/>
      <c r="G79" s="6"/>
      <c r="H79" s="6"/>
      <c r="I79" s="6"/>
      <c r="J79" s="6"/>
      <c r="K79" s="6"/>
    </row>
    <row r="80" spans="2:11" x14ac:dyDescent="0.25">
      <c r="B80" s="6"/>
      <c r="D80" s="6"/>
      <c r="E80" s="6"/>
      <c r="F80" s="6"/>
      <c r="G80" s="6"/>
      <c r="H80" s="6"/>
      <c r="I80" s="6"/>
      <c r="J80" s="6"/>
      <c r="K80" s="6"/>
    </row>
    <row r="81" spans="2:11" x14ac:dyDescent="0.25">
      <c r="B81" s="6"/>
      <c r="D81" s="6"/>
      <c r="E81" s="6"/>
      <c r="F81" s="6"/>
      <c r="G81" s="6"/>
      <c r="H81" s="6"/>
      <c r="I81" s="6"/>
      <c r="J81" s="6"/>
      <c r="K81" s="6"/>
    </row>
    <row r="82" spans="2:11" x14ac:dyDescent="0.25">
      <c r="B82" s="6"/>
      <c r="D82" s="6"/>
      <c r="E82" s="6"/>
      <c r="F82" s="6"/>
      <c r="G82" s="6"/>
      <c r="H82" s="6"/>
      <c r="I82" s="6"/>
      <c r="J82" s="6"/>
      <c r="K82" s="6"/>
    </row>
    <row r="83" spans="2:11" x14ac:dyDescent="0.25">
      <c r="B83" s="6"/>
      <c r="D83" s="6"/>
      <c r="E83" s="6"/>
      <c r="F83" s="6"/>
      <c r="G83" s="6"/>
      <c r="H83" s="6"/>
      <c r="I83" s="6"/>
      <c r="J83" s="6"/>
      <c r="K83" s="6"/>
    </row>
    <row r="84" spans="2:11" x14ac:dyDescent="0.25">
      <c r="B84" s="6"/>
      <c r="D84" s="6"/>
      <c r="E84" s="6"/>
      <c r="F84" s="6"/>
      <c r="G84" s="6"/>
      <c r="H84" s="6"/>
      <c r="I84" s="6"/>
      <c r="J84" s="6"/>
      <c r="K84" s="6"/>
    </row>
    <row r="85" spans="2:11" x14ac:dyDescent="0.25">
      <c r="B85" s="6"/>
      <c r="D85" s="6"/>
      <c r="E85" s="6"/>
      <c r="F85" s="6"/>
      <c r="G85" s="6"/>
      <c r="H85" s="6"/>
      <c r="I85" s="6"/>
      <c r="J85" s="6"/>
      <c r="K85" s="6"/>
    </row>
    <row r="86" spans="2:11" x14ac:dyDescent="0.25">
      <c r="B86" s="6"/>
      <c r="D86" s="6"/>
      <c r="E86" s="6"/>
      <c r="F86" s="6"/>
      <c r="G86" s="6"/>
      <c r="H86" s="6"/>
      <c r="I86" s="6"/>
      <c r="J86" s="6"/>
      <c r="K86" s="6"/>
    </row>
    <row r="87" spans="2:11" x14ac:dyDescent="0.25">
      <c r="B87" s="6"/>
      <c r="D87" s="6"/>
      <c r="E87" s="6"/>
      <c r="F87" s="6"/>
      <c r="G87" s="6"/>
      <c r="H87" s="6"/>
      <c r="I87" s="6"/>
      <c r="J87" s="6"/>
      <c r="K87" s="6"/>
    </row>
    <row r="88" spans="2:11" x14ac:dyDescent="0.25">
      <c r="B88" s="6"/>
      <c r="D88" s="6"/>
      <c r="E88" s="6"/>
      <c r="F88" s="6"/>
      <c r="G88" s="6"/>
      <c r="H88" s="6"/>
      <c r="I88" s="6"/>
      <c r="J88" s="6"/>
      <c r="K88" s="6"/>
    </row>
    <row r="89" spans="2:11" x14ac:dyDescent="0.25">
      <c r="B89" s="6"/>
      <c r="D89" s="6"/>
      <c r="E89" s="6"/>
      <c r="F89" s="6"/>
      <c r="G89" s="6"/>
      <c r="H89" s="6"/>
      <c r="I89" s="6"/>
      <c r="J89" s="6"/>
      <c r="K89" s="6"/>
    </row>
    <row r="90" spans="2:11" x14ac:dyDescent="0.25">
      <c r="B90" s="6"/>
      <c r="D90" s="6"/>
      <c r="E90" s="6"/>
      <c r="F90" s="6"/>
      <c r="G90" s="6"/>
      <c r="H90" s="6"/>
      <c r="I90" s="6"/>
      <c r="J90" s="6"/>
      <c r="K90" s="6"/>
    </row>
    <row r="91" spans="2:11" x14ac:dyDescent="0.25">
      <c r="B91" s="6"/>
      <c r="D91" s="6"/>
      <c r="E91" s="6"/>
      <c r="F91" s="6"/>
      <c r="G91" s="6"/>
      <c r="H91" s="6"/>
      <c r="I91" s="6"/>
      <c r="J91" s="6"/>
      <c r="K91" s="6"/>
    </row>
    <row r="92" spans="2:11" x14ac:dyDescent="0.25">
      <c r="B92" s="6"/>
      <c r="D92" s="6"/>
      <c r="E92" s="6"/>
      <c r="F92" s="6"/>
      <c r="G92" s="6"/>
      <c r="H92" s="6"/>
      <c r="I92" s="6"/>
      <c r="J92" s="6"/>
      <c r="K92" s="6"/>
    </row>
    <row r="93" spans="2:11" x14ac:dyDescent="0.25">
      <c r="B93" s="6"/>
      <c r="D93" s="6"/>
      <c r="E93" s="6"/>
      <c r="F93" s="6"/>
      <c r="G93" s="6"/>
      <c r="H93" s="6"/>
      <c r="I93" s="6"/>
      <c r="J93" s="6"/>
      <c r="K93" s="6"/>
    </row>
    <row r="94" spans="2:11" x14ac:dyDescent="0.25">
      <c r="B94" s="6"/>
      <c r="D94" s="6"/>
      <c r="E94" s="6"/>
      <c r="F94" s="6"/>
      <c r="G94" s="6"/>
      <c r="H94" s="6"/>
      <c r="I94" s="6"/>
      <c r="J94" s="6"/>
      <c r="K94" s="6"/>
    </row>
    <row r="95" spans="2:11" x14ac:dyDescent="0.25">
      <c r="B95" s="6"/>
      <c r="D95" s="6"/>
      <c r="E95" s="6"/>
      <c r="F95" s="6"/>
      <c r="G95" s="6"/>
      <c r="H95" s="6"/>
      <c r="I95" s="6"/>
      <c r="J95" s="6"/>
      <c r="K95" s="6"/>
    </row>
    <row r="96" spans="2:11" x14ac:dyDescent="0.25">
      <c r="B96" s="6"/>
      <c r="D96" s="6"/>
      <c r="E96" s="6"/>
      <c r="F96" s="6"/>
      <c r="G96" s="6"/>
      <c r="H96" s="6"/>
      <c r="I96" s="6"/>
      <c r="J96" s="6"/>
      <c r="K96" s="6"/>
    </row>
    <row r="97" spans="2:11" x14ac:dyDescent="0.25">
      <c r="B97" s="6"/>
      <c r="D97" s="6"/>
      <c r="E97" s="6"/>
      <c r="F97" s="6"/>
      <c r="G97" s="6"/>
      <c r="H97" s="6"/>
      <c r="I97" s="6"/>
      <c r="J97" s="6"/>
      <c r="K97" s="6"/>
    </row>
    <row r="98" spans="2:11" x14ac:dyDescent="0.25">
      <c r="B98" s="6"/>
      <c r="D98" s="6"/>
      <c r="E98" s="6"/>
      <c r="F98" s="6"/>
      <c r="G98" s="6"/>
      <c r="H98" s="6"/>
      <c r="I98" s="6"/>
      <c r="J98" s="6"/>
      <c r="K98" s="6"/>
    </row>
    <row r="99" spans="2:11" x14ac:dyDescent="0.25">
      <c r="B99" s="6"/>
      <c r="D99" s="6"/>
      <c r="E99" s="6"/>
      <c r="F99" s="6"/>
      <c r="G99" s="6"/>
      <c r="H99" s="6"/>
      <c r="I99" s="6"/>
      <c r="J99" s="6"/>
      <c r="K99" s="6"/>
    </row>
    <row r="100" spans="2:11" x14ac:dyDescent="0.25">
      <c r="B100" s="6"/>
      <c r="D100" s="6"/>
      <c r="E100" s="6"/>
      <c r="F100" s="6"/>
      <c r="G100" s="6"/>
      <c r="H100" s="6"/>
      <c r="I100" s="6"/>
      <c r="J100" s="6"/>
      <c r="K100" s="6"/>
    </row>
    <row r="101" spans="2:11" x14ac:dyDescent="0.25">
      <c r="B101" s="6"/>
      <c r="D101" s="6"/>
      <c r="E101" s="6"/>
      <c r="F101" s="6"/>
      <c r="G101" s="6"/>
      <c r="H101" s="6"/>
      <c r="I101" s="6"/>
      <c r="J101" s="6"/>
      <c r="K101" s="6"/>
    </row>
    <row r="102" spans="2:11" x14ac:dyDescent="0.25">
      <c r="B102" s="6"/>
      <c r="D102" s="6"/>
      <c r="E102" s="6"/>
      <c r="F102" s="6"/>
      <c r="G102" s="6"/>
      <c r="H102" s="6"/>
      <c r="I102" s="6"/>
      <c r="J102" s="6"/>
      <c r="K102" s="6"/>
    </row>
    <row r="103" spans="2:11" x14ac:dyDescent="0.25">
      <c r="B103" s="6"/>
      <c r="D103" s="6"/>
      <c r="E103" s="6"/>
      <c r="F103" s="6"/>
      <c r="G103" s="6"/>
      <c r="H103" s="6"/>
      <c r="I103" s="6"/>
      <c r="J103" s="6"/>
      <c r="K103" s="6"/>
    </row>
    <row r="104" spans="2:11" x14ac:dyDescent="0.25">
      <c r="B104" s="6"/>
      <c r="D104" s="6"/>
      <c r="E104" s="6"/>
      <c r="F104" s="6"/>
      <c r="G104" s="6"/>
      <c r="H104" s="6"/>
      <c r="I104" s="6"/>
      <c r="J104" s="6"/>
      <c r="K104" s="6"/>
    </row>
    <row r="105" spans="2:11" x14ac:dyDescent="0.25">
      <c r="B105" s="6"/>
      <c r="D105" s="6"/>
      <c r="E105" s="6"/>
      <c r="F105" s="6"/>
      <c r="G105" s="6"/>
      <c r="H105" s="6"/>
      <c r="I105" s="6"/>
      <c r="J105" s="6"/>
      <c r="K105" s="6"/>
    </row>
    <row r="106" spans="2:11" x14ac:dyDescent="0.25">
      <c r="B106" s="6"/>
      <c r="D106" s="6"/>
      <c r="E106" s="6"/>
      <c r="F106" s="6"/>
      <c r="G106" s="6"/>
      <c r="H106" s="6"/>
      <c r="I106" s="6"/>
      <c r="J106" s="6"/>
      <c r="K106" s="6"/>
    </row>
    <row r="107" spans="2:11" x14ac:dyDescent="0.25">
      <c r="B107" s="6"/>
      <c r="D107" s="6"/>
      <c r="E107" s="6"/>
      <c r="F107" s="6"/>
      <c r="G107" s="6"/>
      <c r="H107" s="6"/>
      <c r="I107" s="6"/>
      <c r="J107" s="6"/>
      <c r="K107" s="6"/>
    </row>
    <row r="108" spans="2:11" x14ac:dyDescent="0.25">
      <c r="B108" s="6"/>
      <c r="D108" s="6"/>
      <c r="E108" s="6"/>
      <c r="F108" s="6"/>
      <c r="G108" s="6"/>
      <c r="H108" s="6"/>
      <c r="I108" s="6"/>
      <c r="J108" s="6"/>
      <c r="K108" s="6"/>
    </row>
    <row r="109" spans="2:11" x14ac:dyDescent="0.25">
      <c r="B109" s="6"/>
      <c r="D109" s="6"/>
      <c r="E109" s="6"/>
      <c r="F109" s="6"/>
      <c r="G109" s="6"/>
      <c r="H109" s="6"/>
      <c r="I109" s="6"/>
      <c r="J109" s="6"/>
      <c r="K109" s="6"/>
    </row>
    <row r="110" spans="2:11" x14ac:dyDescent="0.25">
      <c r="B110" s="6"/>
      <c r="D110" s="6"/>
      <c r="E110" s="6"/>
      <c r="F110" s="6"/>
      <c r="G110" s="6"/>
      <c r="H110" s="6"/>
      <c r="I110" s="6"/>
      <c r="J110" s="6"/>
      <c r="K110" s="6"/>
    </row>
    <row r="111" spans="2:11" x14ac:dyDescent="0.25">
      <c r="B111" s="6"/>
      <c r="D111" s="6"/>
      <c r="E111" s="6"/>
      <c r="F111" s="6"/>
      <c r="G111" s="6"/>
      <c r="H111" s="6"/>
      <c r="I111" s="6"/>
      <c r="J111" s="6"/>
      <c r="K111" s="6"/>
    </row>
    <row r="112" spans="2:11" x14ac:dyDescent="0.25">
      <c r="B112" s="6"/>
      <c r="D112" s="6"/>
      <c r="E112" s="6"/>
      <c r="F112" s="6"/>
      <c r="G112" s="6"/>
      <c r="H112" s="6"/>
      <c r="I112" s="6"/>
      <c r="J112" s="6"/>
      <c r="K112" s="6"/>
    </row>
    <row r="113" spans="2:11" x14ac:dyDescent="0.25">
      <c r="B113" s="6"/>
      <c r="D113" s="6"/>
      <c r="E113" s="6"/>
      <c r="F113" s="6"/>
      <c r="G113" s="6"/>
      <c r="H113" s="6"/>
      <c r="I113" s="6"/>
      <c r="J113" s="6"/>
      <c r="K113" s="6"/>
    </row>
    <row r="114" spans="2:11" x14ac:dyDescent="0.25">
      <c r="B114" s="6"/>
      <c r="D114" s="6"/>
      <c r="E114" s="6"/>
      <c r="F114" s="6"/>
      <c r="G114" s="6"/>
      <c r="H114" s="6"/>
      <c r="I114" s="6"/>
      <c r="J114" s="6"/>
      <c r="K114" s="6"/>
    </row>
    <row r="115" spans="2:11" x14ac:dyDescent="0.25">
      <c r="B115" s="6"/>
      <c r="D115" s="6"/>
      <c r="E115" s="6"/>
      <c r="F115" s="6"/>
      <c r="G115" s="6"/>
      <c r="H115" s="6"/>
      <c r="I115" s="6"/>
      <c r="J115" s="6"/>
      <c r="K115" s="6"/>
    </row>
    <row r="116" spans="2:11" x14ac:dyDescent="0.25">
      <c r="B116" s="6"/>
      <c r="D116" s="6"/>
      <c r="E116" s="6"/>
      <c r="F116" s="6"/>
      <c r="G116" s="6"/>
      <c r="H116" s="6"/>
      <c r="I116" s="6"/>
      <c r="J116" s="6"/>
      <c r="K116" s="6"/>
    </row>
    <row r="117" spans="2:11" x14ac:dyDescent="0.25">
      <c r="B117" s="6"/>
      <c r="D117" s="6"/>
      <c r="E117" s="6"/>
      <c r="F117" s="6"/>
      <c r="G117" s="6"/>
      <c r="H117" s="6"/>
      <c r="I117" s="6"/>
      <c r="J117" s="6"/>
      <c r="K117" s="6"/>
    </row>
    <row r="118" spans="2:11" x14ac:dyDescent="0.25">
      <c r="B118" s="6"/>
      <c r="D118" s="6"/>
      <c r="E118" s="6"/>
      <c r="F118" s="6"/>
      <c r="G118" s="6"/>
      <c r="H118" s="6"/>
      <c r="I118" s="6"/>
      <c r="J118" s="6"/>
      <c r="K118" s="6"/>
    </row>
    <row r="119" spans="2:11" x14ac:dyDescent="0.25">
      <c r="B119" s="6"/>
      <c r="D119" s="6"/>
      <c r="E119" s="6"/>
      <c r="F119" s="6"/>
      <c r="G119" s="6"/>
      <c r="H119" s="6"/>
      <c r="I119" s="6"/>
      <c r="J119" s="6"/>
      <c r="K119" s="6"/>
    </row>
    <row r="120" spans="2:11" x14ac:dyDescent="0.25">
      <c r="B120" s="6"/>
      <c r="D120" s="6"/>
      <c r="E120" s="6"/>
      <c r="F120" s="6"/>
      <c r="G120" s="6"/>
      <c r="H120" s="6"/>
      <c r="I120" s="6"/>
      <c r="J120" s="6"/>
      <c r="K120" s="6"/>
    </row>
    <row r="121" spans="2:11" x14ac:dyDescent="0.25">
      <c r="B121" s="6"/>
      <c r="D121" s="6"/>
      <c r="E121" s="6"/>
      <c r="F121" s="6"/>
      <c r="G121" s="6"/>
      <c r="H121" s="6"/>
      <c r="I121" s="6"/>
      <c r="J121" s="6"/>
      <c r="K121" s="6"/>
    </row>
    <row r="122" spans="2:11" x14ac:dyDescent="0.25">
      <c r="B122" s="6"/>
      <c r="D122" s="6"/>
      <c r="E122" s="6"/>
      <c r="F122" s="6"/>
      <c r="G122" s="6"/>
      <c r="H122" s="6"/>
      <c r="I122" s="6"/>
      <c r="J122" s="6"/>
      <c r="K122" s="6"/>
    </row>
    <row r="123" spans="2:11" x14ac:dyDescent="0.25">
      <c r="B123" s="6"/>
      <c r="D123" s="6"/>
      <c r="E123" s="6"/>
      <c r="F123" s="6"/>
      <c r="G123" s="6"/>
      <c r="H123" s="6"/>
      <c r="I123" s="6"/>
      <c r="J123" s="6"/>
      <c r="K123" s="6"/>
    </row>
    <row r="124" spans="2:11" x14ac:dyDescent="0.25">
      <c r="B124" s="6"/>
      <c r="D124" s="6"/>
      <c r="E124" s="6"/>
      <c r="F124" s="6"/>
      <c r="G124" s="6"/>
      <c r="H124" s="6"/>
      <c r="I124" s="6"/>
      <c r="J124" s="6"/>
      <c r="K124" s="6"/>
    </row>
    <row r="125" spans="2:11" x14ac:dyDescent="0.25">
      <c r="B125" s="6"/>
      <c r="D125" s="6"/>
      <c r="E125" s="6"/>
      <c r="F125" s="6"/>
      <c r="G125" s="6"/>
      <c r="H125" s="6"/>
      <c r="I125" s="6"/>
      <c r="J125" s="6"/>
      <c r="K125" s="6"/>
    </row>
    <row r="126" spans="2:11" x14ac:dyDescent="0.25">
      <c r="B126" s="6"/>
      <c r="D126" s="6"/>
      <c r="E126" s="6"/>
      <c r="F126" s="6"/>
      <c r="G126" s="6"/>
      <c r="H126" s="6"/>
      <c r="I126" s="6"/>
      <c r="J126" s="6"/>
      <c r="K126" s="6"/>
    </row>
    <row r="127" spans="2:11" x14ac:dyDescent="0.25">
      <c r="B127" s="6"/>
      <c r="D127" s="6"/>
      <c r="E127" s="6"/>
      <c r="F127" s="6"/>
      <c r="G127" s="6"/>
      <c r="H127" s="6"/>
      <c r="I127" s="6"/>
      <c r="J127" s="6"/>
      <c r="K127" s="6"/>
    </row>
    <row r="128" spans="2:11" x14ac:dyDescent="0.25">
      <c r="B128" s="6"/>
      <c r="D128" s="6"/>
      <c r="E128" s="6"/>
      <c r="F128" s="6"/>
      <c r="G128" s="6"/>
      <c r="H128" s="6"/>
      <c r="I128" s="6"/>
      <c r="J128" s="6"/>
      <c r="K128" s="6"/>
    </row>
    <row r="129" spans="2:11" x14ac:dyDescent="0.25">
      <c r="B129" s="6"/>
      <c r="D129" s="6"/>
      <c r="E129" s="6"/>
      <c r="F129" s="6"/>
      <c r="G129" s="6"/>
      <c r="H129" s="6"/>
      <c r="I129" s="6"/>
      <c r="J129" s="6"/>
      <c r="K129" s="6"/>
    </row>
    <row r="130" spans="2:11" x14ac:dyDescent="0.25">
      <c r="B130" s="6"/>
      <c r="D130" s="6"/>
      <c r="E130" s="6"/>
      <c r="F130" s="6"/>
      <c r="G130" s="6"/>
      <c r="H130" s="6"/>
      <c r="I130" s="6"/>
      <c r="J130" s="6"/>
      <c r="K130" s="6"/>
    </row>
    <row r="131" spans="2:11" x14ac:dyDescent="0.25">
      <c r="B131" s="6"/>
      <c r="D131" s="6"/>
      <c r="E131" s="6"/>
      <c r="F131" s="6"/>
      <c r="G131" s="6"/>
      <c r="H131" s="6"/>
      <c r="I131" s="6"/>
      <c r="J131" s="6"/>
      <c r="K131" s="6"/>
    </row>
    <row r="132" spans="2:11" x14ac:dyDescent="0.25">
      <c r="B132" s="6"/>
      <c r="D132" s="6"/>
      <c r="E132" s="6"/>
      <c r="F132" s="6"/>
      <c r="G132" s="6"/>
      <c r="H132" s="6"/>
      <c r="I132" s="6"/>
      <c r="J132" s="6"/>
      <c r="K132" s="6"/>
    </row>
    <row r="133" spans="2:11" x14ac:dyDescent="0.25">
      <c r="B133" s="6"/>
      <c r="D133" s="6"/>
      <c r="E133" s="6"/>
      <c r="F133" s="6"/>
      <c r="G133" s="6"/>
      <c r="H133" s="6"/>
      <c r="I133" s="6"/>
      <c r="J133" s="6"/>
      <c r="K133" s="6"/>
    </row>
    <row r="134" spans="2:11" x14ac:dyDescent="0.25">
      <c r="B134" s="6"/>
      <c r="D134" s="6"/>
      <c r="E134" s="6"/>
      <c r="F134" s="6"/>
      <c r="G134" s="6"/>
      <c r="H134" s="6"/>
      <c r="I134" s="6"/>
      <c r="J134" s="6"/>
      <c r="K134" s="6"/>
    </row>
    <row r="135" spans="2:11" x14ac:dyDescent="0.25">
      <c r="B135" s="6"/>
      <c r="D135" s="6"/>
      <c r="E135" s="6"/>
      <c r="F135" s="6"/>
      <c r="G135" s="6"/>
      <c r="H135" s="6"/>
      <c r="I135" s="6"/>
      <c r="J135" s="6"/>
      <c r="K135" s="6"/>
    </row>
    <row r="136" spans="2:11" x14ac:dyDescent="0.25">
      <c r="B136" s="6"/>
      <c r="D136" s="6"/>
      <c r="E136" s="6"/>
      <c r="F136" s="6"/>
      <c r="G136" s="6"/>
      <c r="H136" s="6"/>
      <c r="I136" s="6"/>
      <c r="J136" s="6"/>
      <c r="K136" s="6"/>
    </row>
    <row r="137" spans="2:11" x14ac:dyDescent="0.25">
      <c r="B137" s="6"/>
      <c r="D137" s="6"/>
      <c r="E137" s="6"/>
      <c r="F137" s="6"/>
      <c r="G137" s="6"/>
      <c r="H137" s="6"/>
      <c r="I137" s="6"/>
      <c r="J137" s="6"/>
      <c r="K137" s="6"/>
    </row>
    <row r="138" spans="2:11" x14ac:dyDescent="0.25">
      <c r="B138" s="6"/>
      <c r="D138" s="6"/>
      <c r="E138" s="6"/>
      <c r="F138" s="6"/>
      <c r="G138" s="6"/>
      <c r="H138" s="6"/>
      <c r="I138" s="6"/>
      <c r="J138" s="6"/>
      <c r="K138" s="6"/>
    </row>
    <row r="139" spans="2:11" x14ac:dyDescent="0.25">
      <c r="B139" s="6"/>
      <c r="D139" s="6"/>
      <c r="E139" s="6"/>
      <c r="F139" s="6"/>
      <c r="G139" s="6"/>
      <c r="H139" s="6"/>
      <c r="I139" s="6"/>
      <c r="J139" s="6"/>
      <c r="K139" s="6"/>
    </row>
    <row r="140" spans="2:11" x14ac:dyDescent="0.25">
      <c r="B140" s="6"/>
      <c r="D140" s="6"/>
      <c r="E140" s="6"/>
      <c r="F140" s="6"/>
      <c r="G140" s="6"/>
      <c r="H140" s="6"/>
      <c r="I140" s="6"/>
      <c r="J140" s="6"/>
      <c r="K140" s="6"/>
    </row>
    <row r="141" spans="2:11" x14ac:dyDescent="0.25">
      <c r="B141" s="6"/>
      <c r="D141" s="6"/>
      <c r="E141" s="6"/>
      <c r="F141" s="6"/>
      <c r="G141" s="6"/>
      <c r="H141" s="6"/>
      <c r="I141" s="6"/>
      <c r="J141" s="6"/>
      <c r="K141" s="6"/>
    </row>
    <row r="142" spans="2:11" x14ac:dyDescent="0.25">
      <c r="B142" s="6"/>
      <c r="D142" s="6"/>
      <c r="E142" s="6"/>
      <c r="F142" s="6"/>
      <c r="G142" s="6"/>
      <c r="H142" s="6"/>
      <c r="I142" s="6"/>
      <c r="J142" s="6"/>
      <c r="K142" s="6"/>
    </row>
    <row r="143" spans="2:11" x14ac:dyDescent="0.25">
      <c r="B143" s="6"/>
      <c r="D143" s="6"/>
      <c r="E143" s="6"/>
      <c r="F143" s="6"/>
      <c r="G143" s="6"/>
      <c r="H143" s="6"/>
      <c r="I143" s="6"/>
      <c r="J143" s="6"/>
      <c r="K143" s="6"/>
    </row>
    <row r="144" spans="2:11" x14ac:dyDescent="0.25">
      <c r="B144" s="6"/>
      <c r="D144" s="6"/>
      <c r="E144" s="6"/>
      <c r="F144" s="6"/>
      <c r="G144" s="6"/>
      <c r="H144" s="6"/>
      <c r="I144" s="6"/>
      <c r="J144" s="6"/>
      <c r="K144" s="6"/>
    </row>
    <row r="145" spans="2:11" x14ac:dyDescent="0.25">
      <c r="B145" s="6"/>
      <c r="D145" s="6"/>
      <c r="E145" s="6"/>
      <c r="F145" s="6"/>
      <c r="G145" s="6"/>
      <c r="H145" s="6"/>
      <c r="I145" s="6"/>
      <c r="J145" s="6"/>
      <c r="K145" s="6"/>
    </row>
    <row r="146" spans="2:11" x14ac:dyDescent="0.25">
      <c r="B146" s="6"/>
      <c r="D146" s="6"/>
      <c r="E146" s="6"/>
      <c r="F146" s="6"/>
      <c r="G146" s="6"/>
      <c r="H146" s="6"/>
      <c r="I146" s="6"/>
      <c r="J146" s="6"/>
      <c r="K146" s="6"/>
    </row>
    <row r="147" spans="2:11" x14ac:dyDescent="0.25">
      <c r="B147" s="6"/>
      <c r="D147" s="6"/>
      <c r="E147" s="6"/>
      <c r="F147" s="6"/>
      <c r="G147" s="6"/>
      <c r="H147" s="6"/>
      <c r="I147" s="6"/>
      <c r="J147" s="6"/>
      <c r="K147" s="6"/>
    </row>
    <row r="148" spans="2:11" x14ac:dyDescent="0.25">
      <c r="B148" s="6"/>
      <c r="D148" s="6"/>
      <c r="E148" s="6"/>
      <c r="F148" s="6"/>
      <c r="G148" s="6"/>
      <c r="H148" s="6"/>
      <c r="I148" s="6"/>
      <c r="J148" s="6"/>
      <c r="K148" s="6"/>
    </row>
    <row r="149" spans="2:11" x14ac:dyDescent="0.25">
      <c r="B149" s="6"/>
      <c r="D149" s="6"/>
      <c r="E149" s="6"/>
      <c r="F149" s="6"/>
      <c r="G149" s="6"/>
      <c r="H149" s="6"/>
      <c r="I149" s="6"/>
      <c r="J149" s="6"/>
      <c r="K149" s="6"/>
    </row>
    <row r="150" spans="2:11" x14ac:dyDescent="0.25">
      <c r="B150" s="6"/>
      <c r="D150" s="6"/>
      <c r="E150" s="6"/>
      <c r="F150" s="6"/>
      <c r="G150" s="6"/>
      <c r="H150" s="6"/>
      <c r="I150" s="6"/>
      <c r="J150" s="6"/>
      <c r="K150" s="6"/>
    </row>
    <row r="151" spans="2:11" x14ac:dyDescent="0.25">
      <c r="B151" s="6"/>
      <c r="D151" s="6"/>
      <c r="E151" s="6"/>
      <c r="F151" s="6"/>
      <c r="G151" s="6"/>
      <c r="H151" s="6"/>
      <c r="I151" s="6"/>
      <c r="J151" s="6"/>
      <c r="K151" s="6"/>
    </row>
    <row r="152" spans="2:11" x14ac:dyDescent="0.25">
      <c r="B152" s="6"/>
      <c r="D152" s="6"/>
      <c r="E152" s="6"/>
      <c r="F152" s="6"/>
      <c r="G152" s="6"/>
      <c r="H152" s="6"/>
      <c r="I152" s="6"/>
      <c r="J152" s="6"/>
      <c r="K152" s="6"/>
    </row>
    <row r="153" spans="2:11" x14ac:dyDescent="0.25">
      <c r="B153" s="6"/>
      <c r="D153" s="6"/>
      <c r="E153" s="6"/>
      <c r="F153" s="6"/>
      <c r="G153" s="6"/>
      <c r="H153" s="6"/>
      <c r="I153" s="6"/>
      <c r="J153" s="6"/>
      <c r="K153" s="6"/>
    </row>
    <row r="154" spans="2:11" x14ac:dyDescent="0.25">
      <c r="B154" s="6"/>
      <c r="D154" s="6"/>
      <c r="E154" s="6"/>
      <c r="F154" s="6"/>
      <c r="G154" s="6"/>
      <c r="H154" s="6"/>
      <c r="I154" s="6"/>
      <c r="J154" s="6"/>
      <c r="K154" s="6"/>
    </row>
    <row r="155" spans="2:11" x14ac:dyDescent="0.25">
      <c r="B155" s="6"/>
      <c r="D155" s="6"/>
      <c r="E155" s="6"/>
      <c r="F155" s="6"/>
      <c r="G155" s="6"/>
      <c r="H155" s="6"/>
      <c r="I155" s="6"/>
      <c r="J155" s="6"/>
      <c r="K155" s="6"/>
    </row>
    <row r="156" spans="2:11" x14ac:dyDescent="0.25">
      <c r="B156" s="6"/>
      <c r="D156" s="6"/>
      <c r="E156" s="6"/>
      <c r="F156" s="6"/>
      <c r="G156" s="6"/>
      <c r="H156" s="6"/>
      <c r="I156" s="6"/>
      <c r="J156" s="6"/>
      <c r="K156" s="6"/>
    </row>
    <row r="157" spans="2:11" x14ac:dyDescent="0.25">
      <c r="B157" s="6"/>
      <c r="D157" s="6"/>
      <c r="E157" s="6"/>
      <c r="F157" s="6"/>
      <c r="G157" s="6"/>
      <c r="H157" s="6"/>
      <c r="I157" s="6"/>
      <c r="J157" s="6"/>
      <c r="K157" s="6"/>
    </row>
    <row r="158" spans="2:11" x14ac:dyDescent="0.25">
      <c r="B158" s="6"/>
      <c r="D158" s="6"/>
      <c r="E158" s="6"/>
      <c r="F158" s="6"/>
      <c r="G158" s="6"/>
      <c r="H158" s="6"/>
      <c r="I158" s="6"/>
      <c r="J158" s="6"/>
      <c r="K158" s="6"/>
    </row>
    <row r="159" spans="2:11" x14ac:dyDescent="0.25">
      <c r="B159" s="6"/>
      <c r="D159" s="6"/>
      <c r="E159" s="6"/>
      <c r="F159" s="6"/>
      <c r="G159" s="6"/>
      <c r="H159" s="6"/>
      <c r="I159" s="6"/>
      <c r="J159" s="6"/>
      <c r="K159" s="6"/>
    </row>
    <row r="160" spans="2:11" x14ac:dyDescent="0.25">
      <c r="B160" s="6"/>
      <c r="D160" s="6"/>
      <c r="E160" s="6"/>
      <c r="F160" s="6"/>
      <c r="G160" s="6"/>
      <c r="H160" s="6"/>
      <c r="I160" s="6"/>
      <c r="J160" s="6"/>
      <c r="K160" s="6"/>
    </row>
    <row r="161" spans="2:11" x14ac:dyDescent="0.25">
      <c r="B161" s="6"/>
      <c r="D161" s="6"/>
      <c r="E161" s="6"/>
      <c r="F161" s="6"/>
      <c r="G161" s="6"/>
      <c r="H161" s="6"/>
      <c r="I161" s="6"/>
      <c r="J161" s="6"/>
      <c r="K161" s="6"/>
    </row>
    <row r="162" spans="2:11" x14ac:dyDescent="0.25">
      <c r="B162" s="6"/>
      <c r="D162" s="6"/>
      <c r="E162" s="6"/>
      <c r="F162" s="6"/>
      <c r="G162" s="6"/>
      <c r="H162" s="6"/>
      <c r="I162" s="6"/>
      <c r="J162" s="6"/>
      <c r="K162" s="6"/>
    </row>
    <row r="163" spans="2:11" x14ac:dyDescent="0.25">
      <c r="B163" s="6"/>
      <c r="D163" s="6"/>
      <c r="E163" s="6"/>
      <c r="F163" s="6"/>
      <c r="G163" s="6"/>
      <c r="H163" s="6"/>
      <c r="I163" s="6"/>
      <c r="J163" s="6"/>
      <c r="K163" s="6"/>
    </row>
    <row r="164" spans="2:11" x14ac:dyDescent="0.25">
      <c r="B164" s="6"/>
      <c r="D164" s="6"/>
      <c r="E164" s="6"/>
      <c r="F164" s="6"/>
      <c r="G164" s="6"/>
      <c r="H164" s="6"/>
      <c r="I164" s="6"/>
      <c r="J164" s="6"/>
      <c r="K164" s="6"/>
    </row>
    <row r="165" spans="2:11" x14ac:dyDescent="0.25">
      <c r="B165" s="6"/>
      <c r="D165" s="6"/>
      <c r="E165" s="6"/>
      <c r="F165" s="6"/>
      <c r="G165" s="6"/>
      <c r="H165" s="6"/>
      <c r="I165" s="6"/>
      <c r="J165" s="6"/>
      <c r="K165" s="6"/>
    </row>
    <row r="166" spans="2:11" x14ac:dyDescent="0.25">
      <c r="B166" s="6"/>
      <c r="D166" s="6"/>
      <c r="E166" s="6"/>
      <c r="F166" s="6"/>
      <c r="G166" s="6"/>
      <c r="H166" s="6"/>
      <c r="I166" s="6"/>
      <c r="J166" s="6"/>
      <c r="K166" s="6"/>
    </row>
    <row r="167" spans="2:11" x14ac:dyDescent="0.25">
      <c r="B167" s="6"/>
      <c r="D167" s="6"/>
      <c r="E167" s="6"/>
      <c r="F167" s="6"/>
      <c r="G167" s="6"/>
      <c r="H167" s="6"/>
      <c r="I167" s="6"/>
      <c r="J167" s="6"/>
      <c r="K167" s="6"/>
    </row>
    <row r="168" spans="2:11" x14ac:dyDescent="0.25">
      <c r="B168" s="6"/>
      <c r="D168" s="6"/>
      <c r="E168" s="6"/>
      <c r="F168" s="6"/>
      <c r="G168" s="6"/>
      <c r="H168" s="6"/>
      <c r="I168" s="6"/>
      <c r="J168" s="6"/>
      <c r="K168" s="6"/>
    </row>
    <row r="169" spans="2:11" x14ac:dyDescent="0.25">
      <c r="B169" s="6"/>
      <c r="D169" s="6"/>
      <c r="E169" s="6"/>
      <c r="F169" s="6"/>
      <c r="G169" s="6"/>
      <c r="H169" s="6"/>
      <c r="I169" s="6"/>
      <c r="J169" s="6"/>
      <c r="K169" s="6"/>
    </row>
    <row r="170" spans="2:11" x14ac:dyDescent="0.25">
      <c r="B170" s="6"/>
      <c r="D170" s="6"/>
      <c r="E170" s="6"/>
      <c r="F170" s="6"/>
      <c r="G170" s="6"/>
      <c r="H170" s="6"/>
      <c r="I170" s="6"/>
      <c r="J170" s="6"/>
      <c r="K170" s="6"/>
    </row>
    <row r="171" spans="2:11" x14ac:dyDescent="0.25">
      <c r="B171" s="6"/>
      <c r="D171" s="6"/>
      <c r="E171" s="6"/>
      <c r="F171" s="6"/>
      <c r="G171" s="6"/>
      <c r="H171" s="6"/>
      <c r="I171" s="6"/>
      <c r="J171" s="6"/>
      <c r="K171" s="6"/>
    </row>
    <row r="172" spans="2:11" x14ac:dyDescent="0.25">
      <c r="B172" s="6"/>
      <c r="D172" s="6"/>
      <c r="E172" s="6"/>
      <c r="F172" s="6"/>
      <c r="G172" s="6"/>
      <c r="H172" s="6"/>
      <c r="I172" s="6"/>
      <c r="J172" s="6"/>
      <c r="K172" s="6"/>
    </row>
    <row r="173" spans="2:11" x14ac:dyDescent="0.25">
      <c r="B173" s="6"/>
      <c r="D173" s="6"/>
      <c r="E173" s="6"/>
      <c r="F173" s="6"/>
      <c r="G173" s="6"/>
      <c r="H173" s="6"/>
      <c r="I173" s="6"/>
      <c r="J173" s="6"/>
      <c r="K173" s="6"/>
    </row>
    <row r="174" spans="2:11" x14ac:dyDescent="0.25">
      <c r="B174" s="6"/>
      <c r="D174" s="6"/>
      <c r="E174" s="6"/>
      <c r="F174" s="6"/>
      <c r="G174" s="6"/>
      <c r="H174" s="6"/>
      <c r="I174" s="6"/>
      <c r="J174" s="6"/>
      <c r="K174" s="6"/>
    </row>
    <row r="175" spans="2:11" x14ac:dyDescent="0.25">
      <c r="B175" s="6"/>
      <c r="D175" s="6"/>
      <c r="E175" s="6"/>
      <c r="F175" s="6"/>
      <c r="G175" s="6"/>
      <c r="H175" s="6"/>
      <c r="I175" s="6"/>
      <c r="J175" s="6"/>
      <c r="K175" s="6"/>
    </row>
    <row r="176" spans="2:11" x14ac:dyDescent="0.25">
      <c r="B176" s="6"/>
      <c r="D176" s="6"/>
      <c r="E176" s="6"/>
      <c r="F176" s="6"/>
      <c r="G176" s="6"/>
      <c r="H176" s="6"/>
      <c r="I176" s="6"/>
      <c r="J176" s="6"/>
      <c r="K176" s="6"/>
    </row>
    <row r="177" spans="2:11" x14ac:dyDescent="0.25">
      <c r="B177" s="6"/>
      <c r="D177" s="6"/>
      <c r="E177" s="6"/>
      <c r="F177" s="6"/>
      <c r="G177" s="6"/>
      <c r="H177" s="6"/>
      <c r="I177" s="6"/>
      <c r="J177" s="6"/>
      <c r="K177" s="6"/>
    </row>
    <row r="178" spans="2:11" x14ac:dyDescent="0.25">
      <c r="B178" s="6"/>
      <c r="D178" s="6"/>
      <c r="E178" s="6"/>
      <c r="F178" s="6"/>
      <c r="G178" s="6"/>
      <c r="H178" s="6"/>
      <c r="I178" s="6"/>
      <c r="J178" s="6"/>
      <c r="K178" s="6"/>
    </row>
    <row r="179" spans="2:11" x14ac:dyDescent="0.25">
      <c r="B179" s="6"/>
      <c r="D179" s="6"/>
      <c r="E179" s="6"/>
      <c r="F179" s="6"/>
      <c r="G179" s="6"/>
      <c r="H179" s="6"/>
      <c r="I179" s="6"/>
      <c r="J179" s="6"/>
      <c r="K179" s="6"/>
    </row>
  </sheetData>
  <mergeCells count="23">
    <mergeCell ref="B54:B59"/>
    <mergeCell ref="B61:B65"/>
    <mergeCell ref="B66:B73"/>
    <mergeCell ref="B15:B21"/>
    <mergeCell ref="D15:I15"/>
    <mergeCell ref="D16:I16"/>
    <mergeCell ref="D22:I22"/>
    <mergeCell ref="D23:I23"/>
    <mergeCell ref="B25:E25"/>
    <mergeCell ref="B26:B32"/>
    <mergeCell ref="B34:E34"/>
    <mergeCell ref="B35:B41"/>
    <mergeCell ref="B48:E49"/>
    <mergeCell ref="B10:D10"/>
    <mergeCell ref="F10:S10"/>
    <mergeCell ref="F11:S11"/>
    <mergeCell ref="E12:R12"/>
    <mergeCell ref="E13:R13"/>
    <mergeCell ref="A1:P1"/>
    <mergeCell ref="A2:P2"/>
    <mergeCell ref="A3:P3"/>
    <mergeCell ref="A4:D4"/>
    <mergeCell ref="A5:P5"/>
  </mergeCells>
  <conditionalFormatting sqref="F10">
    <cfRule type="notContainsBlanks" dxfId="33" priority="4">
      <formula>LEN(TRIM(F10))&gt;0</formula>
    </cfRule>
  </conditionalFormatting>
  <conditionalFormatting sqref="F11:S11">
    <cfRule type="expression" dxfId="32" priority="2">
      <formula>E11="NO SE REPORTA"</formula>
    </cfRule>
    <cfRule type="expression" dxfId="31" priority="3">
      <formula>E10="NO APLICA"</formula>
    </cfRule>
  </conditionalFormatting>
  <conditionalFormatting sqref="E12:R12">
    <cfRule type="expression" dxfId="30"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8:H20" xr:uid="{00000000-0002-0000-2100-000000000000}">
      <formula1>0</formula1>
    </dataValidation>
    <dataValidation type="list" allowBlank="1" showInputMessage="1" showErrorMessage="1" sqref="E11" xr:uid="{00000000-0002-0000-2100-000001000000}">
      <formula1>REPORTE</formula1>
    </dataValidation>
    <dataValidation type="list" allowBlank="1" showInputMessage="1" showErrorMessage="1" sqref="E10" xr:uid="{00000000-0002-0000-2100-000002000000}">
      <formula1>SI</formula1>
    </dataValidation>
  </dataValidations>
  <hyperlinks>
    <hyperlink ref="B9" location="'ANEXO 3'!A1" display="VOLVER AL INDICE" xr:uid="{00000000-0004-0000-2100-000000000000}"/>
  </hyperlinks>
  <pageMargins left="0.25" right="0.25" top="0.75" bottom="0.75" header="0.3" footer="0.3"/>
  <pageSetup paperSize="178" orientation="landscape" horizontalDpi="1200" verticalDpi="12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4"/>
  <dimension ref="A1:U91"/>
  <sheetViews>
    <sheetView showGridLines="0" topLeftCell="A17" zoomScale="70" zoomScaleNormal="70" workbookViewId="0">
      <selection activeCell="G21" sqref="G21"/>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538" customFormat="1" ht="100.5" customHeight="1" thickBot="1" x14ac:dyDescent="0.3">
      <c r="A1" s="1733"/>
      <c r="B1" s="1734"/>
      <c r="C1" s="1734"/>
      <c r="D1" s="1734"/>
      <c r="E1" s="1734"/>
      <c r="F1" s="1734"/>
      <c r="G1" s="1734"/>
      <c r="H1" s="1734"/>
      <c r="I1" s="1734"/>
      <c r="J1" s="1734"/>
      <c r="K1" s="1734"/>
      <c r="L1" s="1734"/>
      <c r="M1" s="1734"/>
      <c r="N1" s="1734"/>
      <c r="O1" s="1734"/>
      <c r="P1" s="1735"/>
      <c r="Q1" s="412"/>
      <c r="R1" s="412"/>
    </row>
    <row r="2" spans="1:21" s="539" customFormat="1" ht="16.5" thickBot="1" x14ac:dyDescent="0.3">
      <c r="A2" s="1741" t="str">
        <f>'Datos Generales'!C5</f>
        <v>Corporación Autónoma Regional de La Guajira – CORPOGUAJIRA</v>
      </c>
      <c r="B2" s="1742"/>
      <c r="C2" s="1742"/>
      <c r="D2" s="1742"/>
      <c r="E2" s="1742"/>
      <c r="F2" s="1742"/>
      <c r="G2" s="1742"/>
      <c r="H2" s="1742"/>
      <c r="I2" s="1742"/>
      <c r="J2" s="1742"/>
      <c r="K2" s="1742"/>
      <c r="L2" s="1742"/>
      <c r="M2" s="1742"/>
      <c r="N2" s="1742"/>
      <c r="O2" s="1742"/>
      <c r="P2" s="1743"/>
      <c r="Q2" s="412"/>
      <c r="R2" s="412"/>
    </row>
    <row r="3" spans="1:21" s="539" customFormat="1" ht="16.5" thickBot="1" x14ac:dyDescent="0.3">
      <c r="A3" s="1736" t="s">
        <v>1347</v>
      </c>
      <c r="B3" s="1737"/>
      <c r="C3" s="1737"/>
      <c r="D3" s="1737"/>
      <c r="E3" s="1737"/>
      <c r="F3" s="1737"/>
      <c r="G3" s="1737"/>
      <c r="H3" s="1737"/>
      <c r="I3" s="1737"/>
      <c r="J3" s="1737"/>
      <c r="K3" s="1737"/>
      <c r="L3" s="1737"/>
      <c r="M3" s="1737"/>
      <c r="N3" s="1737"/>
      <c r="O3" s="1737"/>
      <c r="P3" s="1738"/>
      <c r="Q3" s="412"/>
      <c r="R3" s="412"/>
    </row>
    <row r="4" spans="1:21" s="539" customFormat="1" ht="16.5" thickBot="1" x14ac:dyDescent="0.3">
      <c r="A4" s="1739" t="s">
        <v>1346</v>
      </c>
      <c r="B4" s="1740"/>
      <c r="C4" s="1740"/>
      <c r="D4" s="1740"/>
      <c r="E4" s="579" t="str">
        <f>'Datos Generales'!C6</f>
        <v>2021-I</v>
      </c>
      <c r="F4" s="579"/>
      <c r="G4" s="579"/>
      <c r="H4" s="579"/>
      <c r="I4" s="579"/>
      <c r="J4" s="579"/>
      <c r="K4" s="579"/>
      <c r="L4" s="581"/>
      <c r="M4" s="581"/>
      <c r="N4" s="581"/>
      <c r="O4" s="581"/>
      <c r="P4" s="582"/>
      <c r="Q4" s="412"/>
      <c r="R4" s="412"/>
    </row>
    <row r="5" spans="1:21" s="245" customFormat="1" ht="16.5" customHeight="1" thickBot="1" x14ac:dyDescent="0.3">
      <c r="A5" s="1736" t="s">
        <v>965</v>
      </c>
      <c r="B5" s="1737"/>
      <c r="C5" s="1737"/>
      <c r="D5" s="1737"/>
      <c r="E5" s="1737"/>
      <c r="F5" s="1737"/>
      <c r="G5" s="1737"/>
      <c r="H5" s="1737"/>
      <c r="I5" s="1737"/>
      <c r="J5" s="1737"/>
      <c r="K5" s="1737"/>
      <c r="L5" s="1737"/>
      <c r="M5" s="1737"/>
      <c r="N5" s="1737"/>
      <c r="O5" s="1737"/>
      <c r="P5" s="1738"/>
    </row>
    <row r="6" spans="1:21" ht="15.75" thickBot="1" x14ac:dyDescent="0.3">
      <c r="B6" s="249" t="s">
        <v>1</v>
      </c>
      <c r="C6" s="76"/>
      <c r="D6" s="6"/>
      <c r="E6" s="74"/>
      <c r="F6" s="6" t="s">
        <v>128</v>
      </c>
      <c r="G6" s="6"/>
      <c r="H6" s="6"/>
      <c r="I6" s="6"/>
      <c r="J6" s="6"/>
      <c r="K6" s="6"/>
    </row>
    <row r="7" spans="1:21" ht="15.75" thickBot="1" x14ac:dyDescent="0.3">
      <c r="B7" s="261" t="s">
        <v>1185</v>
      </c>
      <c r="C7" s="222">
        <v>2021</v>
      </c>
      <c r="D7" s="224">
        <f>IF(E9="NO APLICA","NO APLICA",IF(E10="NO SE REPORTA","SIN INFORMACION",+F17))</f>
        <v>1</v>
      </c>
      <c r="E7" s="241"/>
      <c r="F7" s="6" t="s">
        <v>129</v>
      </c>
      <c r="G7" s="6"/>
      <c r="H7" s="6"/>
      <c r="I7" s="6"/>
      <c r="J7" s="6"/>
      <c r="K7" s="6"/>
    </row>
    <row r="8" spans="1:21" x14ac:dyDescent="0.25">
      <c r="B8" s="493" t="s">
        <v>1186</v>
      </c>
      <c r="E8" s="223"/>
      <c r="F8" s="6" t="s">
        <v>130</v>
      </c>
      <c r="G8" s="6"/>
      <c r="H8" s="6"/>
      <c r="I8" s="6"/>
      <c r="J8" s="6"/>
      <c r="K8" s="6"/>
    </row>
    <row r="9" spans="1:21" s="412" customFormat="1" x14ac:dyDescent="0.25">
      <c r="A9" s="245"/>
      <c r="B9" s="1789" t="s">
        <v>1241</v>
      </c>
      <c r="C9" s="1789"/>
      <c r="D9" s="1789"/>
      <c r="E9" s="499" t="s">
        <v>1238</v>
      </c>
      <c r="F9" s="1795" t="str">
        <f>IF(E9="NO APLICA","      ESCRIBA EL NÚMERO DEL ACUERDO DEL CONSEJO DIRECTIVO EN EL CUAL DECIDE LA NO PROCEDENCIA DE LA APLICACIÓN DEL INDICADOR",IF(E10="NO SE REPORTA","      ESCRIBA EL NÚMERO DEL ACUERDO DEL CONSEJO DIRECTIVO EN LA CUAL SE APRUEBA LA AGENDA DE IMPLEMENTACION DEL INDICADOR",""))</f>
        <v/>
      </c>
      <c r="G9" s="1796"/>
      <c r="H9" s="1796"/>
      <c r="I9" s="1796"/>
      <c r="J9" s="1796"/>
      <c r="K9" s="1796"/>
      <c r="L9" s="1796"/>
      <c r="M9" s="1796"/>
      <c r="N9" s="1796"/>
      <c r="O9" s="1796"/>
      <c r="P9" s="1796"/>
      <c r="Q9" s="1796"/>
      <c r="R9" s="1796"/>
      <c r="S9" s="1796"/>
      <c r="T9" s="495"/>
      <c r="U9" s="495"/>
    </row>
    <row r="10" spans="1:21" s="412" customFormat="1" ht="14.45" customHeight="1" x14ac:dyDescent="0.25">
      <c r="A10" s="245"/>
      <c r="B10" s="496"/>
      <c r="C10" s="497"/>
      <c r="D10" s="498" t="str">
        <f>IF(E9="SI APLICA","¿El indicador no se reporta por limitaciones de información disponible? ","")</f>
        <v xml:space="preserve">¿El indicador no se reporta por limitaciones de información disponible? </v>
      </c>
      <c r="E10" s="500" t="s">
        <v>1240</v>
      </c>
      <c r="F10" s="1790"/>
      <c r="G10" s="1791"/>
      <c r="H10" s="1791"/>
      <c r="I10" s="1791"/>
      <c r="J10" s="1791"/>
      <c r="K10" s="1791"/>
      <c r="L10" s="1791"/>
      <c r="M10" s="1791"/>
      <c r="N10" s="1791"/>
      <c r="O10" s="1791"/>
      <c r="P10" s="1791"/>
      <c r="Q10" s="1791"/>
      <c r="R10" s="1791"/>
      <c r="S10" s="1791"/>
    </row>
    <row r="11" spans="1:21" s="412" customFormat="1" ht="23.45" customHeight="1" x14ac:dyDescent="0.25">
      <c r="A11" s="245"/>
      <c r="B11" s="493"/>
      <c r="C11" s="304"/>
      <c r="D11" s="498" t="str">
        <f>IF(E10="SI SE REPORTA","¿Qué programas o proyectos del Plan de Acción están asociados al indicador? ","")</f>
        <v xml:space="preserve">¿Qué programas o proyectos del Plan de Acción están asociados al indicador? </v>
      </c>
      <c r="E11" s="1799" t="str">
        <f>'Anexo 1 Matriz Inf Gestión'!A9</f>
        <v>Proyecto No 1.1.Planificación, Ordenamiento e Información Ambiental Territorial (1)</v>
      </c>
      <c r="F11" s="1799"/>
      <c r="G11" s="1799"/>
      <c r="H11" s="1799"/>
      <c r="I11" s="1799"/>
      <c r="J11" s="1799"/>
      <c r="K11" s="1799"/>
      <c r="L11" s="1799"/>
      <c r="M11" s="1799"/>
      <c r="N11" s="1799"/>
      <c r="O11" s="1799"/>
      <c r="P11" s="1799"/>
      <c r="Q11" s="1799"/>
      <c r="R11" s="1799"/>
    </row>
    <row r="12" spans="1:21" s="412" customFormat="1" ht="21.95" customHeight="1" thickBot="1" x14ac:dyDescent="0.3">
      <c r="A12" s="245"/>
      <c r="B12" s="493"/>
      <c r="C12" s="304"/>
      <c r="D12" s="498" t="s">
        <v>1243</v>
      </c>
      <c r="E12" s="1792" t="s">
        <v>3057</v>
      </c>
      <c r="F12" s="1793"/>
      <c r="G12" s="1793"/>
      <c r="H12" s="1793"/>
      <c r="I12" s="1793"/>
      <c r="J12" s="1793"/>
      <c r="K12" s="1793"/>
      <c r="L12" s="1793"/>
      <c r="M12" s="1793"/>
      <c r="N12" s="1793"/>
      <c r="O12" s="1793"/>
      <c r="P12" s="1793"/>
      <c r="Q12" s="1793"/>
      <c r="R12" s="1794"/>
    </row>
    <row r="13" spans="1:21" ht="15.75" customHeight="1" thickBot="1" x14ac:dyDescent="0.3">
      <c r="B13" s="1886" t="s">
        <v>2</v>
      </c>
      <c r="C13" s="102"/>
      <c r="D13" s="1832" t="s">
        <v>3</v>
      </c>
      <c r="E13" s="1833"/>
      <c r="F13" s="1833"/>
      <c r="G13" s="1833"/>
      <c r="H13" s="1833"/>
      <c r="I13" s="1838"/>
      <c r="J13" s="1839"/>
      <c r="K13" s="6"/>
    </row>
    <row r="14" spans="1:21" ht="15.75" thickBot="1" x14ac:dyDescent="0.3">
      <c r="B14" s="1935"/>
      <c r="C14" s="98" t="s">
        <v>19</v>
      </c>
      <c r="D14" s="43" t="s">
        <v>150</v>
      </c>
      <c r="E14" s="39" t="s">
        <v>20</v>
      </c>
      <c r="F14" s="39" t="s">
        <v>21</v>
      </c>
      <c r="G14" s="39" t="s">
        <v>22</v>
      </c>
      <c r="H14" s="440" t="s">
        <v>23</v>
      </c>
      <c r="I14" s="470"/>
      <c r="J14" s="471"/>
      <c r="K14" s="6"/>
    </row>
    <row r="15" spans="1:21" ht="84.75" thickBot="1" x14ac:dyDescent="0.3">
      <c r="B15" s="1935"/>
      <c r="C15" s="3" t="s">
        <v>152</v>
      </c>
      <c r="D15" s="194" t="s">
        <v>986</v>
      </c>
      <c r="E15" s="993">
        <v>15</v>
      </c>
      <c r="F15" s="993">
        <v>15</v>
      </c>
      <c r="G15" s="993">
        <v>15</v>
      </c>
      <c r="H15" s="1127">
        <v>15</v>
      </c>
      <c r="I15" s="472"/>
      <c r="J15" s="22"/>
      <c r="K15" s="6"/>
    </row>
    <row r="16" spans="1:21" ht="84.75" thickBot="1" x14ac:dyDescent="0.3">
      <c r="B16" s="1935"/>
      <c r="C16" s="3" t="s">
        <v>154</v>
      </c>
      <c r="D16" s="194" t="s">
        <v>987</v>
      </c>
      <c r="E16" s="993">
        <v>15</v>
      </c>
      <c r="F16" s="993">
        <v>15</v>
      </c>
      <c r="G16" s="993">
        <v>0</v>
      </c>
      <c r="H16" s="1127">
        <v>0</v>
      </c>
      <c r="I16" s="472"/>
      <c r="J16" s="22"/>
      <c r="K16" s="6"/>
    </row>
    <row r="17" spans="2:11" ht="72.599999999999994" customHeight="1" thickBot="1" x14ac:dyDescent="0.3">
      <c r="B17" s="1935"/>
      <c r="C17" s="3" t="s">
        <v>156</v>
      </c>
      <c r="D17" s="129" t="s">
        <v>988</v>
      </c>
      <c r="E17" s="154">
        <f>+E16/E15</f>
        <v>1</v>
      </c>
      <c r="F17" s="154">
        <f>+F16/F15</f>
        <v>1</v>
      </c>
      <c r="G17" s="154">
        <f>+G16/G15</f>
        <v>0</v>
      </c>
      <c r="H17" s="469">
        <f>+H16/H15</f>
        <v>0</v>
      </c>
      <c r="I17" s="473"/>
      <c r="J17" s="24"/>
      <c r="K17" s="6"/>
    </row>
    <row r="18" spans="2:11" x14ac:dyDescent="0.25">
      <c r="B18" s="1935"/>
      <c r="C18" s="103"/>
      <c r="D18" s="1837"/>
      <c r="E18" s="1838"/>
      <c r="F18" s="1838"/>
      <c r="G18" s="1838"/>
      <c r="H18" s="1838"/>
      <c r="I18" s="2037"/>
      <c r="J18" s="1845"/>
      <c r="K18" s="6"/>
    </row>
    <row r="19" spans="2:11" ht="24" customHeight="1" thickBot="1" x14ac:dyDescent="0.3">
      <c r="B19" s="1935"/>
      <c r="C19" s="103"/>
      <c r="D19" s="1843" t="s">
        <v>989</v>
      </c>
      <c r="E19" s="1844"/>
      <c r="F19" s="1844"/>
      <c r="G19" s="1844"/>
      <c r="H19" s="1844"/>
      <c r="I19" s="1844"/>
      <c r="J19" s="1845"/>
      <c r="K19" s="6"/>
    </row>
    <row r="20" spans="2:11" ht="24.75" thickBot="1" x14ac:dyDescent="0.3">
      <c r="B20" s="1935"/>
      <c r="C20" s="98" t="s">
        <v>19</v>
      </c>
      <c r="D20" s="39" t="s">
        <v>309</v>
      </c>
      <c r="E20" s="124" t="s">
        <v>990</v>
      </c>
      <c r="F20" s="43" t="s">
        <v>991</v>
      </c>
      <c r="G20" s="43" t="s">
        <v>55</v>
      </c>
      <c r="H20" s="6"/>
      <c r="J20" s="22"/>
      <c r="K20" s="6"/>
    </row>
    <row r="21" spans="2:11" ht="192.75" thickBot="1" x14ac:dyDescent="0.3">
      <c r="B21" s="1935"/>
      <c r="C21" s="3">
        <v>1</v>
      </c>
      <c r="D21" s="1125" t="s">
        <v>3090</v>
      </c>
      <c r="E21" s="7">
        <v>15</v>
      </c>
      <c r="F21" s="1128" t="s">
        <v>3091</v>
      </c>
      <c r="G21" s="30" t="s">
        <v>3329</v>
      </c>
      <c r="H21" s="6"/>
      <c r="J21" s="22"/>
      <c r="K21" s="6"/>
    </row>
    <row r="22" spans="2:11" ht="15.75" thickBot="1" x14ac:dyDescent="0.3">
      <c r="B22" s="1935"/>
      <c r="C22" s="3">
        <v>2</v>
      </c>
      <c r="D22" s="31"/>
      <c r="E22" s="7"/>
      <c r="F22" s="30"/>
      <c r="G22" s="30"/>
      <c r="H22" s="6"/>
      <c r="J22" s="22"/>
      <c r="K22" s="6"/>
    </row>
    <row r="23" spans="2:11" s="412" customFormat="1" ht="15.75" thickBot="1" x14ac:dyDescent="0.3">
      <c r="B23" s="1935"/>
      <c r="C23" s="441">
        <v>3</v>
      </c>
      <c r="D23" s="31"/>
      <c r="E23" s="7"/>
      <c r="F23" s="30"/>
      <c r="G23" s="30"/>
      <c r="H23" s="6"/>
      <c r="J23" s="22"/>
      <c r="K23" s="6"/>
    </row>
    <row r="24" spans="2:11" s="412" customFormat="1" ht="15.75" thickBot="1" x14ac:dyDescent="0.3">
      <c r="B24" s="1935"/>
      <c r="C24" s="441">
        <v>4</v>
      </c>
      <c r="D24" s="31"/>
      <c r="E24" s="7"/>
      <c r="F24" s="30"/>
      <c r="G24" s="30"/>
      <c r="H24" s="6"/>
      <c r="J24" s="22"/>
      <c r="K24" s="6"/>
    </row>
    <row r="25" spans="2:11" s="412" customFormat="1" ht="15.75" thickBot="1" x14ac:dyDescent="0.3">
      <c r="B25" s="1935"/>
      <c r="C25" s="441">
        <v>5</v>
      </c>
      <c r="D25" s="31"/>
      <c r="E25" s="7"/>
      <c r="F25" s="30"/>
      <c r="G25" s="30"/>
      <c r="H25" s="6"/>
      <c r="J25" s="22"/>
      <c r="K25" s="6"/>
    </row>
    <row r="26" spans="2:11" s="412" customFormat="1" ht="15.75" thickBot="1" x14ac:dyDescent="0.3">
      <c r="B26" s="1935"/>
      <c r="C26" s="441">
        <v>6</v>
      </c>
      <c r="D26" s="31"/>
      <c r="E26" s="7"/>
      <c r="F26" s="30"/>
      <c r="G26" s="30"/>
      <c r="H26" s="6"/>
      <c r="J26" s="22"/>
      <c r="K26" s="6"/>
    </row>
    <row r="27" spans="2:11" s="412" customFormat="1" ht="15.75" thickBot="1" x14ac:dyDescent="0.3">
      <c r="B27" s="1935"/>
      <c r="C27" s="441">
        <v>7</v>
      </c>
      <c r="D27" s="31"/>
      <c r="E27" s="7"/>
      <c r="F27" s="30"/>
      <c r="G27" s="30"/>
      <c r="H27" s="6"/>
      <c r="J27" s="22"/>
      <c r="K27" s="6"/>
    </row>
    <row r="28" spans="2:11" s="412" customFormat="1" ht="15.75" thickBot="1" x14ac:dyDescent="0.3">
      <c r="B28" s="1935"/>
      <c r="C28" s="441">
        <v>8</v>
      </c>
      <c r="D28" s="31"/>
      <c r="E28" s="7"/>
      <c r="F28" s="30"/>
      <c r="G28" s="30"/>
      <c r="H28" s="6"/>
      <c r="J28" s="22"/>
      <c r="K28" s="6"/>
    </row>
    <row r="29" spans="2:11" ht="15.75" thickBot="1" x14ac:dyDescent="0.3">
      <c r="B29" s="1935"/>
      <c r="C29" s="441">
        <v>9</v>
      </c>
      <c r="D29" s="31"/>
      <c r="E29" s="7"/>
      <c r="F29" s="30"/>
      <c r="G29" s="30"/>
      <c r="H29" s="6"/>
      <c r="J29" s="22"/>
      <c r="K29" s="6"/>
    </row>
    <row r="30" spans="2:11" ht="15.75" thickBot="1" x14ac:dyDescent="0.3">
      <c r="B30" s="1887"/>
      <c r="C30" s="441">
        <v>10</v>
      </c>
      <c r="D30" s="31"/>
      <c r="E30" s="7"/>
      <c r="F30" s="30"/>
      <c r="G30" s="30"/>
      <c r="H30" s="23"/>
      <c r="J30" s="24"/>
      <c r="K30" s="6"/>
    </row>
    <row r="31" spans="2:11" ht="24" customHeight="1" thickBot="1" x14ac:dyDescent="0.3">
      <c r="B31" s="60" t="s">
        <v>34</v>
      </c>
      <c r="C31" s="104"/>
      <c r="D31" s="1832" t="s">
        <v>992</v>
      </c>
      <c r="E31" s="1833"/>
      <c r="F31" s="1833"/>
      <c r="G31" s="1833"/>
      <c r="H31" s="1833"/>
      <c r="I31" s="1833"/>
      <c r="J31" s="1834"/>
      <c r="K31" s="6"/>
    </row>
    <row r="32" spans="2:11" ht="18.75" thickBot="1" x14ac:dyDescent="0.3">
      <c r="B32" s="60" t="s">
        <v>36</v>
      </c>
      <c r="C32" s="104"/>
      <c r="D32" s="1832" t="s">
        <v>278</v>
      </c>
      <c r="E32" s="1833"/>
      <c r="F32" s="1833"/>
      <c r="G32" s="1833"/>
      <c r="H32" s="1833"/>
      <c r="I32" s="1833"/>
      <c r="J32" s="1834"/>
      <c r="K32" s="6"/>
    </row>
    <row r="33" spans="2:11" ht="15.75" thickBot="1" x14ac:dyDescent="0.3">
      <c r="B33" s="2"/>
      <c r="C33" s="76"/>
      <c r="D33" s="6"/>
      <c r="E33" s="6"/>
      <c r="F33" s="6"/>
      <c r="G33" s="6"/>
      <c r="H33" s="6"/>
      <c r="I33" s="6"/>
      <c r="J33" s="6"/>
      <c r="K33" s="6"/>
    </row>
    <row r="34" spans="2:11" ht="24" customHeight="1" thickBot="1" x14ac:dyDescent="0.3">
      <c r="B34" s="1829" t="s">
        <v>38</v>
      </c>
      <c r="C34" s="1830"/>
      <c r="D34" s="1830"/>
      <c r="E34" s="1831"/>
      <c r="F34" s="6"/>
      <c r="G34" s="6"/>
      <c r="H34" s="6"/>
      <c r="I34" s="6"/>
      <c r="J34" s="6"/>
      <c r="K34" s="6"/>
    </row>
    <row r="35" spans="2:11" ht="15.75" thickBot="1" x14ac:dyDescent="0.3">
      <c r="B35" s="1826">
        <v>1</v>
      </c>
      <c r="C35" s="94"/>
      <c r="D35" s="48" t="s">
        <v>39</v>
      </c>
      <c r="E35" s="31" t="s">
        <v>2849</v>
      </c>
      <c r="F35" s="6"/>
      <c r="G35" s="6"/>
      <c r="H35" s="6"/>
      <c r="I35" s="6"/>
      <c r="J35" s="6"/>
      <c r="K35" s="6"/>
    </row>
    <row r="36" spans="2:11" ht="15.75" thickBot="1" x14ac:dyDescent="0.3">
      <c r="B36" s="1827"/>
      <c r="C36" s="94"/>
      <c r="D36" s="41" t="s">
        <v>40</v>
      </c>
      <c r="E36" s="31" t="s">
        <v>3092</v>
      </c>
      <c r="F36" s="6"/>
      <c r="G36" s="6"/>
      <c r="H36" s="6"/>
      <c r="I36" s="6"/>
      <c r="J36" s="6"/>
      <c r="K36" s="6"/>
    </row>
    <row r="37" spans="2:11" ht="15.75" thickBot="1" x14ac:dyDescent="0.3">
      <c r="B37" s="1827"/>
      <c r="C37" s="94"/>
      <c r="D37" s="41" t="s">
        <v>41</v>
      </c>
      <c r="E37" s="31" t="s">
        <v>3086</v>
      </c>
      <c r="F37" s="6"/>
      <c r="G37" s="6"/>
      <c r="H37" s="6"/>
      <c r="I37" s="6"/>
      <c r="J37" s="6"/>
      <c r="K37" s="6"/>
    </row>
    <row r="38" spans="2:11" ht="15.75" thickBot="1" x14ac:dyDescent="0.3">
      <c r="B38" s="1827"/>
      <c r="C38" s="94"/>
      <c r="D38" s="41" t="s">
        <v>42</v>
      </c>
      <c r="E38" s="31" t="s">
        <v>2850</v>
      </c>
      <c r="F38" s="6"/>
      <c r="G38" s="6"/>
      <c r="H38" s="6"/>
      <c r="I38" s="6"/>
      <c r="J38" s="6"/>
      <c r="K38" s="6"/>
    </row>
    <row r="39" spans="2:11" ht="15.75" thickBot="1" x14ac:dyDescent="0.3">
      <c r="B39" s="1827"/>
      <c r="C39" s="94"/>
      <c r="D39" s="41" t="s">
        <v>43</v>
      </c>
      <c r="E39" s="980" t="s">
        <v>3093</v>
      </c>
      <c r="F39" s="6"/>
      <c r="G39" s="6"/>
      <c r="H39" s="6"/>
      <c r="I39" s="6"/>
      <c r="J39" s="6"/>
      <c r="K39" s="6"/>
    </row>
    <row r="40" spans="2:11" ht="15.75" thickBot="1" x14ac:dyDescent="0.3">
      <c r="B40" s="1827"/>
      <c r="C40" s="94"/>
      <c r="D40" s="41" t="s">
        <v>44</v>
      </c>
      <c r="E40" s="31" t="s">
        <v>3094</v>
      </c>
      <c r="F40" s="6"/>
      <c r="G40" s="6"/>
      <c r="H40" s="6"/>
      <c r="I40" s="6"/>
      <c r="J40" s="6"/>
      <c r="K40" s="6"/>
    </row>
    <row r="41" spans="2:11" ht="15.75" thickBot="1" x14ac:dyDescent="0.3">
      <c r="B41" s="1828"/>
      <c r="C41" s="3"/>
      <c r="D41" s="41" t="s">
        <v>45</v>
      </c>
      <c r="E41" s="31" t="s">
        <v>2870</v>
      </c>
      <c r="F41" s="6"/>
      <c r="G41" s="6"/>
      <c r="H41" s="6"/>
      <c r="I41" s="6"/>
      <c r="J41" s="6"/>
      <c r="K41" s="6"/>
    </row>
    <row r="42" spans="2:11" ht="15.75" thickBot="1" x14ac:dyDescent="0.3">
      <c r="B42" s="2"/>
      <c r="C42" s="76"/>
      <c r="D42" s="6"/>
      <c r="E42" s="6"/>
      <c r="F42" s="6"/>
      <c r="G42" s="6"/>
      <c r="H42" s="6"/>
      <c r="I42" s="6"/>
      <c r="J42" s="6"/>
      <c r="K42" s="6"/>
    </row>
    <row r="43" spans="2:11" ht="15.75" thickBot="1" x14ac:dyDescent="0.3">
      <c r="B43" s="1829" t="s">
        <v>46</v>
      </c>
      <c r="C43" s="1830"/>
      <c r="D43" s="1830"/>
      <c r="E43" s="1831"/>
      <c r="F43" s="6"/>
      <c r="G43" s="6"/>
      <c r="H43" s="6"/>
      <c r="I43" s="6"/>
      <c r="J43" s="6"/>
      <c r="K43" s="6"/>
    </row>
    <row r="44" spans="2:11" ht="15.75" thickBot="1" x14ac:dyDescent="0.3">
      <c r="B44" s="1826">
        <v>1</v>
      </c>
      <c r="C44" s="94"/>
      <c r="D44" s="48" t="s">
        <v>39</v>
      </c>
      <c r="E44" s="444" t="s">
        <v>47</v>
      </c>
      <c r="F44" s="6"/>
      <c r="G44" s="6"/>
      <c r="H44" s="6"/>
      <c r="I44" s="6"/>
      <c r="J44" s="6"/>
      <c r="K44" s="6"/>
    </row>
    <row r="45" spans="2:11" ht="15.75" thickBot="1" x14ac:dyDescent="0.3">
      <c r="B45" s="1827"/>
      <c r="C45" s="94"/>
      <c r="D45" s="41" t="s">
        <v>40</v>
      </c>
      <c r="E45" s="444" t="s">
        <v>48</v>
      </c>
      <c r="F45" s="6"/>
      <c r="G45" s="6"/>
      <c r="H45" s="6"/>
      <c r="I45" s="6"/>
      <c r="J45" s="6"/>
      <c r="K45" s="6"/>
    </row>
    <row r="46" spans="2:11" ht="15.75" thickBot="1" x14ac:dyDescent="0.3">
      <c r="B46" s="1827"/>
      <c r="C46" s="94"/>
      <c r="D46" s="41" t="s">
        <v>41</v>
      </c>
      <c r="E46" s="474"/>
      <c r="F46" s="6"/>
      <c r="G46" s="6"/>
      <c r="H46" s="6"/>
      <c r="I46" s="6"/>
      <c r="J46" s="6"/>
      <c r="K46" s="6"/>
    </row>
    <row r="47" spans="2:11" ht="15.75" thickBot="1" x14ac:dyDescent="0.3">
      <c r="B47" s="1827"/>
      <c r="C47" s="94"/>
      <c r="D47" s="41" t="s">
        <v>42</v>
      </c>
      <c r="E47" s="474"/>
      <c r="F47" s="6"/>
      <c r="G47" s="6"/>
      <c r="H47" s="6"/>
      <c r="I47" s="6"/>
      <c r="J47" s="6"/>
      <c r="K47" s="6"/>
    </row>
    <row r="48" spans="2:11" ht="15.75" thickBot="1" x14ac:dyDescent="0.3">
      <c r="B48" s="1827"/>
      <c r="C48" s="94"/>
      <c r="D48" s="41" t="s">
        <v>43</v>
      </c>
      <c r="E48" s="474"/>
      <c r="F48" s="6"/>
      <c r="G48" s="6"/>
      <c r="H48" s="6"/>
      <c r="I48" s="6"/>
      <c r="J48" s="6"/>
      <c r="K48" s="6"/>
    </row>
    <row r="49" spans="2:11" ht="15.75" thickBot="1" x14ac:dyDescent="0.3">
      <c r="B49" s="1827"/>
      <c r="C49" s="94"/>
      <c r="D49" s="41" t="s">
        <v>44</v>
      </c>
      <c r="E49" s="474"/>
      <c r="F49" s="6"/>
      <c r="G49" s="6"/>
      <c r="H49" s="6"/>
      <c r="I49" s="6"/>
      <c r="J49" s="6"/>
      <c r="K49" s="6"/>
    </row>
    <row r="50" spans="2:11" ht="15.75" thickBot="1" x14ac:dyDescent="0.3">
      <c r="B50" s="1828"/>
      <c r="C50" s="3"/>
      <c r="D50" s="41" t="s">
        <v>45</v>
      </c>
      <c r="E50" s="474"/>
      <c r="F50" s="6"/>
      <c r="G50" s="6"/>
      <c r="H50" s="6"/>
      <c r="I50" s="6"/>
      <c r="J50" s="6"/>
      <c r="K50" s="6"/>
    </row>
    <row r="51" spans="2:11" x14ac:dyDescent="0.25">
      <c r="B51" s="2"/>
      <c r="C51" s="76"/>
      <c r="D51" s="6"/>
      <c r="E51" s="6"/>
      <c r="F51" s="6"/>
      <c r="G51" s="6"/>
      <c r="H51" s="6"/>
      <c r="I51" s="6"/>
      <c r="J51" s="6"/>
      <c r="K51" s="6"/>
    </row>
    <row r="52" spans="2:11" ht="15.75" thickBot="1" x14ac:dyDescent="0.3">
      <c r="B52" s="2"/>
      <c r="C52" s="76"/>
      <c r="D52" s="6"/>
      <c r="E52" s="6"/>
      <c r="F52" s="6"/>
      <c r="G52" s="6"/>
      <c r="H52" s="6"/>
      <c r="I52" s="6"/>
      <c r="J52" s="6"/>
      <c r="K52" s="6"/>
    </row>
    <row r="53" spans="2:11" ht="15" customHeight="1" thickBot="1" x14ac:dyDescent="0.3">
      <c r="B53" s="121" t="s">
        <v>49</v>
      </c>
      <c r="C53" s="122"/>
      <c r="D53" s="122"/>
      <c r="E53" s="123"/>
      <c r="G53" s="6"/>
      <c r="H53" s="6"/>
      <c r="I53" s="6"/>
      <c r="J53" s="6"/>
      <c r="K53" s="6"/>
    </row>
    <row r="54" spans="2:11" ht="24.75" thickBot="1" x14ac:dyDescent="0.3">
      <c r="B54" s="47" t="s">
        <v>50</v>
      </c>
      <c r="C54" s="41" t="s">
        <v>51</v>
      </c>
      <c r="D54" s="41" t="s">
        <v>52</v>
      </c>
      <c r="E54" s="41" t="s">
        <v>53</v>
      </c>
      <c r="F54" s="6"/>
      <c r="G54" s="6"/>
      <c r="H54" s="6"/>
      <c r="I54" s="6"/>
      <c r="J54" s="6"/>
    </row>
    <row r="55" spans="2:11" ht="120.75" thickBot="1" x14ac:dyDescent="0.3">
      <c r="B55" s="49">
        <v>42401</v>
      </c>
      <c r="C55" s="41">
        <v>0.01</v>
      </c>
      <c r="D55" s="50" t="s">
        <v>993</v>
      </c>
      <c r="E55" s="41"/>
      <c r="F55" s="6"/>
      <c r="G55" s="6"/>
      <c r="H55" s="6"/>
      <c r="I55" s="6"/>
      <c r="J55" s="6"/>
    </row>
    <row r="56" spans="2:11" ht="15.75" thickBot="1" x14ac:dyDescent="0.3">
      <c r="B56" s="4"/>
      <c r="C56" s="95"/>
      <c r="D56" s="6"/>
      <c r="E56" s="6"/>
      <c r="F56" s="6"/>
      <c r="G56" s="6"/>
      <c r="H56" s="6"/>
      <c r="I56" s="6"/>
      <c r="J56" s="6"/>
      <c r="K56" s="6"/>
    </row>
    <row r="57" spans="2:11" x14ac:dyDescent="0.25">
      <c r="B57" s="135" t="s">
        <v>55</v>
      </c>
      <c r="C57" s="96"/>
      <c r="D57" s="6"/>
      <c r="E57" s="6"/>
      <c r="F57" s="6"/>
      <c r="G57" s="6"/>
      <c r="H57" s="6"/>
      <c r="I57" s="6"/>
      <c r="J57" s="6"/>
      <c r="K57" s="6"/>
    </row>
    <row r="58" spans="2:11" x14ac:dyDescent="0.25">
      <c r="B58" s="2031"/>
      <c r="C58" s="2032"/>
      <c r="D58" s="2032"/>
      <c r="E58" s="2033"/>
      <c r="F58" s="6"/>
      <c r="G58" s="6"/>
      <c r="H58" s="6"/>
      <c r="I58" s="6"/>
      <c r="J58" s="6"/>
      <c r="K58" s="6"/>
    </row>
    <row r="59" spans="2:11" x14ac:dyDescent="0.25">
      <c r="B59" s="2034"/>
      <c r="C59" s="2035"/>
      <c r="D59" s="2035"/>
      <c r="E59" s="2036"/>
      <c r="F59" s="6"/>
      <c r="G59" s="6"/>
      <c r="H59" s="6"/>
      <c r="I59" s="6"/>
      <c r="J59" s="6"/>
      <c r="K59" s="6"/>
    </row>
    <row r="60" spans="2:11" x14ac:dyDescent="0.25">
      <c r="B60" s="2"/>
      <c r="C60" s="76"/>
      <c r="D60" s="6"/>
      <c r="E60" s="6"/>
      <c r="F60" s="6"/>
      <c r="G60" s="6"/>
      <c r="H60" s="6"/>
      <c r="I60" s="6"/>
      <c r="J60" s="6"/>
      <c r="K60" s="6"/>
    </row>
    <row r="61" spans="2:11" ht="15.75" thickBot="1" x14ac:dyDescent="0.3">
      <c r="B61" s="6"/>
      <c r="D61" s="6"/>
      <c r="E61" s="6"/>
      <c r="F61" s="6"/>
      <c r="G61" s="6"/>
      <c r="H61" s="6"/>
      <c r="I61" s="6"/>
      <c r="J61" s="6"/>
      <c r="K61" s="6"/>
    </row>
    <row r="62" spans="2:11" ht="15.75" thickBot="1" x14ac:dyDescent="0.3">
      <c r="B62" s="1829" t="s">
        <v>56</v>
      </c>
      <c r="C62" s="1830"/>
      <c r="D62" s="1831"/>
      <c r="E62" s="6"/>
      <c r="F62" s="6"/>
      <c r="G62" s="6"/>
      <c r="H62" s="6"/>
      <c r="I62" s="6"/>
      <c r="J62" s="6"/>
      <c r="K62" s="6"/>
    </row>
    <row r="63" spans="2:11" ht="120" x14ac:dyDescent="0.25">
      <c r="B63" s="1826" t="s">
        <v>57</v>
      </c>
      <c r="C63" s="94"/>
      <c r="D63" s="46" t="s">
        <v>966</v>
      </c>
      <c r="E63" s="6"/>
      <c r="F63" s="6"/>
      <c r="G63" s="6"/>
      <c r="H63" s="6"/>
      <c r="I63" s="6"/>
      <c r="J63" s="6"/>
      <c r="K63" s="6"/>
    </row>
    <row r="64" spans="2:11" x14ac:dyDescent="0.25">
      <c r="B64" s="1827"/>
      <c r="C64" s="94"/>
      <c r="D64" s="53" t="s">
        <v>60</v>
      </c>
      <c r="E64" s="6"/>
      <c r="F64" s="6"/>
      <c r="G64" s="6"/>
      <c r="H64" s="6"/>
      <c r="I64" s="6"/>
      <c r="J64" s="6"/>
      <c r="K64" s="6"/>
    </row>
    <row r="65" spans="2:11" ht="144" x14ac:dyDescent="0.25">
      <c r="B65" s="1827"/>
      <c r="C65" s="94"/>
      <c r="D65" s="46" t="s">
        <v>967</v>
      </c>
      <c r="E65" s="6"/>
      <c r="F65" s="6"/>
      <c r="G65" s="6"/>
      <c r="H65" s="6"/>
      <c r="I65" s="6"/>
      <c r="J65" s="6"/>
      <c r="K65" s="6"/>
    </row>
    <row r="66" spans="2:11" x14ac:dyDescent="0.25">
      <c r="B66" s="1827"/>
      <c r="C66" s="94"/>
      <c r="D66" s="53" t="s">
        <v>63</v>
      </c>
      <c r="E66" s="6"/>
      <c r="F66" s="6"/>
      <c r="G66" s="6"/>
      <c r="H66" s="6"/>
      <c r="I66" s="6"/>
      <c r="J66" s="6"/>
      <c r="K66" s="6"/>
    </row>
    <row r="67" spans="2:11" ht="372.75" thickBot="1" x14ac:dyDescent="0.3">
      <c r="B67" s="1828"/>
      <c r="C67" s="3"/>
      <c r="D67" s="41" t="s">
        <v>968</v>
      </c>
      <c r="E67" s="6"/>
      <c r="F67" s="6"/>
      <c r="G67" s="6"/>
      <c r="H67" s="6"/>
      <c r="I67" s="6"/>
      <c r="J67" s="6"/>
      <c r="K67" s="6"/>
    </row>
    <row r="68" spans="2:11" ht="348" x14ac:dyDescent="0.25">
      <c r="B68" s="1826" t="s">
        <v>59</v>
      </c>
      <c r="C68" s="94"/>
      <c r="D68" s="26" t="s">
        <v>969</v>
      </c>
      <c r="E68" s="6"/>
      <c r="F68" s="6"/>
      <c r="G68" s="6"/>
      <c r="H68" s="6"/>
      <c r="I68" s="6"/>
      <c r="J68" s="6"/>
      <c r="K68" s="6"/>
    </row>
    <row r="69" spans="2:11" ht="264" x14ac:dyDescent="0.25">
      <c r="B69" s="1827"/>
      <c r="C69" s="94"/>
      <c r="D69" s="26" t="s">
        <v>970</v>
      </c>
      <c r="E69" s="6"/>
      <c r="F69" s="6"/>
      <c r="G69" s="6"/>
      <c r="H69" s="6"/>
      <c r="I69" s="6"/>
      <c r="J69" s="6"/>
      <c r="K69" s="6"/>
    </row>
    <row r="70" spans="2:11" ht="36" x14ac:dyDescent="0.25">
      <c r="B70" s="1827"/>
      <c r="C70" s="94"/>
      <c r="D70" s="26" t="s">
        <v>971</v>
      </c>
      <c r="E70" s="6"/>
      <c r="F70" s="6"/>
      <c r="G70" s="6"/>
      <c r="H70" s="6"/>
      <c r="I70" s="6"/>
      <c r="J70" s="6"/>
      <c r="K70" s="6"/>
    </row>
    <row r="71" spans="2:11" ht="24" x14ac:dyDescent="0.25">
      <c r="B71" s="1827"/>
      <c r="C71" s="94"/>
      <c r="D71" s="26" t="s">
        <v>972</v>
      </c>
      <c r="E71" s="6"/>
      <c r="F71" s="6"/>
      <c r="G71" s="6"/>
      <c r="H71" s="6"/>
      <c r="I71" s="6"/>
      <c r="J71" s="6"/>
      <c r="K71" s="6"/>
    </row>
    <row r="72" spans="2:11" x14ac:dyDescent="0.25">
      <c r="B72" s="1827"/>
      <c r="C72" s="94"/>
      <c r="D72" s="53" t="s">
        <v>288</v>
      </c>
      <c r="E72" s="6"/>
      <c r="F72" s="6"/>
      <c r="G72" s="6"/>
      <c r="H72" s="6"/>
      <c r="I72" s="6"/>
      <c r="J72" s="6"/>
      <c r="K72" s="6"/>
    </row>
    <row r="73" spans="2:11" ht="15.75" thickBot="1" x14ac:dyDescent="0.3">
      <c r="B73" s="1828"/>
      <c r="C73" s="3"/>
      <c r="D73" s="41" t="s">
        <v>289</v>
      </c>
      <c r="E73" s="6"/>
      <c r="F73" s="6"/>
      <c r="G73" s="6"/>
      <c r="H73" s="6"/>
      <c r="I73" s="6"/>
      <c r="J73" s="6"/>
      <c r="K73" s="6"/>
    </row>
    <row r="74" spans="2:11" ht="24.75" thickBot="1" x14ac:dyDescent="0.3">
      <c r="B74" s="47" t="s">
        <v>72</v>
      </c>
      <c r="C74" s="3"/>
      <c r="D74" s="41"/>
      <c r="E74" s="6"/>
      <c r="F74" s="6"/>
      <c r="G74" s="6"/>
      <c r="H74" s="6"/>
      <c r="I74" s="6"/>
      <c r="J74" s="6"/>
      <c r="K74" s="6"/>
    </row>
    <row r="75" spans="2:11" ht="396" x14ac:dyDescent="0.25">
      <c r="B75" s="1826" t="s">
        <v>73</v>
      </c>
      <c r="C75" s="94"/>
      <c r="D75" s="46" t="s">
        <v>973</v>
      </c>
      <c r="E75" s="6"/>
      <c r="F75" s="6"/>
      <c r="G75" s="6"/>
      <c r="H75" s="6"/>
      <c r="I75" s="6"/>
      <c r="J75" s="6"/>
      <c r="K75" s="6"/>
    </row>
    <row r="76" spans="2:11" ht="216" x14ac:dyDescent="0.25">
      <c r="B76" s="1827"/>
      <c r="C76" s="94"/>
      <c r="D76" s="46" t="s">
        <v>974</v>
      </c>
      <c r="E76" s="6"/>
      <c r="F76" s="6"/>
      <c r="G76" s="6"/>
      <c r="H76" s="6"/>
      <c r="I76" s="6"/>
      <c r="J76" s="6"/>
      <c r="K76" s="6"/>
    </row>
    <row r="77" spans="2:11" ht="120" x14ac:dyDescent="0.25">
      <c r="B77" s="1827"/>
      <c r="C77" s="94"/>
      <c r="D77" s="46" t="s">
        <v>975</v>
      </c>
      <c r="E77" s="6"/>
      <c r="F77" s="6"/>
      <c r="G77" s="6"/>
      <c r="H77" s="6"/>
      <c r="I77" s="6"/>
      <c r="J77" s="6"/>
      <c r="K77" s="6"/>
    </row>
    <row r="78" spans="2:11" ht="108" x14ac:dyDescent="0.25">
      <c r="B78" s="1827"/>
      <c r="C78" s="94"/>
      <c r="D78" s="46" t="s">
        <v>976</v>
      </c>
      <c r="E78" s="6"/>
      <c r="F78" s="6"/>
      <c r="G78" s="6"/>
      <c r="H78" s="6"/>
      <c r="I78" s="6"/>
      <c r="J78" s="6"/>
      <c r="K78" s="6"/>
    </row>
    <row r="79" spans="2:11" ht="252" x14ac:dyDescent="0.25">
      <c r="B79" s="1827"/>
      <c r="C79" s="94"/>
      <c r="D79" s="46" t="s">
        <v>977</v>
      </c>
      <c r="E79" s="6"/>
      <c r="F79" s="6"/>
      <c r="G79" s="6"/>
      <c r="H79" s="6"/>
      <c r="I79" s="6"/>
      <c r="J79" s="6"/>
      <c r="K79" s="6"/>
    </row>
    <row r="80" spans="2:11" ht="48" x14ac:dyDescent="0.25">
      <c r="B80" s="1827"/>
      <c r="C80" s="94"/>
      <c r="D80" s="46" t="s">
        <v>978</v>
      </c>
      <c r="E80" s="6"/>
      <c r="F80" s="6"/>
      <c r="G80" s="6"/>
      <c r="H80" s="6"/>
      <c r="I80" s="6"/>
      <c r="J80" s="6"/>
      <c r="K80" s="6"/>
    </row>
    <row r="81" spans="2:11" ht="96" x14ac:dyDescent="0.25">
      <c r="B81" s="1827"/>
      <c r="C81" s="94"/>
      <c r="D81" s="61" t="s">
        <v>979</v>
      </c>
      <c r="E81" s="6"/>
      <c r="F81" s="6"/>
      <c r="G81" s="6"/>
      <c r="H81" s="6"/>
      <c r="I81" s="6"/>
      <c r="J81" s="6"/>
      <c r="K81" s="6"/>
    </row>
    <row r="82" spans="2:11" ht="60" x14ac:dyDescent="0.25">
      <c r="B82" s="1827"/>
      <c r="C82" s="94"/>
      <c r="D82" s="61" t="s">
        <v>980</v>
      </c>
      <c r="E82" s="6"/>
      <c r="F82" s="6"/>
      <c r="G82" s="6"/>
      <c r="H82" s="6"/>
      <c r="I82" s="6"/>
      <c r="J82" s="6"/>
      <c r="K82" s="6"/>
    </row>
    <row r="83" spans="2:11" ht="52.5" thickBot="1" x14ac:dyDescent="0.3">
      <c r="B83" s="1828"/>
      <c r="C83" s="3"/>
      <c r="D83" s="62" t="s">
        <v>981</v>
      </c>
      <c r="E83" s="6"/>
      <c r="F83" s="6"/>
      <c r="G83" s="6"/>
      <c r="H83" s="6"/>
      <c r="I83" s="6"/>
      <c r="J83" s="6"/>
      <c r="K83" s="6"/>
    </row>
    <row r="84" spans="2:11" ht="15.75" thickBot="1" x14ac:dyDescent="0.3">
      <c r="B84" s="2"/>
      <c r="C84" s="76"/>
      <c r="D84" s="6"/>
      <c r="E84" s="6"/>
      <c r="F84" s="6"/>
      <c r="G84" s="6"/>
      <c r="H84" s="6"/>
      <c r="I84" s="6"/>
      <c r="J84" s="6"/>
      <c r="K84" s="6"/>
    </row>
    <row r="85" spans="2:11" ht="48" x14ac:dyDescent="0.25">
      <c r="B85" s="1826" t="s">
        <v>90</v>
      </c>
      <c r="C85" s="105"/>
      <c r="D85" s="64" t="s">
        <v>982</v>
      </c>
      <c r="E85" s="6"/>
      <c r="F85" s="6"/>
      <c r="G85" s="6"/>
      <c r="H85" s="6"/>
      <c r="I85" s="6"/>
      <c r="J85" s="6"/>
      <c r="K85" s="6"/>
    </row>
    <row r="86" spans="2:11" x14ac:dyDescent="0.25">
      <c r="B86" s="1827"/>
      <c r="C86" s="94"/>
      <c r="D86" s="17"/>
      <c r="E86" s="6"/>
      <c r="F86" s="6"/>
      <c r="G86" s="6"/>
      <c r="H86" s="6"/>
      <c r="I86" s="6"/>
      <c r="J86" s="6"/>
      <c r="K86" s="6"/>
    </row>
    <row r="87" spans="2:11" x14ac:dyDescent="0.25">
      <c r="B87" s="1827"/>
      <c r="C87" s="94"/>
      <c r="D87" s="46" t="s">
        <v>91</v>
      </c>
      <c r="E87" s="6"/>
      <c r="F87" s="6"/>
      <c r="G87" s="6"/>
      <c r="H87" s="6"/>
      <c r="I87" s="6"/>
      <c r="J87" s="6"/>
      <c r="K87" s="6"/>
    </row>
    <row r="88" spans="2:11" ht="109.5" x14ac:dyDescent="0.25">
      <c r="B88" s="1827"/>
      <c r="C88" s="94"/>
      <c r="D88" s="46" t="s">
        <v>983</v>
      </c>
      <c r="E88" s="6"/>
      <c r="F88" s="6"/>
      <c r="G88" s="6"/>
      <c r="H88" s="6"/>
      <c r="I88" s="6"/>
      <c r="J88" s="6"/>
      <c r="K88" s="6"/>
    </row>
    <row r="89" spans="2:11" ht="97.5" x14ac:dyDescent="0.25">
      <c r="B89" s="1827"/>
      <c r="C89" s="94"/>
      <c r="D89" s="46" t="s">
        <v>984</v>
      </c>
      <c r="E89" s="6"/>
      <c r="F89" s="6"/>
      <c r="G89" s="6"/>
      <c r="H89" s="6"/>
      <c r="I89" s="6"/>
      <c r="J89" s="6"/>
      <c r="K89" s="6"/>
    </row>
    <row r="90" spans="2:11" ht="98.25" thickBot="1" x14ac:dyDescent="0.3">
      <c r="B90" s="1828"/>
      <c r="C90" s="3"/>
      <c r="D90" s="41" t="s">
        <v>985</v>
      </c>
      <c r="E90" s="6"/>
      <c r="F90" s="6"/>
      <c r="G90" s="6"/>
      <c r="H90" s="6"/>
      <c r="I90" s="6"/>
      <c r="J90" s="6"/>
      <c r="K90" s="6"/>
    </row>
    <row r="91" spans="2:11" x14ac:dyDescent="0.25">
      <c r="B91" s="6"/>
      <c r="D91" s="6"/>
      <c r="E91" s="6"/>
      <c r="F91" s="6"/>
      <c r="G91" s="6"/>
      <c r="H91" s="6"/>
      <c r="I91" s="6"/>
      <c r="J91" s="6"/>
      <c r="K91" s="6"/>
    </row>
  </sheetData>
  <sheetProtection insertRows="0"/>
  <mergeCells count="26">
    <mergeCell ref="B63:B67"/>
    <mergeCell ref="B68:B73"/>
    <mergeCell ref="B75:B83"/>
    <mergeCell ref="B85:B90"/>
    <mergeCell ref="B13:B30"/>
    <mergeCell ref="D13:J13"/>
    <mergeCell ref="D18:J18"/>
    <mergeCell ref="D19:J19"/>
    <mergeCell ref="B62:D62"/>
    <mergeCell ref="D31:J31"/>
    <mergeCell ref="D32:J32"/>
    <mergeCell ref="B34:E34"/>
    <mergeCell ref="B35:B41"/>
    <mergeCell ref="B43:E43"/>
    <mergeCell ref="B44:B50"/>
    <mergeCell ref="B58:E59"/>
    <mergeCell ref="B9:D9"/>
    <mergeCell ref="F9:S9"/>
    <mergeCell ref="F10:S10"/>
    <mergeCell ref="E11:R11"/>
    <mergeCell ref="E12:R12"/>
    <mergeCell ref="A1:P1"/>
    <mergeCell ref="A2:P2"/>
    <mergeCell ref="A3:P3"/>
    <mergeCell ref="A4:D4"/>
    <mergeCell ref="A5:P5"/>
  </mergeCells>
  <conditionalFormatting sqref="F9">
    <cfRule type="notContainsBlanks" dxfId="29" priority="4">
      <formula>LEN(TRIM(F9))&gt;0</formula>
    </cfRule>
  </conditionalFormatting>
  <conditionalFormatting sqref="F10:S10">
    <cfRule type="expression" dxfId="28" priority="2">
      <formula>E10="NO SE REPORTA"</formula>
    </cfRule>
    <cfRule type="expression" dxfId="27" priority="3">
      <formula>E9="NO APLICA"</formula>
    </cfRule>
  </conditionalFormatting>
  <conditionalFormatting sqref="E11:R11">
    <cfRule type="expression" dxfId="26" priority="1">
      <formula>E10="SI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5:H16 E21:E30" xr:uid="{00000000-0002-0000-2200-000000000000}">
      <formula1>0</formula1>
    </dataValidation>
    <dataValidation type="list" allowBlank="1" showInputMessage="1" showErrorMessage="1" sqref="E10" xr:uid="{00000000-0002-0000-2200-000001000000}">
      <formula1>REPORTE</formula1>
    </dataValidation>
    <dataValidation type="list" allowBlank="1" showInputMessage="1" showErrorMessage="1" sqref="E9" xr:uid="{00000000-0002-0000-2200-000002000000}">
      <formula1>SI</formula1>
    </dataValidation>
  </dataValidations>
  <hyperlinks>
    <hyperlink ref="B8" location="'ANEXO 3'!A1" display="VOLVER AL INDICE" xr:uid="{00000000-0004-0000-2200-000000000000}"/>
    <hyperlink ref="E39" r:id="rId1" xr:uid="{00000000-0004-0000-2200-000001000000}"/>
  </hyperlinks>
  <pageMargins left="0.25" right="0.25" top="0.75" bottom="0.75" header="0.3" footer="0.3"/>
  <pageSetup paperSize="178" orientation="landscape" horizontalDpi="1200" verticalDpi="1200" r:id="rId2"/>
  <drawing r:id="rId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5"/>
  <dimension ref="A1:U139"/>
  <sheetViews>
    <sheetView showGridLines="0" topLeftCell="A17" zoomScaleNormal="100" workbookViewId="0">
      <selection activeCell="J9" sqref="J9"/>
    </sheetView>
  </sheetViews>
  <sheetFormatPr baseColWidth="10" defaultRowHeight="15" x14ac:dyDescent="0.25"/>
  <cols>
    <col min="1" max="1" width="1.85546875" customWidth="1"/>
    <col min="2" max="2" width="10.5703125" customWidth="1"/>
    <col min="3" max="3" width="7" style="87" customWidth="1"/>
    <col min="4" max="4" width="34.85546875" customWidth="1"/>
    <col min="5" max="5" width="12.140625" customWidth="1"/>
  </cols>
  <sheetData>
    <row r="1" spans="1:21" s="538" customFormat="1" ht="100.5" customHeight="1" thickBot="1" x14ac:dyDescent="0.3">
      <c r="A1" s="1733"/>
      <c r="B1" s="1734"/>
      <c r="C1" s="1734"/>
      <c r="D1" s="1734"/>
      <c r="E1" s="1734"/>
      <c r="F1" s="1734"/>
      <c r="G1" s="1734"/>
      <c r="H1" s="1734"/>
      <c r="I1" s="1734"/>
      <c r="J1" s="1734"/>
      <c r="K1" s="1734"/>
      <c r="L1" s="1734"/>
      <c r="M1" s="1734"/>
      <c r="N1" s="1734"/>
      <c r="O1" s="1734"/>
      <c r="P1" s="1735"/>
      <c r="Q1" s="412"/>
      <c r="R1" s="412"/>
    </row>
    <row r="2" spans="1:21" s="539" customFormat="1" ht="16.5" thickBot="1" x14ac:dyDescent="0.3">
      <c r="A2" s="1741" t="str">
        <f>'Datos Generales'!C5</f>
        <v>Corporación Autónoma Regional de La Guajira – CORPOGUAJIRA</v>
      </c>
      <c r="B2" s="1742"/>
      <c r="C2" s="1742"/>
      <c r="D2" s="1742"/>
      <c r="E2" s="1742"/>
      <c r="F2" s="1742"/>
      <c r="G2" s="1742"/>
      <c r="H2" s="1742"/>
      <c r="I2" s="1742"/>
      <c r="J2" s="1742"/>
      <c r="K2" s="1742"/>
      <c r="L2" s="1742"/>
      <c r="M2" s="1742"/>
      <c r="N2" s="1742"/>
      <c r="O2" s="1742"/>
      <c r="P2" s="1743"/>
      <c r="Q2" s="412"/>
      <c r="R2" s="412"/>
    </row>
    <row r="3" spans="1:21" s="539" customFormat="1" ht="16.5" thickBot="1" x14ac:dyDescent="0.3">
      <c r="A3" s="1736" t="s">
        <v>1347</v>
      </c>
      <c r="B3" s="1737"/>
      <c r="C3" s="1737"/>
      <c r="D3" s="1737"/>
      <c r="E3" s="1737"/>
      <c r="F3" s="1737"/>
      <c r="G3" s="1737"/>
      <c r="H3" s="1737"/>
      <c r="I3" s="1737"/>
      <c r="J3" s="1737"/>
      <c r="K3" s="1737"/>
      <c r="L3" s="1737"/>
      <c r="M3" s="1737"/>
      <c r="N3" s="1737"/>
      <c r="O3" s="1737"/>
      <c r="P3" s="1738"/>
      <c r="Q3" s="412"/>
      <c r="R3" s="412"/>
    </row>
    <row r="4" spans="1:21" s="539" customFormat="1" ht="16.5" thickBot="1" x14ac:dyDescent="0.3">
      <c r="A4" s="1739" t="s">
        <v>1346</v>
      </c>
      <c r="B4" s="1740"/>
      <c r="C4" s="1740"/>
      <c r="D4" s="1740"/>
      <c r="E4" s="579" t="str">
        <f>'Datos Generales'!C6</f>
        <v>2021-I</v>
      </c>
      <c r="F4" s="579"/>
      <c r="G4" s="579"/>
      <c r="H4" s="579"/>
      <c r="I4" s="579"/>
      <c r="J4" s="579"/>
      <c r="K4" s="579"/>
      <c r="L4" s="581"/>
      <c r="M4" s="581"/>
      <c r="N4" s="581"/>
      <c r="O4" s="581"/>
      <c r="P4" s="582"/>
      <c r="Q4" s="412"/>
      <c r="R4" s="412"/>
    </row>
    <row r="5" spans="1:21" s="245" customFormat="1" ht="16.5" customHeight="1" thickBot="1" x14ac:dyDescent="0.3">
      <c r="A5" s="1736" t="s">
        <v>994</v>
      </c>
      <c r="B5" s="1737"/>
      <c r="C5" s="1737"/>
      <c r="D5" s="1737"/>
      <c r="E5" s="1737"/>
      <c r="F5" s="1737"/>
      <c r="G5" s="1737"/>
      <c r="H5" s="1737"/>
      <c r="I5" s="1737"/>
      <c r="J5" s="1737"/>
      <c r="K5" s="1737"/>
      <c r="L5" s="1737"/>
      <c r="M5" s="1737"/>
      <c r="N5" s="1737"/>
      <c r="O5" s="1737"/>
      <c r="P5" s="1738"/>
    </row>
    <row r="6" spans="1:21" x14ac:dyDescent="0.25">
      <c r="B6" s="2" t="s">
        <v>1</v>
      </c>
      <c r="C6" s="76"/>
      <c r="D6" s="6"/>
      <c r="E6" s="221"/>
      <c r="F6" s="6" t="s">
        <v>128</v>
      </c>
      <c r="G6" s="6"/>
      <c r="H6" s="6"/>
      <c r="I6" s="6"/>
      <c r="J6" s="6"/>
      <c r="K6" s="6"/>
    </row>
    <row r="7" spans="1:21" ht="15.75" thickBot="1" x14ac:dyDescent="0.3">
      <c r="B7" s="75"/>
      <c r="C7" s="77"/>
      <c r="D7" s="6"/>
      <c r="E7" s="18"/>
      <c r="F7" s="6" t="s">
        <v>129</v>
      </c>
      <c r="G7" s="6"/>
      <c r="H7" s="6"/>
      <c r="I7" s="6"/>
      <c r="J7" s="6"/>
      <c r="K7" s="6"/>
    </row>
    <row r="8" spans="1:21" ht="15.75" thickBot="1" x14ac:dyDescent="0.3">
      <c r="B8" s="178" t="s">
        <v>1185</v>
      </c>
      <c r="C8" s="222">
        <v>2021</v>
      </c>
      <c r="D8" s="226">
        <f>IF(E10="NO APLICA","NO APLICA",IF(E11="NO SE REPORTA","SIN INFORMACION",+F81))</f>
        <v>0.14705882352941177</v>
      </c>
      <c r="E8" s="223"/>
      <c r="F8" s="6" t="s">
        <v>130</v>
      </c>
      <c r="G8" s="6"/>
      <c r="H8" s="6"/>
      <c r="I8" s="6"/>
      <c r="J8" s="6"/>
      <c r="K8" s="6"/>
    </row>
    <row r="9" spans="1:21" x14ac:dyDescent="0.25">
      <c r="B9" s="493" t="s">
        <v>1186</v>
      </c>
      <c r="C9" s="88"/>
      <c r="D9" s="6"/>
      <c r="E9" s="6"/>
      <c r="F9" s="6"/>
      <c r="G9" s="6"/>
      <c r="H9" s="6"/>
      <c r="I9" s="6"/>
      <c r="J9" s="6"/>
      <c r="K9" s="6"/>
    </row>
    <row r="10" spans="1:21" s="412" customFormat="1" x14ac:dyDescent="0.25">
      <c r="A10" s="245"/>
      <c r="B10" s="1789" t="s">
        <v>1241</v>
      </c>
      <c r="C10" s="1789"/>
      <c r="D10" s="1789"/>
      <c r="E10" s="499" t="s">
        <v>1238</v>
      </c>
      <c r="F10" s="17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96"/>
      <c r="H10" s="1796"/>
      <c r="I10" s="1796"/>
      <c r="J10" s="1796"/>
      <c r="K10" s="1796"/>
      <c r="L10" s="1796"/>
      <c r="M10" s="1796"/>
      <c r="N10" s="1796"/>
      <c r="O10" s="1796"/>
      <c r="P10" s="1796"/>
      <c r="Q10" s="1796"/>
      <c r="R10" s="1796"/>
      <c r="S10" s="1796"/>
      <c r="T10" s="495"/>
      <c r="U10" s="495"/>
    </row>
    <row r="11" spans="1:21" s="412" customFormat="1" ht="14.45" customHeight="1" x14ac:dyDescent="0.25">
      <c r="A11" s="245"/>
      <c r="B11" s="496"/>
      <c r="C11" s="497"/>
      <c r="D11" s="498" t="str">
        <f>IF(E10="SI APLICA","¿El indicador no se reporta por limitaciones de información disponible? ","")</f>
        <v xml:space="preserve">¿El indicador no se reporta por limitaciones de información disponible? </v>
      </c>
      <c r="E11" s="500" t="s">
        <v>1240</v>
      </c>
      <c r="F11" s="1790"/>
      <c r="G11" s="1791"/>
      <c r="H11" s="1791"/>
      <c r="I11" s="1791"/>
      <c r="J11" s="1791"/>
      <c r="K11" s="1791"/>
      <c r="L11" s="1791"/>
      <c r="M11" s="1791"/>
      <c r="N11" s="1791"/>
      <c r="O11" s="1791"/>
      <c r="P11" s="1791"/>
      <c r="Q11" s="1791"/>
      <c r="R11" s="1791"/>
      <c r="S11" s="1791"/>
    </row>
    <row r="12" spans="1:21" s="412" customFormat="1" ht="23.45" customHeight="1" x14ac:dyDescent="0.25">
      <c r="A12" s="245"/>
      <c r="B12" s="493"/>
      <c r="C12" s="304"/>
      <c r="D12" s="498" t="str">
        <f>IF(E11="SI SE REPORTA","¿Qué programas o proyectos del Plan de Acción están asociados al indicador? ","")</f>
        <v xml:space="preserve">¿Qué programas o proyectos del Plan de Acción están asociados al indicador? </v>
      </c>
      <c r="E12" s="1799" t="str">
        <f>'Anexo 1 Matriz Inf Gestión'!A19</f>
        <v>Proyecto No 1.2. Gestión del Riesgo y adaptación al Cambio Climático (2)</v>
      </c>
      <c r="F12" s="1799"/>
      <c r="G12" s="1799"/>
      <c r="H12" s="1799"/>
      <c r="I12" s="1799"/>
      <c r="J12" s="1799"/>
      <c r="K12" s="1799"/>
      <c r="L12" s="1799"/>
      <c r="M12" s="1799"/>
      <c r="N12" s="1799"/>
      <c r="O12" s="1799"/>
      <c r="P12" s="1799"/>
      <c r="Q12" s="1799"/>
      <c r="R12" s="1799"/>
    </row>
    <row r="13" spans="1:21" s="412" customFormat="1" ht="21.95" customHeight="1" x14ac:dyDescent="0.25">
      <c r="A13" s="245"/>
      <c r="B13" s="493"/>
      <c r="C13" s="304"/>
      <c r="D13" s="498" t="s">
        <v>1243</v>
      </c>
      <c r="E13" s="1792" t="s">
        <v>3057</v>
      </c>
      <c r="F13" s="1793"/>
      <c r="G13" s="1793"/>
      <c r="H13" s="1793"/>
      <c r="I13" s="1793"/>
      <c r="J13" s="1793"/>
      <c r="K13" s="1793"/>
      <c r="L13" s="1793"/>
      <c r="M13" s="1793"/>
      <c r="N13" s="1793"/>
      <c r="O13" s="1793"/>
      <c r="P13" s="1793"/>
      <c r="Q13" s="1793"/>
      <c r="R13" s="1794"/>
    </row>
    <row r="14" spans="1:21" s="412" customFormat="1" ht="6.95" customHeight="1" thickBot="1" x14ac:dyDescent="0.3">
      <c r="B14" s="493"/>
      <c r="C14" s="88"/>
      <c r="D14" s="6"/>
      <c r="E14" s="6"/>
      <c r="F14" s="6"/>
      <c r="G14" s="6"/>
      <c r="H14" s="6"/>
      <c r="I14" s="6"/>
      <c r="J14" s="6"/>
      <c r="K14" s="6"/>
    </row>
    <row r="15" spans="1:21" ht="15" customHeight="1" thickTop="1" x14ac:dyDescent="0.25">
      <c r="B15" s="1835" t="s">
        <v>2</v>
      </c>
      <c r="C15" s="89"/>
      <c r="D15" s="1837" t="s">
        <v>3</v>
      </c>
      <c r="E15" s="1838"/>
      <c r="F15" s="1838"/>
      <c r="G15" s="1838"/>
      <c r="H15" s="1838"/>
      <c r="I15" s="1838"/>
      <c r="J15" s="1838"/>
      <c r="K15" s="1838"/>
      <c r="L15" s="1937"/>
      <c r="M15" s="1896"/>
    </row>
    <row r="16" spans="1:21" x14ac:dyDescent="0.25">
      <c r="B16" s="1836"/>
      <c r="C16" s="92"/>
      <c r="D16" s="1978" t="s">
        <v>1013</v>
      </c>
      <c r="E16" s="1979"/>
      <c r="F16" s="1979"/>
      <c r="G16" s="1979"/>
      <c r="H16" s="1979"/>
      <c r="I16" s="1979"/>
      <c r="J16" s="1979"/>
      <c r="K16" s="1979"/>
      <c r="L16" s="2038"/>
      <c r="M16" s="2011"/>
    </row>
    <row r="17" spans="2:14" ht="15.75" thickBot="1" x14ac:dyDescent="0.3">
      <c r="B17" s="1836"/>
      <c r="C17" s="92"/>
      <c r="D17" s="1843" t="s">
        <v>1014</v>
      </c>
      <c r="E17" s="1844"/>
      <c r="F17" s="1844"/>
      <c r="G17" s="1844"/>
      <c r="H17" s="1844"/>
      <c r="I17" s="1844"/>
      <c r="J17" s="1844"/>
      <c r="K17" s="1844"/>
      <c r="L17" s="1938"/>
      <c r="M17" s="1897"/>
    </row>
    <row r="18" spans="2:14" ht="15.75" thickBot="1" x14ac:dyDescent="0.3">
      <c r="B18" s="1836"/>
      <c r="C18" s="94"/>
      <c r="D18" s="2042" t="s">
        <v>1015</v>
      </c>
      <c r="E18" s="1928" t="s">
        <v>1016</v>
      </c>
      <c r="F18" s="1934"/>
      <c r="G18" s="1928" t="s">
        <v>1017</v>
      </c>
      <c r="H18" s="1934"/>
      <c r="I18" s="1928" t="s">
        <v>151</v>
      </c>
      <c r="J18" s="1934"/>
      <c r="K18" s="59"/>
      <c r="M18" s="14"/>
    </row>
    <row r="19" spans="2:14" ht="15.75" thickBot="1" x14ac:dyDescent="0.3">
      <c r="B19" s="1836"/>
      <c r="C19" s="94"/>
      <c r="D19" s="2043"/>
      <c r="E19" s="40" t="s">
        <v>1018</v>
      </c>
      <c r="F19" s="40" t="s">
        <v>1019</v>
      </c>
      <c r="G19" s="40" t="s">
        <v>1018</v>
      </c>
      <c r="H19" s="40" t="s">
        <v>1019</v>
      </c>
      <c r="I19" s="40" t="s">
        <v>1018</v>
      </c>
      <c r="J19" s="40" t="s">
        <v>1019</v>
      </c>
      <c r="M19" s="14"/>
    </row>
    <row r="20" spans="2:14" ht="15.75" thickBot="1" x14ac:dyDescent="0.3">
      <c r="B20" s="436"/>
      <c r="C20" s="94"/>
      <c r="D20" s="40" t="s">
        <v>1020</v>
      </c>
      <c r="E20" s="7">
        <v>13</v>
      </c>
      <c r="F20" s="7">
        <v>6</v>
      </c>
      <c r="G20" s="7">
        <v>21</v>
      </c>
      <c r="H20" s="7">
        <v>4</v>
      </c>
      <c r="I20" s="219">
        <f>+E20+G20</f>
        <v>34</v>
      </c>
      <c r="J20" s="219">
        <f>+F20+H20</f>
        <v>10</v>
      </c>
      <c r="M20" s="14"/>
    </row>
    <row r="21" spans="2:14" x14ac:dyDescent="0.25">
      <c r="B21" s="436"/>
      <c r="C21" s="101"/>
      <c r="D21" s="1843"/>
      <c r="E21" s="1844"/>
      <c r="F21" s="1844"/>
      <c r="G21" s="1844"/>
      <c r="H21" s="1844"/>
      <c r="I21" s="1844"/>
      <c r="J21" s="1844"/>
      <c r="K21" s="1844"/>
      <c r="L21" s="1938"/>
      <c r="M21" s="1897"/>
    </row>
    <row r="22" spans="2:14" ht="15.75" thickBot="1" x14ac:dyDescent="0.3">
      <c r="B22" s="436"/>
      <c r="C22" s="92"/>
      <c r="D22" s="438"/>
      <c r="E22" s="438"/>
      <c r="F22" s="488" t="s">
        <v>55</v>
      </c>
      <c r="G22" s="438"/>
      <c r="H22" s="438"/>
      <c r="I22" s="438"/>
      <c r="J22" s="438"/>
      <c r="K22" s="438"/>
      <c r="L22" s="485"/>
      <c r="M22" s="486"/>
    </row>
    <row r="23" spans="2:14" ht="24.75" thickBot="1" x14ac:dyDescent="0.3">
      <c r="B23" s="436"/>
      <c r="C23" s="94"/>
      <c r="D23" s="43" t="s">
        <v>1021</v>
      </c>
      <c r="E23" s="484">
        <f>+I20</f>
        <v>34</v>
      </c>
      <c r="F23" s="487"/>
      <c r="G23" s="6"/>
      <c r="H23" s="6"/>
      <c r="I23" s="6"/>
      <c r="J23" s="6"/>
      <c r="K23" s="6"/>
      <c r="M23" s="14"/>
    </row>
    <row r="24" spans="2:14" ht="24.75" thickBot="1" x14ac:dyDescent="0.3">
      <c r="B24" s="436"/>
      <c r="C24" s="94"/>
      <c r="D24" s="41" t="s">
        <v>1022</v>
      </c>
      <c r="E24" s="484">
        <f>+J20</f>
        <v>10</v>
      </c>
      <c r="F24" s="198"/>
      <c r="G24" s="6"/>
      <c r="H24" s="6"/>
      <c r="I24" s="6"/>
      <c r="J24" s="6"/>
      <c r="K24" s="6"/>
      <c r="M24" s="14"/>
    </row>
    <row r="25" spans="2:14" ht="24.75" thickBot="1" x14ac:dyDescent="0.3">
      <c r="B25" s="436"/>
      <c r="C25" s="94"/>
      <c r="D25" s="41" t="s">
        <v>1023</v>
      </c>
      <c r="E25" s="469">
        <f>+E24/E23</f>
        <v>0.29411764705882354</v>
      </c>
      <c r="F25" s="198"/>
      <c r="G25" s="6"/>
      <c r="H25" s="6"/>
      <c r="I25" s="6"/>
      <c r="J25" s="6"/>
      <c r="K25" s="6"/>
      <c r="M25" s="14"/>
    </row>
    <row r="26" spans="2:14" x14ac:dyDescent="0.25">
      <c r="B26" s="436"/>
      <c r="C26" s="92"/>
      <c r="D26" s="1978" t="s">
        <v>1024</v>
      </c>
      <c r="E26" s="1979"/>
      <c r="F26" s="1979"/>
      <c r="G26" s="1979"/>
      <c r="H26" s="1979"/>
      <c r="I26" s="1979"/>
      <c r="J26" s="1979"/>
      <c r="K26" s="1979"/>
      <c r="L26" s="2038"/>
      <c r="M26" s="2011"/>
    </row>
    <row r="27" spans="2:14" ht="15.75" thickBot="1" x14ac:dyDescent="0.3">
      <c r="B27" s="436"/>
      <c r="C27" s="92"/>
      <c r="D27" s="1840" t="s">
        <v>1025</v>
      </c>
      <c r="E27" s="1841"/>
      <c r="F27" s="1841"/>
      <c r="G27" s="1841"/>
      <c r="H27" s="1841"/>
      <c r="I27" s="1841"/>
      <c r="J27" s="1841"/>
      <c r="K27" s="1841"/>
      <c r="L27" s="1939"/>
      <c r="M27" s="1898"/>
    </row>
    <row r="28" spans="2:14" ht="24.75" thickBot="1" x14ac:dyDescent="0.3">
      <c r="B28" s="436"/>
      <c r="C28" s="94"/>
      <c r="D28" s="43" t="s">
        <v>1026</v>
      </c>
      <c r="E28" s="465">
        <v>1</v>
      </c>
      <c r="F28" s="6"/>
      <c r="G28" s="6"/>
      <c r="H28" s="6"/>
      <c r="I28" s="6"/>
      <c r="J28" s="6"/>
      <c r="K28" s="6"/>
      <c r="M28" s="14"/>
    </row>
    <row r="29" spans="2:14" ht="24.75" thickBot="1" x14ac:dyDescent="0.3">
      <c r="B29" s="436"/>
      <c r="C29" s="94"/>
      <c r="D29" s="41" t="s">
        <v>1027</v>
      </c>
      <c r="E29" s="465">
        <v>9</v>
      </c>
      <c r="F29" s="6"/>
      <c r="G29" s="6"/>
      <c r="H29" s="6"/>
      <c r="I29" s="6"/>
      <c r="J29" s="6"/>
      <c r="K29" s="6"/>
      <c r="M29" s="14"/>
    </row>
    <row r="30" spans="2:14" ht="24.75" thickBot="1" x14ac:dyDescent="0.3">
      <c r="B30" s="436"/>
      <c r="C30" s="94"/>
      <c r="D30" s="41" t="s">
        <v>1028</v>
      </c>
      <c r="E30" s="465">
        <v>1</v>
      </c>
      <c r="F30" s="6"/>
      <c r="G30" s="6"/>
      <c r="H30" s="6"/>
      <c r="I30" s="6"/>
      <c r="J30" s="6"/>
      <c r="K30" s="6"/>
      <c r="M30" s="14"/>
    </row>
    <row r="31" spans="2:14" ht="15.75" thickBot="1" x14ac:dyDescent="0.3">
      <c r="B31" s="436"/>
      <c r="C31" s="92"/>
      <c r="D31" s="1881" t="s">
        <v>1029</v>
      </c>
      <c r="E31" s="1882"/>
      <c r="F31" s="1882"/>
      <c r="G31" s="1882"/>
      <c r="H31" s="1882"/>
      <c r="I31" s="1882"/>
      <c r="J31" s="1882"/>
      <c r="K31" s="1882"/>
      <c r="L31" s="2039"/>
      <c r="M31" s="1899"/>
    </row>
    <row r="32" spans="2:14" ht="15.75" thickBot="1" x14ac:dyDescent="0.3">
      <c r="B32" s="436"/>
      <c r="C32" s="98" t="s">
        <v>19</v>
      </c>
      <c r="D32" s="43" t="s">
        <v>1030</v>
      </c>
      <c r="E32" s="976">
        <v>1</v>
      </c>
      <c r="F32" s="2040" t="s">
        <v>3095</v>
      </c>
      <c r="G32" s="2041"/>
      <c r="H32" s="2041"/>
      <c r="I32" s="2041"/>
      <c r="J32" s="2041"/>
      <c r="K32" s="2041"/>
      <c r="L32" s="2041"/>
      <c r="M32" s="2041"/>
      <c r="N32" s="1417"/>
    </row>
    <row r="33" spans="2:14" ht="15.75" thickBot="1" x14ac:dyDescent="0.3">
      <c r="B33" s="436"/>
      <c r="C33" s="3" t="s">
        <v>152</v>
      </c>
      <c r="D33" s="41" t="s">
        <v>1031</v>
      </c>
      <c r="E33" s="1412" t="s">
        <v>3096</v>
      </c>
      <c r="F33" s="1412" t="s">
        <v>3097</v>
      </c>
      <c r="G33" s="1412" t="s">
        <v>3098</v>
      </c>
      <c r="H33" s="1412" t="s">
        <v>3099</v>
      </c>
      <c r="I33" s="1412" t="s">
        <v>3100</v>
      </c>
      <c r="J33" s="1412" t="s">
        <v>3101</v>
      </c>
      <c r="K33" s="1412" t="s">
        <v>3102</v>
      </c>
      <c r="L33" s="1215" t="s">
        <v>3103</v>
      </c>
      <c r="M33" s="1130" t="s">
        <v>3267</v>
      </c>
      <c r="N33" s="1418"/>
    </row>
    <row r="34" spans="2:14" ht="15.75" thickBot="1" x14ac:dyDescent="0.3">
      <c r="B34" s="436"/>
      <c r="C34" s="3" t="s">
        <v>154</v>
      </c>
      <c r="D34" s="439" t="s">
        <v>1032</v>
      </c>
      <c r="E34" s="1215" t="s">
        <v>3096</v>
      </c>
      <c r="F34" s="1215" t="s">
        <v>3097</v>
      </c>
      <c r="G34" s="1215" t="s">
        <v>3098</v>
      </c>
      <c r="H34" s="1215" t="s">
        <v>3104</v>
      </c>
      <c r="I34" s="1215" t="s">
        <v>3105</v>
      </c>
      <c r="J34" s="1215" t="s">
        <v>3105</v>
      </c>
      <c r="K34" s="1215" t="s">
        <v>3098</v>
      </c>
      <c r="L34" s="1215" t="s">
        <v>3106</v>
      </c>
      <c r="M34" s="1130" t="s">
        <v>3098</v>
      </c>
      <c r="N34" s="1418"/>
    </row>
    <row r="35" spans="2:14" ht="24.75" thickBot="1" x14ac:dyDescent="0.3">
      <c r="B35" s="436"/>
      <c r="C35" s="3" t="s">
        <v>156</v>
      </c>
      <c r="D35" s="439" t="s">
        <v>1033</v>
      </c>
      <c r="E35" s="1129">
        <v>120</v>
      </c>
      <c r="F35" s="1129">
        <v>120</v>
      </c>
      <c r="G35" s="1129">
        <v>120</v>
      </c>
      <c r="H35" s="1129">
        <v>120</v>
      </c>
      <c r="I35" s="1129">
        <v>120</v>
      </c>
      <c r="J35" s="1129">
        <v>120</v>
      </c>
      <c r="K35" s="1129">
        <v>120</v>
      </c>
      <c r="L35" s="1129">
        <v>120</v>
      </c>
      <c r="M35" s="1413">
        <v>96</v>
      </c>
      <c r="N35" s="1419"/>
    </row>
    <row r="36" spans="2:14" ht="24.75" thickBot="1" x14ac:dyDescent="0.3">
      <c r="B36" s="436"/>
      <c r="C36" s="3" t="s">
        <v>258</v>
      </c>
      <c r="D36" s="439" t="s">
        <v>1034</v>
      </c>
      <c r="E36" s="1129">
        <v>16</v>
      </c>
      <c r="F36" s="1129">
        <v>15</v>
      </c>
      <c r="G36" s="1129">
        <v>15</v>
      </c>
      <c r="H36" s="1129">
        <v>13</v>
      </c>
      <c r="I36" s="1129">
        <v>15</v>
      </c>
      <c r="J36" s="1129">
        <v>16</v>
      </c>
      <c r="K36" s="1129">
        <v>16</v>
      </c>
      <c r="L36" s="1129">
        <v>15</v>
      </c>
      <c r="M36" s="1414">
        <v>69</v>
      </c>
      <c r="N36" s="1420"/>
    </row>
    <row r="37" spans="2:14" ht="24.75" thickBot="1" x14ac:dyDescent="0.3">
      <c r="B37" s="436"/>
      <c r="C37" s="1944" t="s">
        <v>260</v>
      </c>
      <c r="D37" s="46" t="s">
        <v>1035</v>
      </c>
      <c r="E37" s="489">
        <f>IFERROR(E36/E35,"N.A.")</f>
        <v>0.13333333333333333</v>
      </c>
      <c r="F37" s="489">
        <f t="shared" ref="F37:M37" si="0">IFERROR(F36/F35,"N.A.")</f>
        <v>0.125</v>
      </c>
      <c r="G37" s="489">
        <f t="shared" si="0"/>
        <v>0.125</v>
      </c>
      <c r="H37" s="489">
        <f t="shared" si="0"/>
        <v>0.10833333333333334</v>
      </c>
      <c r="I37" s="489">
        <f t="shared" si="0"/>
        <v>0.125</v>
      </c>
      <c r="J37" s="489">
        <f t="shared" si="0"/>
        <v>0.13333333333333333</v>
      </c>
      <c r="K37" s="489">
        <f t="shared" si="0"/>
        <v>0.13333333333333333</v>
      </c>
      <c r="L37" s="489">
        <f t="shared" si="0"/>
        <v>0.125</v>
      </c>
      <c r="M37" s="1415">
        <f t="shared" si="0"/>
        <v>0.71875</v>
      </c>
      <c r="N37" s="1421"/>
    </row>
    <row r="38" spans="2:14" ht="24.75" thickBot="1" x14ac:dyDescent="0.3">
      <c r="B38" s="436"/>
      <c r="C38" s="1945"/>
      <c r="D38" s="41" t="s">
        <v>1036</v>
      </c>
      <c r="E38" s="156">
        <f>+IF(E37="N.A.","N.A.",IF(E37&gt;=75%,1,0))</f>
        <v>0</v>
      </c>
      <c r="F38" s="156">
        <f t="shared" ref="F38:M38" si="1">+IF(F37="N.A.","N.A.",IF(F37&gt;=75%,1,0))</f>
        <v>0</v>
      </c>
      <c r="G38" s="156">
        <f t="shared" si="1"/>
        <v>0</v>
      </c>
      <c r="H38" s="156">
        <f t="shared" si="1"/>
        <v>0</v>
      </c>
      <c r="I38" s="156">
        <f t="shared" si="1"/>
        <v>0</v>
      </c>
      <c r="J38" s="156">
        <f t="shared" si="1"/>
        <v>0</v>
      </c>
      <c r="K38" s="156">
        <f t="shared" si="1"/>
        <v>0</v>
      </c>
      <c r="L38" s="156">
        <f t="shared" si="1"/>
        <v>0</v>
      </c>
      <c r="M38" s="1416">
        <f t="shared" si="1"/>
        <v>0</v>
      </c>
      <c r="N38" s="1422"/>
    </row>
    <row r="39" spans="2:14" ht="15.75" thickBot="1" x14ac:dyDescent="0.3">
      <c r="B39" s="436"/>
      <c r="C39" s="3" t="s">
        <v>262</v>
      </c>
      <c r="D39" s="41" t="s">
        <v>1037</v>
      </c>
      <c r="E39" s="1130">
        <v>1</v>
      </c>
      <c r="F39" s="1131">
        <v>2</v>
      </c>
      <c r="G39" s="1131">
        <v>3</v>
      </c>
      <c r="H39" s="1131">
        <v>4</v>
      </c>
      <c r="I39" s="1131">
        <v>5</v>
      </c>
      <c r="J39" s="1131">
        <v>6</v>
      </c>
      <c r="K39" s="1131">
        <v>7</v>
      </c>
      <c r="L39" s="1131">
        <v>8</v>
      </c>
      <c r="M39" s="1131">
        <v>9</v>
      </c>
      <c r="N39" s="1418"/>
    </row>
    <row r="40" spans="2:14" x14ac:dyDescent="0.25">
      <c r="B40" s="436"/>
      <c r="C40" s="92"/>
      <c r="D40" s="1837"/>
      <c r="E40" s="1838"/>
      <c r="F40" s="1838"/>
      <c r="G40" s="1838"/>
      <c r="H40" s="1838"/>
      <c r="I40" s="1838"/>
      <c r="J40" s="1838"/>
      <c r="K40" s="1838"/>
      <c r="L40" s="1937"/>
      <c r="M40" s="1896"/>
    </row>
    <row r="41" spans="2:14" ht="15.75" thickBot="1" x14ac:dyDescent="0.3">
      <c r="B41" s="436"/>
      <c r="C41" s="92"/>
      <c r="D41" s="1843" t="s">
        <v>1038</v>
      </c>
      <c r="E41" s="1844"/>
      <c r="F41" s="1844"/>
      <c r="G41" s="1844"/>
      <c r="H41" s="1844"/>
      <c r="I41" s="1844"/>
      <c r="J41" s="1844"/>
      <c r="K41" s="1844"/>
      <c r="L41" s="1938"/>
      <c r="M41" s="1897"/>
    </row>
    <row r="42" spans="2:14" ht="15.75" thickBot="1" x14ac:dyDescent="0.3">
      <c r="B42" s="436"/>
      <c r="C42" s="98" t="s">
        <v>19</v>
      </c>
      <c r="D42" s="43" t="s">
        <v>1039</v>
      </c>
      <c r="E42" s="7">
        <v>1</v>
      </c>
      <c r="F42" s="7"/>
      <c r="G42" s="7"/>
      <c r="H42" s="43" t="s">
        <v>151</v>
      </c>
      <c r="I42" s="6"/>
      <c r="J42" s="163" t="s">
        <v>1179</v>
      </c>
      <c r="K42" s="6"/>
      <c r="M42" s="14"/>
    </row>
    <row r="43" spans="2:14" ht="15.75" thickBot="1" x14ac:dyDescent="0.3">
      <c r="B43" s="436"/>
      <c r="C43" s="3" t="s">
        <v>264</v>
      </c>
      <c r="D43" s="41" t="s">
        <v>1040</v>
      </c>
      <c r="E43" s="1161">
        <v>1</v>
      </c>
      <c r="F43" s="31"/>
      <c r="G43" s="31"/>
      <c r="H43" s="157">
        <f>MAX(E42:G42)</f>
        <v>1</v>
      </c>
      <c r="I43" s="6"/>
      <c r="K43" s="6"/>
      <c r="M43" s="14"/>
    </row>
    <row r="44" spans="2:14" ht="15.75" thickBot="1" x14ac:dyDescent="0.3">
      <c r="B44" s="436"/>
      <c r="C44" s="3" t="s">
        <v>266</v>
      </c>
      <c r="D44" s="41" t="s">
        <v>1044</v>
      </c>
      <c r="E44" s="7">
        <v>9</v>
      </c>
      <c r="F44" s="7"/>
      <c r="G44" s="7"/>
      <c r="H44" s="158">
        <f>SUM(E44:G44)</f>
        <v>9</v>
      </c>
      <c r="I44" s="6"/>
      <c r="J44" s="6"/>
      <c r="K44" s="6"/>
      <c r="M44" s="14"/>
    </row>
    <row r="45" spans="2:14" ht="36.75" thickBot="1" x14ac:dyDescent="0.3">
      <c r="B45" s="436"/>
      <c r="C45" s="3" t="s">
        <v>268</v>
      </c>
      <c r="D45" s="41" t="s">
        <v>1045</v>
      </c>
      <c r="E45" s="7">
        <v>0</v>
      </c>
      <c r="F45" s="7"/>
      <c r="G45" s="7"/>
      <c r="H45" s="158">
        <f>SUM(E45:G45)</f>
        <v>0</v>
      </c>
      <c r="I45" s="6"/>
      <c r="J45" s="6"/>
      <c r="K45" s="6"/>
      <c r="M45" s="14"/>
    </row>
    <row r="46" spans="2:14" ht="24.75" thickBot="1" x14ac:dyDescent="0.3">
      <c r="B46" s="436"/>
      <c r="C46" s="1944" t="s">
        <v>1046</v>
      </c>
      <c r="D46" s="46" t="s">
        <v>1047</v>
      </c>
      <c r="E46" s="155">
        <f>IFERROR(E45/E44,"N.A.")</f>
        <v>0</v>
      </c>
      <c r="F46" s="155" t="str">
        <f>IFERROR(F45/F44,"N.A.")</f>
        <v>N.A.</v>
      </c>
      <c r="G46" s="155" t="str">
        <f>IFERROR(G45/G44,"N.A.")</f>
        <v>N.A.</v>
      </c>
      <c r="H46" s="159"/>
      <c r="I46" s="6"/>
      <c r="J46" s="6"/>
      <c r="K46" s="6"/>
      <c r="M46" s="14"/>
    </row>
    <row r="47" spans="2:14" ht="24.75" thickBot="1" x14ac:dyDescent="0.3">
      <c r="B47" s="436"/>
      <c r="C47" s="1945"/>
      <c r="D47" s="41" t="s">
        <v>1048</v>
      </c>
      <c r="E47" s="156">
        <f>+IF(E46="N.A.","N.A.",IF(E46&gt;=75%,1,0))</f>
        <v>0</v>
      </c>
      <c r="F47" s="156" t="str">
        <f>+IF(F46="N.A.","N.A.",IF(F46&gt;=75%,1,0))</f>
        <v>N.A.</v>
      </c>
      <c r="G47" s="156" t="str">
        <f>+IF(G46="N.A.","N.A.",IF(G46&gt;=75%,1,0))</f>
        <v>N.A.</v>
      </c>
      <c r="H47" s="158">
        <f>SUM(E47:G47)</f>
        <v>0</v>
      </c>
      <c r="I47" s="6"/>
      <c r="J47" s="6"/>
      <c r="K47" s="6"/>
      <c r="M47" s="14"/>
    </row>
    <row r="48" spans="2:14" ht="15.75" thickBot="1" x14ac:dyDescent="0.3">
      <c r="B48" s="436"/>
      <c r="C48" s="3" t="s">
        <v>1049</v>
      </c>
      <c r="D48" s="1832" t="s">
        <v>1050</v>
      </c>
      <c r="E48" s="1833"/>
      <c r="F48" s="1833"/>
      <c r="G48" s="1834"/>
      <c r="H48" s="220">
        <f>IFERROR(H47/H43,"N.A.")</f>
        <v>0</v>
      </c>
      <c r="I48" s="6"/>
      <c r="J48" s="6"/>
      <c r="K48" s="6"/>
      <c r="M48" s="14"/>
    </row>
    <row r="49" spans="2:13" ht="15.75" thickBot="1" x14ac:dyDescent="0.3">
      <c r="B49" s="436"/>
      <c r="C49" s="92"/>
      <c r="D49" s="1978" t="s">
        <v>1051</v>
      </c>
      <c r="E49" s="1979"/>
      <c r="F49" s="1979"/>
      <c r="G49" s="1979"/>
      <c r="H49" s="1979"/>
      <c r="I49" s="1979"/>
      <c r="J49" s="1979"/>
      <c r="K49" s="1979"/>
      <c r="L49" s="2038"/>
      <c r="M49" s="2011"/>
    </row>
    <row r="50" spans="2:13" ht="24.75" thickBot="1" x14ac:dyDescent="0.3">
      <c r="B50" s="436"/>
      <c r="C50" s="94"/>
      <c r="D50" s="43" t="s">
        <v>1026</v>
      </c>
      <c r="E50" s="7">
        <v>1</v>
      </c>
      <c r="F50" s="6"/>
      <c r="G50" s="6"/>
      <c r="H50" s="6"/>
      <c r="I50" s="6"/>
      <c r="J50" s="6"/>
      <c r="K50" s="6"/>
      <c r="M50" s="14"/>
    </row>
    <row r="51" spans="2:13" ht="24.75" thickBot="1" x14ac:dyDescent="0.3">
      <c r="B51" s="436"/>
      <c r="C51" s="94"/>
      <c r="D51" s="41" t="s">
        <v>1027</v>
      </c>
      <c r="E51" s="7">
        <v>1</v>
      </c>
      <c r="F51" s="6"/>
      <c r="G51" s="6"/>
      <c r="H51" s="6"/>
      <c r="I51" s="6"/>
      <c r="J51" s="6"/>
      <c r="K51" s="6"/>
      <c r="M51" s="14"/>
    </row>
    <row r="52" spans="2:13" ht="24.75" thickBot="1" x14ac:dyDescent="0.3">
      <c r="B52" s="436"/>
      <c r="C52" s="94"/>
      <c r="D52" s="41" t="s">
        <v>1028</v>
      </c>
      <c r="E52" s="7">
        <v>0</v>
      </c>
      <c r="F52" s="6"/>
      <c r="G52" s="6"/>
      <c r="H52" s="6"/>
      <c r="I52" s="6"/>
      <c r="J52" s="6"/>
      <c r="K52" s="6"/>
      <c r="M52" s="14"/>
    </row>
    <row r="53" spans="2:13" ht="15.75" thickBot="1" x14ac:dyDescent="0.3">
      <c r="B53" s="436"/>
      <c r="C53" s="92"/>
      <c r="D53" s="1881" t="s">
        <v>1029</v>
      </c>
      <c r="E53" s="1882"/>
      <c r="F53" s="1882"/>
      <c r="G53" s="1882"/>
      <c r="H53" s="1882"/>
      <c r="I53" s="1882"/>
      <c r="J53" s="1882"/>
      <c r="K53" s="1882"/>
      <c r="L53" s="2039"/>
      <c r="M53" s="1899"/>
    </row>
    <row r="54" spans="2:13" ht="15.75" thickBot="1" x14ac:dyDescent="0.3">
      <c r="B54" s="436"/>
      <c r="C54" s="98" t="s">
        <v>19</v>
      </c>
      <c r="D54" s="43" t="s">
        <v>1030</v>
      </c>
      <c r="E54" s="976">
        <v>1</v>
      </c>
      <c r="F54" s="435"/>
      <c r="G54" s="435"/>
      <c r="H54" s="435"/>
      <c r="I54" s="435"/>
      <c r="J54" s="435"/>
      <c r="K54" s="435"/>
      <c r="L54" s="466"/>
      <c r="M54" s="119"/>
    </row>
    <row r="55" spans="2:13" ht="15.75" thickBot="1" x14ac:dyDescent="0.3">
      <c r="B55" s="436"/>
      <c r="C55" s="3" t="s">
        <v>152</v>
      </c>
      <c r="D55" s="41" t="s">
        <v>1031</v>
      </c>
      <c r="E55" s="1161" t="s">
        <v>3267</v>
      </c>
      <c r="F55" s="31"/>
      <c r="G55" s="31"/>
      <c r="H55" s="31"/>
      <c r="I55" s="31"/>
      <c r="J55" s="31"/>
      <c r="K55" s="31"/>
      <c r="L55" s="467"/>
      <c r="M55" s="12"/>
    </row>
    <row r="56" spans="2:13" ht="15.75" thickBot="1" x14ac:dyDescent="0.3">
      <c r="B56" s="436"/>
      <c r="C56" s="3" t="s">
        <v>154</v>
      </c>
      <c r="D56" s="41" t="s">
        <v>1032</v>
      </c>
      <c r="E56" s="1161" t="s">
        <v>3098</v>
      </c>
      <c r="F56" s="31"/>
      <c r="G56" s="31"/>
      <c r="H56" s="31"/>
      <c r="I56" s="31"/>
      <c r="J56" s="31"/>
      <c r="K56" s="31"/>
      <c r="L56" s="467"/>
      <c r="M56" s="12"/>
    </row>
    <row r="57" spans="2:13" ht="24.75" thickBot="1" x14ac:dyDescent="0.3">
      <c r="B57" s="436"/>
      <c r="C57" s="3" t="s">
        <v>156</v>
      </c>
      <c r="D57" s="41" t="s">
        <v>1033</v>
      </c>
      <c r="E57" s="468">
        <v>96</v>
      </c>
      <c r="F57" s="468"/>
      <c r="G57" s="468"/>
      <c r="H57" s="468"/>
      <c r="I57" s="468"/>
      <c r="J57" s="468"/>
      <c r="K57" s="468"/>
      <c r="L57" s="468"/>
      <c r="M57" s="12"/>
    </row>
    <row r="58" spans="2:13" ht="24.75" thickBot="1" x14ac:dyDescent="0.3">
      <c r="B58" s="436"/>
      <c r="C58" s="3" t="s">
        <v>258</v>
      </c>
      <c r="D58" s="41" t="s">
        <v>1034</v>
      </c>
      <c r="E58" s="468">
        <v>69</v>
      </c>
      <c r="F58" s="468"/>
      <c r="G58" s="468"/>
      <c r="H58" s="468"/>
      <c r="I58" s="468"/>
      <c r="J58" s="468"/>
      <c r="K58" s="468"/>
      <c r="L58" s="468"/>
      <c r="M58" s="12"/>
    </row>
    <row r="59" spans="2:13" ht="24.75" thickBot="1" x14ac:dyDescent="0.3">
      <c r="B59" s="436"/>
      <c r="C59" s="1944" t="s">
        <v>260</v>
      </c>
      <c r="D59" s="46" t="s">
        <v>1035</v>
      </c>
      <c r="E59" s="155">
        <f t="shared" ref="E59:L59" si="2">IFERROR(E58/E57,"N.A.")</f>
        <v>0.71875</v>
      </c>
      <c r="F59" s="155" t="str">
        <f t="shared" si="2"/>
        <v>N.A.</v>
      </c>
      <c r="G59" s="155" t="str">
        <f t="shared" si="2"/>
        <v>N.A.</v>
      </c>
      <c r="H59" s="155" t="str">
        <f t="shared" si="2"/>
        <v>N.A.</v>
      </c>
      <c r="I59" s="155" t="str">
        <f t="shared" si="2"/>
        <v>N.A.</v>
      </c>
      <c r="J59" s="155" t="str">
        <f t="shared" si="2"/>
        <v>N.A.</v>
      </c>
      <c r="K59" s="155" t="str">
        <f t="shared" si="2"/>
        <v>N.A.</v>
      </c>
      <c r="L59" s="155" t="str">
        <f t="shared" si="2"/>
        <v>N.A.</v>
      </c>
      <c r="M59" s="12"/>
    </row>
    <row r="60" spans="2:13" ht="24.75" thickBot="1" x14ac:dyDescent="0.3">
      <c r="B60" s="436"/>
      <c r="C60" s="1945"/>
      <c r="D60" s="41" t="s">
        <v>1052</v>
      </c>
      <c r="E60" s="156">
        <f>+IF(E59="N.A.","N.A.",IF(E59&gt;=75%,1,0))</f>
        <v>0</v>
      </c>
      <c r="F60" s="156" t="str">
        <f t="shared" ref="F60:L60" si="3">+IF(F59="N.A.","N.A.",IF(F59&gt;=75%,1,0))</f>
        <v>N.A.</v>
      </c>
      <c r="G60" s="156" t="str">
        <f t="shared" si="3"/>
        <v>N.A.</v>
      </c>
      <c r="H60" s="156" t="str">
        <f t="shared" si="3"/>
        <v>N.A.</v>
      </c>
      <c r="I60" s="156" t="str">
        <f t="shared" si="3"/>
        <v>N.A.</v>
      </c>
      <c r="J60" s="156" t="str">
        <f t="shared" si="3"/>
        <v>N.A.</v>
      </c>
      <c r="K60" s="156" t="str">
        <f t="shared" si="3"/>
        <v>N.A.</v>
      </c>
      <c r="L60" s="156" t="str">
        <f t="shared" si="3"/>
        <v>N.A.</v>
      </c>
      <c r="M60" s="12"/>
    </row>
    <row r="61" spans="2:13" ht="15.75" thickBot="1" x14ac:dyDescent="0.3">
      <c r="B61" s="436"/>
      <c r="C61" s="3" t="s">
        <v>262</v>
      </c>
      <c r="D61" s="41" t="s">
        <v>1037</v>
      </c>
      <c r="E61" s="30"/>
      <c r="F61" s="31"/>
      <c r="G61" s="31"/>
      <c r="H61" s="31"/>
      <c r="I61" s="31"/>
      <c r="J61" s="31"/>
      <c r="K61" s="31"/>
      <c r="L61" s="467"/>
      <c r="M61" s="13"/>
    </row>
    <row r="62" spans="2:13" x14ac:dyDescent="0.25">
      <c r="B62" s="436"/>
      <c r="C62" s="92"/>
      <c r="D62" s="1837"/>
      <c r="E62" s="1838"/>
      <c r="F62" s="1838"/>
      <c r="G62" s="1838"/>
      <c r="H62" s="1838"/>
      <c r="I62" s="1838"/>
      <c r="J62" s="1838"/>
      <c r="K62" s="1838"/>
      <c r="L62" s="1937"/>
      <c r="M62" s="1896"/>
    </row>
    <row r="63" spans="2:13" ht="15.75" thickBot="1" x14ac:dyDescent="0.3">
      <c r="B63" s="436"/>
      <c r="C63" s="92"/>
      <c r="D63" s="1843" t="s">
        <v>1038</v>
      </c>
      <c r="E63" s="1844"/>
      <c r="F63" s="1844"/>
      <c r="G63" s="1844"/>
      <c r="H63" s="1844"/>
      <c r="I63" s="1844"/>
      <c r="J63" s="1844"/>
      <c r="K63" s="1844"/>
      <c r="L63" s="1938"/>
      <c r="M63" s="1897"/>
    </row>
    <row r="64" spans="2:13" ht="15.75" thickBot="1" x14ac:dyDescent="0.3">
      <c r="B64" s="436"/>
      <c r="C64" s="98" t="s">
        <v>19</v>
      </c>
      <c r="D64" s="43" t="s">
        <v>1039</v>
      </c>
      <c r="E64" s="124">
        <v>1</v>
      </c>
      <c r="F64" s="124"/>
      <c r="G64" s="124"/>
      <c r="H64" s="124" t="s">
        <v>151</v>
      </c>
      <c r="I64" s="6"/>
      <c r="J64" s="6"/>
      <c r="K64" s="6"/>
      <c r="M64" s="14"/>
    </row>
    <row r="65" spans="2:13" ht="15.75" thickBot="1" x14ac:dyDescent="0.3">
      <c r="B65" s="436"/>
      <c r="C65" s="3" t="s">
        <v>264</v>
      </c>
      <c r="D65" s="41" t="s">
        <v>1040</v>
      </c>
      <c r="E65" s="40" t="s">
        <v>1041</v>
      </c>
      <c r="F65" s="40" t="s">
        <v>1042</v>
      </c>
      <c r="G65" s="40" t="s">
        <v>1043</v>
      </c>
      <c r="H65" s="157">
        <f>MAX(E64:G64)</f>
        <v>1</v>
      </c>
      <c r="I65" s="6"/>
      <c r="J65" s="6"/>
      <c r="K65" s="6"/>
      <c r="M65" s="14"/>
    </row>
    <row r="66" spans="2:13" ht="15.75" thickBot="1" x14ac:dyDescent="0.3">
      <c r="B66" s="436"/>
      <c r="C66" s="3" t="s">
        <v>266</v>
      </c>
      <c r="D66" s="41" t="s">
        <v>1044</v>
      </c>
      <c r="E66" s="7">
        <v>1</v>
      </c>
      <c r="F66" s="7"/>
      <c r="G66" s="7"/>
      <c r="H66" s="158">
        <f>SUM(E66:G66)</f>
        <v>1</v>
      </c>
      <c r="I66" s="6"/>
      <c r="J66" s="6"/>
      <c r="K66" s="6"/>
      <c r="M66" s="14"/>
    </row>
    <row r="67" spans="2:13" ht="36.75" thickBot="1" x14ac:dyDescent="0.3">
      <c r="B67" s="436"/>
      <c r="C67" s="3" t="s">
        <v>268</v>
      </c>
      <c r="D67" s="41" t="s">
        <v>1053</v>
      </c>
      <c r="E67" s="7">
        <v>0</v>
      </c>
      <c r="F67" s="7"/>
      <c r="G67" s="7"/>
      <c r="H67" s="158">
        <f>SUM(E67:G67)</f>
        <v>0</v>
      </c>
      <c r="I67" s="6"/>
      <c r="J67" s="6"/>
      <c r="K67" s="6"/>
      <c r="M67" s="14"/>
    </row>
    <row r="68" spans="2:13" ht="24.75" thickBot="1" x14ac:dyDescent="0.3">
      <c r="B68" s="436"/>
      <c r="C68" s="1944" t="s">
        <v>1046</v>
      </c>
      <c r="D68" s="46" t="s">
        <v>1047</v>
      </c>
      <c r="E68" s="155">
        <f>+E67/E66</f>
        <v>0</v>
      </c>
      <c r="F68" s="155" t="e">
        <f>+F67/F66</f>
        <v>#DIV/0!</v>
      </c>
      <c r="G68" s="155" t="e">
        <f>+G67/G66</f>
        <v>#DIV/0!</v>
      </c>
      <c r="H68" s="159"/>
      <c r="I68" s="6"/>
      <c r="J68" s="6"/>
      <c r="K68" s="6"/>
      <c r="M68" s="14"/>
    </row>
    <row r="69" spans="2:13" ht="24.75" thickBot="1" x14ac:dyDescent="0.3">
      <c r="B69" s="436"/>
      <c r="C69" s="1945"/>
      <c r="D69" s="41" t="s">
        <v>1048</v>
      </c>
      <c r="E69" s="156">
        <f>+IF(E68&gt;=75%,1,0)</f>
        <v>0</v>
      </c>
      <c r="F69" s="156" t="e">
        <f>+IF(F68&gt;=75%,1,0)</f>
        <v>#DIV/0!</v>
      </c>
      <c r="G69" s="156" t="e">
        <f>+IF(G68&gt;=75%,1,0)</f>
        <v>#DIV/0!</v>
      </c>
      <c r="H69" s="158" t="e">
        <f>SUM(E69:G69)</f>
        <v>#DIV/0!</v>
      </c>
      <c r="I69" s="6"/>
      <c r="J69" s="6"/>
      <c r="K69" s="6"/>
      <c r="M69" s="14"/>
    </row>
    <row r="70" spans="2:13" ht="15.75" thickBot="1" x14ac:dyDescent="0.3">
      <c r="B70" s="436"/>
      <c r="C70" s="3" t="s">
        <v>1049</v>
      </c>
      <c r="D70" s="1832" t="s">
        <v>1050</v>
      </c>
      <c r="E70" s="1833"/>
      <c r="F70" s="1833"/>
      <c r="G70" s="1834"/>
      <c r="H70" s="160" t="str">
        <f>IFERROR(H69/H65,"N.A.")</f>
        <v>N.A.</v>
      </c>
      <c r="I70" s="6"/>
      <c r="J70" s="6"/>
      <c r="K70" s="6"/>
      <c r="M70" s="14"/>
    </row>
    <row r="71" spans="2:13" x14ac:dyDescent="0.25">
      <c r="B71" s="436"/>
      <c r="C71" s="92"/>
      <c r="D71" s="1843"/>
      <c r="E71" s="1844"/>
      <c r="F71" s="1844"/>
      <c r="G71" s="1844"/>
      <c r="H71" s="1844"/>
      <c r="I71" s="1844"/>
      <c r="J71" s="1844"/>
      <c r="K71" s="1844"/>
      <c r="L71" s="1938"/>
      <c r="M71" s="1897"/>
    </row>
    <row r="72" spans="2:13" ht="15.75" thickBot="1" x14ac:dyDescent="0.3">
      <c r="B72" s="436"/>
      <c r="C72" s="92"/>
      <c r="D72" s="1840" t="s">
        <v>1054</v>
      </c>
      <c r="E72" s="1841"/>
      <c r="F72" s="1841"/>
      <c r="G72" s="1841"/>
      <c r="H72" s="1841"/>
      <c r="I72" s="1841"/>
      <c r="J72" s="1841"/>
      <c r="K72" s="1841"/>
      <c r="L72" s="1939"/>
      <c r="M72" s="1898"/>
    </row>
    <row r="73" spans="2:13" ht="15.75" thickBot="1" x14ac:dyDescent="0.3">
      <c r="B73" s="436"/>
      <c r="C73" s="98" t="s">
        <v>1055</v>
      </c>
      <c r="D73" s="39" t="s">
        <v>1056</v>
      </c>
      <c r="E73" s="161">
        <f>+H48</f>
        <v>0</v>
      </c>
      <c r="F73" s="6"/>
      <c r="G73" s="6"/>
      <c r="H73" s="6"/>
      <c r="I73" s="6"/>
      <c r="J73" s="6"/>
      <c r="K73" s="6"/>
      <c r="M73" s="14"/>
    </row>
    <row r="74" spans="2:13" ht="15.75" thickBot="1" x14ac:dyDescent="0.3">
      <c r="B74" s="436"/>
      <c r="C74" s="3" t="s">
        <v>1057</v>
      </c>
      <c r="D74" s="40" t="s">
        <v>1058</v>
      </c>
      <c r="E74" s="162" t="str">
        <f>+H70</f>
        <v>N.A.</v>
      </c>
      <c r="F74" s="6"/>
      <c r="G74" s="6"/>
      <c r="H74" s="6"/>
      <c r="I74" s="6"/>
      <c r="J74" s="6"/>
      <c r="K74" s="6"/>
      <c r="M74" s="14"/>
    </row>
    <row r="75" spans="2:13" ht="36.75" thickBot="1" x14ac:dyDescent="0.3">
      <c r="B75" s="436"/>
      <c r="C75" s="3" t="s">
        <v>19</v>
      </c>
      <c r="D75" s="129" t="s">
        <v>1059</v>
      </c>
      <c r="E75" s="162">
        <f>AVERAGE(E73:E74)</f>
        <v>0</v>
      </c>
      <c r="F75" s="6"/>
      <c r="G75" s="6"/>
      <c r="H75" s="6"/>
      <c r="I75" s="6"/>
      <c r="J75" s="6"/>
      <c r="K75" s="6"/>
      <c r="M75" s="14"/>
    </row>
    <row r="76" spans="2:13" x14ac:dyDescent="0.25">
      <c r="B76" s="436"/>
      <c r="C76" s="92"/>
      <c r="D76" s="1843"/>
      <c r="E76" s="1844"/>
      <c r="F76" s="1844"/>
      <c r="G76" s="1844"/>
      <c r="H76" s="1844"/>
      <c r="I76" s="1844"/>
      <c r="J76" s="1844"/>
      <c r="K76" s="1844"/>
      <c r="L76" s="1938"/>
      <c r="M76" s="1897"/>
    </row>
    <row r="77" spans="2:13" ht="15.75" thickBot="1" x14ac:dyDescent="0.3">
      <c r="B77" s="436"/>
      <c r="C77" s="92"/>
      <c r="D77" s="1840" t="s">
        <v>1060</v>
      </c>
      <c r="E77" s="1841"/>
      <c r="F77" s="1841"/>
      <c r="G77" s="1841"/>
      <c r="H77" s="1841"/>
      <c r="I77" s="1841"/>
      <c r="J77" s="1841"/>
      <c r="K77" s="1841"/>
      <c r="L77" s="1939"/>
      <c r="M77" s="1898"/>
    </row>
    <row r="78" spans="2:13" ht="15.75" thickBot="1" x14ac:dyDescent="0.3">
      <c r="B78" s="436"/>
      <c r="C78" s="94"/>
      <c r="D78" s="25"/>
      <c r="E78" s="39" t="s">
        <v>1061</v>
      </c>
      <c r="F78" s="39" t="s">
        <v>1062</v>
      </c>
      <c r="H78" s="6"/>
      <c r="I78" s="6"/>
      <c r="J78" s="6"/>
      <c r="K78" s="6"/>
      <c r="M78" s="14"/>
    </row>
    <row r="79" spans="2:13" ht="24.75" thickBot="1" x14ac:dyDescent="0.3">
      <c r="B79" s="436"/>
      <c r="C79" s="94"/>
      <c r="D79" s="129" t="s">
        <v>1063</v>
      </c>
      <c r="E79" s="149">
        <f>+E25</f>
        <v>0.29411764705882354</v>
      </c>
      <c r="F79" s="32">
        <v>0.5</v>
      </c>
      <c r="G79" s="6"/>
      <c r="H79" s="6"/>
      <c r="I79" s="6"/>
      <c r="J79" s="6"/>
      <c r="K79" s="6"/>
      <c r="M79" s="14"/>
    </row>
    <row r="80" spans="2:13" ht="24.75" thickBot="1" x14ac:dyDescent="0.3">
      <c r="B80" s="436"/>
      <c r="C80" s="94"/>
      <c r="D80" s="129" t="s">
        <v>1064</v>
      </c>
      <c r="E80" s="149">
        <f>+E75</f>
        <v>0</v>
      </c>
      <c r="F80" s="32">
        <v>0.5</v>
      </c>
      <c r="G80" s="6"/>
      <c r="H80" s="6"/>
      <c r="I80" s="6"/>
      <c r="J80" s="6"/>
      <c r="K80" s="6"/>
      <c r="M80" s="14"/>
    </row>
    <row r="81" spans="2:13" ht="24.75" thickBot="1" x14ac:dyDescent="0.3">
      <c r="B81" s="437"/>
      <c r="C81" s="3"/>
      <c r="D81" s="129" t="s">
        <v>994</v>
      </c>
      <c r="E81" s="216" t="str">
        <f>Formulas!$D$29</f>
        <v/>
      </c>
      <c r="F81" s="208">
        <f>IFERROR(Formulas!$E$29,0)</f>
        <v>0.14705882352941177</v>
      </c>
      <c r="G81" s="23"/>
      <c r="H81" s="23"/>
      <c r="I81" s="23"/>
      <c r="J81" s="23"/>
      <c r="K81" s="23"/>
      <c r="L81" s="15"/>
      <c r="M81" s="11"/>
    </row>
    <row r="82" spans="2:13" ht="24" customHeight="1" thickBot="1" x14ac:dyDescent="0.3">
      <c r="B82" s="47" t="s">
        <v>34</v>
      </c>
      <c r="C82" s="93"/>
      <c r="D82" s="1832" t="s">
        <v>1065</v>
      </c>
      <c r="E82" s="1833"/>
      <c r="F82" s="1833"/>
      <c r="G82" s="1833"/>
      <c r="H82" s="1833"/>
      <c r="I82" s="1833"/>
      <c r="J82" s="1833"/>
      <c r="K82" s="1833"/>
      <c r="L82" s="1936"/>
      <c r="M82" s="1900"/>
    </row>
    <row r="83" spans="2:13" ht="48.75" thickBot="1" x14ac:dyDescent="0.3">
      <c r="B83" s="47" t="s">
        <v>36</v>
      </c>
      <c r="C83" s="93"/>
      <c r="D83" s="1832" t="s">
        <v>159</v>
      </c>
      <c r="E83" s="1833"/>
      <c r="F83" s="1833"/>
      <c r="G83" s="1833"/>
      <c r="H83" s="1833"/>
      <c r="I83" s="1833"/>
      <c r="J83" s="1833"/>
      <c r="K83" s="1833"/>
      <c r="L83" s="1936"/>
      <c r="M83" s="1900"/>
    </row>
    <row r="84" spans="2:13" ht="15.75" thickBot="1" x14ac:dyDescent="0.3">
      <c r="B84" s="2"/>
      <c r="C84" s="76"/>
      <c r="D84" s="6"/>
      <c r="E84" s="6"/>
      <c r="F84" s="6"/>
      <c r="G84" s="6"/>
      <c r="H84" s="6"/>
      <c r="I84" s="6"/>
      <c r="J84" s="6"/>
      <c r="K84" s="6"/>
    </row>
    <row r="85" spans="2:13" ht="24" customHeight="1" thickBot="1" x14ac:dyDescent="0.3">
      <c r="B85" s="1829" t="s">
        <v>38</v>
      </c>
      <c r="C85" s="1830"/>
      <c r="D85" s="1830"/>
      <c r="E85" s="1831"/>
      <c r="F85" s="6"/>
      <c r="G85" s="6"/>
      <c r="H85" s="6"/>
      <c r="I85" s="6"/>
      <c r="J85" s="6"/>
      <c r="K85" s="6"/>
    </row>
    <row r="86" spans="2:13" ht="15.75" thickBot="1" x14ac:dyDescent="0.3">
      <c r="B86" s="1826">
        <v>1</v>
      </c>
      <c r="C86" s="94"/>
      <c r="D86" s="48" t="s">
        <v>39</v>
      </c>
      <c r="E86" s="167" t="s">
        <v>2849</v>
      </c>
      <c r="F86" s="6"/>
      <c r="G86" s="6"/>
      <c r="H86" s="6"/>
      <c r="I86" s="6"/>
      <c r="J86" s="6"/>
      <c r="K86" s="6"/>
    </row>
    <row r="87" spans="2:13" ht="15.75" thickBot="1" x14ac:dyDescent="0.3">
      <c r="B87" s="1827"/>
      <c r="C87" s="94"/>
      <c r="D87" s="41" t="s">
        <v>40</v>
      </c>
      <c r="E87" s="167" t="s">
        <v>3107</v>
      </c>
      <c r="F87" s="6"/>
      <c r="G87" s="6"/>
      <c r="H87" s="6"/>
      <c r="I87" s="6"/>
      <c r="J87" s="6"/>
      <c r="K87" s="6"/>
    </row>
    <row r="88" spans="2:13" ht="15.75" thickBot="1" x14ac:dyDescent="0.3">
      <c r="B88" s="1827"/>
      <c r="C88" s="94"/>
      <c r="D88" s="41" t="s">
        <v>41</v>
      </c>
      <c r="E88" s="167" t="s">
        <v>3108</v>
      </c>
      <c r="F88" s="6"/>
      <c r="G88" s="6"/>
      <c r="H88" s="6"/>
      <c r="I88" s="6"/>
      <c r="J88" s="6"/>
      <c r="K88" s="6"/>
    </row>
    <row r="89" spans="2:13" ht="15.75" thickBot="1" x14ac:dyDescent="0.3">
      <c r="B89" s="1827"/>
      <c r="C89" s="94"/>
      <c r="D89" s="41" t="s">
        <v>42</v>
      </c>
      <c r="E89" s="167" t="s">
        <v>3109</v>
      </c>
      <c r="F89" s="6"/>
      <c r="G89" s="6"/>
      <c r="H89" s="6"/>
      <c r="I89" s="6"/>
      <c r="J89" s="6"/>
      <c r="K89" s="6"/>
    </row>
    <row r="90" spans="2:13" ht="15.75" thickBot="1" x14ac:dyDescent="0.3">
      <c r="B90" s="1827"/>
      <c r="C90" s="94"/>
      <c r="D90" s="41" t="s">
        <v>43</v>
      </c>
      <c r="E90" s="167" t="s">
        <v>3110</v>
      </c>
      <c r="F90" s="6"/>
      <c r="G90" s="6"/>
      <c r="H90" s="6"/>
      <c r="I90" s="6"/>
      <c r="J90" s="6"/>
      <c r="K90" s="6"/>
    </row>
    <row r="91" spans="2:13" ht="15.75" thickBot="1" x14ac:dyDescent="0.3">
      <c r="B91" s="1827"/>
      <c r="C91" s="94"/>
      <c r="D91" s="41" t="s">
        <v>44</v>
      </c>
      <c r="E91" s="167" t="s">
        <v>3111</v>
      </c>
      <c r="F91" s="6"/>
      <c r="G91" s="6"/>
      <c r="H91" s="6"/>
      <c r="I91" s="6"/>
      <c r="J91" s="6"/>
      <c r="K91" s="6"/>
    </row>
    <row r="92" spans="2:13" ht="15.75" thickBot="1" x14ac:dyDescent="0.3">
      <c r="B92" s="1828"/>
      <c r="C92" s="3"/>
      <c r="D92" s="41" t="s">
        <v>45</v>
      </c>
      <c r="E92" s="167" t="s">
        <v>2852</v>
      </c>
      <c r="F92" s="6"/>
      <c r="G92" s="6"/>
      <c r="H92" s="6"/>
      <c r="I92" s="6"/>
      <c r="J92" s="6"/>
      <c r="K92" s="6"/>
    </row>
    <row r="93" spans="2:13" ht="15.75" thickBot="1" x14ac:dyDescent="0.3">
      <c r="B93" s="2"/>
      <c r="C93" s="76"/>
      <c r="D93" s="6"/>
      <c r="E93" s="6"/>
      <c r="F93" s="6"/>
      <c r="G93" s="6"/>
      <c r="H93" s="6"/>
      <c r="I93" s="6"/>
      <c r="J93" s="6"/>
      <c r="K93" s="6"/>
    </row>
    <row r="94" spans="2:13" ht="15.75" thickBot="1" x14ac:dyDescent="0.3">
      <c r="B94" s="1829" t="s">
        <v>46</v>
      </c>
      <c r="C94" s="1830"/>
      <c r="D94" s="1830"/>
      <c r="E94" s="1831"/>
      <c r="F94" s="6"/>
      <c r="G94" s="6"/>
      <c r="H94" s="6"/>
      <c r="I94" s="6"/>
      <c r="J94" s="6"/>
      <c r="K94" s="6"/>
    </row>
    <row r="95" spans="2:13" ht="15.75" thickBot="1" x14ac:dyDescent="0.3">
      <c r="B95" s="1826">
        <v>1</v>
      </c>
      <c r="C95" s="94"/>
      <c r="D95" s="48" t="s">
        <v>39</v>
      </c>
      <c r="E95" s="444" t="s">
        <v>47</v>
      </c>
      <c r="F95" s="6"/>
      <c r="G95" s="6"/>
      <c r="H95" s="6"/>
      <c r="I95" s="6"/>
      <c r="J95" s="6"/>
      <c r="K95" s="6"/>
    </row>
    <row r="96" spans="2:13" ht="15.75" thickBot="1" x14ac:dyDescent="0.3">
      <c r="B96" s="1827"/>
      <c r="C96" s="94"/>
      <c r="D96" s="41" t="s">
        <v>40</v>
      </c>
      <c r="E96" s="444" t="s">
        <v>160</v>
      </c>
      <c r="F96" s="6"/>
      <c r="G96" s="6"/>
      <c r="H96" s="6"/>
      <c r="I96" s="6"/>
      <c r="J96" s="6"/>
      <c r="K96" s="6"/>
    </row>
    <row r="97" spans="2:11" ht="15.75" thickBot="1" x14ac:dyDescent="0.3">
      <c r="B97" s="1827"/>
      <c r="C97" s="94"/>
      <c r="D97" s="41" t="s">
        <v>41</v>
      </c>
      <c r="E97" s="172"/>
      <c r="F97" s="6"/>
      <c r="G97" s="6"/>
      <c r="H97" s="6"/>
      <c r="I97" s="6"/>
      <c r="J97" s="6"/>
      <c r="K97" s="6"/>
    </row>
    <row r="98" spans="2:11" ht="15.75" thickBot="1" x14ac:dyDescent="0.3">
      <c r="B98" s="1827"/>
      <c r="C98" s="94"/>
      <c r="D98" s="41" t="s">
        <v>42</v>
      </c>
      <c r="E98" s="172"/>
      <c r="F98" s="6"/>
      <c r="G98" s="6"/>
      <c r="H98" s="6"/>
      <c r="I98" s="6"/>
      <c r="J98" s="6"/>
      <c r="K98" s="6"/>
    </row>
    <row r="99" spans="2:11" ht="15.75" thickBot="1" x14ac:dyDescent="0.3">
      <c r="B99" s="1827"/>
      <c r="C99" s="94"/>
      <c r="D99" s="41" t="s">
        <v>43</v>
      </c>
      <c r="E99" s="172"/>
      <c r="F99" s="6"/>
      <c r="G99" s="6"/>
      <c r="H99" s="6"/>
      <c r="I99" s="6"/>
      <c r="J99" s="6"/>
      <c r="K99" s="6"/>
    </row>
    <row r="100" spans="2:11" ht="15.75" thickBot="1" x14ac:dyDescent="0.3">
      <c r="B100" s="1827"/>
      <c r="C100" s="94"/>
      <c r="D100" s="41" t="s">
        <v>44</v>
      </c>
      <c r="E100" s="172"/>
      <c r="F100" s="6"/>
      <c r="G100" s="6"/>
      <c r="H100" s="6"/>
      <c r="I100" s="6"/>
      <c r="J100" s="6"/>
      <c r="K100" s="6"/>
    </row>
    <row r="101" spans="2:11" ht="15.75" thickBot="1" x14ac:dyDescent="0.3">
      <c r="B101" s="1828"/>
      <c r="C101" s="3"/>
      <c r="D101" s="41" t="s">
        <v>45</v>
      </c>
      <c r="E101" s="172"/>
      <c r="F101" s="6"/>
      <c r="G101" s="6"/>
      <c r="H101" s="6"/>
      <c r="I101" s="6"/>
      <c r="J101" s="6"/>
      <c r="K101" s="6"/>
    </row>
    <row r="102" spans="2:11" ht="15.75" thickBot="1" x14ac:dyDescent="0.3">
      <c r="B102" s="2"/>
      <c r="C102" s="76"/>
      <c r="D102" s="6"/>
      <c r="E102" s="6"/>
      <c r="F102" s="6"/>
      <c r="G102" s="6"/>
      <c r="H102" s="6"/>
      <c r="I102" s="6"/>
      <c r="J102" s="6"/>
      <c r="K102" s="6"/>
    </row>
    <row r="103" spans="2:11" ht="15" customHeight="1" thickBot="1" x14ac:dyDescent="0.3">
      <c r="B103" s="125" t="s">
        <v>49</v>
      </c>
      <c r="C103" s="126"/>
      <c r="D103" s="126"/>
      <c r="E103" s="127"/>
      <c r="G103" s="6"/>
      <c r="H103" s="6"/>
      <c r="I103" s="6"/>
      <c r="J103" s="6"/>
      <c r="K103" s="6"/>
    </row>
    <row r="104" spans="2:11" ht="24.75" thickBot="1" x14ac:dyDescent="0.3">
      <c r="B104" s="47" t="s">
        <v>50</v>
      </c>
      <c r="C104" s="41" t="s">
        <v>51</v>
      </c>
      <c r="D104" s="41" t="s">
        <v>52</v>
      </c>
      <c r="E104" s="41" t="s">
        <v>53</v>
      </c>
      <c r="F104" s="6"/>
      <c r="G104" s="6"/>
      <c r="H104" s="6"/>
      <c r="I104" s="6"/>
      <c r="J104" s="6"/>
    </row>
    <row r="105" spans="2:11" ht="72.75" thickBot="1" x14ac:dyDescent="0.3">
      <c r="B105" s="49">
        <v>42401</v>
      </c>
      <c r="C105" s="41">
        <v>1</v>
      </c>
      <c r="D105" s="50" t="s">
        <v>1066</v>
      </c>
      <c r="E105" s="41"/>
      <c r="F105" s="6"/>
      <c r="G105" s="6"/>
      <c r="H105" s="6"/>
      <c r="I105" s="6"/>
      <c r="J105" s="6"/>
    </row>
    <row r="106" spans="2:11" ht="15.75" thickBot="1" x14ac:dyDescent="0.3">
      <c r="B106" s="4"/>
      <c r="C106" s="95"/>
      <c r="D106" s="6"/>
      <c r="E106" s="6"/>
      <c r="F106" s="6"/>
      <c r="G106" s="6"/>
      <c r="H106" s="6"/>
      <c r="I106" s="6"/>
      <c r="J106" s="6"/>
      <c r="K106" s="6"/>
    </row>
    <row r="107" spans="2:11" ht="24.75" thickBot="1" x14ac:dyDescent="0.3">
      <c r="B107" s="135" t="s">
        <v>55</v>
      </c>
      <c r="C107" s="96"/>
      <c r="D107" s="6"/>
      <c r="E107" s="6"/>
      <c r="F107" s="6"/>
      <c r="G107" s="6"/>
      <c r="H107" s="6"/>
      <c r="I107" s="6"/>
      <c r="J107" s="6"/>
      <c r="K107" s="6"/>
    </row>
    <row r="108" spans="2:11" x14ac:dyDescent="0.25">
      <c r="B108" s="2013"/>
      <c r="C108" s="2014"/>
      <c r="D108" s="2014"/>
      <c r="E108" s="2014"/>
      <c r="F108" s="2014"/>
      <c r="G108" s="2014"/>
      <c r="H108" s="2014"/>
      <c r="I108" s="2015"/>
      <c r="J108" s="6"/>
      <c r="K108" s="6"/>
    </row>
    <row r="109" spans="2:11" ht="15.75" thickBot="1" x14ac:dyDescent="0.3">
      <c r="B109" s="2016"/>
      <c r="C109" s="2017"/>
      <c r="D109" s="2017"/>
      <c r="E109" s="2017"/>
      <c r="F109" s="2017"/>
      <c r="G109" s="2017"/>
      <c r="H109" s="2017"/>
      <c r="I109" s="2018"/>
      <c r="J109" s="6"/>
      <c r="K109" s="6"/>
    </row>
    <row r="110" spans="2:11" ht="15.75" thickBot="1" x14ac:dyDescent="0.3">
      <c r="B110" s="6"/>
      <c r="D110" s="6"/>
      <c r="E110" s="6"/>
      <c r="F110" s="6"/>
      <c r="G110" s="6"/>
      <c r="H110" s="6"/>
      <c r="I110" s="6"/>
      <c r="J110" s="6"/>
      <c r="K110" s="6"/>
    </row>
    <row r="111" spans="2:11" ht="24.75" thickBot="1" x14ac:dyDescent="0.3">
      <c r="B111" s="51" t="s">
        <v>56</v>
      </c>
      <c r="C111" s="97"/>
      <c r="D111" s="6"/>
      <c r="E111" s="6"/>
      <c r="F111" s="6"/>
      <c r="G111" s="6"/>
      <c r="H111" s="6"/>
      <c r="I111" s="6"/>
      <c r="J111" s="6"/>
      <c r="K111" s="6"/>
    </row>
    <row r="112" spans="2:11" ht="15.75" thickBot="1" x14ac:dyDescent="0.3">
      <c r="B112" s="2"/>
      <c r="C112" s="76"/>
      <c r="D112" s="6"/>
      <c r="E112" s="6"/>
      <c r="F112" s="6"/>
      <c r="G112" s="6"/>
      <c r="H112" s="6"/>
      <c r="I112" s="6"/>
      <c r="J112" s="6"/>
      <c r="K112" s="6"/>
    </row>
    <row r="113" spans="2:11" ht="72.75" thickBot="1" x14ac:dyDescent="0.3">
      <c r="B113" s="52" t="s">
        <v>57</v>
      </c>
      <c r="C113" s="98"/>
      <c r="D113" s="43" t="s">
        <v>995</v>
      </c>
      <c r="E113" s="6"/>
      <c r="F113" s="6"/>
      <c r="G113" s="6"/>
      <c r="H113" s="6"/>
      <c r="I113" s="6"/>
      <c r="J113" s="6"/>
      <c r="K113" s="6"/>
    </row>
    <row r="114" spans="2:11" x14ac:dyDescent="0.25">
      <c r="B114" s="1826" t="s">
        <v>59</v>
      </c>
      <c r="C114" s="94"/>
      <c r="D114" s="53" t="s">
        <v>60</v>
      </c>
      <c r="E114" s="6"/>
      <c r="F114" s="6"/>
      <c r="G114" s="6"/>
      <c r="H114" s="6"/>
      <c r="I114" s="6"/>
      <c r="J114" s="6"/>
      <c r="K114" s="6"/>
    </row>
    <row r="115" spans="2:11" ht="108" x14ac:dyDescent="0.25">
      <c r="B115" s="1827"/>
      <c r="C115" s="94"/>
      <c r="D115" s="46" t="s">
        <v>996</v>
      </c>
      <c r="E115" s="6"/>
      <c r="F115" s="6"/>
      <c r="G115" s="6"/>
      <c r="H115" s="6"/>
      <c r="I115" s="6"/>
      <c r="J115" s="6"/>
      <c r="K115" s="6"/>
    </row>
    <row r="116" spans="2:11" x14ac:dyDescent="0.25">
      <c r="B116" s="1827"/>
      <c r="C116" s="94"/>
      <c r="D116" s="53" t="s">
        <v>134</v>
      </c>
      <c r="E116" s="6"/>
      <c r="F116" s="6"/>
      <c r="G116" s="6"/>
      <c r="H116" s="6"/>
      <c r="I116" s="6"/>
      <c r="J116" s="6"/>
      <c r="K116" s="6"/>
    </row>
    <row r="117" spans="2:11" x14ac:dyDescent="0.25">
      <c r="B117" s="1827"/>
      <c r="C117" s="94"/>
      <c r="D117" s="46" t="s">
        <v>997</v>
      </c>
      <c r="E117" s="6"/>
      <c r="F117" s="6"/>
      <c r="G117" s="6"/>
      <c r="H117" s="6"/>
      <c r="I117" s="6"/>
      <c r="J117" s="6"/>
      <c r="K117" s="6"/>
    </row>
    <row r="118" spans="2:11" ht="48" x14ac:dyDescent="0.25">
      <c r="B118" s="1827"/>
      <c r="C118" s="94"/>
      <c r="D118" s="46" t="s">
        <v>998</v>
      </c>
      <c r="E118" s="6"/>
      <c r="F118" s="6"/>
      <c r="G118" s="6"/>
      <c r="H118" s="6"/>
      <c r="I118" s="6"/>
      <c r="J118" s="6"/>
      <c r="K118" s="6"/>
    </row>
    <row r="119" spans="2:11" x14ac:dyDescent="0.25">
      <c r="B119" s="1827"/>
      <c r="C119" s="94"/>
      <c r="D119" s="55" t="s">
        <v>999</v>
      </c>
      <c r="E119" s="6"/>
      <c r="F119" s="6"/>
      <c r="G119" s="6"/>
      <c r="H119" s="6"/>
      <c r="I119" s="6"/>
      <c r="J119" s="6"/>
      <c r="K119" s="6"/>
    </row>
    <row r="120" spans="2:11" ht="15.75" thickBot="1" x14ac:dyDescent="0.3">
      <c r="B120" s="1828"/>
      <c r="C120" s="3"/>
      <c r="D120" s="56" t="s">
        <v>1000</v>
      </c>
      <c r="E120" s="6"/>
      <c r="F120" s="6"/>
      <c r="G120" s="6"/>
      <c r="H120" s="6"/>
      <c r="I120" s="6"/>
      <c r="J120" s="6"/>
      <c r="K120" s="6"/>
    </row>
    <row r="121" spans="2:11" ht="24.75" thickBot="1" x14ac:dyDescent="0.3">
      <c r="B121" s="47" t="s">
        <v>72</v>
      </c>
      <c r="C121" s="3"/>
      <c r="D121" s="41"/>
      <c r="E121" s="6"/>
      <c r="F121" s="6"/>
      <c r="G121" s="6"/>
      <c r="H121" s="6"/>
      <c r="I121" s="6"/>
      <c r="J121" s="6"/>
      <c r="K121" s="6"/>
    </row>
    <row r="122" spans="2:11" ht="72" x14ac:dyDescent="0.25">
      <c r="B122" s="1826" t="s">
        <v>73</v>
      </c>
      <c r="C122" s="94"/>
      <c r="D122" s="46" t="s">
        <v>1001</v>
      </c>
      <c r="E122" s="6"/>
      <c r="F122" s="6"/>
      <c r="G122" s="6"/>
      <c r="H122" s="6"/>
      <c r="I122" s="6"/>
      <c r="J122" s="6"/>
      <c r="K122" s="6"/>
    </row>
    <row r="123" spans="2:11" ht="228" x14ac:dyDescent="0.25">
      <c r="B123" s="1827"/>
      <c r="C123" s="94"/>
      <c r="D123" s="46" t="s">
        <v>1002</v>
      </c>
      <c r="E123" s="6"/>
      <c r="F123" s="6"/>
      <c r="G123" s="6"/>
      <c r="H123" s="6"/>
      <c r="I123" s="6"/>
      <c r="J123" s="6"/>
      <c r="K123" s="6"/>
    </row>
    <row r="124" spans="2:11" ht="84" x14ac:dyDescent="0.25">
      <c r="B124" s="1827"/>
      <c r="C124" s="94"/>
      <c r="D124" s="46" t="s">
        <v>1003</v>
      </c>
      <c r="E124" s="6"/>
      <c r="F124" s="6"/>
      <c r="G124" s="6"/>
      <c r="H124" s="6"/>
      <c r="I124" s="6"/>
      <c r="J124" s="6"/>
      <c r="K124" s="6"/>
    </row>
    <row r="125" spans="2:11" ht="216.75" thickBot="1" x14ac:dyDescent="0.3">
      <c r="B125" s="1828"/>
      <c r="C125" s="3"/>
      <c r="D125" s="41" t="s">
        <v>1004</v>
      </c>
      <c r="E125" s="6"/>
      <c r="F125" s="6"/>
      <c r="G125" s="6"/>
      <c r="H125" s="6"/>
      <c r="I125" s="6"/>
      <c r="J125" s="6"/>
      <c r="K125" s="6"/>
    </row>
    <row r="126" spans="2:11" x14ac:dyDescent="0.25">
      <c r="B126" s="1826" t="s">
        <v>90</v>
      </c>
      <c r="C126" s="94"/>
      <c r="D126" s="46"/>
      <c r="E126" s="6"/>
      <c r="F126" s="6"/>
      <c r="G126" s="6"/>
      <c r="H126" s="6"/>
      <c r="I126" s="6"/>
      <c r="J126" s="6"/>
      <c r="K126" s="6"/>
    </row>
    <row r="127" spans="2:11" x14ac:dyDescent="0.25">
      <c r="B127" s="1827"/>
      <c r="C127" s="94"/>
      <c r="D127" s="17"/>
      <c r="E127" s="6"/>
      <c r="F127" s="6"/>
      <c r="G127" s="6"/>
      <c r="H127" s="6"/>
      <c r="I127" s="6"/>
      <c r="J127" s="6"/>
      <c r="K127" s="6"/>
    </row>
    <row r="128" spans="2:11" x14ac:dyDescent="0.25">
      <c r="B128" s="1827"/>
      <c r="C128" s="94"/>
      <c r="D128" s="46" t="s">
        <v>91</v>
      </c>
      <c r="E128" s="6"/>
      <c r="F128" s="6"/>
      <c r="G128" s="6"/>
      <c r="H128" s="6"/>
      <c r="I128" s="6"/>
      <c r="J128" s="6"/>
      <c r="K128" s="6"/>
    </row>
    <row r="129" spans="2:11" ht="37.5" x14ac:dyDescent="0.25">
      <c r="B129" s="1827"/>
      <c r="C129" s="94"/>
      <c r="D129" s="46" t="s">
        <v>1005</v>
      </c>
      <c r="E129" s="6"/>
      <c r="F129" s="6"/>
      <c r="G129" s="6"/>
      <c r="H129" s="6"/>
      <c r="I129" s="6"/>
      <c r="J129" s="6"/>
      <c r="K129" s="6"/>
    </row>
    <row r="130" spans="2:11" ht="37.5" x14ac:dyDescent="0.25">
      <c r="B130" s="1827"/>
      <c r="C130" s="94"/>
      <c r="D130" s="46" t="s">
        <v>1006</v>
      </c>
      <c r="E130" s="6"/>
      <c r="F130" s="6"/>
      <c r="G130" s="6"/>
      <c r="H130" s="6"/>
      <c r="I130" s="6"/>
      <c r="J130" s="6"/>
      <c r="K130" s="6"/>
    </row>
    <row r="131" spans="2:11" ht="37.5" x14ac:dyDescent="0.25">
      <c r="B131" s="1827"/>
      <c r="C131" s="94"/>
      <c r="D131" s="46" t="s">
        <v>1007</v>
      </c>
      <c r="E131" s="6"/>
      <c r="F131" s="6"/>
      <c r="G131" s="6"/>
      <c r="H131" s="6"/>
      <c r="I131" s="6"/>
      <c r="J131" s="6"/>
      <c r="K131" s="6"/>
    </row>
    <row r="132" spans="2:11" ht="37.5" x14ac:dyDescent="0.25">
      <c r="B132" s="1827"/>
      <c r="C132" s="94"/>
      <c r="D132" s="46" t="s">
        <v>1008</v>
      </c>
      <c r="E132" s="6"/>
      <c r="F132" s="6"/>
      <c r="G132" s="6"/>
      <c r="H132" s="6"/>
      <c r="I132" s="6"/>
      <c r="J132" s="6"/>
      <c r="K132" s="6"/>
    </row>
    <row r="133" spans="2:11" x14ac:dyDescent="0.25">
      <c r="B133" s="1827"/>
      <c r="C133" s="94"/>
      <c r="D133" s="46" t="s">
        <v>1009</v>
      </c>
      <c r="E133" s="6"/>
      <c r="F133" s="6"/>
      <c r="G133" s="6"/>
      <c r="H133" s="6"/>
      <c r="I133" s="6"/>
      <c r="J133" s="6"/>
      <c r="K133" s="6"/>
    </row>
    <row r="134" spans="2:11" x14ac:dyDescent="0.25">
      <c r="B134" s="1827"/>
      <c r="C134" s="94"/>
      <c r="D134" s="46" t="s">
        <v>1010</v>
      </c>
      <c r="E134" s="6"/>
      <c r="F134" s="6"/>
      <c r="G134" s="6"/>
      <c r="H134" s="6"/>
      <c r="I134" s="6"/>
      <c r="J134" s="6"/>
      <c r="K134" s="6"/>
    </row>
    <row r="135" spans="2:11" x14ac:dyDescent="0.25">
      <c r="B135" s="1827"/>
      <c r="C135" s="94"/>
      <c r="D135" s="46" t="s">
        <v>1011</v>
      </c>
      <c r="E135" s="6"/>
      <c r="F135" s="6"/>
      <c r="G135" s="6"/>
      <c r="H135" s="6"/>
      <c r="I135" s="6"/>
      <c r="J135" s="6"/>
      <c r="K135" s="6"/>
    </row>
    <row r="136" spans="2:11" x14ac:dyDescent="0.25">
      <c r="B136" s="1827"/>
      <c r="C136" s="94"/>
      <c r="D136" s="46" t="s">
        <v>99</v>
      </c>
      <c r="E136" s="6"/>
      <c r="F136" s="6"/>
      <c r="G136" s="6"/>
      <c r="H136" s="6"/>
      <c r="I136" s="6"/>
      <c r="J136" s="6"/>
      <c r="K136" s="6"/>
    </row>
    <row r="137" spans="2:11" ht="60.75" thickBot="1" x14ac:dyDescent="0.3">
      <c r="B137" s="1828"/>
      <c r="C137" s="3"/>
      <c r="D137" s="41" t="s">
        <v>1012</v>
      </c>
      <c r="E137" s="6"/>
      <c r="F137" s="6"/>
      <c r="G137" s="6"/>
      <c r="H137" s="6"/>
      <c r="I137" s="6"/>
      <c r="J137" s="6"/>
      <c r="K137" s="6"/>
    </row>
    <row r="138" spans="2:11" x14ac:dyDescent="0.25">
      <c r="B138" s="6"/>
      <c r="D138" s="6"/>
      <c r="E138" s="6"/>
      <c r="F138" s="6"/>
      <c r="G138" s="6"/>
      <c r="H138" s="6"/>
      <c r="I138" s="6"/>
      <c r="J138" s="6"/>
      <c r="K138" s="6"/>
    </row>
    <row r="139" spans="2:11" x14ac:dyDescent="0.25">
      <c r="B139" s="6"/>
      <c r="D139" s="6"/>
      <c r="E139" s="6"/>
      <c r="F139" s="6"/>
      <c r="G139" s="6"/>
      <c r="H139" s="6"/>
      <c r="I139" s="6"/>
      <c r="J139" s="6"/>
      <c r="K139" s="6"/>
    </row>
  </sheetData>
  <sheetProtection insertColumns="0" insertRows="0"/>
  <mergeCells count="49">
    <mergeCell ref="B15:B19"/>
    <mergeCell ref="B108:I109"/>
    <mergeCell ref="D83:M83"/>
    <mergeCell ref="B85:E85"/>
    <mergeCell ref="B86:B92"/>
    <mergeCell ref="B94:E94"/>
    <mergeCell ref="B95:B101"/>
    <mergeCell ref="D41:M41"/>
    <mergeCell ref="D15:M15"/>
    <mergeCell ref="D16:M16"/>
    <mergeCell ref="D17:M17"/>
    <mergeCell ref="D26:M26"/>
    <mergeCell ref="D27:M27"/>
    <mergeCell ref="D31:M31"/>
    <mergeCell ref="D40:M40"/>
    <mergeCell ref="D18:D19"/>
    <mergeCell ref="E18:F18"/>
    <mergeCell ref="D62:M62"/>
    <mergeCell ref="D48:G48"/>
    <mergeCell ref="C59:C60"/>
    <mergeCell ref="D49:M49"/>
    <mergeCell ref="D53:M53"/>
    <mergeCell ref="I18:J18"/>
    <mergeCell ref="C37:C38"/>
    <mergeCell ref="G18:H18"/>
    <mergeCell ref="D21:M21"/>
    <mergeCell ref="C46:C47"/>
    <mergeCell ref="F32:M32"/>
    <mergeCell ref="D77:M77"/>
    <mergeCell ref="B114:B120"/>
    <mergeCell ref="B122:B125"/>
    <mergeCell ref="B126:B137"/>
    <mergeCell ref="D82:M82"/>
    <mergeCell ref="D76:M76"/>
    <mergeCell ref="D70:G70"/>
    <mergeCell ref="C68:C69"/>
    <mergeCell ref="D63:M63"/>
    <mergeCell ref="D71:M71"/>
    <mergeCell ref="D72:M72"/>
    <mergeCell ref="B10:D10"/>
    <mergeCell ref="F10:S10"/>
    <mergeCell ref="F11:S11"/>
    <mergeCell ref="E12:R12"/>
    <mergeCell ref="E13:R13"/>
    <mergeCell ref="A1:P1"/>
    <mergeCell ref="A2:P2"/>
    <mergeCell ref="A3:P3"/>
    <mergeCell ref="A4:D4"/>
    <mergeCell ref="A5:P5"/>
  </mergeCells>
  <conditionalFormatting sqref="E81">
    <cfRule type="containsText" dxfId="25" priority="5" operator="containsText" text="ERROR">
      <formula>NOT(ISERROR(SEARCH("ERROR",E81)))</formula>
    </cfRule>
  </conditionalFormatting>
  <conditionalFormatting sqref="F10">
    <cfRule type="notContainsBlanks" dxfId="24" priority="4">
      <formula>LEN(TRIM(F10))&gt;0</formula>
    </cfRule>
  </conditionalFormatting>
  <conditionalFormatting sqref="F11:S11">
    <cfRule type="expression" dxfId="23" priority="2">
      <formula>E11="NO SE REPORTA"</formula>
    </cfRule>
    <cfRule type="expression" dxfId="22" priority="3">
      <formula>E10="NO APLICA"</formula>
    </cfRule>
  </conditionalFormatting>
  <conditionalFormatting sqref="E12:R12">
    <cfRule type="expression" dxfId="21"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28:E30 E66:G67 E20:J20 E50:E52 E57:L58 E44:G45 F35:N35 E35:E36 F36:L36" xr:uid="{00000000-0002-0000-2300-000000000000}">
      <formula1>0</formula1>
    </dataValidation>
    <dataValidation type="decimal" allowBlank="1" showInputMessage="1" showErrorMessage="1" errorTitle="ERROR" error="Escriba un valor entre 0% y 100%" sqref="F79:F80" xr:uid="{00000000-0002-0000-2300-000001000000}">
      <formula1>0</formula1>
      <formula2>1</formula2>
    </dataValidation>
    <dataValidation type="list" allowBlank="1" showInputMessage="1" showErrorMessage="1" sqref="E11" xr:uid="{00000000-0002-0000-2300-000002000000}">
      <formula1>REPORTE</formula1>
    </dataValidation>
    <dataValidation type="list" allowBlank="1" showInputMessage="1" showErrorMessage="1" sqref="E10" xr:uid="{00000000-0002-0000-2300-000003000000}">
      <formula1>SI</formula1>
    </dataValidation>
  </dataValidations>
  <hyperlinks>
    <hyperlink ref="D119" r:id="rId1" display="http://www.sisaire.gov.co/" xr:uid="{00000000-0004-0000-2300-000000000000}"/>
    <hyperlink ref="D120" r:id="rId2" display="http://www.sirh.ideam.gov.co/" xr:uid="{00000000-0004-0000-2300-000001000000}"/>
    <hyperlink ref="B9" location="'ANEXO 3'!A1" display="VOLVER AL INDICE" xr:uid="{00000000-0004-0000-2300-000002000000}"/>
  </hyperlinks>
  <pageMargins left="0.25" right="0.25" top="0.75" bottom="0.75" header="0.3" footer="0.3"/>
  <pageSetup paperSize="178" orientation="landscape" horizontalDpi="1200" verticalDpi="1200" r:id="rId3"/>
  <drawing r:id="rId4"/>
  <legacyDrawing r:id="rId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6">
    <tabColor rgb="FFFF0000"/>
  </sheetPr>
  <dimension ref="A1:U183"/>
  <sheetViews>
    <sheetView showGridLines="0" topLeftCell="A23" zoomScale="80" zoomScaleNormal="80" workbookViewId="0">
      <selection activeCell="F40" sqref="F40"/>
    </sheetView>
  </sheetViews>
  <sheetFormatPr baseColWidth="10" defaultRowHeight="15" x14ac:dyDescent="0.25"/>
  <cols>
    <col min="1" max="1" width="1.85546875" customWidth="1"/>
    <col min="2" max="2" width="12.85546875" customWidth="1"/>
    <col min="3" max="3" width="5.140625" style="87" bestFit="1" customWidth="1"/>
    <col min="4" max="4" width="34.85546875" customWidth="1"/>
    <col min="5" max="5" width="12.140625" customWidth="1"/>
    <col min="11" max="11" width="22" customWidth="1"/>
  </cols>
  <sheetData>
    <row r="1" spans="1:21" s="538" customFormat="1" ht="100.5" customHeight="1" thickBot="1" x14ac:dyDescent="0.3">
      <c r="A1" s="1733"/>
      <c r="B1" s="1734"/>
      <c r="C1" s="1734"/>
      <c r="D1" s="1734"/>
      <c r="E1" s="1734"/>
      <c r="F1" s="1734"/>
      <c r="G1" s="1734"/>
      <c r="H1" s="1734"/>
      <c r="I1" s="1734"/>
      <c r="J1" s="1734"/>
      <c r="K1" s="1734"/>
      <c r="L1" s="1734"/>
      <c r="M1" s="1734"/>
      <c r="N1" s="1734"/>
      <c r="O1" s="1734"/>
      <c r="P1" s="1735"/>
      <c r="Q1" s="412"/>
      <c r="R1" s="412"/>
    </row>
    <row r="2" spans="1:21" s="539" customFormat="1" ht="16.5" thickBot="1" x14ac:dyDescent="0.3">
      <c r="A2" s="1741" t="str">
        <f>'Datos Generales'!C5</f>
        <v>Corporación Autónoma Regional de La Guajira – CORPOGUAJIRA</v>
      </c>
      <c r="B2" s="1742"/>
      <c r="C2" s="1742"/>
      <c r="D2" s="1742"/>
      <c r="E2" s="1742"/>
      <c r="F2" s="1742"/>
      <c r="G2" s="1742"/>
      <c r="H2" s="1742"/>
      <c r="I2" s="1742"/>
      <c r="J2" s="1742"/>
      <c r="K2" s="1742"/>
      <c r="L2" s="1742"/>
      <c r="M2" s="1742"/>
      <c r="N2" s="1742"/>
      <c r="O2" s="1742"/>
      <c r="P2" s="1743"/>
      <c r="Q2" s="412"/>
      <c r="R2" s="412"/>
    </row>
    <row r="3" spans="1:21" s="539" customFormat="1" ht="16.5" thickBot="1" x14ac:dyDescent="0.3">
      <c r="A3" s="1736" t="s">
        <v>1347</v>
      </c>
      <c r="B3" s="1737"/>
      <c r="C3" s="1737"/>
      <c r="D3" s="1737"/>
      <c r="E3" s="1737"/>
      <c r="F3" s="1737"/>
      <c r="G3" s="1737"/>
      <c r="H3" s="1737"/>
      <c r="I3" s="1737"/>
      <c r="J3" s="1737"/>
      <c r="K3" s="1737"/>
      <c r="L3" s="1737"/>
      <c r="M3" s="1737"/>
      <c r="N3" s="1737"/>
      <c r="O3" s="1737"/>
      <c r="P3" s="1738"/>
      <c r="Q3" s="412"/>
      <c r="R3" s="412"/>
    </row>
    <row r="4" spans="1:21" s="539" customFormat="1" ht="16.5" thickBot="1" x14ac:dyDescent="0.3">
      <c r="A4" s="1739" t="s">
        <v>1346</v>
      </c>
      <c r="B4" s="1740"/>
      <c r="C4" s="1740"/>
      <c r="D4" s="1740"/>
      <c r="E4" s="579" t="str">
        <f>'Datos Generales'!C6</f>
        <v>2021-I</v>
      </c>
      <c r="F4" s="579"/>
      <c r="G4" s="579"/>
      <c r="H4" s="579"/>
      <c r="I4" s="579"/>
      <c r="J4" s="579"/>
      <c r="K4" s="579"/>
      <c r="L4" s="581"/>
      <c r="M4" s="581"/>
      <c r="N4" s="581"/>
      <c r="O4" s="581"/>
      <c r="P4" s="582"/>
      <c r="Q4" s="412"/>
      <c r="R4" s="412"/>
    </row>
    <row r="5" spans="1:21" s="245" customFormat="1" ht="16.5" customHeight="1" thickBot="1" x14ac:dyDescent="0.3">
      <c r="A5" s="1736" t="s">
        <v>1067</v>
      </c>
      <c r="B5" s="1737"/>
      <c r="C5" s="1737"/>
      <c r="D5" s="1737"/>
      <c r="E5" s="1737"/>
      <c r="F5" s="1737"/>
      <c r="G5" s="1737"/>
      <c r="H5" s="1737"/>
      <c r="I5" s="1737"/>
      <c r="J5" s="1737"/>
      <c r="K5" s="1737"/>
      <c r="L5" s="1737"/>
      <c r="M5" s="1737"/>
      <c r="N5" s="1737"/>
      <c r="O5" s="1737"/>
      <c r="P5" s="1738"/>
    </row>
    <row r="6" spans="1:21" x14ac:dyDescent="0.25">
      <c r="B6" s="2" t="s">
        <v>1</v>
      </c>
      <c r="C6" s="76"/>
      <c r="D6" s="6"/>
      <c r="E6" s="74"/>
      <c r="F6" s="6" t="s">
        <v>128</v>
      </c>
      <c r="G6" s="6"/>
      <c r="H6" s="6"/>
      <c r="I6" s="6"/>
      <c r="J6" s="6"/>
      <c r="K6" s="6"/>
    </row>
    <row r="7" spans="1:21" ht="15.75" thickBot="1" x14ac:dyDescent="0.3">
      <c r="B7" s="75"/>
      <c r="C7" s="77"/>
      <c r="D7" s="6"/>
      <c r="E7" s="18"/>
      <c r="F7" s="6" t="s">
        <v>129</v>
      </c>
      <c r="G7" s="6"/>
      <c r="H7" s="6"/>
      <c r="I7" s="6"/>
      <c r="J7" s="6"/>
      <c r="K7" s="6"/>
    </row>
    <row r="8" spans="1:21" ht="15.75" thickBot="1" x14ac:dyDescent="0.3">
      <c r="B8" s="178" t="s">
        <v>1185</v>
      </c>
      <c r="C8" s="222">
        <v>2021</v>
      </c>
      <c r="D8" s="226">
        <f>IF(E10="NO APLICA","NO APLICA",IF(E11="NO SE REPORTA","SIN INFORMACION",+E30))</f>
        <v>0.96538461538461529</v>
      </c>
      <c r="E8" s="223"/>
      <c r="F8" s="6" t="s">
        <v>130</v>
      </c>
      <c r="G8" s="6"/>
      <c r="H8" s="6"/>
      <c r="I8" s="6"/>
      <c r="J8" s="6"/>
      <c r="K8" s="6"/>
    </row>
    <row r="9" spans="1:21" x14ac:dyDescent="0.25">
      <c r="B9" s="493" t="s">
        <v>1186</v>
      </c>
      <c r="D9" s="6"/>
      <c r="E9" s="6"/>
      <c r="F9" s="6"/>
      <c r="G9" s="6"/>
      <c r="H9" s="6"/>
      <c r="I9" s="6"/>
      <c r="J9" s="6"/>
      <c r="K9" s="6"/>
    </row>
    <row r="10" spans="1:21" s="412" customFormat="1" x14ac:dyDescent="0.25">
      <c r="A10" s="245"/>
      <c r="B10" s="1789" t="s">
        <v>1241</v>
      </c>
      <c r="C10" s="1789"/>
      <c r="D10" s="1789"/>
      <c r="E10" s="499" t="s">
        <v>1238</v>
      </c>
      <c r="F10" s="17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96"/>
      <c r="H10" s="1796"/>
      <c r="I10" s="1796"/>
      <c r="J10" s="1796"/>
      <c r="K10" s="1796"/>
      <c r="L10" s="1796"/>
      <c r="M10" s="1796"/>
      <c r="N10" s="1796"/>
      <c r="O10" s="1796"/>
      <c r="P10" s="1796"/>
      <c r="Q10" s="1796"/>
      <c r="R10" s="1796"/>
      <c r="S10" s="1796"/>
      <c r="T10" s="495"/>
      <c r="U10" s="495"/>
    </row>
    <row r="11" spans="1:21" s="412" customFormat="1" ht="14.45" customHeight="1" x14ac:dyDescent="0.25">
      <c r="A11" s="245"/>
      <c r="B11" s="496"/>
      <c r="C11" s="497"/>
      <c r="D11" s="498" t="str">
        <f>IF(E10="SI APLICA","¿El indicador no se reporta por limitaciones de información disponible? ","")</f>
        <v xml:space="preserve">¿El indicador no se reporta por limitaciones de información disponible? </v>
      </c>
      <c r="E11" s="500" t="s">
        <v>1240</v>
      </c>
      <c r="F11" s="1790"/>
      <c r="G11" s="1791"/>
      <c r="H11" s="1791"/>
      <c r="I11" s="1791"/>
      <c r="J11" s="1791"/>
      <c r="K11" s="1791"/>
      <c r="L11" s="1791"/>
      <c r="M11" s="1791"/>
      <c r="N11" s="1791"/>
      <c r="O11" s="1791"/>
      <c r="P11" s="1791"/>
      <c r="Q11" s="1791"/>
      <c r="R11" s="1791"/>
      <c r="S11" s="1791"/>
    </row>
    <row r="12" spans="1:21" s="412" customFormat="1" ht="23.45" customHeight="1" x14ac:dyDescent="0.25">
      <c r="A12" s="245"/>
      <c r="B12" s="493"/>
      <c r="C12" s="304"/>
      <c r="D12" s="498" t="str">
        <f>IF(E11="SI SE REPORTA","¿Qué programas o proyectos del Plan de Acción están asociados al indicador? ","")</f>
        <v xml:space="preserve">¿Qué programas o proyectos del Plan de Acción están asociados al indicador? </v>
      </c>
      <c r="E12" s="1797" t="str">
        <f>'Anexo 1 Matriz Inf Gestión'!A9</f>
        <v>Proyecto No 1.1.Planificación, Ordenamiento e Información Ambiental Territorial (1)</v>
      </c>
      <c r="F12" s="1797"/>
      <c r="G12" s="1797"/>
      <c r="H12" s="1797"/>
      <c r="I12" s="1797"/>
      <c r="J12" s="1797"/>
      <c r="K12" s="1798" t="str">
        <f>'Anexo 1 Matriz Inf Gestión'!A179</f>
        <v>Programa No 6. Autoridad Ambiental</v>
      </c>
      <c r="L12" s="1798"/>
      <c r="M12" s="1798"/>
      <c r="N12" s="1798"/>
      <c r="O12" s="1798"/>
      <c r="P12" s="1798"/>
      <c r="Q12" s="1798"/>
      <c r="R12" s="1798"/>
    </row>
    <row r="13" spans="1:21" s="412" customFormat="1" ht="21.95" customHeight="1" x14ac:dyDescent="0.25">
      <c r="A13" s="245"/>
      <c r="B13" s="493"/>
      <c r="C13" s="304"/>
      <c r="D13" s="498" t="s">
        <v>1243</v>
      </c>
      <c r="E13" s="1792" t="s">
        <v>3057</v>
      </c>
      <c r="F13" s="1793"/>
      <c r="G13" s="1793"/>
      <c r="H13" s="1793"/>
      <c r="I13" s="1793"/>
      <c r="J13" s="1793"/>
      <c r="K13" s="1793"/>
      <c r="L13" s="1793"/>
      <c r="M13" s="1793"/>
      <c r="N13" s="1793"/>
      <c r="O13" s="1793"/>
      <c r="P13" s="1793"/>
      <c r="Q13" s="1793"/>
      <c r="R13" s="1794"/>
    </row>
    <row r="14" spans="1:21" s="412" customFormat="1" ht="6.95" customHeight="1" thickBot="1" x14ac:dyDescent="0.3">
      <c r="B14" s="493"/>
      <c r="C14" s="87"/>
      <c r="D14" s="6"/>
      <c r="E14" s="6"/>
      <c r="F14" s="6"/>
      <c r="G14" s="6"/>
      <c r="H14" s="6"/>
      <c r="I14" s="6"/>
      <c r="J14" s="6"/>
      <c r="K14" s="6"/>
    </row>
    <row r="15" spans="1:21" x14ac:dyDescent="0.25">
      <c r="B15" s="1826" t="s">
        <v>2</v>
      </c>
      <c r="C15" s="89"/>
      <c r="D15" s="2044" t="s">
        <v>1081</v>
      </c>
      <c r="E15" s="2045"/>
      <c r="F15" s="2045"/>
      <c r="G15" s="2045"/>
      <c r="H15" s="2001"/>
      <c r="I15" s="6"/>
      <c r="J15" s="6"/>
      <c r="K15" s="6"/>
      <c r="L15" s="6"/>
      <c r="M15" s="6"/>
      <c r="N15" s="6"/>
      <c r="O15" s="6"/>
    </row>
    <row r="16" spans="1:21" x14ac:dyDescent="0.25">
      <c r="B16" s="1827"/>
      <c r="C16" s="92"/>
      <c r="D16" s="1840" t="s">
        <v>1099</v>
      </c>
      <c r="E16" s="1841"/>
      <c r="F16" s="1841"/>
      <c r="G16" s="1841"/>
      <c r="H16" s="1842"/>
      <c r="I16" s="6"/>
      <c r="J16" s="6"/>
      <c r="K16" s="6"/>
      <c r="L16" s="6"/>
      <c r="M16" s="6"/>
      <c r="N16" s="6"/>
      <c r="O16" s="6"/>
    </row>
    <row r="17" spans="1:15" ht="15.75" thickBot="1" x14ac:dyDescent="0.3">
      <c r="B17" s="1827"/>
      <c r="C17" s="92"/>
      <c r="D17" s="1881" t="s">
        <v>3</v>
      </c>
      <c r="E17" s="1882"/>
      <c r="F17" s="1882"/>
      <c r="G17" s="1882"/>
      <c r="H17" s="1883"/>
      <c r="I17" s="6"/>
      <c r="J17" s="6"/>
      <c r="K17" s="6"/>
      <c r="L17" s="6"/>
      <c r="M17" s="6"/>
      <c r="N17" s="6"/>
      <c r="O17" s="6"/>
    </row>
    <row r="18" spans="1:15" ht="15.75" thickBot="1" x14ac:dyDescent="0.3">
      <c r="B18" s="1827"/>
      <c r="C18" s="98" t="s">
        <v>19</v>
      </c>
      <c r="D18" s="39" t="s">
        <v>1100</v>
      </c>
      <c r="E18" s="39" t="s">
        <v>1101</v>
      </c>
      <c r="F18" s="39" t="s">
        <v>1102</v>
      </c>
      <c r="G18" s="39" t="s">
        <v>1103</v>
      </c>
      <c r="H18" s="116"/>
      <c r="I18" s="6"/>
      <c r="J18" s="6"/>
      <c r="K18" s="6"/>
      <c r="L18" s="6"/>
      <c r="M18" s="6"/>
      <c r="N18" s="6"/>
      <c r="O18" s="6"/>
    </row>
    <row r="19" spans="1:15" ht="24.75" thickBot="1" x14ac:dyDescent="0.3">
      <c r="B19" s="1827"/>
      <c r="C19" s="3" t="s">
        <v>152</v>
      </c>
      <c r="D19" s="129" t="s">
        <v>1104</v>
      </c>
      <c r="E19" s="153">
        <v>1600</v>
      </c>
      <c r="F19" s="153">
        <v>190</v>
      </c>
      <c r="G19" s="153">
        <v>86</v>
      </c>
      <c r="H19" s="117"/>
      <c r="I19" s="6"/>
      <c r="J19" s="6"/>
      <c r="K19" s="6"/>
      <c r="L19" s="6"/>
      <c r="M19" s="6"/>
      <c r="N19" s="6"/>
      <c r="O19" s="6"/>
    </row>
    <row r="20" spans="1:15" ht="24.75" thickBot="1" x14ac:dyDescent="0.3">
      <c r="B20" s="1827"/>
      <c r="C20" s="3" t="s">
        <v>154</v>
      </c>
      <c r="D20" s="129" t="s">
        <v>1105</v>
      </c>
      <c r="E20" s="153">
        <v>1600</v>
      </c>
      <c r="F20" s="153">
        <v>190</v>
      </c>
      <c r="G20" s="153">
        <v>104</v>
      </c>
      <c r="H20" s="117"/>
      <c r="I20" s="6"/>
      <c r="J20" s="6"/>
      <c r="K20" s="6"/>
      <c r="L20" s="6"/>
      <c r="M20" s="6"/>
      <c r="N20" s="6"/>
      <c r="O20" s="6"/>
    </row>
    <row r="21" spans="1:15" ht="24.75" thickBot="1" x14ac:dyDescent="0.3">
      <c r="B21" s="1827"/>
      <c r="C21" s="3" t="s">
        <v>156</v>
      </c>
      <c r="D21" s="129" t="s">
        <v>1106</v>
      </c>
      <c r="E21" s="154">
        <f>IFERROR(E19/E20,"N.A")</f>
        <v>1</v>
      </c>
      <c r="F21" s="154">
        <f>IFERROR(F19/F20,"N.A")</f>
        <v>1</v>
      </c>
      <c r="G21" s="154">
        <f>IFERROR(G19/G20,"N.A")</f>
        <v>0.82692307692307687</v>
      </c>
      <c r="H21" s="118"/>
      <c r="I21" s="6"/>
      <c r="J21" s="6" t="s">
        <v>1195</v>
      </c>
      <c r="K21" s="6"/>
      <c r="L21" s="6"/>
      <c r="M21" s="6"/>
      <c r="N21" s="6"/>
      <c r="O21" s="6"/>
    </row>
    <row r="22" spans="1:15" x14ac:dyDescent="0.25">
      <c r="B22" s="1827"/>
      <c r="C22" s="92"/>
      <c r="D22" s="1837"/>
      <c r="E22" s="1838"/>
      <c r="F22" s="1838"/>
      <c r="G22" s="1838"/>
      <c r="H22" s="1839"/>
      <c r="I22" s="6"/>
      <c r="J22" s="6"/>
      <c r="K22" s="6"/>
      <c r="L22" s="6"/>
      <c r="M22" s="6"/>
      <c r="N22" s="6"/>
      <c r="O22" s="6"/>
    </row>
    <row r="23" spans="1:15" ht="24" customHeight="1" thickBot="1" x14ac:dyDescent="0.3">
      <c r="B23" s="1827"/>
      <c r="C23" s="92"/>
      <c r="D23" s="1840" t="s">
        <v>1094</v>
      </c>
      <c r="E23" s="1841"/>
      <c r="F23" s="1841"/>
      <c r="G23" s="1841"/>
      <c r="H23" s="1842"/>
      <c r="I23" s="6"/>
      <c r="J23" s="6"/>
      <c r="K23" s="6"/>
      <c r="L23" s="6"/>
      <c r="M23" s="6"/>
      <c r="N23" s="6"/>
      <c r="O23" s="6"/>
    </row>
    <row r="24" spans="1:15" ht="15.75" thickBot="1" x14ac:dyDescent="0.3">
      <c r="B24" s="1827"/>
      <c r="C24" s="98" t="s">
        <v>19</v>
      </c>
      <c r="D24" s="39" t="s">
        <v>1100</v>
      </c>
      <c r="E24" s="39" t="s">
        <v>1107</v>
      </c>
      <c r="F24" s="39" t="s">
        <v>1108</v>
      </c>
      <c r="H24" s="22"/>
      <c r="I24" s="6"/>
      <c r="J24" s="6"/>
      <c r="K24" s="6"/>
      <c r="L24" s="6"/>
      <c r="M24" s="6"/>
      <c r="N24" s="6"/>
      <c r="O24" s="6"/>
    </row>
    <row r="25" spans="1:15" ht="24.75" thickBot="1" x14ac:dyDescent="0.3">
      <c r="B25" s="1827"/>
      <c r="C25" s="3" t="s">
        <v>152</v>
      </c>
      <c r="D25" s="129" t="s">
        <v>1109</v>
      </c>
      <c r="E25" s="153">
        <v>189</v>
      </c>
      <c r="F25" s="153">
        <v>9</v>
      </c>
      <c r="H25" s="22"/>
      <c r="I25" s="6"/>
      <c r="J25" s="6"/>
      <c r="K25" s="6"/>
      <c r="L25" s="6"/>
      <c r="M25" s="6"/>
      <c r="N25" s="6"/>
      <c r="O25" s="6"/>
    </row>
    <row r="26" spans="1:15" ht="24.75" thickBot="1" x14ac:dyDescent="0.3">
      <c r="B26" s="1827"/>
      <c r="C26" s="3" t="s">
        <v>154</v>
      </c>
      <c r="D26" s="129" t="s">
        <v>1110</v>
      </c>
      <c r="E26" s="153">
        <v>189</v>
      </c>
      <c r="F26" s="153">
        <v>9</v>
      </c>
      <c r="H26" s="22"/>
      <c r="I26" s="6"/>
      <c r="J26" s="6"/>
      <c r="K26" s="6"/>
      <c r="L26" s="6"/>
      <c r="M26" s="6"/>
      <c r="N26" s="6"/>
      <c r="O26" s="6"/>
    </row>
    <row r="27" spans="1:15" ht="24.75" thickBot="1" x14ac:dyDescent="0.3">
      <c r="B27" s="1827"/>
      <c r="C27" s="130" t="s">
        <v>156</v>
      </c>
      <c r="D27" s="129" t="s">
        <v>1180</v>
      </c>
      <c r="E27" s="154">
        <f>IFERROR(E25/E26,"N.A.")</f>
        <v>1</v>
      </c>
      <c r="F27" s="154">
        <f>IFERROR(F25/F26,"N.A.")</f>
        <v>1</v>
      </c>
      <c r="H27" s="22"/>
      <c r="I27" s="6"/>
      <c r="J27" s="6" t="s">
        <v>1195</v>
      </c>
      <c r="K27" s="6"/>
    </row>
    <row r="28" spans="1:15" ht="15.75" thickBot="1" x14ac:dyDescent="0.3">
      <c r="B28" s="1828"/>
      <c r="C28" s="130"/>
      <c r="D28" s="128"/>
      <c r="E28" s="128"/>
      <c r="F28" s="128"/>
      <c r="G28" s="128"/>
      <c r="H28" s="24"/>
      <c r="I28" s="6"/>
      <c r="J28" s="6"/>
      <c r="K28" s="6"/>
    </row>
    <row r="29" spans="1:15" s="412" customFormat="1" ht="15.75" thickBot="1" x14ac:dyDescent="0.3">
      <c r="A29" s="6"/>
      <c r="B29" s="6"/>
      <c r="C29" s="6"/>
      <c r="D29" s="6"/>
      <c r="E29" s="6"/>
      <c r="F29" s="6"/>
      <c r="G29" s="6"/>
      <c r="H29" s="6"/>
      <c r="I29" s="6"/>
      <c r="J29" s="6"/>
      <c r="K29" s="6"/>
    </row>
    <row r="30" spans="1:15" s="412" customFormat="1" ht="25.7" customHeight="1" thickBot="1" x14ac:dyDescent="0.3">
      <c r="A30" s="6"/>
      <c r="B30" s="6"/>
      <c r="C30" s="6"/>
      <c r="D30" s="52" t="s">
        <v>1236</v>
      </c>
      <c r="E30" s="154">
        <f>AVERAGE(E21:G21,E27:F27)</f>
        <v>0.96538461538461529</v>
      </c>
      <c r="F30" s="431"/>
      <c r="G30" s="431"/>
      <c r="H30" s="429"/>
      <c r="I30" s="6"/>
      <c r="J30" s="6"/>
      <c r="K30" s="6"/>
    </row>
    <row r="31" spans="1:15" s="412" customFormat="1" x14ac:dyDescent="0.25">
      <c r="A31" s="6"/>
      <c r="B31" s="6"/>
      <c r="C31" s="6"/>
      <c r="D31" s="6"/>
      <c r="E31" s="6"/>
      <c r="F31" s="6"/>
      <c r="G31" s="6"/>
      <c r="H31" s="6"/>
      <c r="I31" s="6"/>
      <c r="J31" s="6"/>
      <c r="K31" s="6"/>
    </row>
    <row r="32" spans="1:15" s="412" customFormat="1" ht="15.75" thickBot="1" x14ac:dyDescent="0.3">
      <c r="A32" s="6"/>
      <c r="B32" s="6"/>
      <c r="C32" s="6"/>
      <c r="D32" s="6"/>
      <c r="E32" s="6"/>
      <c r="F32" s="6"/>
      <c r="G32" s="6"/>
      <c r="H32" s="6"/>
      <c r="I32" s="6"/>
      <c r="J32" s="6"/>
      <c r="K32" s="6"/>
    </row>
    <row r="33" spans="2:11" ht="36" customHeight="1" thickBot="1" x14ac:dyDescent="0.3">
      <c r="B33" s="52" t="s">
        <v>34</v>
      </c>
      <c r="C33" s="430"/>
      <c r="D33" s="1832" t="s">
        <v>1111</v>
      </c>
      <c r="E33" s="1833"/>
      <c r="F33" s="1833"/>
      <c r="G33" s="1833"/>
      <c r="H33" s="1834"/>
      <c r="I33" s="6"/>
      <c r="J33" s="6"/>
      <c r="K33" s="6"/>
    </row>
    <row r="34" spans="2:11" ht="48" customHeight="1" thickBot="1" x14ac:dyDescent="0.3">
      <c r="B34" s="47" t="s">
        <v>36</v>
      </c>
      <c r="C34" s="93"/>
      <c r="D34" s="1832" t="s">
        <v>1112</v>
      </c>
      <c r="E34" s="1833"/>
      <c r="F34" s="1833"/>
      <c r="G34" s="1833"/>
      <c r="H34" s="1834"/>
      <c r="I34" s="6"/>
      <c r="J34" s="6"/>
      <c r="K34" s="6"/>
    </row>
    <row r="35" spans="2:11" ht="15.75" thickBot="1" x14ac:dyDescent="0.3">
      <c r="B35" s="2"/>
      <c r="C35" s="76"/>
      <c r="D35" s="6"/>
      <c r="E35" s="6"/>
      <c r="F35" s="6"/>
      <c r="G35" s="6"/>
      <c r="H35" s="6"/>
      <c r="I35" s="6"/>
      <c r="J35" s="6"/>
      <c r="K35" s="6"/>
    </row>
    <row r="36" spans="2:11" ht="24" customHeight="1" thickBot="1" x14ac:dyDescent="0.3">
      <c r="B36" s="1829" t="s">
        <v>38</v>
      </c>
      <c r="C36" s="1830"/>
      <c r="D36" s="1830"/>
      <c r="E36" s="1831"/>
      <c r="F36" s="6"/>
      <c r="G36" s="6"/>
      <c r="H36" s="6"/>
      <c r="I36" s="6"/>
      <c r="J36" s="6"/>
      <c r="K36" s="6"/>
    </row>
    <row r="37" spans="2:11" ht="15.75" thickBot="1" x14ac:dyDescent="0.3">
      <c r="B37" s="1826">
        <v>1</v>
      </c>
      <c r="C37" s="94"/>
      <c r="D37" s="48" t="s">
        <v>39</v>
      </c>
      <c r="E37" s="167" t="s">
        <v>2849</v>
      </c>
      <c r="F37" s="6"/>
      <c r="G37" s="6"/>
      <c r="H37" s="6"/>
      <c r="I37" s="6"/>
      <c r="J37" s="6"/>
      <c r="K37" s="6"/>
    </row>
    <row r="38" spans="2:11" ht="15.75" thickBot="1" x14ac:dyDescent="0.3">
      <c r="B38" s="1827"/>
      <c r="C38" s="94"/>
      <c r="D38" s="41" t="s">
        <v>40</v>
      </c>
      <c r="E38" s="167" t="s">
        <v>3112</v>
      </c>
      <c r="F38" s="6"/>
      <c r="G38" s="6"/>
      <c r="H38" s="6"/>
      <c r="I38" s="6"/>
      <c r="J38" s="6"/>
      <c r="K38" s="6"/>
    </row>
    <row r="39" spans="2:11" ht="15.75" thickBot="1" x14ac:dyDescent="0.3">
      <c r="B39" s="1827"/>
      <c r="C39" s="94"/>
      <c r="D39" s="41" t="s">
        <v>41</v>
      </c>
      <c r="E39" s="167" t="s">
        <v>3334</v>
      </c>
      <c r="F39" s="6"/>
      <c r="G39" s="6"/>
      <c r="H39" s="6"/>
      <c r="I39" s="6"/>
      <c r="J39" s="6"/>
      <c r="K39" s="6"/>
    </row>
    <row r="40" spans="2:11" ht="15.75" thickBot="1" x14ac:dyDescent="0.3">
      <c r="B40" s="1827"/>
      <c r="C40" s="94"/>
      <c r="D40" s="41" t="s">
        <v>42</v>
      </c>
      <c r="E40" s="167" t="s">
        <v>3113</v>
      </c>
      <c r="F40" s="6"/>
      <c r="G40" s="6"/>
      <c r="H40" s="6"/>
      <c r="I40" s="6"/>
      <c r="J40" s="6"/>
      <c r="K40" s="6"/>
    </row>
    <row r="41" spans="2:11" ht="15.75" thickBot="1" x14ac:dyDescent="0.3">
      <c r="B41" s="1827"/>
      <c r="C41" s="94"/>
      <c r="D41" s="41" t="s">
        <v>43</v>
      </c>
      <c r="E41" s="167" t="s">
        <v>3114</v>
      </c>
      <c r="F41" s="6"/>
      <c r="G41" s="6"/>
      <c r="H41" s="6"/>
      <c r="I41" s="6"/>
      <c r="J41" s="6"/>
      <c r="K41" s="6"/>
    </row>
    <row r="42" spans="2:11" ht="15.75" thickBot="1" x14ac:dyDescent="0.3">
      <c r="B42" s="1827"/>
      <c r="C42" s="94"/>
      <c r="D42" s="41" t="s">
        <v>44</v>
      </c>
      <c r="E42" s="167" t="s">
        <v>3115</v>
      </c>
      <c r="F42" s="6"/>
      <c r="G42" s="6"/>
      <c r="H42" s="6"/>
      <c r="I42" s="6"/>
      <c r="J42" s="6"/>
      <c r="K42" s="6"/>
    </row>
    <row r="43" spans="2:11" ht="15.75" thickBot="1" x14ac:dyDescent="0.3">
      <c r="B43" s="1828"/>
      <c r="C43" s="3"/>
      <c r="D43" s="41" t="s">
        <v>45</v>
      </c>
      <c r="E43" s="167" t="s">
        <v>2870</v>
      </c>
      <c r="F43" s="6"/>
      <c r="G43" s="6"/>
      <c r="H43" s="6"/>
      <c r="I43" s="6"/>
      <c r="J43" s="6"/>
      <c r="K43" s="6"/>
    </row>
    <row r="44" spans="2:11" ht="15.75" thickBot="1" x14ac:dyDescent="0.3">
      <c r="B44" s="2"/>
      <c r="C44" s="76"/>
      <c r="D44" s="6"/>
      <c r="E44" s="6"/>
      <c r="F44" s="6"/>
      <c r="G44" s="6"/>
      <c r="H44" s="6"/>
      <c r="I44" s="6"/>
      <c r="J44" s="6"/>
      <c r="K44" s="6"/>
    </row>
    <row r="45" spans="2:11" ht="15.75" thickBot="1" x14ac:dyDescent="0.3">
      <c r="B45" s="1829" t="s">
        <v>46</v>
      </c>
      <c r="C45" s="1830"/>
      <c r="D45" s="1830"/>
      <c r="E45" s="1831"/>
      <c r="F45" s="6"/>
      <c r="G45" s="6"/>
      <c r="H45" s="6"/>
      <c r="I45" s="6"/>
      <c r="J45" s="6"/>
      <c r="K45" s="6"/>
    </row>
    <row r="46" spans="2:11" ht="15.75" thickBot="1" x14ac:dyDescent="0.3">
      <c r="B46" s="1826">
        <v>1</v>
      </c>
      <c r="C46" s="94"/>
      <c r="D46" s="48" t="s">
        <v>39</v>
      </c>
      <c r="E46" s="19" t="s">
        <v>47</v>
      </c>
      <c r="F46" s="6"/>
      <c r="G46" s="6"/>
      <c r="H46" s="6"/>
      <c r="I46" s="6"/>
      <c r="J46" s="6"/>
      <c r="K46" s="6"/>
    </row>
    <row r="47" spans="2:11" ht="15.75" thickBot="1" x14ac:dyDescent="0.3">
      <c r="B47" s="1827"/>
      <c r="C47" s="94"/>
      <c r="D47" s="41" t="s">
        <v>40</v>
      </c>
      <c r="E47" s="19" t="s">
        <v>160</v>
      </c>
      <c r="F47" s="6"/>
      <c r="G47" s="6"/>
      <c r="H47" s="6"/>
      <c r="I47" s="6"/>
      <c r="J47" s="6"/>
      <c r="K47" s="6"/>
    </row>
    <row r="48" spans="2:11" ht="15.75" thickBot="1" x14ac:dyDescent="0.3">
      <c r="B48" s="1827"/>
      <c r="C48" s="94"/>
      <c r="D48" s="41" t="s">
        <v>41</v>
      </c>
      <c r="E48" s="172"/>
      <c r="F48" s="6"/>
      <c r="G48" s="6"/>
      <c r="H48" s="6"/>
      <c r="I48" s="6"/>
      <c r="J48" s="6"/>
      <c r="K48" s="6"/>
    </row>
    <row r="49" spans="2:11" ht="15.75" thickBot="1" x14ac:dyDescent="0.3">
      <c r="B49" s="1827"/>
      <c r="C49" s="94"/>
      <c r="D49" s="41" t="s">
        <v>42</v>
      </c>
      <c r="E49" s="172"/>
      <c r="F49" s="6"/>
      <c r="G49" s="6"/>
      <c r="H49" s="6"/>
      <c r="I49" s="6"/>
      <c r="J49" s="6"/>
      <c r="K49" s="6"/>
    </row>
    <row r="50" spans="2:11" ht="15.75" thickBot="1" x14ac:dyDescent="0.3">
      <c r="B50" s="1827"/>
      <c r="C50" s="94"/>
      <c r="D50" s="41" t="s">
        <v>43</v>
      </c>
      <c r="E50" s="172"/>
      <c r="F50" s="6"/>
      <c r="G50" s="6"/>
      <c r="H50" s="6"/>
      <c r="I50" s="6"/>
      <c r="J50" s="6"/>
      <c r="K50" s="6"/>
    </row>
    <row r="51" spans="2:11" ht="15.75" thickBot="1" x14ac:dyDescent="0.3">
      <c r="B51" s="1827"/>
      <c r="C51" s="94"/>
      <c r="D51" s="41" t="s">
        <v>44</v>
      </c>
      <c r="E51" s="172"/>
      <c r="F51" s="6"/>
      <c r="G51" s="6"/>
      <c r="H51" s="6"/>
      <c r="I51" s="6"/>
      <c r="J51" s="6"/>
      <c r="K51" s="6"/>
    </row>
    <row r="52" spans="2:11" ht="15.75" thickBot="1" x14ac:dyDescent="0.3">
      <c r="B52" s="1828"/>
      <c r="C52" s="3"/>
      <c r="D52" s="41" t="s">
        <v>45</v>
      </c>
      <c r="E52" s="172"/>
      <c r="F52" s="6"/>
      <c r="G52" s="6"/>
      <c r="H52" s="6"/>
      <c r="I52" s="6"/>
      <c r="J52" s="6"/>
      <c r="K52" s="6"/>
    </row>
    <row r="53" spans="2:11" ht="15.75" thickBot="1" x14ac:dyDescent="0.3">
      <c r="B53" s="2"/>
      <c r="C53" s="76"/>
      <c r="D53" s="6"/>
      <c r="E53" s="6"/>
      <c r="F53" s="6"/>
      <c r="G53" s="6"/>
      <c r="H53" s="6"/>
      <c r="I53" s="6"/>
      <c r="J53" s="6"/>
      <c r="K53" s="6"/>
    </row>
    <row r="54" spans="2:11" ht="15" customHeight="1" thickBot="1" x14ac:dyDescent="0.3">
      <c r="B54" s="125" t="s">
        <v>49</v>
      </c>
      <c r="C54" s="126"/>
      <c r="D54" s="126"/>
      <c r="E54" s="127"/>
      <c r="G54" s="6"/>
      <c r="H54" s="6"/>
      <c r="I54" s="6"/>
      <c r="J54" s="6"/>
      <c r="K54" s="6"/>
    </row>
    <row r="55" spans="2:11" ht="24.75" thickBot="1" x14ac:dyDescent="0.3">
      <c r="B55" s="47" t="s">
        <v>50</v>
      </c>
      <c r="C55" s="41" t="s">
        <v>51</v>
      </c>
      <c r="D55" s="41" t="s">
        <v>52</v>
      </c>
      <c r="E55" s="41" t="s">
        <v>53</v>
      </c>
      <c r="F55" s="6"/>
      <c r="G55" s="6"/>
      <c r="H55" s="6"/>
      <c r="I55" s="6"/>
      <c r="J55" s="6"/>
    </row>
    <row r="56" spans="2:11" ht="60.75" thickBot="1" x14ac:dyDescent="0.3">
      <c r="B56" s="49">
        <v>42401</v>
      </c>
      <c r="C56" s="41">
        <v>0.01</v>
      </c>
      <c r="D56" s="50" t="s">
        <v>1113</v>
      </c>
      <c r="E56" s="41"/>
      <c r="F56" s="6"/>
      <c r="G56" s="6"/>
      <c r="H56" s="6"/>
      <c r="I56" s="6"/>
      <c r="J56" s="6"/>
    </row>
    <row r="57" spans="2:11" ht="15.75" thickBot="1" x14ac:dyDescent="0.3">
      <c r="B57" s="4"/>
      <c r="C57" s="95"/>
      <c r="D57" s="6"/>
      <c r="E57" s="6"/>
      <c r="F57" s="6"/>
      <c r="G57" s="6"/>
      <c r="H57" s="6"/>
      <c r="I57" s="6"/>
      <c r="J57" s="6"/>
      <c r="K57" s="6"/>
    </row>
    <row r="58" spans="2:11" ht="15.75" thickBot="1" x14ac:dyDescent="0.3">
      <c r="B58" s="135" t="s">
        <v>55</v>
      </c>
      <c r="C58" s="96"/>
      <c r="D58" s="6"/>
      <c r="E58" s="6"/>
      <c r="F58" s="6"/>
      <c r="G58" s="6"/>
      <c r="H58" s="6"/>
      <c r="I58" s="6"/>
      <c r="J58" s="6"/>
      <c r="K58" s="6"/>
    </row>
    <row r="59" spans="2:11" x14ac:dyDescent="0.25">
      <c r="B59" s="1972"/>
      <c r="C59" s="1973"/>
      <c r="D59" s="1973"/>
      <c r="E59" s="1974"/>
      <c r="F59" s="6"/>
      <c r="G59" s="6"/>
      <c r="H59" s="6"/>
      <c r="I59" s="6"/>
      <c r="J59" s="6"/>
      <c r="K59" s="6"/>
    </row>
    <row r="60" spans="2:11" ht="15.75" thickBot="1" x14ac:dyDescent="0.3">
      <c r="B60" s="1975"/>
      <c r="C60" s="1976"/>
      <c r="D60" s="1976"/>
      <c r="E60" s="1977"/>
      <c r="F60" s="6"/>
      <c r="G60" s="6"/>
      <c r="H60" s="6"/>
      <c r="I60" s="6"/>
      <c r="J60" s="6"/>
      <c r="K60" s="6"/>
    </row>
    <row r="61" spans="2:11" ht="15.75" thickBot="1" x14ac:dyDescent="0.3">
      <c r="B61" s="6"/>
      <c r="D61" s="6"/>
      <c r="E61" s="6"/>
      <c r="F61" s="6"/>
      <c r="G61" s="6"/>
      <c r="H61" s="6"/>
      <c r="I61" s="6"/>
      <c r="J61" s="6"/>
      <c r="K61" s="6"/>
    </row>
    <row r="62" spans="2:11" ht="24.75" thickBot="1" x14ac:dyDescent="0.3">
      <c r="B62" s="51" t="s">
        <v>56</v>
      </c>
      <c r="C62" s="97"/>
      <c r="D62" s="6"/>
      <c r="E62" s="6"/>
      <c r="F62" s="6"/>
      <c r="G62" s="6"/>
      <c r="H62" s="6"/>
      <c r="I62" s="6"/>
      <c r="J62" s="6"/>
      <c r="K62" s="6"/>
    </row>
    <row r="63" spans="2:11" ht="15.75" thickBot="1" x14ac:dyDescent="0.3">
      <c r="B63" s="2"/>
      <c r="C63" s="76"/>
      <c r="D63" s="6"/>
      <c r="E63" s="6"/>
      <c r="F63" s="6"/>
      <c r="G63" s="6"/>
      <c r="H63" s="6"/>
      <c r="I63" s="6"/>
      <c r="J63" s="6"/>
      <c r="K63" s="6"/>
    </row>
    <row r="64" spans="2:11" ht="60.75" thickBot="1" x14ac:dyDescent="0.3">
      <c r="B64" s="52" t="s">
        <v>57</v>
      </c>
      <c r="C64" s="98"/>
      <c r="D64" s="43" t="s">
        <v>1068</v>
      </c>
      <c r="E64" s="6"/>
      <c r="F64" s="6"/>
      <c r="G64" s="6"/>
      <c r="H64" s="6"/>
      <c r="I64" s="6"/>
      <c r="J64" s="6"/>
      <c r="K64" s="6"/>
    </row>
    <row r="65" spans="2:11" x14ac:dyDescent="0.25">
      <c r="B65" s="1826" t="s">
        <v>59</v>
      </c>
      <c r="C65" s="94"/>
      <c r="D65" s="53" t="s">
        <v>60</v>
      </c>
      <c r="E65" s="6"/>
      <c r="F65" s="6"/>
      <c r="G65" s="6"/>
      <c r="H65" s="6"/>
      <c r="I65" s="6"/>
      <c r="J65" s="6"/>
      <c r="K65" s="6"/>
    </row>
    <row r="66" spans="2:11" ht="48" x14ac:dyDescent="0.25">
      <c r="B66" s="1827"/>
      <c r="C66" s="94"/>
      <c r="D66" s="46" t="s">
        <v>1069</v>
      </c>
      <c r="E66" s="6"/>
      <c r="F66" s="6"/>
      <c r="G66" s="6"/>
      <c r="H66" s="6"/>
      <c r="I66" s="6"/>
      <c r="J66" s="6"/>
      <c r="K66" s="6"/>
    </row>
    <row r="67" spans="2:11" x14ac:dyDescent="0.25">
      <c r="B67" s="1827"/>
      <c r="C67" s="94"/>
      <c r="D67" s="53" t="s">
        <v>134</v>
      </c>
      <c r="E67" s="6"/>
      <c r="F67" s="6"/>
      <c r="G67" s="6"/>
      <c r="H67" s="6"/>
      <c r="I67" s="6"/>
      <c r="J67" s="6"/>
      <c r="K67" s="6"/>
    </row>
    <row r="68" spans="2:11" x14ac:dyDescent="0.25">
      <c r="B68" s="1827"/>
      <c r="C68" s="94"/>
      <c r="D68" s="46" t="s">
        <v>65</v>
      </c>
      <c r="E68" s="6"/>
      <c r="F68" s="6"/>
      <c r="G68" s="6"/>
      <c r="H68" s="6"/>
      <c r="I68" s="6"/>
      <c r="J68" s="6"/>
      <c r="K68" s="6"/>
    </row>
    <row r="69" spans="2:11" x14ac:dyDescent="0.25">
      <c r="B69" s="1827"/>
      <c r="C69" s="94"/>
      <c r="D69" s="46" t="s">
        <v>997</v>
      </c>
      <c r="E69" s="6"/>
      <c r="F69" s="6"/>
      <c r="G69" s="6"/>
      <c r="H69" s="6"/>
      <c r="I69" s="6"/>
      <c r="J69" s="6"/>
      <c r="K69" s="6"/>
    </row>
    <row r="70" spans="2:11" ht="48" x14ac:dyDescent="0.25">
      <c r="B70" s="1827"/>
      <c r="C70" s="94"/>
      <c r="D70" s="46" t="s">
        <v>998</v>
      </c>
      <c r="E70" s="6"/>
      <c r="F70" s="6"/>
      <c r="G70" s="6"/>
      <c r="H70" s="6"/>
      <c r="I70" s="6"/>
      <c r="J70" s="6"/>
      <c r="K70" s="6"/>
    </row>
    <row r="71" spans="2:11" ht="24" x14ac:dyDescent="0.25">
      <c r="B71" s="1827"/>
      <c r="C71" s="94"/>
      <c r="D71" s="46" t="s">
        <v>1070</v>
      </c>
      <c r="E71" s="6"/>
      <c r="F71" s="6"/>
      <c r="G71" s="6"/>
      <c r="H71" s="6"/>
      <c r="I71" s="6"/>
      <c r="J71" s="6"/>
      <c r="K71" s="6"/>
    </row>
    <row r="72" spans="2:11" x14ac:dyDescent="0.25">
      <c r="B72" s="1827"/>
      <c r="C72" s="94"/>
      <c r="D72" s="46" t="s">
        <v>1071</v>
      </c>
      <c r="E72" s="6"/>
      <c r="F72" s="6"/>
      <c r="G72" s="6"/>
      <c r="H72" s="6"/>
      <c r="I72" s="6"/>
      <c r="J72" s="6"/>
      <c r="K72" s="6"/>
    </row>
    <row r="73" spans="2:11" x14ac:dyDescent="0.25">
      <c r="B73" s="1827"/>
      <c r="C73" s="94"/>
      <c r="D73" s="53" t="s">
        <v>1072</v>
      </c>
      <c r="E73" s="6"/>
      <c r="F73" s="6"/>
      <c r="G73" s="6"/>
      <c r="H73" s="6"/>
      <c r="I73" s="6"/>
      <c r="J73" s="6"/>
      <c r="K73" s="6"/>
    </row>
    <row r="74" spans="2:11" ht="60" x14ac:dyDescent="0.25">
      <c r="B74" s="1827"/>
      <c r="C74" s="94"/>
      <c r="D74" s="46" t="s">
        <v>1073</v>
      </c>
      <c r="E74" s="6"/>
      <c r="F74" s="6"/>
      <c r="G74" s="6"/>
      <c r="H74" s="6"/>
      <c r="I74" s="6"/>
      <c r="J74" s="6"/>
      <c r="K74" s="6"/>
    </row>
    <row r="75" spans="2:11" x14ac:dyDescent="0.25">
      <c r="B75" s="1827"/>
      <c r="C75" s="94"/>
      <c r="D75" s="55" t="s">
        <v>999</v>
      </c>
      <c r="E75" s="6"/>
      <c r="F75" s="6"/>
      <c r="G75" s="6"/>
      <c r="H75" s="6"/>
      <c r="I75" s="6"/>
      <c r="J75" s="6"/>
      <c r="K75" s="6"/>
    </row>
    <row r="76" spans="2:11" ht="15.75" thickBot="1" x14ac:dyDescent="0.3">
      <c r="B76" s="1828"/>
      <c r="C76" s="3"/>
      <c r="D76" s="56" t="s">
        <v>1000</v>
      </c>
      <c r="E76" s="6"/>
      <c r="F76" s="6"/>
      <c r="G76" s="6"/>
      <c r="H76" s="6"/>
      <c r="I76" s="6"/>
      <c r="J76" s="6"/>
      <c r="K76" s="6"/>
    </row>
    <row r="77" spans="2:11" ht="24.75" thickBot="1" x14ac:dyDescent="0.3">
      <c r="B77" s="47" t="s">
        <v>72</v>
      </c>
      <c r="C77" s="3"/>
      <c r="D77" s="41" t="s">
        <v>1074</v>
      </c>
      <c r="E77" s="6"/>
      <c r="F77" s="6"/>
      <c r="G77" s="6"/>
      <c r="H77" s="6"/>
      <c r="I77" s="6"/>
      <c r="J77" s="6"/>
      <c r="K77" s="6"/>
    </row>
    <row r="78" spans="2:11" ht="108" x14ac:dyDescent="0.25">
      <c r="B78" s="1826" t="s">
        <v>73</v>
      </c>
      <c r="C78" s="94"/>
      <c r="D78" s="46" t="s">
        <v>1075</v>
      </c>
      <c r="E78" s="6"/>
      <c r="F78" s="6"/>
      <c r="G78" s="6"/>
      <c r="H78" s="6"/>
      <c r="I78" s="6"/>
      <c r="J78" s="6"/>
      <c r="K78" s="6"/>
    </row>
    <row r="79" spans="2:11" ht="204" x14ac:dyDescent="0.25">
      <c r="B79" s="1827"/>
      <c r="C79" s="94"/>
      <c r="D79" s="46" t="s">
        <v>1076</v>
      </c>
      <c r="E79" s="6"/>
      <c r="F79" s="6"/>
      <c r="G79" s="6"/>
      <c r="H79" s="6"/>
      <c r="I79" s="6"/>
      <c r="J79" s="6"/>
      <c r="K79" s="6"/>
    </row>
    <row r="80" spans="2:11" ht="240" x14ac:dyDescent="0.25">
      <c r="B80" s="1827"/>
      <c r="C80" s="94"/>
      <c r="D80" s="46" t="s">
        <v>1077</v>
      </c>
      <c r="E80" s="6"/>
      <c r="F80" s="6"/>
      <c r="G80" s="6"/>
      <c r="H80" s="6"/>
      <c r="I80" s="6"/>
      <c r="J80" s="6"/>
      <c r="K80" s="6"/>
    </row>
    <row r="81" spans="2:11" ht="84" x14ac:dyDescent="0.25">
      <c r="B81" s="1827"/>
      <c r="C81" s="94"/>
      <c r="D81" s="46" t="s">
        <v>1078</v>
      </c>
      <c r="E81" s="6"/>
      <c r="F81" s="6"/>
      <c r="G81" s="6"/>
      <c r="H81" s="6"/>
      <c r="I81" s="6"/>
      <c r="J81" s="6"/>
      <c r="K81" s="6"/>
    </row>
    <row r="82" spans="2:11" ht="216" x14ac:dyDescent="0.25">
      <c r="B82" s="1827"/>
      <c r="C82" s="94"/>
      <c r="D82" s="46" t="s">
        <v>1004</v>
      </c>
      <c r="E82" s="6"/>
      <c r="F82" s="6"/>
      <c r="G82" s="6"/>
      <c r="H82" s="6"/>
      <c r="I82" s="6"/>
      <c r="J82" s="6"/>
      <c r="K82" s="6"/>
    </row>
    <row r="83" spans="2:11" ht="180" x14ac:dyDescent="0.25">
      <c r="B83" s="1827"/>
      <c r="C83" s="94"/>
      <c r="D83" s="46" t="s">
        <v>1079</v>
      </c>
      <c r="E83" s="6"/>
      <c r="F83" s="6"/>
      <c r="G83" s="6"/>
      <c r="H83" s="6"/>
      <c r="I83" s="6"/>
      <c r="J83" s="6"/>
      <c r="K83" s="6"/>
    </row>
    <row r="84" spans="2:11" ht="132.75" thickBot="1" x14ac:dyDescent="0.3">
      <c r="B84" s="1828"/>
      <c r="C84" s="3"/>
      <c r="D84" s="41" t="s">
        <v>1080</v>
      </c>
      <c r="E84" s="6"/>
      <c r="F84" s="6"/>
      <c r="G84" s="6"/>
      <c r="H84" s="6"/>
      <c r="I84" s="6"/>
      <c r="J84" s="6"/>
      <c r="K84" s="6"/>
    </row>
    <row r="85" spans="2:11" ht="24" x14ac:dyDescent="0.25">
      <c r="B85" s="1826" t="s">
        <v>90</v>
      </c>
      <c r="C85" s="94"/>
      <c r="D85" s="57" t="s">
        <v>1081</v>
      </c>
      <c r="E85" s="6"/>
      <c r="F85" s="6"/>
      <c r="G85" s="6"/>
      <c r="H85" s="6"/>
      <c r="I85" s="6"/>
      <c r="J85" s="6"/>
      <c r="K85" s="6"/>
    </row>
    <row r="86" spans="2:11" x14ac:dyDescent="0.25">
      <c r="B86" s="1827"/>
      <c r="C86" s="94"/>
      <c r="D86" s="17"/>
      <c r="E86" s="6"/>
      <c r="F86" s="6"/>
      <c r="G86" s="6"/>
      <c r="H86" s="6"/>
      <c r="I86" s="6"/>
      <c r="J86" s="6"/>
      <c r="K86" s="6"/>
    </row>
    <row r="87" spans="2:11" x14ac:dyDescent="0.25">
      <c r="B87" s="1827"/>
      <c r="C87" s="94"/>
      <c r="D87" s="46" t="s">
        <v>91</v>
      </c>
      <c r="E87" s="6"/>
      <c r="F87" s="6"/>
      <c r="G87" s="6"/>
      <c r="H87" s="6"/>
      <c r="I87" s="6"/>
      <c r="J87" s="6"/>
      <c r="K87" s="6"/>
    </row>
    <row r="88" spans="2:11" ht="37.5" x14ac:dyDescent="0.25">
      <c r="B88" s="1827"/>
      <c r="C88" s="94"/>
      <c r="D88" s="46" t="s">
        <v>1082</v>
      </c>
      <c r="E88" s="6"/>
      <c r="F88" s="6"/>
      <c r="G88" s="6"/>
      <c r="H88" s="6"/>
      <c r="I88" s="6"/>
      <c r="J88" s="6"/>
      <c r="K88" s="6"/>
    </row>
    <row r="89" spans="2:11" ht="37.5" x14ac:dyDescent="0.25">
      <c r="B89" s="1827"/>
      <c r="C89" s="94"/>
      <c r="D89" s="46" t="s">
        <v>1083</v>
      </c>
      <c r="E89" s="6"/>
      <c r="F89" s="6"/>
      <c r="G89" s="6"/>
      <c r="H89" s="6"/>
      <c r="I89" s="6"/>
      <c r="J89" s="6"/>
      <c r="K89" s="6"/>
    </row>
    <row r="90" spans="2:11" x14ac:dyDescent="0.25">
      <c r="B90" s="1827"/>
      <c r="C90" s="94"/>
      <c r="D90" s="46" t="s">
        <v>1084</v>
      </c>
      <c r="E90" s="6"/>
      <c r="F90" s="6"/>
      <c r="G90" s="6"/>
      <c r="H90" s="6"/>
      <c r="I90" s="6"/>
      <c r="J90" s="6"/>
      <c r="K90" s="6"/>
    </row>
    <row r="91" spans="2:11" ht="49.5" x14ac:dyDescent="0.25">
      <c r="B91" s="1827"/>
      <c r="C91" s="94"/>
      <c r="D91" s="46" t="s">
        <v>1085</v>
      </c>
      <c r="E91" s="6"/>
      <c r="F91" s="6"/>
      <c r="G91" s="6"/>
      <c r="H91" s="6"/>
      <c r="I91" s="6"/>
      <c r="J91" s="6"/>
      <c r="K91" s="6"/>
    </row>
    <row r="92" spans="2:11" ht="60" x14ac:dyDescent="0.25">
      <c r="B92" s="1827"/>
      <c r="C92" s="94"/>
      <c r="D92" s="46" t="s">
        <v>1086</v>
      </c>
      <c r="E92" s="6"/>
      <c r="F92" s="6"/>
      <c r="G92" s="6"/>
      <c r="H92" s="6"/>
      <c r="I92" s="6"/>
      <c r="J92" s="6"/>
      <c r="K92" s="6"/>
    </row>
    <row r="93" spans="2:11" ht="48" x14ac:dyDescent="0.25">
      <c r="B93" s="1827"/>
      <c r="C93" s="94"/>
      <c r="D93" s="46" t="s">
        <v>1087</v>
      </c>
      <c r="E93" s="6"/>
      <c r="F93" s="6"/>
      <c r="G93" s="6"/>
      <c r="H93" s="6"/>
      <c r="I93" s="6"/>
      <c r="J93" s="6"/>
      <c r="K93" s="6"/>
    </row>
    <row r="94" spans="2:11" ht="24" x14ac:dyDescent="0.25">
      <c r="B94" s="1827"/>
      <c r="C94" s="94"/>
      <c r="D94" s="53" t="s">
        <v>1088</v>
      </c>
      <c r="E94" s="6"/>
      <c r="F94" s="6"/>
      <c r="G94" s="6"/>
      <c r="H94" s="6"/>
      <c r="I94" s="6"/>
      <c r="J94" s="6"/>
      <c r="K94" s="6"/>
    </row>
    <row r="95" spans="2:11" x14ac:dyDescent="0.25">
      <c r="B95" s="1827"/>
      <c r="C95" s="94"/>
      <c r="D95" s="17"/>
      <c r="E95" s="6"/>
      <c r="F95" s="6"/>
      <c r="G95" s="6"/>
      <c r="H95" s="6"/>
      <c r="I95" s="6"/>
      <c r="J95" s="6"/>
      <c r="K95" s="6"/>
    </row>
    <row r="96" spans="2:11" x14ac:dyDescent="0.25">
      <c r="B96" s="1827"/>
      <c r="C96" s="94"/>
      <c r="D96" s="46" t="s">
        <v>91</v>
      </c>
      <c r="E96" s="6"/>
      <c r="F96" s="6"/>
      <c r="G96" s="6"/>
      <c r="H96" s="6"/>
      <c r="I96" s="6"/>
      <c r="J96" s="6"/>
      <c r="K96" s="6"/>
    </row>
    <row r="97" spans="2:11" ht="37.5" x14ac:dyDescent="0.25">
      <c r="B97" s="1827"/>
      <c r="C97" s="94"/>
      <c r="D97" s="46" t="s">
        <v>1089</v>
      </c>
      <c r="E97" s="6"/>
      <c r="F97" s="6"/>
      <c r="G97" s="6"/>
      <c r="H97" s="6"/>
      <c r="I97" s="6"/>
      <c r="J97" s="6"/>
      <c r="K97" s="6"/>
    </row>
    <row r="98" spans="2:11" ht="25.5" x14ac:dyDescent="0.25">
      <c r="B98" s="1827"/>
      <c r="C98" s="94"/>
      <c r="D98" s="46" t="s">
        <v>1090</v>
      </c>
      <c r="E98" s="6"/>
      <c r="F98" s="6"/>
      <c r="G98" s="6"/>
      <c r="H98" s="6"/>
      <c r="I98" s="6"/>
      <c r="J98" s="6"/>
      <c r="K98" s="6"/>
    </row>
    <row r="99" spans="2:11" ht="37.5" x14ac:dyDescent="0.25">
      <c r="B99" s="1827"/>
      <c r="C99" s="94"/>
      <c r="D99" s="46" t="s">
        <v>1091</v>
      </c>
      <c r="E99" s="6"/>
      <c r="F99" s="6"/>
      <c r="G99" s="6"/>
      <c r="H99" s="6"/>
      <c r="I99" s="6"/>
      <c r="J99" s="6"/>
      <c r="K99" s="6"/>
    </row>
    <row r="100" spans="2:11" x14ac:dyDescent="0.25">
      <c r="B100" s="1827"/>
      <c r="C100" s="94"/>
      <c r="D100" s="58" t="s">
        <v>1092</v>
      </c>
      <c r="E100" s="6"/>
      <c r="F100" s="6"/>
      <c r="G100" s="6"/>
      <c r="H100" s="6"/>
      <c r="I100" s="6"/>
      <c r="J100" s="6"/>
      <c r="K100" s="6"/>
    </row>
    <row r="101" spans="2:11" ht="72" x14ac:dyDescent="0.25">
      <c r="B101" s="1827"/>
      <c r="C101" s="94"/>
      <c r="D101" s="46" t="s">
        <v>1093</v>
      </c>
      <c r="E101" s="6"/>
      <c r="F101" s="6"/>
      <c r="G101" s="6"/>
      <c r="H101" s="6"/>
      <c r="I101" s="6"/>
      <c r="J101" s="6"/>
      <c r="K101" s="6"/>
    </row>
    <row r="102" spans="2:11" ht="36" x14ac:dyDescent="0.25">
      <c r="B102" s="1827"/>
      <c r="C102" s="94"/>
      <c r="D102" s="53" t="s">
        <v>1094</v>
      </c>
      <c r="E102" s="6"/>
      <c r="F102" s="6"/>
      <c r="G102" s="6"/>
      <c r="H102" s="6"/>
      <c r="I102" s="6"/>
      <c r="J102" s="6"/>
      <c r="K102" s="6"/>
    </row>
    <row r="103" spans="2:11" x14ac:dyDescent="0.25">
      <c r="B103" s="1827"/>
      <c r="C103" s="94"/>
      <c r="D103" s="17"/>
      <c r="E103" s="6"/>
      <c r="F103" s="6"/>
      <c r="G103" s="6"/>
      <c r="H103" s="6"/>
      <c r="I103" s="6"/>
      <c r="J103" s="6"/>
      <c r="K103" s="6"/>
    </row>
    <row r="104" spans="2:11" x14ac:dyDescent="0.25">
      <c r="B104" s="1827"/>
      <c r="C104" s="94"/>
      <c r="D104" s="46" t="s">
        <v>91</v>
      </c>
      <c r="E104" s="6"/>
      <c r="F104" s="6"/>
      <c r="G104" s="6"/>
      <c r="H104" s="6"/>
      <c r="I104" s="6"/>
      <c r="J104" s="6"/>
      <c r="K104" s="6"/>
    </row>
    <row r="105" spans="2:11" ht="49.5" x14ac:dyDescent="0.25">
      <c r="B105" s="1827"/>
      <c r="C105" s="94"/>
      <c r="D105" s="46" t="s">
        <v>1095</v>
      </c>
      <c r="E105" s="6"/>
      <c r="F105" s="6"/>
      <c r="G105" s="6"/>
      <c r="H105" s="6"/>
      <c r="I105" s="6"/>
      <c r="J105" s="6"/>
      <c r="K105" s="6"/>
    </row>
    <row r="106" spans="2:11" ht="49.5" x14ac:dyDescent="0.25">
      <c r="B106" s="1827"/>
      <c r="C106" s="94"/>
      <c r="D106" s="46" t="s">
        <v>1096</v>
      </c>
      <c r="E106" s="6"/>
      <c r="F106" s="6"/>
      <c r="G106" s="6"/>
      <c r="H106" s="6"/>
      <c r="I106" s="6"/>
      <c r="J106" s="6"/>
      <c r="K106" s="6"/>
    </row>
    <row r="107" spans="2:11" ht="37.5" x14ac:dyDescent="0.25">
      <c r="B107" s="1827"/>
      <c r="C107" s="94"/>
      <c r="D107" s="46" t="s">
        <v>1097</v>
      </c>
      <c r="E107" s="6"/>
      <c r="F107" s="6"/>
      <c r="G107" s="6"/>
      <c r="H107" s="6"/>
      <c r="I107" s="6"/>
      <c r="J107" s="6"/>
      <c r="K107" s="6"/>
    </row>
    <row r="108" spans="2:11" ht="15.75" thickBot="1" x14ac:dyDescent="0.3">
      <c r="B108" s="1828"/>
      <c r="C108" s="3"/>
      <c r="D108" s="41" t="s">
        <v>1098</v>
      </c>
      <c r="E108" s="6"/>
      <c r="F108" s="6"/>
      <c r="G108" s="6"/>
      <c r="H108" s="6"/>
      <c r="I108" s="6"/>
      <c r="J108" s="6"/>
      <c r="K108" s="6"/>
    </row>
    <row r="109" spans="2:11" x14ac:dyDescent="0.25">
      <c r="B109" s="6"/>
      <c r="D109" s="6"/>
      <c r="E109" s="6"/>
      <c r="F109" s="6"/>
      <c r="G109" s="6"/>
      <c r="H109" s="6"/>
      <c r="I109" s="6"/>
      <c r="J109" s="6"/>
      <c r="K109" s="6"/>
    </row>
    <row r="110" spans="2:11" x14ac:dyDescent="0.25">
      <c r="B110" s="6"/>
      <c r="D110" s="6"/>
      <c r="E110" s="6"/>
      <c r="F110" s="6"/>
      <c r="G110" s="6"/>
      <c r="H110" s="6"/>
      <c r="I110" s="6"/>
      <c r="J110" s="6"/>
      <c r="K110" s="6"/>
    </row>
    <row r="111" spans="2:11" x14ac:dyDescent="0.25">
      <c r="B111" s="6"/>
      <c r="D111" s="6"/>
      <c r="E111" s="6"/>
      <c r="F111" s="6"/>
      <c r="G111" s="6"/>
      <c r="H111" s="6"/>
      <c r="I111" s="6"/>
      <c r="J111" s="6"/>
      <c r="K111" s="6"/>
    </row>
    <row r="112" spans="2:11" x14ac:dyDescent="0.25">
      <c r="B112" s="6"/>
      <c r="D112" s="6"/>
      <c r="E112" s="6"/>
      <c r="F112" s="6"/>
      <c r="G112" s="6"/>
      <c r="H112" s="6"/>
      <c r="I112" s="6"/>
      <c r="J112" s="6"/>
      <c r="K112" s="6"/>
    </row>
    <row r="113" spans="2:11" x14ac:dyDescent="0.25">
      <c r="B113" s="6"/>
      <c r="D113" s="6"/>
      <c r="E113" s="6"/>
      <c r="F113" s="6"/>
      <c r="G113" s="6"/>
      <c r="H113" s="6"/>
      <c r="I113" s="6"/>
      <c r="J113" s="6"/>
      <c r="K113" s="6"/>
    </row>
    <row r="114" spans="2:11" x14ac:dyDescent="0.25">
      <c r="B114" s="6"/>
      <c r="D114" s="6"/>
      <c r="E114" s="6"/>
      <c r="F114" s="6"/>
      <c r="G114" s="6"/>
      <c r="H114" s="6"/>
      <c r="I114" s="6"/>
      <c r="J114" s="6"/>
      <c r="K114" s="6"/>
    </row>
    <row r="115" spans="2:11" x14ac:dyDescent="0.25">
      <c r="B115" s="6"/>
      <c r="D115" s="6"/>
      <c r="E115" s="6"/>
      <c r="F115" s="6"/>
      <c r="G115" s="6"/>
      <c r="H115" s="6"/>
      <c r="I115" s="6"/>
      <c r="J115" s="6"/>
      <c r="K115" s="6"/>
    </row>
    <row r="116" spans="2:11" x14ac:dyDescent="0.25">
      <c r="B116" s="6"/>
      <c r="D116" s="6"/>
      <c r="E116" s="6"/>
      <c r="F116" s="6"/>
      <c r="G116" s="6"/>
      <c r="H116" s="6"/>
      <c r="I116" s="6"/>
      <c r="J116" s="6"/>
      <c r="K116" s="6"/>
    </row>
    <row r="117" spans="2:11" x14ac:dyDescent="0.25">
      <c r="B117" s="6"/>
      <c r="D117" s="6"/>
      <c r="E117" s="6"/>
      <c r="F117" s="6"/>
      <c r="G117" s="6"/>
      <c r="H117" s="6"/>
      <c r="I117" s="6"/>
      <c r="J117" s="6"/>
      <c r="K117" s="6"/>
    </row>
    <row r="118" spans="2:11" x14ac:dyDescent="0.25">
      <c r="B118" s="6"/>
      <c r="D118" s="6"/>
      <c r="E118" s="6"/>
      <c r="F118" s="6"/>
      <c r="G118" s="6"/>
      <c r="H118" s="6"/>
      <c r="I118" s="6"/>
      <c r="J118" s="6"/>
      <c r="K118" s="6"/>
    </row>
    <row r="119" spans="2:11" x14ac:dyDescent="0.25">
      <c r="B119" s="6"/>
      <c r="D119" s="6"/>
      <c r="E119" s="6"/>
      <c r="F119" s="6"/>
      <c r="G119" s="6"/>
      <c r="H119" s="6"/>
      <c r="I119" s="6"/>
      <c r="J119" s="6"/>
      <c r="K119" s="6"/>
    </row>
    <row r="120" spans="2:11" x14ac:dyDescent="0.25">
      <c r="B120" s="6"/>
      <c r="D120" s="6"/>
      <c r="E120" s="6"/>
      <c r="F120" s="6"/>
      <c r="G120" s="6"/>
      <c r="H120" s="6"/>
      <c r="I120" s="6"/>
      <c r="J120" s="6"/>
      <c r="K120" s="6"/>
    </row>
    <row r="121" spans="2:11" x14ac:dyDescent="0.25">
      <c r="B121" s="6"/>
      <c r="D121" s="6"/>
      <c r="E121" s="6"/>
      <c r="F121" s="6"/>
      <c r="G121" s="6"/>
      <c r="H121" s="6"/>
      <c r="I121" s="6"/>
      <c r="J121" s="6"/>
      <c r="K121" s="6"/>
    </row>
    <row r="122" spans="2:11" x14ac:dyDescent="0.25">
      <c r="B122" s="6"/>
      <c r="D122" s="6"/>
      <c r="E122" s="6"/>
      <c r="F122" s="6"/>
      <c r="G122" s="6"/>
      <c r="H122" s="6"/>
      <c r="I122" s="6"/>
      <c r="J122" s="6"/>
      <c r="K122" s="6"/>
    </row>
    <row r="123" spans="2:11" x14ac:dyDescent="0.25">
      <c r="B123" s="6"/>
      <c r="D123" s="6"/>
      <c r="E123" s="6"/>
      <c r="F123" s="6"/>
      <c r="G123" s="6"/>
      <c r="H123" s="6"/>
      <c r="I123" s="6"/>
      <c r="J123" s="6"/>
      <c r="K123" s="6"/>
    </row>
    <row r="124" spans="2:11" x14ac:dyDescent="0.25">
      <c r="B124" s="6"/>
      <c r="D124" s="6"/>
      <c r="E124" s="6"/>
      <c r="F124" s="6"/>
      <c r="G124" s="6"/>
      <c r="H124" s="6"/>
      <c r="I124" s="6"/>
      <c r="J124" s="6"/>
      <c r="K124" s="6"/>
    </row>
    <row r="125" spans="2:11" x14ac:dyDescent="0.25">
      <c r="B125" s="6"/>
      <c r="D125" s="6"/>
      <c r="E125" s="6"/>
      <c r="F125" s="6"/>
      <c r="G125" s="6"/>
      <c r="H125" s="6"/>
      <c r="I125" s="6"/>
      <c r="J125" s="6"/>
      <c r="K125" s="6"/>
    </row>
    <row r="126" spans="2:11" x14ac:dyDescent="0.25">
      <c r="B126" s="6"/>
      <c r="D126" s="6"/>
      <c r="E126" s="6"/>
      <c r="F126" s="6"/>
      <c r="G126" s="6"/>
      <c r="H126" s="6"/>
      <c r="I126" s="6"/>
      <c r="J126" s="6"/>
      <c r="K126" s="6"/>
    </row>
    <row r="127" spans="2:11" x14ac:dyDescent="0.25">
      <c r="B127" s="6"/>
      <c r="D127" s="6"/>
      <c r="E127" s="6"/>
      <c r="F127" s="6"/>
      <c r="G127" s="6"/>
      <c r="H127" s="6"/>
      <c r="I127" s="6"/>
      <c r="J127" s="6"/>
      <c r="K127" s="6"/>
    </row>
    <row r="128" spans="2:11" x14ac:dyDescent="0.25">
      <c r="B128" s="6"/>
      <c r="D128" s="6"/>
      <c r="E128" s="6"/>
      <c r="F128" s="6"/>
      <c r="G128" s="6"/>
      <c r="H128" s="6"/>
      <c r="I128" s="6"/>
      <c r="J128" s="6"/>
      <c r="K128" s="6"/>
    </row>
    <row r="129" spans="2:11" x14ac:dyDescent="0.25">
      <c r="B129" s="6"/>
      <c r="D129" s="6"/>
      <c r="E129" s="6"/>
      <c r="F129" s="6"/>
      <c r="G129" s="6"/>
      <c r="H129" s="6"/>
      <c r="I129" s="6"/>
      <c r="J129" s="6"/>
      <c r="K129" s="6"/>
    </row>
    <row r="130" spans="2:11" x14ac:dyDescent="0.25">
      <c r="B130" s="6"/>
      <c r="D130" s="6"/>
      <c r="E130" s="6"/>
      <c r="F130" s="6"/>
      <c r="G130" s="6"/>
      <c r="H130" s="6"/>
      <c r="I130" s="6"/>
      <c r="J130" s="6"/>
      <c r="K130" s="6"/>
    </row>
    <row r="131" spans="2:11" x14ac:dyDescent="0.25">
      <c r="B131" s="6"/>
      <c r="D131" s="6"/>
      <c r="E131" s="6"/>
      <c r="F131" s="6"/>
      <c r="G131" s="6"/>
      <c r="H131" s="6"/>
      <c r="I131" s="6"/>
      <c r="J131" s="6"/>
      <c r="K131" s="6"/>
    </row>
    <row r="132" spans="2:11" x14ac:dyDescent="0.25">
      <c r="B132" s="6"/>
      <c r="D132" s="6"/>
      <c r="E132" s="6"/>
      <c r="F132" s="6"/>
      <c r="G132" s="6"/>
      <c r="H132" s="6"/>
      <c r="I132" s="6"/>
      <c r="J132" s="6"/>
      <c r="K132" s="6"/>
    </row>
    <row r="133" spans="2:11" x14ac:dyDescent="0.25">
      <c r="B133" s="6"/>
      <c r="D133" s="6"/>
      <c r="E133" s="6"/>
      <c r="F133" s="6"/>
      <c r="G133" s="6"/>
      <c r="H133" s="6"/>
      <c r="I133" s="6"/>
      <c r="J133" s="6"/>
      <c r="K133" s="6"/>
    </row>
    <row r="134" spans="2:11" x14ac:dyDescent="0.25">
      <c r="B134" s="6"/>
      <c r="D134" s="6"/>
      <c r="E134" s="6"/>
      <c r="F134" s="6"/>
      <c r="G134" s="6"/>
      <c r="H134" s="6"/>
      <c r="I134" s="6"/>
      <c r="J134" s="6"/>
      <c r="K134" s="6"/>
    </row>
    <row r="135" spans="2:11" x14ac:dyDescent="0.25">
      <c r="B135" s="6"/>
      <c r="D135" s="6"/>
      <c r="E135" s="6"/>
      <c r="F135" s="6"/>
      <c r="G135" s="6"/>
      <c r="H135" s="6"/>
      <c r="I135" s="6"/>
      <c r="J135" s="6"/>
      <c r="K135" s="6"/>
    </row>
    <row r="136" spans="2:11" x14ac:dyDescent="0.25">
      <c r="B136" s="6"/>
      <c r="D136" s="6"/>
      <c r="E136" s="6"/>
      <c r="F136" s="6"/>
      <c r="G136" s="6"/>
      <c r="H136" s="6"/>
      <c r="I136" s="6"/>
      <c r="J136" s="6"/>
      <c r="K136" s="6"/>
    </row>
    <row r="137" spans="2:11" x14ac:dyDescent="0.25">
      <c r="B137" s="6"/>
      <c r="D137" s="6"/>
      <c r="E137" s="6"/>
      <c r="F137" s="6"/>
      <c r="G137" s="6"/>
      <c r="H137" s="6"/>
      <c r="I137" s="6"/>
      <c r="J137" s="6"/>
      <c r="K137" s="6"/>
    </row>
    <row r="138" spans="2:11" x14ac:dyDescent="0.25">
      <c r="B138" s="6"/>
      <c r="D138" s="6"/>
      <c r="E138" s="6"/>
      <c r="F138" s="6"/>
      <c r="G138" s="6"/>
      <c r="H138" s="6"/>
      <c r="I138" s="6"/>
      <c r="J138" s="6"/>
      <c r="K138" s="6"/>
    </row>
    <row r="139" spans="2:11" x14ac:dyDescent="0.25">
      <c r="B139" s="6"/>
      <c r="D139" s="6"/>
      <c r="E139" s="6"/>
      <c r="F139" s="6"/>
      <c r="G139" s="6"/>
      <c r="H139" s="6"/>
      <c r="I139" s="6"/>
      <c r="J139" s="6"/>
      <c r="K139" s="6"/>
    </row>
    <row r="140" spans="2:11" x14ac:dyDescent="0.25">
      <c r="B140" s="6"/>
      <c r="D140" s="6"/>
      <c r="E140" s="6"/>
      <c r="F140" s="6"/>
      <c r="G140" s="6"/>
      <c r="H140" s="6"/>
      <c r="I140" s="6"/>
      <c r="J140" s="6"/>
      <c r="K140" s="6"/>
    </row>
    <row r="141" spans="2:11" x14ac:dyDescent="0.25">
      <c r="B141" s="6"/>
      <c r="D141" s="6"/>
      <c r="E141" s="6"/>
      <c r="F141" s="6"/>
      <c r="G141" s="6"/>
      <c r="H141" s="6"/>
      <c r="I141" s="6"/>
      <c r="J141" s="6"/>
      <c r="K141" s="6"/>
    </row>
    <row r="142" spans="2:11" x14ac:dyDescent="0.25">
      <c r="B142" s="6"/>
      <c r="D142" s="6"/>
      <c r="E142" s="6"/>
      <c r="F142" s="6"/>
      <c r="G142" s="6"/>
      <c r="H142" s="6"/>
      <c r="I142" s="6"/>
      <c r="J142" s="6"/>
      <c r="K142" s="6"/>
    </row>
    <row r="143" spans="2:11" x14ac:dyDescent="0.25">
      <c r="B143" s="6"/>
      <c r="D143" s="6"/>
      <c r="E143" s="6"/>
      <c r="F143" s="6"/>
      <c r="G143" s="6"/>
      <c r="H143" s="6"/>
      <c r="I143" s="6"/>
      <c r="J143" s="6"/>
      <c r="K143" s="6"/>
    </row>
    <row r="144" spans="2:11" x14ac:dyDescent="0.25">
      <c r="B144" s="6"/>
      <c r="D144" s="6"/>
      <c r="E144" s="6"/>
      <c r="F144" s="6"/>
      <c r="G144" s="6"/>
      <c r="H144" s="6"/>
      <c r="I144" s="6"/>
      <c r="J144" s="6"/>
      <c r="K144" s="6"/>
    </row>
    <row r="145" spans="2:11" x14ac:dyDescent="0.25">
      <c r="B145" s="6"/>
      <c r="D145" s="6"/>
      <c r="E145" s="6"/>
      <c r="F145" s="6"/>
      <c r="G145" s="6"/>
      <c r="H145" s="6"/>
      <c r="I145" s="6"/>
      <c r="J145" s="6"/>
      <c r="K145" s="6"/>
    </row>
    <row r="146" spans="2:11" x14ac:dyDescent="0.25">
      <c r="B146" s="6"/>
      <c r="D146" s="6"/>
      <c r="E146" s="6"/>
      <c r="F146" s="6"/>
      <c r="G146" s="6"/>
      <c r="H146" s="6"/>
      <c r="I146" s="6"/>
      <c r="J146" s="6"/>
      <c r="K146" s="6"/>
    </row>
    <row r="147" spans="2:11" x14ac:dyDescent="0.25">
      <c r="B147" s="6"/>
      <c r="D147" s="6"/>
      <c r="E147" s="6"/>
      <c r="F147" s="6"/>
      <c r="G147" s="6"/>
      <c r="H147" s="6"/>
      <c r="I147" s="6"/>
      <c r="J147" s="6"/>
      <c r="K147" s="6"/>
    </row>
    <row r="148" spans="2:11" x14ac:dyDescent="0.25">
      <c r="B148" s="6"/>
      <c r="D148" s="6"/>
      <c r="E148" s="6"/>
      <c r="F148" s="6"/>
      <c r="G148" s="6"/>
      <c r="H148" s="6"/>
      <c r="I148" s="6"/>
      <c r="J148" s="6"/>
      <c r="K148" s="6"/>
    </row>
    <row r="149" spans="2:11" x14ac:dyDescent="0.25">
      <c r="B149" s="6"/>
      <c r="D149" s="6"/>
      <c r="E149" s="6"/>
      <c r="F149" s="6"/>
      <c r="G149" s="6"/>
      <c r="H149" s="6"/>
      <c r="I149" s="6"/>
      <c r="J149" s="6"/>
      <c r="K149" s="6"/>
    </row>
    <row r="150" spans="2:11" x14ac:dyDescent="0.25">
      <c r="B150" s="6"/>
      <c r="D150" s="6"/>
      <c r="E150" s="6"/>
      <c r="F150" s="6"/>
      <c r="G150" s="6"/>
      <c r="H150" s="6"/>
      <c r="I150" s="6"/>
      <c r="J150" s="6"/>
      <c r="K150" s="6"/>
    </row>
    <row r="151" spans="2:11" x14ac:dyDescent="0.25">
      <c r="B151" s="6"/>
      <c r="D151" s="6"/>
      <c r="E151" s="6"/>
      <c r="F151" s="6"/>
      <c r="G151" s="6"/>
      <c r="H151" s="6"/>
      <c r="I151" s="6"/>
      <c r="J151" s="6"/>
      <c r="K151" s="6"/>
    </row>
    <row r="152" spans="2:11" x14ac:dyDescent="0.25">
      <c r="B152" s="6"/>
      <c r="D152" s="6"/>
      <c r="E152" s="6"/>
      <c r="F152" s="6"/>
      <c r="G152" s="6"/>
      <c r="H152" s="6"/>
      <c r="I152" s="6"/>
      <c r="J152" s="6"/>
      <c r="K152" s="6"/>
    </row>
    <row r="153" spans="2:11" x14ac:dyDescent="0.25">
      <c r="B153" s="6"/>
      <c r="D153" s="6"/>
      <c r="E153" s="6"/>
      <c r="F153" s="6"/>
      <c r="G153" s="6"/>
      <c r="H153" s="6"/>
      <c r="I153" s="6"/>
      <c r="J153" s="6"/>
      <c r="K153" s="6"/>
    </row>
    <row r="154" spans="2:11" x14ac:dyDescent="0.25">
      <c r="B154" s="6"/>
      <c r="D154" s="6"/>
      <c r="E154" s="6"/>
      <c r="F154" s="6"/>
      <c r="G154" s="6"/>
      <c r="H154" s="6"/>
      <c r="I154" s="6"/>
      <c r="J154" s="6"/>
      <c r="K154" s="6"/>
    </row>
    <row r="155" spans="2:11" x14ac:dyDescent="0.25">
      <c r="B155" s="6"/>
      <c r="D155" s="6"/>
      <c r="E155" s="6"/>
      <c r="F155" s="6"/>
      <c r="G155" s="6"/>
      <c r="H155" s="6"/>
      <c r="I155" s="6"/>
      <c r="J155" s="6"/>
      <c r="K155" s="6"/>
    </row>
    <row r="156" spans="2:11" x14ac:dyDescent="0.25">
      <c r="B156" s="6"/>
      <c r="D156" s="6"/>
      <c r="E156" s="6"/>
      <c r="F156" s="6"/>
      <c r="G156" s="6"/>
      <c r="H156" s="6"/>
      <c r="I156" s="6"/>
      <c r="J156" s="6"/>
      <c r="K156" s="6"/>
    </row>
    <row r="157" spans="2:11" x14ac:dyDescent="0.25">
      <c r="B157" s="6"/>
      <c r="D157" s="6"/>
      <c r="E157" s="6"/>
      <c r="F157" s="6"/>
      <c r="G157" s="6"/>
      <c r="H157" s="6"/>
      <c r="I157" s="6"/>
      <c r="J157" s="6"/>
      <c r="K157" s="6"/>
    </row>
    <row r="158" spans="2:11" x14ac:dyDescent="0.25">
      <c r="B158" s="6"/>
      <c r="D158" s="6"/>
      <c r="E158" s="6"/>
      <c r="F158" s="6"/>
      <c r="G158" s="6"/>
      <c r="H158" s="6"/>
      <c r="I158" s="6"/>
      <c r="J158" s="6"/>
      <c r="K158" s="6"/>
    </row>
    <row r="159" spans="2:11" x14ac:dyDescent="0.25">
      <c r="B159" s="6"/>
      <c r="D159" s="6"/>
      <c r="E159" s="6"/>
      <c r="F159" s="6"/>
      <c r="G159" s="6"/>
      <c r="H159" s="6"/>
      <c r="I159" s="6"/>
      <c r="J159" s="6"/>
      <c r="K159" s="6"/>
    </row>
    <row r="160" spans="2:11" x14ac:dyDescent="0.25">
      <c r="B160" s="6"/>
      <c r="D160" s="6"/>
      <c r="E160" s="6"/>
      <c r="F160" s="6"/>
      <c r="G160" s="6"/>
      <c r="H160" s="6"/>
      <c r="I160" s="6"/>
      <c r="J160" s="6"/>
      <c r="K160" s="6"/>
    </row>
    <row r="161" spans="2:11" x14ac:dyDescent="0.25">
      <c r="B161" s="6"/>
      <c r="D161" s="6"/>
      <c r="E161" s="6"/>
      <c r="F161" s="6"/>
      <c r="G161" s="6"/>
      <c r="H161" s="6"/>
      <c r="I161" s="6"/>
      <c r="J161" s="6"/>
      <c r="K161" s="6"/>
    </row>
    <row r="162" spans="2:11" x14ac:dyDescent="0.25">
      <c r="B162" s="6"/>
      <c r="D162" s="6"/>
      <c r="E162" s="6"/>
      <c r="F162" s="6"/>
      <c r="G162" s="6"/>
      <c r="H162" s="6"/>
      <c r="I162" s="6"/>
      <c r="J162" s="6"/>
      <c r="K162" s="6"/>
    </row>
    <row r="163" spans="2:11" x14ac:dyDescent="0.25">
      <c r="B163" s="6"/>
      <c r="D163" s="6"/>
      <c r="E163" s="6"/>
      <c r="F163" s="6"/>
      <c r="G163" s="6"/>
      <c r="H163" s="6"/>
      <c r="I163" s="6"/>
      <c r="J163" s="6"/>
      <c r="K163" s="6"/>
    </row>
    <row r="164" spans="2:11" x14ac:dyDescent="0.25">
      <c r="B164" s="6"/>
      <c r="D164" s="6"/>
      <c r="E164" s="6"/>
      <c r="F164" s="6"/>
      <c r="G164" s="6"/>
      <c r="H164" s="6"/>
      <c r="I164" s="6"/>
      <c r="J164" s="6"/>
      <c r="K164" s="6"/>
    </row>
    <row r="165" spans="2:11" x14ac:dyDescent="0.25">
      <c r="B165" s="6"/>
      <c r="D165" s="6"/>
      <c r="E165" s="6"/>
      <c r="F165" s="6"/>
      <c r="G165" s="6"/>
      <c r="H165" s="6"/>
      <c r="I165" s="6"/>
      <c r="J165" s="6"/>
      <c r="K165" s="6"/>
    </row>
    <row r="166" spans="2:11" x14ac:dyDescent="0.25">
      <c r="B166" s="6"/>
      <c r="D166" s="6"/>
      <c r="E166" s="6"/>
      <c r="F166" s="6"/>
      <c r="G166" s="6"/>
      <c r="H166" s="6"/>
      <c r="I166" s="6"/>
      <c r="J166" s="6"/>
      <c r="K166" s="6"/>
    </row>
    <row r="167" spans="2:11" x14ac:dyDescent="0.25">
      <c r="B167" s="6"/>
      <c r="D167" s="6"/>
      <c r="E167" s="6"/>
      <c r="F167" s="6"/>
      <c r="G167" s="6"/>
      <c r="H167" s="6"/>
      <c r="I167" s="6"/>
      <c r="J167" s="6"/>
      <c r="K167" s="6"/>
    </row>
    <row r="168" spans="2:11" x14ac:dyDescent="0.25">
      <c r="B168" s="6"/>
      <c r="D168" s="6"/>
      <c r="E168" s="6"/>
      <c r="F168" s="6"/>
      <c r="G168" s="6"/>
      <c r="H168" s="6"/>
      <c r="I168" s="6"/>
      <c r="J168" s="6"/>
      <c r="K168" s="6"/>
    </row>
    <row r="169" spans="2:11" x14ac:dyDescent="0.25">
      <c r="B169" s="6"/>
      <c r="D169" s="6"/>
      <c r="E169" s="6"/>
      <c r="F169" s="6"/>
      <c r="G169" s="6"/>
      <c r="H169" s="6"/>
      <c r="I169" s="6"/>
      <c r="J169" s="6"/>
      <c r="K169" s="6"/>
    </row>
    <row r="170" spans="2:11" x14ac:dyDescent="0.25">
      <c r="B170" s="6"/>
      <c r="D170" s="6"/>
      <c r="E170" s="6"/>
      <c r="F170" s="6"/>
      <c r="G170" s="6"/>
      <c r="H170" s="6"/>
      <c r="I170" s="6"/>
      <c r="J170" s="6"/>
      <c r="K170" s="6"/>
    </row>
    <row r="171" spans="2:11" x14ac:dyDescent="0.25">
      <c r="B171" s="6"/>
      <c r="D171" s="6"/>
      <c r="E171" s="6"/>
      <c r="F171" s="6"/>
      <c r="G171" s="6"/>
      <c r="H171" s="6"/>
      <c r="I171" s="6"/>
      <c r="J171" s="6"/>
      <c r="K171" s="6"/>
    </row>
    <row r="172" spans="2:11" x14ac:dyDescent="0.25">
      <c r="B172" s="6"/>
      <c r="D172" s="6"/>
      <c r="E172" s="6"/>
      <c r="F172" s="6"/>
      <c r="G172" s="6"/>
      <c r="H172" s="6"/>
      <c r="I172" s="6"/>
      <c r="J172" s="6"/>
      <c r="K172" s="6"/>
    </row>
    <row r="173" spans="2:11" x14ac:dyDescent="0.25">
      <c r="B173" s="6"/>
      <c r="D173" s="6"/>
      <c r="E173" s="6"/>
      <c r="F173" s="6"/>
      <c r="G173" s="6"/>
      <c r="H173" s="6"/>
      <c r="I173" s="6"/>
      <c r="J173" s="6"/>
      <c r="K173" s="6"/>
    </row>
    <row r="174" spans="2:11" x14ac:dyDescent="0.25">
      <c r="B174" s="6"/>
      <c r="D174" s="6"/>
      <c r="E174" s="6"/>
      <c r="F174" s="6"/>
      <c r="G174" s="6"/>
      <c r="H174" s="6"/>
      <c r="I174" s="6"/>
      <c r="J174" s="6"/>
      <c r="K174" s="6"/>
    </row>
    <row r="175" spans="2:11" x14ac:dyDescent="0.25">
      <c r="B175" s="6"/>
      <c r="D175" s="6"/>
      <c r="E175" s="6"/>
      <c r="F175" s="6"/>
      <c r="G175" s="6"/>
      <c r="H175" s="6"/>
      <c r="I175" s="6"/>
      <c r="J175" s="6"/>
      <c r="K175" s="6"/>
    </row>
    <row r="176" spans="2:11" x14ac:dyDescent="0.25">
      <c r="B176" s="6"/>
      <c r="D176" s="6"/>
      <c r="E176" s="6"/>
      <c r="F176" s="6"/>
      <c r="G176" s="6"/>
      <c r="H176" s="6"/>
      <c r="I176" s="6"/>
      <c r="J176" s="6"/>
      <c r="K176" s="6"/>
    </row>
    <row r="177" spans="2:11" x14ac:dyDescent="0.25">
      <c r="B177" s="6"/>
      <c r="D177" s="6"/>
      <c r="E177" s="6"/>
      <c r="F177" s="6"/>
      <c r="G177" s="6"/>
      <c r="H177" s="6"/>
      <c r="I177" s="6"/>
      <c r="J177" s="6"/>
      <c r="K177" s="6"/>
    </row>
    <row r="178" spans="2:11" x14ac:dyDescent="0.25">
      <c r="B178" s="6"/>
      <c r="D178" s="6"/>
      <c r="E178" s="6"/>
      <c r="F178" s="6"/>
      <c r="G178" s="6"/>
      <c r="H178" s="6"/>
      <c r="I178" s="6"/>
      <c r="J178" s="6"/>
      <c r="K178" s="6"/>
    </row>
    <row r="179" spans="2:11" x14ac:dyDescent="0.25">
      <c r="B179" s="6"/>
      <c r="D179" s="6"/>
      <c r="E179" s="6"/>
      <c r="F179" s="6"/>
      <c r="G179" s="6"/>
      <c r="H179" s="6"/>
      <c r="I179" s="6"/>
      <c r="J179" s="6"/>
      <c r="K179" s="6"/>
    </row>
    <row r="180" spans="2:11" x14ac:dyDescent="0.25">
      <c r="B180" s="6"/>
      <c r="D180" s="6"/>
      <c r="E180" s="6"/>
      <c r="F180" s="6"/>
      <c r="G180" s="6"/>
      <c r="H180" s="6"/>
      <c r="I180" s="6"/>
      <c r="J180" s="6"/>
      <c r="K180" s="6"/>
    </row>
    <row r="181" spans="2:11" x14ac:dyDescent="0.25">
      <c r="B181" s="6"/>
      <c r="D181" s="6"/>
      <c r="E181" s="6"/>
      <c r="F181" s="6"/>
      <c r="G181" s="6"/>
      <c r="H181" s="6"/>
      <c r="I181" s="6"/>
      <c r="J181" s="6"/>
      <c r="K181" s="6"/>
    </row>
    <row r="182" spans="2:11" x14ac:dyDescent="0.25">
      <c r="B182" s="6"/>
      <c r="D182" s="6"/>
      <c r="E182" s="6"/>
      <c r="F182" s="6"/>
      <c r="G182" s="6"/>
      <c r="H182" s="6"/>
      <c r="I182" s="6"/>
      <c r="J182" s="6"/>
      <c r="K182" s="6"/>
    </row>
    <row r="183" spans="2:11" x14ac:dyDescent="0.25">
      <c r="B183" s="6"/>
      <c r="D183" s="6"/>
      <c r="E183" s="6"/>
      <c r="F183" s="6"/>
      <c r="G183" s="6"/>
      <c r="H183" s="6"/>
      <c r="I183" s="6"/>
      <c r="J183" s="6"/>
      <c r="K183" s="6"/>
    </row>
  </sheetData>
  <mergeCells count="27">
    <mergeCell ref="B78:B84"/>
    <mergeCell ref="B85:B108"/>
    <mergeCell ref="B15:B28"/>
    <mergeCell ref="D15:H15"/>
    <mergeCell ref="D16:H16"/>
    <mergeCell ref="D17:H17"/>
    <mergeCell ref="B45:E45"/>
    <mergeCell ref="B46:B52"/>
    <mergeCell ref="D22:H22"/>
    <mergeCell ref="D23:H23"/>
    <mergeCell ref="D33:H33"/>
    <mergeCell ref="B59:E60"/>
    <mergeCell ref="D34:H34"/>
    <mergeCell ref="B36:E36"/>
    <mergeCell ref="B37:B43"/>
    <mergeCell ref="B65:B76"/>
    <mergeCell ref="B10:D10"/>
    <mergeCell ref="F10:S10"/>
    <mergeCell ref="F11:S11"/>
    <mergeCell ref="E13:R13"/>
    <mergeCell ref="E12:J12"/>
    <mergeCell ref="K12:R12"/>
    <mergeCell ref="A1:P1"/>
    <mergeCell ref="A2:P2"/>
    <mergeCell ref="A3:P3"/>
    <mergeCell ref="A4:D4"/>
    <mergeCell ref="A5:P5"/>
  </mergeCells>
  <conditionalFormatting sqref="F10">
    <cfRule type="notContainsBlanks" dxfId="20" priority="4">
      <formula>LEN(TRIM(F10))&gt;0</formula>
    </cfRule>
  </conditionalFormatting>
  <conditionalFormatting sqref="F11:S11">
    <cfRule type="expression" dxfId="19" priority="2">
      <formula>E11="NO SE REPORTA"</formula>
    </cfRule>
    <cfRule type="expression" dxfId="18" priority="3">
      <formula>E10="NO APLICA"</formula>
    </cfRule>
  </conditionalFormatting>
  <conditionalFormatting sqref="E12 K12">
    <cfRule type="expression" dxfId="17"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25:F26 E19:G20" xr:uid="{00000000-0002-0000-2400-000000000000}">
      <formula1>0</formula1>
    </dataValidation>
    <dataValidation allowBlank="1" showInputMessage="1" showErrorMessage="1" promptTitle="OJO" prompt="NO TOCAR" sqref="E21:G21 E27:F27" xr:uid="{00000000-0002-0000-2400-000001000000}"/>
    <dataValidation type="list" allowBlank="1" showInputMessage="1" showErrorMessage="1" sqref="E11" xr:uid="{00000000-0002-0000-2400-000002000000}">
      <formula1>REPORTE</formula1>
    </dataValidation>
    <dataValidation type="list" allowBlank="1" showInputMessage="1" showErrorMessage="1" sqref="E10" xr:uid="{00000000-0002-0000-2400-000003000000}">
      <formula1>SI</formula1>
    </dataValidation>
  </dataValidations>
  <hyperlinks>
    <hyperlink ref="D75" r:id="rId1" display="http://www.sisaire.gov.co/" xr:uid="{00000000-0004-0000-2400-000000000000}"/>
    <hyperlink ref="D76" r:id="rId2" display="http://www.sirh.ideam.gov.co/" xr:uid="{00000000-0004-0000-2400-000001000000}"/>
    <hyperlink ref="B9" location="'ANEXO 3'!A1" display="VOLVER AL INDICE" xr:uid="{00000000-0004-0000-2400-000002000000}"/>
  </hyperlinks>
  <pageMargins left="0.25" right="0.25" top="0.75" bottom="0.75" header="0.3" footer="0.3"/>
  <pageSetup paperSize="178" orientation="landscape" horizontalDpi="1200" verticalDpi="1200" r:id="rId3"/>
  <drawing r:id="rId4"/>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7"/>
  <dimension ref="A1:U124"/>
  <sheetViews>
    <sheetView showGridLines="0" topLeftCell="A12" zoomScale="70" zoomScaleNormal="70" workbookViewId="0">
      <selection activeCell="F27" sqref="F27"/>
    </sheetView>
  </sheetViews>
  <sheetFormatPr baseColWidth="10" defaultRowHeight="15" x14ac:dyDescent="0.25"/>
  <cols>
    <col min="1" max="1" width="1.85546875" customWidth="1"/>
    <col min="2" max="2" width="11.140625" customWidth="1"/>
    <col min="3" max="3" width="5" style="87" bestFit="1" customWidth="1"/>
    <col min="4" max="4" width="34.85546875" customWidth="1"/>
    <col min="5" max="5" width="18.140625" customWidth="1"/>
    <col min="6" max="6" width="21.7109375" customWidth="1"/>
    <col min="7" max="7" width="15.5703125" customWidth="1"/>
    <col min="8" max="8" width="16.28515625" customWidth="1"/>
    <col min="10" max="10" width="14" customWidth="1"/>
  </cols>
  <sheetData>
    <row r="1" spans="1:21" s="538" customFormat="1" ht="100.5" customHeight="1" thickBot="1" x14ac:dyDescent="0.3">
      <c r="A1" s="1733"/>
      <c r="B1" s="1734"/>
      <c r="C1" s="1734"/>
      <c r="D1" s="1734"/>
      <c r="E1" s="1734"/>
      <c r="F1" s="1734"/>
      <c r="G1" s="1734"/>
      <c r="H1" s="1734"/>
      <c r="I1" s="1734"/>
      <c r="J1" s="1734"/>
      <c r="K1" s="1734"/>
      <c r="L1" s="1734"/>
      <c r="M1" s="1734"/>
      <c r="N1" s="1734"/>
      <c r="O1" s="1734"/>
      <c r="P1" s="1735"/>
      <c r="Q1" s="412"/>
      <c r="R1" s="412"/>
    </row>
    <row r="2" spans="1:21" s="539" customFormat="1" ht="16.5" thickBot="1" x14ac:dyDescent="0.3">
      <c r="A2" s="1741" t="str">
        <f>'Datos Generales'!C5</f>
        <v>Corporación Autónoma Regional de La Guajira – CORPOGUAJIRA</v>
      </c>
      <c r="B2" s="1742"/>
      <c r="C2" s="1742"/>
      <c r="D2" s="1742"/>
      <c r="E2" s="1742"/>
      <c r="F2" s="1742"/>
      <c r="G2" s="1742"/>
      <c r="H2" s="1742"/>
      <c r="I2" s="1742"/>
      <c r="J2" s="1742"/>
      <c r="K2" s="1742"/>
      <c r="L2" s="1742"/>
      <c r="M2" s="1742"/>
      <c r="N2" s="1742"/>
      <c r="O2" s="1742"/>
      <c r="P2" s="1743"/>
      <c r="Q2" s="412"/>
      <c r="R2" s="412"/>
    </row>
    <row r="3" spans="1:21" s="539" customFormat="1" ht="16.5" thickBot="1" x14ac:dyDescent="0.3">
      <c r="A3" s="1736" t="s">
        <v>1347</v>
      </c>
      <c r="B3" s="1737"/>
      <c r="C3" s="1737"/>
      <c r="D3" s="1737"/>
      <c r="E3" s="1737"/>
      <c r="F3" s="1737"/>
      <c r="G3" s="1737"/>
      <c r="H3" s="1737"/>
      <c r="I3" s="1737"/>
      <c r="J3" s="1737"/>
      <c r="K3" s="1737"/>
      <c r="L3" s="1737"/>
      <c r="M3" s="1737"/>
      <c r="N3" s="1737"/>
      <c r="O3" s="1737"/>
      <c r="P3" s="1738"/>
      <c r="Q3" s="412"/>
      <c r="R3" s="412"/>
    </row>
    <row r="4" spans="1:21" s="539" customFormat="1" ht="16.5" thickBot="1" x14ac:dyDescent="0.3">
      <c r="A4" s="1739" t="s">
        <v>1346</v>
      </c>
      <c r="B4" s="1740"/>
      <c r="C4" s="1740"/>
      <c r="D4" s="1740"/>
      <c r="E4" s="579" t="str">
        <f>'Datos Generales'!C6</f>
        <v>2021-I</v>
      </c>
      <c r="F4" s="579"/>
      <c r="G4" s="579"/>
      <c r="H4" s="579"/>
      <c r="I4" s="579"/>
      <c r="J4" s="579"/>
      <c r="K4" s="579"/>
      <c r="L4" s="581"/>
      <c r="M4" s="581"/>
      <c r="N4" s="581"/>
      <c r="O4" s="581"/>
      <c r="P4" s="582"/>
      <c r="Q4" s="412"/>
      <c r="R4" s="412"/>
    </row>
    <row r="5" spans="1:21" s="245" customFormat="1" ht="16.5" customHeight="1" thickBot="1" x14ac:dyDescent="0.3">
      <c r="A5" s="1736" t="s">
        <v>1114</v>
      </c>
      <c r="B5" s="1737"/>
      <c r="C5" s="1737"/>
      <c r="D5" s="1737"/>
      <c r="E5" s="1737"/>
      <c r="F5" s="1737"/>
      <c r="G5" s="1737"/>
      <c r="H5" s="1737"/>
      <c r="I5" s="1737"/>
      <c r="J5" s="1737"/>
      <c r="K5" s="1737"/>
      <c r="L5" s="1737"/>
      <c r="M5" s="1737"/>
      <c r="N5" s="1737"/>
      <c r="O5" s="1737"/>
      <c r="P5" s="1738"/>
    </row>
    <row r="6" spans="1:21" x14ac:dyDescent="0.25">
      <c r="A6" s="245"/>
      <c r="B6" s="249" t="s">
        <v>1</v>
      </c>
      <c r="C6" s="250"/>
      <c r="D6" s="248"/>
      <c r="E6" s="259"/>
      <c r="F6" s="248" t="s">
        <v>128</v>
      </c>
      <c r="G6" s="248"/>
      <c r="H6" s="248"/>
      <c r="I6" s="248"/>
      <c r="J6" s="248"/>
      <c r="K6" s="248"/>
      <c r="L6" s="245"/>
      <c r="M6" s="245"/>
      <c r="N6" s="245"/>
      <c r="O6" s="245"/>
      <c r="P6" s="245"/>
      <c r="Q6" s="245"/>
      <c r="R6" s="245"/>
      <c r="S6" s="245"/>
    </row>
    <row r="7" spans="1:21" ht="15.75" thickBot="1" x14ac:dyDescent="0.3">
      <c r="A7" s="245"/>
      <c r="B7" s="251"/>
      <c r="C7" s="252"/>
      <c r="D7" s="248"/>
      <c r="E7" s="253"/>
      <c r="F7" s="248" t="s">
        <v>129</v>
      </c>
      <c r="G7" s="248"/>
      <c r="H7" s="248"/>
      <c r="I7" s="248"/>
      <c r="J7" s="248"/>
      <c r="K7" s="248"/>
      <c r="L7" s="245"/>
      <c r="M7" s="245"/>
      <c r="N7" s="245"/>
      <c r="O7" s="245"/>
      <c r="P7" s="245"/>
      <c r="Q7" s="245"/>
      <c r="R7" s="245"/>
      <c r="S7" s="245"/>
    </row>
    <row r="8" spans="1:21" ht="15.75" thickBot="1" x14ac:dyDescent="0.3">
      <c r="A8" s="245"/>
      <c r="B8" s="255" t="s">
        <v>1185</v>
      </c>
      <c r="C8" s="262">
        <v>2021</v>
      </c>
      <c r="D8" s="257">
        <f>IF(E10="NO APLICA","NO APLICA",IF(E11="NO SE REPORTA","SIN INFORMACION",+F42))</f>
        <v>0.24505076268974579</v>
      </c>
      <c r="E8" s="264"/>
      <c r="F8" s="248" t="s">
        <v>130</v>
      </c>
      <c r="G8" s="248"/>
      <c r="H8" s="248"/>
      <c r="I8" s="248"/>
      <c r="J8" s="248"/>
      <c r="K8" s="248"/>
      <c r="L8" s="245"/>
      <c r="M8" s="245"/>
      <c r="N8" s="245"/>
      <c r="O8" s="245"/>
      <c r="P8" s="245"/>
      <c r="Q8" s="245"/>
      <c r="R8" s="245"/>
      <c r="S8" s="245"/>
    </row>
    <row r="9" spans="1:21" x14ac:dyDescent="0.25">
      <c r="A9" s="245"/>
      <c r="B9" s="519" t="s">
        <v>1186</v>
      </c>
      <c r="C9" s="304"/>
      <c r="D9" s="248"/>
      <c r="E9" s="248"/>
      <c r="F9" s="248"/>
      <c r="G9" s="248"/>
      <c r="H9" s="248"/>
      <c r="I9" s="248"/>
      <c r="J9" s="248"/>
      <c r="K9" s="248"/>
      <c r="L9" s="245"/>
      <c r="M9" s="245"/>
      <c r="N9" s="245"/>
      <c r="O9" s="245"/>
      <c r="P9" s="245"/>
      <c r="Q9" s="245"/>
      <c r="R9" s="245"/>
      <c r="S9" s="245"/>
    </row>
    <row r="10" spans="1:21" s="412" customFormat="1" x14ac:dyDescent="0.25">
      <c r="A10" s="245"/>
      <c r="B10" s="1789" t="s">
        <v>1241</v>
      </c>
      <c r="C10" s="1789"/>
      <c r="D10" s="1789"/>
      <c r="E10" s="499" t="s">
        <v>1238</v>
      </c>
      <c r="F10" s="17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796"/>
      <c r="H10" s="1796"/>
      <c r="I10" s="1796"/>
      <c r="J10" s="1796"/>
      <c r="K10" s="1796"/>
      <c r="L10" s="1796"/>
      <c r="M10" s="1796"/>
      <c r="N10" s="1796"/>
      <c r="O10" s="1796"/>
      <c r="P10" s="1796"/>
      <c r="Q10" s="1796"/>
      <c r="R10" s="1796"/>
      <c r="S10" s="1796"/>
      <c r="T10" s="495"/>
      <c r="U10" s="495"/>
    </row>
    <row r="11" spans="1:21" s="412" customFormat="1" ht="14.45" customHeight="1" x14ac:dyDescent="0.25">
      <c r="A11" s="245"/>
      <c r="B11" s="520"/>
      <c r="C11" s="497"/>
      <c r="D11" s="498" t="str">
        <f>IF(E10="SI APLICA","¿El indicador no se reporta por limitaciones de información disponible? ","")</f>
        <v xml:space="preserve">¿El indicador no se reporta por limitaciones de información disponible? </v>
      </c>
      <c r="E11" s="500" t="s">
        <v>1240</v>
      </c>
      <c r="F11" s="1790"/>
      <c r="G11" s="1791"/>
      <c r="H11" s="1791"/>
      <c r="I11" s="1791"/>
      <c r="J11" s="1791"/>
      <c r="K11" s="1791"/>
      <c r="L11" s="1791"/>
      <c r="M11" s="1791"/>
      <c r="N11" s="1791"/>
      <c r="O11" s="1791"/>
      <c r="P11" s="1791"/>
      <c r="Q11" s="1791"/>
      <c r="R11" s="1791"/>
      <c r="S11" s="1791"/>
    </row>
    <row r="12" spans="1:21" s="412" customFormat="1" ht="23.45" customHeight="1" x14ac:dyDescent="0.25">
      <c r="A12" s="245"/>
      <c r="B12" s="519"/>
      <c r="C12" s="304"/>
      <c r="D12" s="498" t="str">
        <f>IF(E11="SI SE REPORTA","¿Qué programas o proyectos del Plan de Acción están asociados al indicador? ","")</f>
        <v xml:space="preserve">¿Qué programas o proyectos del Plan de Acción están asociados al indicador? </v>
      </c>
      <c r="E12" s="1799" t="str">
        <f>'Anexo 1 Matriz Inf Gestión'!A143</f>
        <v>Programa No 5. Educación Ambiental</v>
      </c>
      <c r="F12" s="1799"/>
      <c r="G12" s="1799"/>
      <c r="H12" s="1799"/>
      <c r="I12" s="1799"/>
      <c r="J12" s="1799"/>
      <c r="K12" s="1799"/>
      <c r="L12" s="1799"/>
      <c r="M12" s="1799"/>
      <c r="N12" s="1799"/>
      <c r="O12" s="1799"/>
      <c r="P12" s="1799"/>
      <c r="Q12" s="1799"/>
      <c r="R12" s="1799"/>
      <c r="S12" s="245"/>
    </row>
    <row r="13" spans="1:21" s="412" customFormat="1" ht="21.95" customHeight="1" x14ac:dyDescent="0.25">
      <c r="A13" s="245"/>
      <c r="B13" s="519"/>
      <c r="C13" s="304"/>
      <c r="D13" s="498" t="s">
        <v>1243</v>
      </c>
      <c r="E13" s="1792" t="s">
        <v>3165</v>
      </c>
      <c r="F13" s="1793"/>
      <c r="G13" s="1793"/>
      <c r="H13" s="1793"/>
      <c r="I13" s="1793"/>
      <c r="J13" s="1793"/>
      <c r="K13" s="1793"/>
      <c r="L13" s="1793"/>
      <c r="M13" s="1793"/>
      <c r="N13" s="1793"/>
      <c r="O13" s="1793"/>
      <c r="P13" s="1793"/>
      <c r="Q13" s="1793"/>
      <c r="R13" s="1794"/>
      <c r="S13" s="245"/>
    </row>
    <row r="14" spans="1:21" s="412" customFormat="1" ht="6.95" customHeight="1" thickBot="1" x14ac:dyDescent="0.3">
      <c r="A14" s="245"/>
      <c r="B14" s="519"/>
      <c r="C14" s="304"/>
      <c r="D14" s="248"/>
      <c r="E14" s="248"/>
      <c r="F14" s="248"/>
      <c r="G14" s="248"/>
      <c r="H14" s="248"/>
      <c r="I14" s="248"/>
      <c r="J14" s="248"/>
      <c r="K14" s="248"/>
      <c r="L14" s="245"/>
      <c r="M14" s="245"/>
      <c r="N14" s="245"/>
      <c r="O14" s="245"/>
      <c r="P14" s="245"/>
      <c r="Q14" s="245"/>
      <c r="R14" s="245"/>
      <c r="S14" s="245"/>
    </row>
    <row r="15" spans="1:21" ht="15.75" thickBot="1" x14ac:dyDescent="0.3">
      <c r="A15" s="245"/>
      <c r="B15" s="1768" t="s">
        <v>2</v>
      </c>
      <c r="C15" s="268"/>
      <c r="D15" s="1750" t="s">
        <v>336</v>
      </c>
      <c r="E15" s="1751"/>
      <c r="F15" s="1751"/>
      <c r="G15" s="1751"/>
      <c r="H15" s="1751"/>
      <c r="I15" s="1751"/>
      <c r="J15" s="1751"/>
      <c r="K15" s="1752"/>
      <c r="L15" s="199"/>
      <c r="M15" s="199"/>
      <c r="N15" s="199"/>
      <c r="O15" s="199"/>
      <c r="P15" s="199"/>
      <c r="Q15" s="199"/>
      <c r="R15" s="199"/>
      <c r="S15" s="245"/>
    </row>
    <row r="16" spans="1:21" ht="15.75" thickBot="1" x14ac:dyDescent="0.3">
      <c r="A16" s="245"/>
      <c r="B16" s="1769"/>
      <c r="C16" s="317" t="s">
        <v>19</v>
      </c>
      <c r="D16" s="280" t="s">
        <v>253</v>
      </c>
      <c r="E16" s="280" t="s">
        <v>20</v>
      </c>
      <c r="F16" s="280" t="s">
        <v>21</v>
      </c>
      <c r="G16" s="280" t="s">
        <v>22</v>
      </c>
      <c r="H16" s="280" t="s">
        <v>23</v>
      </c>
      <c r="I16" s="280" t="s">
        <v>254</v>
      </c>
      <c r="J16" s="245"/>
      <c r="K16" s="274"/>
      <c r="L16" s="199"/>
      <c r="M16" s="199"/>
      <c r="N16" s="199"/>
      <c r="O16" s="199"/>
      <c r="P16" s="199"/>
      <c r="Q16" s="199"/>
      <c r="R16" s="199"/>
      <c r="S16" s="245"/>
    </row>
    <row r="17" spans="1:19" ht="24.75" thickBot="1" x14ac:dyDescent="0.3">
      <c r="A17" s="245"/>
      <c r="B17" s="1769"/>
      <c r="C17" s="521" t="s">
        <v>152</v>
      </c>
      <c r="D17" s="507" t="s">
        <v>1142</v>
      </c>
      <c r="E17" s="993">
        <v>32</v>
      </c>
      <c r="F17" s="993">
        <v>32</v>
      </c>
      <c r="G17" s="993">
        <v>32</v>
      </c>
      <c r="H17" s="993">
        <v>32</v>
      </c>
      <c r="I17" s="283">
        <f>SUM(E17:H17)</f>
        <v>128</v>
      </c>
      <c r="J17" s="245"/>
      <c r="K17" s="274"/>
      <c r="L17" s="199"/>
      <c r="M17" s="199"/>
      <c r="N17" s="199"/>
      <c r="O17" s="199"/>
      <c r="P17" s="199"/>
      <c r="Q17" s="199"/>
      <c r="R17" s="199"/>
      <c r="S17" s="245"/>
    </row>
    <row r="18" spans="1:19" ht="15.75" thickBot="1" x14ac:dyDescent="0.3">
      <c r="A18" s="245"/>
      <c r="B18" s="1769"/>
      <c r="C18" s="521" t="s">
        <v>154</v>
      </c>
      <c r="D18" s="507" t="s">
        <v>765</v>
      </c>
      <c r="E18" s="1156">
        <v>825639938</v>
      </c>
      <c r="F18" s="1157">
        <v>1034059645</v>
      </c>
      <c r="G18" s="1157"/>
      <c r="H18" s="1157"/>
      <c r="I18" s="381">
        <f>SUM(E18:H18)</f>
        <v>1859699583</v>
      </c>
      <c r="J18" s="245"/>
      <c r="K18" s="274"/>
      <c r="L18" s="199"/>
      <c r="M18" s="199"/>
      <c r="N18" s="199"/>
      <c r="O18" s="199"/>
      <c r="P18" s="199"/>
      <c r="Q18" s="199"/>
      <c r="R18" s="199"/>
      <c r="S18" s="245"/>
    </row>
    <row r="19" spans="1:19" ht="15.75" thickBot="1" x14ac:dyDescent="0.3">
      <c r="A19" s="245"/>
      <c r="B19" s="1769"/>
      <c r="C19" s="521" t="s">
        <v>156</v>
      </c>
      <c r="D19" s="507" t="s">
        <v>822</v>
      </c>
      <c r="E19" s="1158">
        <v>825639938</v>
      </c>
      <c r="F19" s="1157"/>
      <c r="G19" s="1157"/>
      <c r="H19" s="1157"/>
      <c r="I19" s="381">
        <f>SUM(E19:H19)</f>
        <v>825639938</v>
      </c>
      <c r="J19" s="245"/>
      <c r="K19" s="274"/>
      <c r="L19" s="199"/>
      <c r="M19" s="199"/>
      <c r="N19" s="199"/>
      <c r="O19" s="199"/>
      <c r="P19" s="199"/>
      <c r="Q19" s="199"/>
      <c r="R19" s="199"/>
      <c r="S19" s="245"/>
    </row>
    <row r="20" spans="1:19" x14ac:dyDescent="0.25">
      <c r="A20" s="245"/>
      <c r="B20" s="1769"/>
      <c r="C20" s="276"/>
      <c r="D20" s="1756"/>
      <c r="E20" s="1803"/>
      <c r="F20" s="1803"/>
      <c r="G20" s="1803"/>
      <c r="H20" s="1803"/>
      <c r="I20" s="1803"/>
      <c r="J20" s="1803"/>
      <c r="K20" s="1758"/>
      <c r="L20" s="199"/>
      <c r="M20" s="199"/>
      <c r="N20" s="199"/>
      <c r="O20" s="199"/>
      <c r="P20" s="199"/>
      <c r="Q20" s="199"/>
      <c r="R20" s="199"/>
      <c r="S20" s="245"/>
    </row>
    <row r="21" spans="1:19" ht="15.75" thickBot="1" x14ac:dyDescent="0.3">
      <c r="A21" s="245"/>
      <c r="B21" s="1769"/>
      <c r="C21" s="276"/>
      <c r="D21" s="1780" t="s">
        <v>1143</v>
      </c>
      <c r="E21" s="1781"/>
      <c r="F21" s="1781"/>
      <c r="G21" s="1781"/>
      <c r="H21" s="1781"/>
      <c r="I21" s="1781"/>
      <c r="J21" s="1781"/>
      <c r="K21" s="1782"/>
      <c r="L21" s="199"/>
      <c r="M21" s="199"/>
      <c r="N21" s="199"/>
      <c r="O21" s="199"/>
      <c r="P21" s="199"/>
      <c r="Q21" s="199"/>
      <c r="R21" s="199"/>
      <c r="S21" s="245"/>
    </row>
    <row r="22" spans="1:19" ht="15.75" thickBot="1" x14ac:dyDescent="0.3">
      <c r="A22" s="245"/>
      <c r="B22" s="1769"/>
      <c r="C22" s="1855" t="s">
        <v>19</v>
      </c>
      <c r="D22" s="1768" t="s">
        <v>270</v>
      </c>
      <c r="E22" s="1777" t="s">
        <v>620</v>
      </c>
      <c r="F22" s="1779"/>
      <c r="G22" s="1777" t="s">
        <v>690</v>
      </c>
      <c r="H22" s="1778"/>
      <c r="I22" s="1778"/>
      <c r="J22" s="1779"/>
      <c r="K22" s="281"/>
      <c r="L22" s="199"/>
      <c r="M22" s="199"/>
      <c r="N22" s="199"/>
      <c r="O22" s="199"/>
      <c r="P22" s="199"/>
      <c r="Q22" s="199"/>
      <c r="R22" s="199"/>
      <c r="S22" s="245"/>
    </row>
    <row r="23" spans="1:19" ht="24.75" thickBot="1" x14ac:dyDescent="0.3">
      <c r="A23" s="245"/>
      <c r="B23" s="1769"/>
      <c r="C23" s="1856"/>
      <c r="D23" s="1770"/>
      <c r="E23" s="507" t="s">
        <v>621</v>
      </c>
      <c r="F23" s="506" t="s">
        <v>622</v>
      </c>
      <c r="G23" s="507" t="s">
        <v>765</v>
      </c>
      <c r="H23" s="507" t="s">
        <v>344</v>
      </c>
      <c r="I23" s="507" t="s">
        <v>274</v>
      </c>
      <c r="J23" s="507" t="s">
        <v>275</v>
      </c>
      <c r="K23" s="507" t="s">
        <v>55</v>
      </c>
      <c r="L23" s="199"/>
      <c r="M23" s="199"/>
      <c r="N23" s="199"/>
      <c r="O23" s="199"/>
      <c r="P23" s="199"/>
      <c r="Q23" s="199"/>
      <c r="R23" s="199"/>
      <c r="S23" s="245"/>
    </row>
    <row r="24" spans="1:19" ht="15.75" thickBot="1" x14ac:dyDescent="0.3">
      <c r="A24" s="245"/>
      <c r="B24" s="1769"/>
      <c r="C24" s="521">
        <v>1</v>
      </c>
      <c r="D24" s="167" t="s">
        <v>3166</v>
      </c>
      <c r="E24" s="1122">
        <v>1</v>
      </c>
      <c r="F24" s="164">
        <f>10.53/25</f>
        <v>0.42119999999999996</v>
      </c>
      <c r="G24" s="1157">
        <v>354642990</v>
      </c>
      <c r="H24" s="1157">
        <v>661642990</v>
      </c>
      <c r="I24" s="978">
        <v>103475664</v>
      </c>
      <c r="J24" s="1157">
        <v>86737056</v>
      </c>
      <c r="K24" s="197"/>
      <c r="L24" s="199"/>
      <c r="M24" s="199"/>
      <c r="N24" s="199"/>
      <c r="O24" s="199"/>
      <c r="P24" s="199"/>
      <c r="Q24" s="199"/>
      <c r="R24" s="199"/>
      <c r="S24" s="245"/>
    </row>
    <row r="25" spans="1:19" ht="15.75" thickBot="1" x14ac:dyDescent="0.3">
      <c r="A25" s="245"/>
      <c r="B25" s="1769"/>
      <c r="C25" s="521">
        <v>2</v>
      </c>
      <c r="D25" s="167" t="s">
        <v>3167</v>
      </c>
      <c r="E25" s="1122">
        <v>1</v>
      </c>
      <c r="F25" s="1122">
        <f>11.57/25</f>
        <v>0.46279999999999999</v>
      </c>
      <c r="G25" s="1157">
        <v>379416663</v>
      </c>
      <c r="H25" s="1157">
        <v>386416663</v>
      </c>
      <c r="I25" s="978">
        <v>128950925</v>
      </c>
      <c r="J25" s="1157">
        <v>98092397</v>
      </c>
      <c r="K25" s="197"/>
      <c r="L25" s="199"/>
      <c r="M25" s="199"/>
      <c r="N25" s="199"/>
      <c r="O25" s="199"/>
      <c r="P25" s="199"/>
      <c r="Q25" s="199"/>
      <c r="R25" s="199"/>
      <c r="S25" s="245"/>
    </row>
    <row r="26" spans="1:19" ht="15.75" thickBot="1" x14ac:dyDescent="0.3">
      <c r="A26" s="245"/>
      <c r="B26" s="1769"/>
      <c r="C26" s="521">
        <v>3</v>
      </c>
      <c r="D26" s="167"/>
      <c r="E26" s="32"/>
      <c r="F26" s="32"/>
      <c r="G26" s="197"/>
      <c r="H26" s="197"/>
      <c r="I26" s="197"/>
      <c r="J26" s="197"/>
      <c r="K26" s="197"/>
      <c r="L26" s="199"/>
      <c r="M26" s="199"/>
      <c r="N26" s="199"/>
      <c r="O26" s="199"/>
      <c r="P26" s="199"/>
      <c r="Q26" s="199"/>
      <c r="R26" s="199"/>
      <c r="S26" s="245"/>
    </row>
    <row r="27" spans="1:19" ht="15.75" thickBot="1" x14ac:dyDescent="0.3">
      <c r="A27" s="245"/>
      <c r="B27" s="1769"/>
      <c r="C27" s="521">
        <v>4</v>
      </c>
      <c r="D27" s="167"/>
      <c r="E27" s="32"/>
      <c r="F27" s="32"/>
      <c r="G27" s="197"/>
      <c r="H27" s="197"/>
      <c r="I27" s="197"/>
      <c r="J27" s="197"/>
      <c r="K27" s="197"/>
      <c r="L27" s="199"/>
      <c r="M27" s="199"/>
      <c r="N27" s="199"/>
      <c r="O27" s="199"/>
      <c r="P27" s="199"/>
      <c r="Q27" s="199"/>
      <c r="R27" s="199"/>
      <c r="S27" s="245"/>
    </row>
    <row r="28" spans="1:19" ht="15.75" thickBot="1" x14ac:dyDescent="0.3">
      <c r="A28" s="245"/>
      <c r="B28" s="1769"/>
      <c r="C28" s="521">
        <v>5</v>
      </c>
      <c r="D28" s="167"/>
      <c r="E28" s="32"/>
      <c r="F28" s="32"/>
      <c r="G28" s="197"/>
      <c r="H28" s="197"/>
      <c r="I28" s="197"/>
      <c r="J28" s="197"/>
      <c r="K28" s="197"/>
      <c r="L28" s="199"/>
      <c r="M28" s="199"/>
      <c r="N28" s="199"/>
      <c r="O28" s="199"/>
      <c r="P28" s="199"/>
      <c r="Q28" s="199"/>
      <c r="R28" s="199"/>
      <c r="S28" s="245"/>
    </row>
    <row r="29" spans="1:19" ht="15.75" thickBot="1" x14ac:dyDescent="0.3">
      <c r="A29" s="245"/>
      <c r="B29" s="1769"/>
      <c r="C29" s="521">
        <v>6</v>
      </c>
      <c r="D29" s="167"/>
      <c r="E29" s="32"/>
      <c r="F29" s="32"/>
      <c r="G29" s="197"/>
      <c r="H29" s="197"/>
      <c r="I29" s="197"/>
      <c r="J29" s="197"/>
      <c r="K29" s="197"/>
      <c r="L29" s="199"/>
      <c r="M29" s="199"/>
      <c r="N29" s="199"/>
      <c r="O29" s="199"/>
      <c r="P29" s="199"/>
      <c r="Q29" s="199"/>
      <c r="R29" s="199"/>
      <c r="S29" s="245"/>
    </row>
    <row r="30" spans="1:19" ht="15.75" thickBot="1" x14ac:dyDescent="0.3">
      <c r="A30" s="245"/>
      <c r="B30" s="1769"/>
      <c r="C30" s="250"/>
      <c r="D30" s="522" t="s">
        <v>151</v>
      </c>
      <c r="E30" s="249"/>
      <c r="F30" s="249"/>
      <c r="G30" s="523">
        <f>SUM(G24:G29)</f>
        <v>734059653</v>
      </c>
      <c r="H30" s="523">
        <f>SUM(H24:H29)</f>
        <v>1048059653</v>
      </c>
      <c r="I30" s="523">
        <f>SUM(I24:I29)</f>
        <v>232426589</v>
      </c>
      <c r="J30" s="523">
        <f>SUM(J24:J29)</f>
        <v>184829453</v>
      </c>
      <c r="K30" s="197"/>
      <c r="L30" s="199"/>
      <c r="M30" s="199"/>
      <c r="N30" s="199"/>
      <c r="O30" s="199"/>
      <c r="P30" s="199"/>
      <c r="Q30" s="199"/>
      <c r="R30" s="199"/>
      <c r="S30" s="245"/>
    </row>
    <row r="31" spans="1:19" x14ac:dyDescent="0.25">
      <c r="A31" s="245"/>
      <c r="B31" s="1769"/>
      <c r="C31" s="276"/>
      <c r="D31" s="1756" t="s">
        <v>826</v>
      </c>
      <c r="E31" s="1803"/>
      <c r="F31" s="1803"/>
      <c r="G31" s="1803"/>
      <c r="H31" s="1803"/>
      <c r="I31" s="1803"/>
      <c r="J31" s="1803"/>
      <c r="K31" s="1758"/>
      <c r="L31" s="199"/>
      <c r="M31" s="199"/>
      <c r="N31" s="199"/>
      <c r="O31" s="199"/>
      <c r="P31" s="199"/>
      <c r="Q31" s="199"/>
      <c r="R31" s="199"/>
      <c r="S31" s="245"/>
    </row>
    <row r="32" spans="1:19" ht="15.75" thickBot="1" x14ac:dyDescent="0.3">
      <c r="A32" s="245"/>
      <c r="B32" s="1769"/>
      <c r="C32" s="276"/>
      <c r="D32" s="1756" t="s">
        <v>1144</v>
      </c>
      <c r="E32" s="1803"/>
      <c r="F32" s="1803"/>
      <c r="G32" s="1803"/>
      <c r="H32" s="1803"/>
      <c r="I32" s="1803"/>
      <c r="J32" s="1803"/>
      <c r="K32" s="1758"/>
      <c r="L32" s="199"/>
      <c r="M32" s="199"/>
      <c r="N32" s="199"/>
      <c r="O32" s="199"/>
      <c r="P32" s="199"/>
      <c r="Q32" s="199"/>
      <c r="R32" s="199"/>
      <c r="S32" s="245"/>
    </row>
    <row r="33" spans="1:19" ht="15.75" thickBot="1" x14ac:dyDescent="0.3">
      <c r="A33" s="245"/>
      <c r="B33" s="1769"/>
      <c r="C33" s="1855" t="s">
        <v>19</v>
      </c>
      <c r="D33" s="2058" t="s">
        <v>694</v>
      </c>
      <c r="E33" s="280" t="s">
        <v>828</v>
      </c>
      <c r="F33" s="2049" t="s">
        <v>695</v>
      </c>
      <c r="G33" s="2050"/>
      <c r="H33" s="506"/>
      <c r="I33" s="248"/>
      <c r="J33" s="245"/>
      <c r="K33" s="274"/>
      <c r="L33" s="199"/>
      <c r="M33" s="199"/>
      <c r="N33" s="199"/>
      <c r="O33" s="199"/>
      <c r="P33" s="199"/>
      <c r="Q33" s="199"/>
      <c r="R33" s="199"/>
      <c r="S33" s="245"/>
    </row>
    <row r="34" spans="1:19" x14ac:dyDescent="0.25">
      <c r="A34" s="245"/>
      <c r="B34" s="1769"/>
      <c r="C34" s="2057"/>
      <c r="D34" s="2059"/>
      <c r="E34" s="1768" t="s">
        <v>1145</v>
      </c>
      <c r="F34" s="1768" t="s">
        <v>696</v>
      </c>
      <c r="G34" s="505" t="s">
        <v>697</v>
      </c>
      <c r="H34" s="1768" t="s">
        <v>55</v>
      </c>
      <c r="I34" s="248"/>
      <c r="J34" s="245"/>
      <c r="K34" s="274"/>
      <c r="L34" s="199"/>
      <c r="M34" s="199"/>
      <c r="N34" s="199"/>
      <c r="O34" s="199"/>
      <c r="P34" s="199"/>
      <c r="Q34" s="199"/>
      <c r="R34" s="199"/>
      <c r="S34" s="245"/>
    </row>
    <row r="35" spans="1:19" ht="15.75" thickBot="1" x14ac:dyDescent="0.3">
      <c r="A35" s="245"/>
      <c r="B35" s="1769"/>
      <c r="C35" s="1856"/>
      <c r="D35" s="2060"/>
      <c r="E35" s="1770"/>
      <c r="F35" s="1770"/>
      <c r="G35" s="507" t="s">
        <v>692</v>
      </c>
      <c r="H35" s="1770"/>
      <c r="I35" s="248"/>
      <c r="J35" s="245"/>
      <c r="K35" s="274"/>
      <c r="L35" s="199"/>
      <c r="M35" s="199"/>
      <c r="N35" s="199"/>
      <c r="O35" s="199"/>
      <c r="P35" s="199"/>
      <c r="Q35" s="199"/>
      <c r="R35" s="199"/>
      <c r="S35" s="245"/>
    </row>
    <row r="36" spans="1:19" ht="15.75" thickBot="1" x14ac:dyDescent="0.3">
      <c r="A36" s="245"/>
      <c r="B36" s="1769"/>
      <c r="C36" s="508">
        <v>1</v>
      </c>
      <c r="D36" s="164">
        <v>0.5</v>
      </c>
      <c r="E36" s="368">
        <f>+F24</f>
        <v>0.42119999999999996</v>
      </c>
      <c r="F36" s="524">
        <f>IFERROR(I24/H24,0)</f>
        <v>0.15639199018794109</v>
      </c>
      <c r="G36" s="524">
        <f>IFERROR(J24/I24,0)</f>
        <v>0.8382362832675323</v>
      </c>
      <c r="H36" s="31"/>
      <c r="I36" s="248"/>
      <c r="J36" s="525"/>
      <c r="K36" s="274"/>
      <c r="L36" s="199"/>
      <c r="M36" s="199"/>
      <c r="N36" s="199"/>
      <c r="O36" s="199"/>
      <c r="P36" s="199"/>
      <c r="Q36" s="199"/>
      <c r="R36" s="199"/>
      <c r="S36" s="245"/>
    </row>
    <row r="37" spans="1:19" ht="15.75" thickBot="1" x14ac:dyDescent="0.3">
      <c r="A37" s="245"/>
      <c r="B37" s="1769"/>
      <c r="C37" s="508">
        <v>2</v>
      </c>
      <c r="D37" s="164">
        <v>0.5</v>
      </c>
      <c r="E37" s="368">
        <f>+F25</f>
        <v>0.46279999999999999</v>
      </c>
      <c r="F37" s="524">
        <f>IFERROR(I25/H25,0)</f>
        <v>0.3337095351915505</v>
      </c>
      <c r="G37" s="524">
        <f t="shared" ref="G37:G42" si="0">IFERROR(J25/I25,0)</f>
        <v>0.76069556693757723</v>
      </c>
      <c r="H37" s="31"/>
      <c r="I37" s="248"/>
      <c r="J37" s="245"/>
      <c r="K37" s="274"/>
      <c r="L37" s="199"/>
      <c r="M37" s="199"/>
      <c r="N37" s="199"/>
      <c r="O37" s="199"/>
      <c r="P37" s="199"/>
      <c r="Q37" s="199"/>
      <c r="R37" s="199"/>
      <c r="S37" s="245"/>
    </row>
    <row r="38" spans="1:19" ht="15.75" thickBot="1" x14ac:dyDescent="0.3">
      <c r="A38" s="245"/>
      <c r="B38" s="1769"/>
      <c r="C38" s="508">
        <v>3</v>
      </c>
      <c r="D38" s="164"/>
      <c r="E38" s="368">
        <v>0</v>
      </c>
      <c r="F38" s="524">
        <v>0</v>
      </c>
      <c r="G38" s="524">
        <f t="shared" si="0"/>
        <v>0</v>
      </c>
      <c r="H38" s="31"/>
      <c r="I38" s="248"/>
      <c r="J38" s="245"/>
      <c r="K38" s="274"/>
      <c r="L38" s="199"/>
      <c r="M38" s="199"/>
      <c r="N38" s="199"/>
      <c r="O38" s="199"/>
      <c r="P38" s="199"/>
      <c r="Q38" s="199"/>
      <c r="R38" s="199"/>
      <c r="S38" s="245"/>
    </row>
    <row r="39" spans="1:19" ht="15.75" thickBot="1" x14ac:dyDescent="0.3">
      <c r="A39" s="245"/>
      <c r="B39" s="1769"/>
      <c r="C39" s="508">
        <v>4</v>
      </c>
      <c r="D39" s="164"/>
      <c r="E39" s="368">
        <f>+F27</f>
        <v>0</v>
      </c>
      <c r="F39" s="524">
        <f>IFERROR(I27/H27,0)</f>
        <v>0</v>
      </c>
      <c r="G39" s="524">
        <f t="shared" si="0"/>
        <v>0</v>
      </c>
      <c r="H39" s="31"/>
      <c r="I39" s="248"/>
      <c r="J39" s="245"/>
      <c r="K39" s="274"/>
      <c r="L39" s="199"/>
      <c r="M39" s="199"/>
      <c r="N39" s="199"/>
      <c r="O39" s="199"/>
      <c r="P39" s="199"/>
      <c r="Q39" s="199"/>
      <c r="R39" s="199"/>
      <c r="S39" s="245"/>
    </row>
    <row r="40" spans="1:19" ht="15.75" thickBot="1" x14ac:dyDescent="0.3">
      <c r="A40" s="245"/>
      <c r="B40" s="1769"/>
      <c r="C40" s="508">
        <v>5</v>
      </c>
      <c r="D40" s="164"/>
      <c r="E40" s="368">
        <f>+F28</f>
        <v>0</v>
      </c>
      <c r="F40" s="524">
        <f>IFERROR(I28/H28,0)</f>
        <v>0</v>
      </c>
      <c r="G40" s="524">
        <f t="shared" si="0"/>
        <v>0</v>
      </c>
      <c r="H40" s="31"/>
      <c r="I40" s="248"/>
      <c r="J40" s="245"/>
      <c r="K40" s="274"/>
      <c r="L40" s="199"/>
      <c r="M40" s="199"/>
      <c r="N40" s="199"/>
      <c r="O40" s="199"/>
      <c r="P40" s="199"/>
      <c r="Q40" s="199"/>
      <c r="R40" s="199"/>
      <c r="S40" s="245"/>
    </row>
    <row r="41" spans="1:19" ht="15.75" thickBot="1" x14ac:dyDescent="0.3">
      <c r="A41" s="245"/>
      <c r="B41" s="1769"/>
      <c r="C41" s="508">
        <v>6</v>
      </c>
      <c r="D41" s="164"/>
      <c r="E41" s="368">
        <f>+F29</f>
        <v>0</v>
      </c>
      <c r="F41" s="524">
        <f>IFERROR(I29/H29,0)</f>
        <v>0</v>
      </c>
      <c r="G41" s="524">
        <f t="shared" si="0"/>
        <v>0</v>
      </c>
      <c r="H41" s="31"/>
      <c r="I41" s="248"/>
      <c r="J41" s="245"/>
      <c r="K41" s="274"/>
      <c r="L41" s="199"/>
      <c r="M41" s="199"/>
      <c r="N41" s="199"/>
      <c r="O41" s="199"/>
      <c r="P41" s="199"/>
      <c r="Q41" s="199"/>
      <c r="R41" s="199"/>
      <c r="S41" s="245"/>
    </row>
    <row r="42" spans="1:19" ht="15.75" thickBot="1" x14ac:dyDescent="0.3">
      <c r="A42" s="245"/>
      <c r="B42" s="1770"/>
      <c r="C42" s="508"/>
      <c r="D42" s="165">
        <f>+Formulas!D31</f>
        <v>1</v>
      </c>
      <c r="E42" s="526">
        <f>+D36*E36+D37*E37+D38*E38+D39*E39+D40*E40+D41*E41</f>
        <v>0.44199999999999995</v>
      </c>
      <c r="F42" s="526">
        <f>+D36*F36+D37*F37+D38*F38+D39*F39+D40*F40+D41*F41</f>
        <v>0.24505076268974579</v>
      </c>
      <c r="G42" s="524">
        <f t="shared" si="0"/>
        <v>0.79521647585681343</v>
      </c>
      <c r="H42" s="31"/>
      <c r="I42" s="527"/>
      <c r="J42" s="245"/>
      <c r="K42" s="326"/>
      <c r="L42" s="199"/>
      <c r="M42" s="199" t="s">
        <v>1195</v>
      </c>
      <c r="N42" s="199"/>
      <c r="O42" s="199"/>
      <c r="P42" s="199"/>
      <c r="Q42" s="199"/>
      <c r="R42" s="199"/>
      <c r="S42" s="245"/>
    </row>
    <row r="43" spans="1:19" ht="24" customHeight="1" thickBot="1" x14ac:dyDescent="0.3">
      <c r="B43" s="188" t="s">
        <v>34</v>
      </c>
      <c r="C43" s="86"/>
      <c r="D43" s="2051" t="s">
        <v>1146</v>
      </c>
      <c r="E43" s="2052"/>
      <c r="F43" s="2052"/>
      <c r="G43" s="2052"/>
      <c r="H43" s="2052"/>
      <c r="I43" s="2052"/>
      <c r="J43" s="2052"/>
      <c r="K43" s="2053"/>
      <c r="L43" s="199"/>
      <c r="M43" s="199"/>
      <c r="N43" s="199"/>
      <c r="O43" s="199"/>
      <c r="P43" s="199"/>
      <c r="Q43" s="199"/>
      <c r="R43" s="199"/>
    </row>
    <row r="44" spans="1:19" ht="36.75" thickBot="1" x14ac:dyDescent="0.3">
      <c r="B44" s="188" t="s">
        <v>36</v>
      </c>
      <c r="C44" s="86"/>
      <c r="D44" s="2051" t="s">
        <v>346</v>
      </c>
      <c r="E44" s="2052"/>
      <c r="F44" s="2052"/>
      <c r="G44" s="2052"/>
      <c r="H44" s="2052"/>
      <c r="I44" s="2052"/>
      <c r="J44" s="2052"/>
      <c r="K44" s="2053"/>
      <c r="L44" s="199"/>
      <c r="M44" s="199"/>
      <c r="N44" s="199"/>
      <c r="O44" s="199"/>
      <c r="P44" s="199"/>
      <c r="Q44" s="199"/>
      <c r="R44" s="199"/>
    </row>
    <row r="45" spans="1:19" ht="15.75" thickBot="1" x14ac:dyDescent="0.3">
      <c r="B45" s="8"/>
      <c r="C45" s="81"/>
      <c r="D45" s="19"/>
      <c r="E45" s="19"/>
      <c r="F45" s="19"/>
      <c r="G45" s="19"/>
      <c r="H45" s="19"/>
      <c r="I45" s="19"/>
      <c r="J45" s="19"/>
      <c r="K45" s="19"/>
      <c r="L45" s="199"/>
      <c r="M45" s="199"/>
      <c r="N45" s="199"/>
      <c r="O45" s="199"/>
      <c r="P45" s="199"/>
      <c r="Q45" s="199"/>
      <c r="R45" s="199"/>
    </row>
    <row r="46" spans="1:19" ht="24" customHeight="1" thickBot="1" x14ac:dyDescent="0.3">
      <c r="B46" s="2054" t="s">
        <v>38</v>
      </c>
      <c r="C46" s="2055"/>
      <c r="D46" s="2055"/>
      <c r="E46" s="2056"/>
      <c r="F46" s="19"/>
      <c r="G46" s="19"/>
      <c r="H46" s="19"/>
      <c r="I46" s="19"/>
      <c r="J46" s="19"/>
      <c r="K46" s="19"/>
      <c r="L46" s="199"/>
      <c r="M46" s="199"/>
      <c r="N46" s="199"/>
      <c r="O46" s="199"/>
      <c r="P46" s="199"/>
      <c r="Q46" s="199"/>
      <c r="R46" s="199"/>
    </row>
    <row r="47" spans="1:19" ht="15.75" thickBot="1" x14ac:dyDescent="0.3">
      <c r="B47" s="2046">
        <v>1</v>
      </c>
      <c r="C47" s="82"/>
      <c r="D47" s="34" t="s">
        <v>39</v>
      </c>
      <c r="E47" s="167"/>
      <c r="F47" s="19"/>
      <c r="G47" s="19"/>
      <c r="H47" s="19"/>
      <c r="I47" s="19"/>
      <c r="J47" s="19"/>
      <c r="K47" s="19"/>
      <c r="L47" s="199"/>
      <c r="M47" s="199"/>
      <c r="N47" s="199"/>
      <c r="O47" s="199"/>
      <c r="P47" s="199"/>
      <c r="Q47" s="199"/>
      <c r="R47" s="199"/>
    </row>
    <row r="48" spans="1:19" ht="15.75" thickBot="1" x14ac:dyDescent="0.3">
      <c r="B48" s="2047"/>
      <c r="C48" s="82"/>
      <c r="D48" s="190" t="s">
        <v>40</v>
      </c>
      <c r="E48" s="167" t="s">
        <v>3168</v>
      </c>
      <c r="F48" s="19"/>
      <c r="G48" s="19"/>
      <c r="H48" s="19"/>
      <c r="I48" s="19"/>
      <c r="J48" s="19"/>
      <c r="K48" s="19"/>
      <c r="L48" s="199"/>
      <c r="M48" s="199"/>
      <c r="N48" s="199"/>
      <c r="O48" s="199"/>
      <c r="P48" s="199"/>
      <c r="Q48" s="199"/>
      <c r="R48" s="199"/>
    </row>
    <row r="49" spans="2:18" ht="15.75" thickBot="1" x14ac:dyDescent="0.3">
      <c r="B49" s="2047"/>
      <c r="C49" s="82"/>
      <c r="D49" s="190" t="s">
        <v>41</v>
      </c>
      <c r="E49" s="167" t="s">
        <v>3169</v>
      </c>
      <c r="F49" s="19"/>
      <c r="G49" s="19"/>
      <c r="H49" s="19"/>
      <c r="I49" s="19"/>
      <c r="J49" s="19"/>
      <c r="K49" s="19"/>
      <c r="L49" s="199"/>
      <c r="M49" s="199"/>
      <c r="N49" s="199"/>
      <c r="O49" s="199"/>
      <c r="P49" s="199"/>
      <c r="Q49" s="199"/>
      <c r="R49" s="199"/>
    </row>
    <row r="50" spans="2:18" ht="15.75" thickBot="1" x14ac:dyDescent="0.3">
      <c r="B50" s="2047"/>
      <c r="C50" s="82"/>
      <c r="D50" s="190" t="s">
        <v>42</v>
      </c>
      <c r="E50" s="167" t="s">
        <v>3170</v>
      </c>
      <c r="F50" s="19"/>
      <c r="G50" s="19"/>
      <c r="H50" s="19"/>
      <c r="I50" s="19"/>
      <c r="J50" s="19"/>
      <c r="K50" s="19"/>
      <c r="L50" s="199"/>
      <c r="M50" s="199"/>
      <c r="N50" s="199"/>
      <c r="O50" s="199"/>
      <c r="P50" s="199"/>
      <c r="Q50" s="199"/>
      <c r="R50" s="199"/>
    </row>
    <row r="51" spans="2:18" ht="15.75" thickBot="1" x14ac:dyDescent="0.3">
      <c r="B51" s="2047"/>
      <c r="C51" s="82"/>
      <c r="D51" s="190" t="s">
        <v>43</v>
      </c>
      <c r="E51" s="1159" t="s">
        <v>3140</v>
      </c>
      <c r="F51" s="19"/>
      <c r="G51" s="19"/>
      <c r="H51" s="19"/>
      <c r="I51" s="19"/>
      <c r="J51" s="19"/>
      <c r="K51" s="19"/>
      <c r="L51" s="199"/>
      <c r="M51" s="199"/>
      <c r="N51" s="199"/>
      <c r="O51" s="199"/>
      <c r="P51" s="199"/>
      <c r="Q51" s="199"/>
      <c r="R51" s="199"/>
    </row>
    <row r="52" spans="2:18" ht="15.75" thickBot="1" x14ac:dyDescent="0.3">
      <c r="B52" s="2047"/>
      <c r="C52" s="82"/>
      <c r="D52" s="190" t="s">
        <v>44</v>
      </c>
      <c r="E52" s="167" t="s">
        <v>3171</v>
      </c>
      <c r="F52" s="19"/>
      <c r="G52" s="19"/>
      <c r="H52" s="19"/>
      <c r="I52" s="19"/>
      <c r="J52" s="19"/>
      <c r="K52" s="19"/>
      <c r="L52" s="199"/>
      <c r="M52" s="199"/>
      <c r="N52" s="199"/>
      <c r="O52" s="199"/>
      <c r="P52" s="199"/>
      <c r="Q52" s="199"/>
      <c r="R52" s="199"/>
    </row>
    <row r="53" spans="2:18" ht="15.75" thickBot="1" x14ac:dyDescent="0.3">
      <c r="B53" s="2048"/>
      <c r="C53" s="9"/>
      <c r="D53" s="190" t="s">
        <v>45</v>
      </c>
      <c r="E53" s="167" t="s">
        <v>2896</v>
      </c>
      <c r="F53" s="19"/>
      <c r="G53" s="19"/>
      <c r="H53" s="19"/>
      <c r="I53" s="19"/>
      <c r="J53" s="19"/>
      <c r="K53" s="19"/>
      <c r="L53" s="199"/>
      <c r="M53" s="199"/>
      <c r="N53" s="199"/>
      <c r="O53" s="199"/>
      <c r="P53" s="199"/>
      <c r="Q53" s="199"/>
      <c r="R53" s="199"/>
    </row>
    <row r="54" spans="2:18" ht="15.75" thickBot="1" x14ac:dyDescent="0.3">
      <c r="B54" s="8"/>
      <c r="C54" s="81"/>
      <c r="D54" s="19"/>
      <c r="E54" s="19"/>
      <c r="F54" s="19"/>
      <c r="G54" s="19"/>
      <c r="H54" s="19"/>
      <c r="I54" s="19"/>
      <c r="J54" s="19"/>
      <c r="K54" s="19"/>
      <c r="L54" s="199"/>
      <c r="M54" s="199"/>
      <c r="N54" s="199"/>
      <c r="O54" s="199"/>
      <c r="P54" s="199"/>
      <c r="Q54" s="199"/>
      <c r="R54" s="199"/>
    </row>
    <row r="55" spans="2:18" ht="15.75" thickBot="1" x14ac:dyDescent="0.3">
      <c r="B55" s="2054" t="s">
        <v>46</v>
      </c>
      <c r="C55" s="2055"/>
      <c r="D55" s="2055"/>
      <c r="E55" s="2056"/>
      <c r="F55" s="19"/>
      <c r="G55" s="19"/>
      <c r="H55" s="19"/>
      <c r="I55" s="19"/>
      <c r="J55" s="19"/>
      <c r="K55" s="19"/>
      <c r="L55" s="199"/>
      <c r="M55" s="199"/>
      <c r="N55" s="199"/>
      <c r="O55" s="199"/>
      <c r="P55" s="199"/>
      <c r="Q55" s="199"/>
      <c r="R55" s="199"/>
    </row>
    <row r="56" spans="2:18" ht="15.75" thickBot="1" x14ac:dyDescent="0.3">
      <c r="B56" s="2046">
        <v>1</v>
      </c>
      <c r="C56" s="82"/>
      <c r="D56" s="34" t="s">
        <v>39</v>
      </c>
      <c r="E56" s="29" t="s">
        <v>47</v>
      </c>
      <c r="F56" s="19"/>
      <c r="G56" s="19"/>
      <c r="H56" s="19"/>
      <c r="I56" s="19"/>
      <c r="J56" s="19"/>
      <c r="K56" s="19"/>
      <c r="L56" s="199"/>
      <c r="M56" s="199"/>
      <c r="N56" s="199"/>
      <c r="O56" s="199"/>
      <c r="P56" s="199"/>
      <c r="Q56" s="199"/>
      <c r="R56" s="199"/>
    </row>
    <row r="57" spans="2:18" ht="15.75" thickBot="1" x14ac:dyDescent="0.3">
      <c r="B57" s="2047"/>
      <c r="C57" s="82"/>
      <c r="D57" s="190" t="s">
        <v>40</v>
      </c>
      <c r="E57" s="29" t="s">
        <v>48</v>
      </c>
      <c r="F57" s="19"/>
      <c r="G57" s="19"/>
      <c r="H57" s="19"/>
      <c r="I57" s="19"/>
      <c r="J57" s="19"/>
      <c r="K57" s="19"/>
      <c r="L57" s="199"/>
      <c r="M57" s="199"/>
      <c r="N57" s="199"/>
      <c r="O57" s="199"/>
      <c r="P57" s="199"/>
      <c r="Q57" s="199"/>
      <c r="R57" s="199"/>
    </row>
    <row r="58" spans="2:18" ht="15.75" thickBot="1" x14ac:dyDescent="0.3">
      <c r="B58" s="2047"/>
      <c r="C58" s="82"/>
      <c r="D58" s="190" t="s">
        <v>41</v>
      </c>
      <c r="E58" s="172"/>
      <c r="F58" s="19"/>
      <c r="G58" s="19"/>
      <c r="H58" s="19"/>
      <c r="I58" s="19"/>
      <c r="J58" s="19"/>
      <c r="K58" s="19"/>
      <c r="L58" s="199"/>
      <c r="M58" s="199"/>
      <c r="N58" s="199"/>
      <c r="O58" s="199"/>
      <c r="P58" s="199"/>
      <c r="Q58" s="199"/>
      <c r="R58" s="199"/>
    </row>
    <row r="59" spans="2:18" ht="15.75" thickBot="1" x14ac:dyDescent="0.3">
      <c r="B59" s="2047"/>
      <c r="C59" s="82"/>
      <c r="D59" s="190" t="s">
        <v>42</v>
      </c>
      <c r="E59" s="172"/>
      <c r="F59" s="19"/>
      <c r="G59" s="19"/>
      <c r="H59" s="19"/>
      <c r="I59" s="19"/>
      <c r="J59" s="19"/>
      <c r="K59" s="19"/>
      <c r="L59" s="199"/>
      <c r="M59" s="199"/>
      <c r="N59" s="199"/>
      <c r="O59" s="199"/>
      <c r="P59" s="199"/>
      <c r="Q59" s="199"/>
      <c r="R59" s="199"/>
    </row>
    <row r="60" spans="2:18" ht="15.75" thickBot="1" x14ac:dyDescent="0.3">
      <c r="B60" s="2047"/>
      <c r="C60" s="82"/>
      <c r="D60" s="190" t="s">
        <v>43</v>
      </c>
      <c r="E60" s="172"/>
      <c r="F60" s="19"/>
      <c r="G60" s="19"/>
      <c r="H60" s="19"/>
      <c r="I60" s="19"/>
      <c r="J60" s="19"/>
      <c r="K60" s="19"/>
      <c r="L60" s="199"/>
      <c r="M60" s="199"/>
      <c r="N60" s="199"/>
      <c r="O60" s="199"/>
      <c r="P60" s="199"/>
      <c r="Q60" s="199"/>
      <c r="R60" s="199"/>
    </row>
    <row r="61" spans="2:18" ht="15.75" thickBot="1" x14ac:dyDescent="0.3">
      <c r="B61" s="2047"/>
      <c r="C61" s="82"/>
      <c r="D61" s="190" t="s">
        <v>44</v>
      </c>
      <c r="E61" s="172"/>
      <c r="F61" s="19"/>
      <c r="G61" s="19"/>
      <c r="H61" s="19"/>
      <c r="I61" s="19"/>
      <c r="J61" s="19"/>
      <c r="K61" s="19"/>
      <c r="L61" s="199"/>
      <c r="M61" s="199"/>
      <c r="N61" s="199"/>
      <c r="O61" s="199"/>
      <c r="P61" s="199"/>
      <c r="Q61" s="199"/>
      <c r="R61" s="199"/>
    </row>
    <row r="62" spans="2:18" ht="15.75" thickBot="1" x14ac:dyDescent="0.3">
      <c r="B62" s="2048"/>
      <c r="C62" s="9"/>
      <c r="D62" s="190" t="s">
        <v>45</v>
      </c>
      <c r="E62" s="172"/>
      <c r="F62" s="19"/>
      <c r="G62" s="19"/>
      <c r="H62" s="19"/>
      <c r="I62" s="19"/>
      <c r="J62" s="19"/>
      <c r="K62" s="19"/>
      <c r="L62" s="199"/>
      <c r="M62" s="199"/>
      <c r="N62" s="199"/>
      <c r="O62" s="199"/>
      <c r="P62" s="199"/>
      <c r="Q62" s="199"/>
      <c r="R62" s="199"/>
    </row>
    <row r="63" spans="2:18" ht="15.75" thickBot="1" x14ac:dyDescent="0.3">
      <c r="B63" s="8"/>
      <c r="C63" s="81"/>
      <c r="D63" s="19"/>
      <c r="E63" s="19"/>
      <c r="F63" s="19"/>
      <c r="G63" s="19"/>
      <c r="H63" s="19"/>
      <c r="I63" s="19"/>
      <c r="J63" s="19"/>
      <c r="K63" s="19"/>
      <c r="L63" s="199"/>
      <c r="M63" s="199"/>
      <c r="N63" s="199"/>
      <c r="O63" s="199"/>
      <c r="P63" s="199"/>
      <c r="Q63" s="199"/>
      <c r="R63" s="199"/>
    </row>
    <row r="64" spans="2:18" ht="15" customHeight="1" thickBot="1" x14ac:dyDescent="0.3">
      <c r="B64" s="191" t="s">
        <v>49</v>
      </c>
      <c r="C64" s="192"/>
      <c r="D64" s="192"/>
      <c r="E64" s="193"/>
      <c r="F64" s="199"/>
      <c r="G64" s="19"/>
      <c r="H64" s="19"/>
      <c r="I64" s="19"/>
      <c r="J64" s="19"/>
      <c r="K64" s="19"/>
      <c r="L64" s="199"/>
      <c r="M64" s="199"/>
      <c r="N64" s="199"/>
      <c r="O64" s="199"/>
      <c r="P64" s="199"/>
      <c r="Q64" s="199"/>
      <c r="R64" s="199"/>
    </row>
    <row r="65" spans="2:18" ht="24.75" thickBot="1" x14ac:dyDescent="0.3">
      <c r="B65" s="188" t="s">
        <v>50</v>
      </c>
      <c r="C65" s="190" t="s">
        <v>51</v>
      </c>
      <c r="D65" s="190" t="s">
        <v>52</v>
      </c>
      <c r="E65" s="190" t="s">
        <v>53</v>
      </c>
      <c r="F65" s="19"/>
      <c r="G65" s="19"/>
      <c r="H65" s="19"/>
      <c r="I65" s="19"/>
      <c r="J65" s="19"/>
      <c r="K65" s="199"/>
      <c r="L65" s="199"/>
      <c r="M65" s="199"/>
      <c r="N65" s="199"/>
      <c r="O65" s="199"/>
      <c r="P65" s="199"/>
      <c r="Q65" s="199"/>
      <c r="R65" s="199"/>
    </row>
    <row r="66" spans="2:18" ht="60.75" thickBot="1" x14ac:dyDescent="0.3">
      <c r="B66" s="36">
        <v>42401</v>
      </c>
      <c r="C66" s="190">
        <v>0.01</v>
      </c>
      <c r="D66" s="184" t="s">
        <v>1147</v>
      </c>
      <c r="E66" s="190"/>
      <c r="F66" s="19"/>
      <c r="G66" s="19"/>
      <c r="H66" s="19"/>
      <c r="I66" s="19"/>
      <c r="J66" s="19"/>
      <c r="K66" s="199"/>
      <c r="L66" s="199"/>
      <c r="M66" s="199"/>
      <c r="N66" s="199"/>
      <c r="O66" s="199"/>
      <c r="P66" s="199"/>
      <c r="Q66" s="199"/>
      <c r="R66" s="199"/>
    </row>
    <row r="67" spans="2:18" ht="15.75" thickBot="1" x14ac:dyDescent="0.3">
      <c r="B67" s="10"/>
      <c r="C67" s="83"/>
      <c r="D67" s="19"/>
      <c r="E67" s="19"/>
      <c r="F67" s="19"/>
      <c r="G67" s="19"/>
      <c r="H67" s="19"/>
      <c r="I67" s="19"/>
      <c r="J67" s="19"/>
      <c r="K67" s="19"/>
      <c r="L67" s="199"/>
      <c r="M67" s="199"/>
      <c r="N67" s="199"/>
      <c r="O67" s="199"/>
      <c r="P67" s="199"/>
      <c r="Q67" s="199"/>
      <c r="R67" s="199"/>
    </row>
    <row r="68" spans="2:18" ht="24.75" thickBot="1" x14ac:dyDescent="0.3">
      <c r="B68" s="490" t="s">
        <v>55</v>
      </c>
      <c r="C68" s="84"/>
      <c r="D68" s="19"/>
      <c r="E68" s="19"/>
      <c r="F68" s="19"/>
      <c r="G68" s="19"/>
      <c r="H68" s="19"/>
      <c r="I68" s="19"/>
      <c r="J68" s="19"/>
      <c r="K68" s="19"/>
      <c r="L68" s="199"/>
      <c r="M68" s="199"/>
      <c r="N68" s="199"/>
      <c r="O68" s="199"/>
      <c r="P68" s="199"/>
      <c r="Q68" s="199"/>
      <c r="R68" s="199"/>
    </row>
    <row r="69" spans="2:18" x14ac:dyDescent="0.25">
      <c r="B69" s="2013"/>
      <c r="C69" s="2014"/>
      <c r="D69" s="2014"/>
      <c r="E69" s="2014"/>
      <c r="F69" s="2014"/>
      <c r="G69" s="2015"/>
      <c r="H69" s="19"/>
      <c r="I69" s="19"/>
      <c r="J69" s="19"/>
      <c r="K69" s="19"/>
      <c r="L69" s="199"/>
      <c r="M69" s="199"/>
      <c r="N69" s="199"/>
      <c r="O69" s="199"/>
      <c r="P69" s="199"/>
      <c r="Q69" s="199"/>
      <c r="R69" s="199"/>
    </row>
    <row r="70" spans="2:18" ht="15.75" thickBot="1" x14ac:dyDescent="0.3">
      <c r="B70" s="2016"/>
      <c r="C70" s="2017"/>
      <c r="D70" s="2017"/>
      <c r="E70" s="2017"/>
      <c r="F70" s="2017"/>
      <c r="G70" s="2018"/>
      <c r="H70" s="19"/>
      <c r="I70" s="19"/>
      <c r="J70" s="19"/>
      <c r="K70" s="19"/>
      <c r="L70" s="199"/>
      <c r="M70" s="199"/>
      <c r="N70" s="199"/>
      <c r="O70" s="199"/>
      <c r="P70" s="199"/>
      <c r="Q70" s="199"/>
      <c r="R70" s="199"/>
    </row>
    <row r="71" spans="2:18" x14ac:dyDescent="0.25">
      <c r="B71" s="8"/>
      <c r="C71" s="81"/>
      <c r="D71" s="19"/>
      <c r="E71" s="19"/>
      <c r="F71" s="19"/>
      <c r="G71" s="19"/>
      <c r="H71" s="19"/>
      <c r="I71" s="19"/>
      <c r="J71" s="19"/>
      <c r="K71" s="19"/>
      <c r="L71" s="199"/>
      <c r="M71" s="199"/>
      <c r="N71" s="199"/>
      <c r="O71" s="199"/>
      <c r="P71" s="199"/>
      <c r="Q71" s="199"/>
      <c r="R71" s="199"/>
    </row>
    <row r="72" spans="2:18" ht="15.75" thickBot="1" x14ac:dyDescent="0.3">
      <c r="B72" s="19"/>
      <c r="C72" s="80"/>
      <c r="D72" s="19"/>
      <c r="E72" s="19"/>
      <c r="F72" s="19"/>
      <c r="G72" s="19"/>
      <c r="H72" s="19"/>
      <c r="I72" s="19"/>
      <c r="J72" s="19"/>
      <c r="K72" s="19"/>
      <c r="L72" s="199"/>
      <c r="M72" s="199"/>
      <c r="N72" s="199"/>
      <c r="O72" s="199"/>
      <c r="P72" s="199"/>
      <c r="Q72" s="199"/>
      <c r="R72" s="199"/>
    </row>
    <row r="73" spans="2:18" ht="24.75" thickBot="1" x14ac:dyDescent="0.3">
      <c r="B73" s="203" t="s">
        <v>56</v>
      </c>
      <c r="C73" s="85"/>
      <c r="D73" s="19"/>
      <c r="E73" s="19"/>
      <c r="F73" s="19"/>
      <c r="G73" s="19"/>
      <c r="H73" s="19"/>
      <c r="I73" s="19"/>
      <c r="J73" s="19"/>
      <c r="K73" s="19"/>
      <c r="L73" s="199"/>
      <c r="M73" s="199"/>
      <c r="N73" s="199"/>
      <c r="O73" s="199"/>
      <c r="P73" s="199"/>
      <c r="Q73" s="199"/>
      <c r="R73" s="199"/>
    </row>
    <row r="74" spans="2:18" ht="15.75" thickBot="1" x14ac:dyDescent="0.3">
      <c r="B74" s="29"/>
      <c r="C74" s="78"/>
      <c r="D74" s="19"/>
      <c r="E74" s="19"/>
      <c r="F74" s="19"/>
      <c r="G74" s="19"/>
      <c r="H74" s="19"/>
      <c r="I74" s="19"/>
      <c r="J74" s="19"/>
      <c r="K74" s="19"/>
      <c r="L74" s="199"/>
      <c r="M74" s="199"/>
      <c r="N74" s="199"/>
      <c r="O74" s="199"/>
      <c r="P74" s="199"/>
      <c r="Q74" s="199"/>
      <c r="R74" s="199"/>
    </row>
    <row r="75" spans="2:18" ht="60.75" thickBot="1" x14ac:dyDescent="0.3">
      <c r="B75" s="37" t="s">
        <v>57</v>
      </c>
      <c r="C75" s="21"/>
      <c r="D75" s="189" t="s">
        <v>1115</v>
      </c>
      <c r="E75" s="19"/>
      <c r="F75" s="19"/>
      <c r="G75" s="19"/>
      <c r="H75" s="19"/>
      <c r="I75" s="19"/>
      <c r="J75" s="19"/>
      <c r="K75" s="19"/>
      <c r="L75" s="199"/>
      <c r="M75" s="199"/>
      <c r="N75" s="199"/>
      <c r="O75" s="199"/>
      <c r="P75" s="199"/>
      <c r="Q75" s="199"/>
      <c r="R75" s="199"/>
    </row>
    <row r="76" spans="2:18" x14ac:dyDescent="0.25">
      <c r="B76" s="2046" t="s">
        <v>59</v>
      </c>
      <c r="C76" s="82"/>
      <c r="D76" s="185" t="s">
        <v>60</v>
      </c>
      <c r="E76" s="19"/>
      <c r="F76" s="19"/>
      <c r="G76" s="19"/>
      <c r="H76" s="19"/>
      <c r="I76" s="19"/>
      <c r="J76" s="19"/>
      <c r="K76" s="19"/>
      <c r="L76" s="199"/>
      <c r="M76" s="199"/>
      <c r="N76" s="199"/>
      <c r="O76" s="199"/>
      <c r="P76" s="199"/>
      <c r="Q76" s="199"/>
      <c r="R76" s="199"/>
    </row>
    <row r="77" spans="2:18" ht="84" x14ac:dyDescent="0.25">
      <c r="B77" s="2047"/>
      <c r="C77" s="82"/>
      <c r="D77" s="186" t="s">
        <v>1116</v>
      </c>
      <c r="E77" s="19"/>
      <c r="F77" s="19"/>
      <c r="G77" s="19"/>
      <c r="H77" s="19"/>
      <c r="I77" s="19"/>
      <c r="J77" s="19"/>
      <c r="K77" s="19"/>
      <c r="L77" s="199"/>
      <c r="M77" s="199"/>
      <c r="N77" s="199"/>
      <c r="O77" s="199"/>
      <c r="P77" s="199"/>
      <c r="Q77" s="199"/>
      <c r="R77" s="199"/>
    </row>
    <row r="78" spans="2:18" x14ac:dyDescent="0.25">
      <c r="B78" s="2047"/>
      <c r="C78" s="82"/>
      <c r="D78" s="185" t="s">
        <v>63</v>
      </c>
      <c r="E78" s="19"/>
      <c r="F78" s="19"/>
      <c r="G78" s="19"/>
      <c r="H78" s="19"/>
      <c r="I78" s="19"/>
      <c r="J78" s="19"/>
      <c r="K78" s="19"/>
      <c r="L78" s="199"/>
      <c r="M78" s="199"/>
      <c r="N78" s="199"/>
      <c r="O78" s="199"/>
      <c r="P78" s="199"/>
      <c r="Q78" s="199"/>
      <c r="R78" s="199"/>
    </row>
    <row r="79" spans="2:18" x14ac:dyDescent="0.25">
      <c r="B79" s="2047"/>
      <c r="C79" s="82"/>
      <c r="D79" s="186" t="s">
        <v>1117</v>
      </c>
      <c r="E79" s="19"/>
      <c r="F79" s="19"/>
      <c r="G79" s="19"/>
      <c r="H79" s="19"/>
      <c r="I79" s="19"/>
      <c r="J79" s="19"/>
      <c r="K79" s="19"/>
      <c r="L79" s="199"/>
      <c r="M79" s="199"/>
      <c r="N79" s="199"/>
      <c r="O79" s="199"/>
      <c r="P79" s="199"/>
      <c r="Q79" s="199"/>
      <c r="R79" s="199"/>
    </row>
    <row r="80" spans="2:18" x14ac:dyDescent="0.25">
      <c r="B80" s="2047"/>
      <c r="C80" s="82"/>
      <c r="D80" s="186" t="s">
        <v>65</v>
      </c>
      <c r="E80" s="19"/>
      <c r="F80" s="19"/>
      <c r="G80" s="19"/>
      <c r="H80" s="19"/>
      <c r="I80" s="19"/>
      <c r="J80" s="19"/>
      <c r="K80" s="19"/>
      <c r="L80" s="199"/>
      <c r="M80" s="199"/>
      <c r="N80" s="199"/>
      <c r="O80" s="199"/>
      <c r="P80" s="199"/>
      <c r="Q80" s="199"/>
      <c r="R80" s="199"/>
    </row>
    <row r="81" spans="2:18" x14ac:dyDescent="0.25">
      <c r="B81" s="2047"/>
      <c r="C81" s="82"/>
      <c r="D81" s="185" t="s">
        <v>288</v>
      </c>
      <c r="E81" s="19"/>
      <c r="F81" s="19"/>
      <c r="G81" s="19"/>
      <c r="H81" s="19"/>
      <c r="I81" s="19"/>
      <c r="J81" s="19"/>
      <c r="K81" s="19"/>
      <c r="L81" s="199"/>
      <c r="M81" s="199"/>
      <c r="N81" s="199"/>
      <c r="O81" s="199"/>
      <c r="P81" s="199"/>
      <c r="Q81" s="199"/>
      <c r="R81" s="199"/>
    </row>
    <row r="82" spans="2:18" ht="15.75" thickBot="1" x14ac:dyDescent="0.3">
      <c r="B82" s="2048"/>
      <c r="C82" s="9"/>
      <c r="D82" s="190" t="s">
        <v>1118</v>
      </c>
      <c r="E82" s="19"/>
      <c r="F82" s="19"/>
      <c r="G82" s="19"/>
      <c r="H82" s="19"/>
      <c r="I82" s="19"/>
      <c r="J82" s="19"/>
      <c r="K82" s="19"/>
      <c r="L82" s="199"/>
      <c r="M82" s="199"/>
      <c r="N82" s="199"/>
      <c r="O82" s="199"/>
      <c r="P82" s="199"/>
      <c r="Q82" s="199"/>
      <c r="R82" s="199"/>
    </row>
    <row r="83" spans="2:18" x14ac:dyDescent="0.25">
      <c r="B83" s="2046" t="s">
        <v>72</v>
      </c>
      <c r="C83" s="204"/>
      <c r="D83" s="2046"/>
      <c r="E83" s="19"/>
      <c r="F83" s="19"/>
      <c r="G83" s="19"/>
      <c r="H83" s="19"/>
      <c r="I83" s="19"/>
      <c r="J83" s="19"/>
      <c r="K83" s="19"/>
      <c r="L83" s="199"/>
      <c r="M83" s="199"/>
      <c r="N83" s="199"/>
      <c r="O83" s="199"/>
      <c r="P83" s="199"/>
      <c r="Q83" s="199"/>
      <c r="R83" s="199"/>
    </row>
    <row r="84" spans="2:18" ht="15.75" thickBot="1" x14ac:dyDescent="0.3">
      <c r="B84" s="2048"/>
      <c r="C84" s="79"/>
      <c r="D84" s="2048"/>
      <c r="E84" s="19"/>
      <c r="F84" s="19"/>
      <c r="G84" s="19"/>
      <c r="H84" s="19"/>
      <c r="I84" s="19"/>
      <c r="J84" s="19"/>
      <c r="K84" s="19"/>
      <c r="L84" s="199"/>
      <c r="M84" s="199"/>
      <c r="N84" s="199"/>
      <c r="O84" s="199"/>
      <c r="P84" s="199"/>
      <c r="Q84" s="199"/>
      <c r="R84" s="199"/>
    </row>
    <row r="85" spans="2:18" ht="96" x14ac:dyDescent="0.25">
      <c r="B85" s="2046" t="s">
        <v>73</v>
      </c>
      <c r="C85" s="82"/>
      <c r="D85" s="186" t="s">
        <v>1119</v>
      </c>
      <c r="E85" s="19"/>
      <c r="F85" s="19"/>
      <c r="G85" s="19"/>
      <c r="H85" s="19"/>
      <c r="I85" s="19"/>
      <c r="J85" s="19"/>
      <c r="K85" s="19"/>
      <c r="L85" s="199"/>
      <c r="M85" s="199"/>
      <c r="N85" s="199"/>
      <c r="O85" s="199"/>
      <c r="P85" s="199"/>
      <c r="Q85" s="199"/>
      <c r="R85" s="199"/>
    </row>
    <row r="86" spans="2:18" ht="204" x14ac:dyDescent="0.25">
      <c r="B86" s="2047"/>
      <c r="C86" s="82"/>
      <c r="D86" s="186" t="s">
        <v>1120</v>
      </c>
      <c r="E86" s="19"/>
      <c r="F86" s="19"/>
      <c r="G86" s="19"/>
      <c r="H86" s="19"/>
      <c r="I86" s="19"/>
      <c r="J86" s="19"/>
      <c r="K86" s="19"/>
      <c r="L86" s="199"/>
      <c r="M86" s="199"/>
      <c r="N86" s="199"/>
      <c r="O86" s="199"/>
      <c r="P86" s="199"/>
      <c r="Q86" s="199"/>
      <c r="R86" s="199"/>
    </row>
    <row r="87" spans="2:18" ht="228" x14ac:dyDescent="0.25">
      <c r="B87" s="2047"/>
      <c r="C87" s="82"/>
      <c r="D87" s="186" t="s">
        <v>1121</v>
      </c>
      <c r="E87" s="19"/>
      <c r="F87" s="19"/>
      <c r="G87" s="19"/>
      <c r="H87" s="19"/>
      <c r="I87" s="19"/>
      <c r="J87" s="19"/>
      <c r="K87" s="19"/>
    </row>
    <row r="88" spans="2:18" ht="96" x14ac:dyDescent="0.25">
      <c r="B88" s="2047"/>
      <c r="C88" s="82"/>
      <c r="D88" s="186" t="s">
        <v>1122</v>
      </c>
      <c r="E88" s="19"/>
      <c r="F88" s="19"/>
      <c r="G88" s="19"/>
      <c r="H88" s="19"/>
      <c r="I88" s="19"/>
      <c r="J88" s="19"/>
      <c r="K88" s="19"/>
    </row>
    <row r="89" spans="2:18" ht="36" x14ac:dyDescent="0.25">
      <c r="B89" s="2047"/>
      <c r="C89" s="82"/>
      <c r="D89" s="186" t="s">
        <v>1123</v>
      </c>
      <c r="E89" s="19"/>
      <c r="F89" s="19"/>
      <c r="G89" s="19"/>
      <c r="H89" s="19"/>
      <c r="I89" s="19"/>
      <c r="J89" s="19"/>
      <c r="K89" s="19"/>
    </row>
    <row r="90" spans="2:18" ht="36" x14ac:dyDescent="0.25">
      <c r="B90" s="2047"/>
      <c r="C90" s="82"/>
      <c r="D90" s="186" t="s">
        <v>1124</v>
      </c>
      <c r="E90" s="19"/>
      <c r="F90" s="19"/>
      <c r="G90" s="19"/>
      <c r="H90" s="19"/>
      <c r="I90" s="19"/>
      <c r="J90" s="19"/>
      <c r="K90" s="19"/>
    </row>
    <row r="91" spans="2:18" ht="36" x14ac:dyDescent="0.25">
      <c r="B91" s="2047"/>
      <c r="C91" s="82"/>
      <c r="D91" s="186" t="s">
        <v>1125</v>
      </c>
      <c r="E91" s="19"/>
      <c r="F91" s="19"/>
      <c r="G91" s="19"/>
      <c r="H91" s="19"/>
      <c r="I91" s="19"/>
      <c r="J91" s="19"/>
      <c r="K91" s="19"/>
    </row>
    <row r="92" spans="2:18" ht="24" x14ac:dyDescent="0.25">
      <c r="B92" s="2047"/>
      <c r="C92" s="82"/>
      <c r="D92" s="186" t="s">
        <v>1126</v>
      </c>
      <c r="E92" s="19"/>
      <c r="F92" s="19"/>
      <c r="G92" s="19"/>
      <c r="H92" s="19"/>
      <c r="I92" s="19"/>
      <c r="J92" s="19"/>
      <c r="K92" s="19"/>
    </row>
    <row r="93" spans="2:18" ht="36" x14ac:dyDescent="0.25">
      <c r="B93" s="2047"/>
      <c r="C93" s="82"/>
      <c r="D93" s="186" t="s">
        <v>1127</v>
      </c>
      <c r="E93" s="19"/>
      <c r="F93" s="19"/>
      <c r="G93" s="19"/>
      <c r="H93" s="19"/>
      <c r="I93" s="19"/>
      <c r="J93" s="19"/>
      <c r="K93" s="19"/>
    </row>
    <row r="94" spans="2:18" ht="36" x14ac:dyDescent="0.25">
      <c r="B94" s="2047"/>
      <c r="C94" s="82"/>
      <c r="D94" s="186" t="s">
        <v>1128</v>
      </c>
      <c r="E94" s="19"/>
      <c r="F94" s="19"/>
      <c r="G94" s="19"/>
      <c r="H94" s="19"/>
      <c r="I94" s="19"/>
      <c r="J94" s="19"/>
      <c r="K94" s="19"/>
    </row>
    <row r="95" spans="2:18" ht="72.75" thickBot="1" x14ac:dyDescent="0.3">
      <c r="B95" s="2048"/>
      <c r="C95" s="9"/>
      <c r="D95" s="190" t="s">
        <v>1129</v>
      </c>
      <c r="E95" s="19"/>
      <c r="F95" s="19"/>
      <c r="G95" s="19"/>
      <c r="H95" s="19"/>
      <c r="I95" s="19"/>
      <c r="J95" s="19"/>
      <c r="K95" s="19"/>
    </row>
    <row r="96" spans="2:18" ht="24" x14ac:dyDescent="0.25">
      <c r="B96" s="2046" t="s">
        <v>90</v>
      </c>
      <c r="C96" s="82"/>
      <c r="D96" s="185" t="s">
        <v>1130</v>
      </c>
      <c r="E96" s="19"/>
      <c r="F96" s="19"/>
      <c r="G96" s="19"/>
      <c r="H96" s="19"/>
      <c r="I96" s="19"/>
      <c r="J96" s="19"/>
      <c r="K96" s="19"/>
    </row>
    <row r="97" spans="2:11" x14ac:dyDescent="0.25">
      <c r="B97" s="2047"/>
      <c r="C97" s="82"/>
      <c r="D97" s="187"/>
      <c r="E97" s="19"/>
      <c r="F97" s="19"/>
      <c r="G97" s="19"/>
      <c r="H97" s="19"/>
      <c r="I97" s="19"/>
      <c r="J97" s="19"/>
      <c r="K97" s="19"/>
    </row>
    <row r="98" spans="2:11" x14ac:dyDescent="0.25">
      <c r="B98" s="2047"/>
      <c r="C98" s="82"/>
      <c r="D98" s="186" t="s">
        <v>91</v>
      </c>
      <c r="E98" s="19"/>
      <c r="F98" s="19"/>
      <c r="G98" s="19"/>
      <c r="H98" s="19"/>
      <c r="I98" s="19"/>
      <c r="J98" s="19"/>
      <c r="K98" s="19"/>
    </row>
    <row r="99" spans="2:11" ht="25.5" x14ac:dyDescent="0.25">
      <c r="B99" s="2047"/>
      <c r="C99" s="82"/>
      <c r="D99" s="186" t="s">
        <v>1131</v>
      </c>
      <c r="E99" s="19"/>
      <c r="F99" s="19"/>
      <c r="G99" s="19"/>
      <c r="H99" s="19"/>
      <c r="I99" s="19"/>
      <c r="J99" s="19"/>
      <c r="K99" s="19"/>
    </row>
    <row r="100" spans="2:11" ht="37.5" x14ac:dyDescent="0.25">
      <c r="B100" s="2047"/>
      <c r="C100" s="82"/>
      <c r="D100" s="186" t="s">
        <v>1132</v>
      </c>
      <c r="E100" s="19"/>
      <c r="F100" s="19"/>
      <c r="G100" s="19"/>
      <c r="H100" s="19"/>
      <c r="I100" s="19"/>
      <c r="J100" s="19"/>
      <c r="K100" s="19"/>
    </row>
    <row r="101" spans="2:11" ht="37.5" x14ac:dyDescent="0.25">
      <c r="B101" s="2047"/>
      <c r="C101" s="82"/>
      <c r="D101" s="186" t="s">
        <v>1133</v>
      </c>
      <c r="E101" s="19"/>
      <c r="F101" s="19"/>
      <c r="G101" s="19"/>
      <c r="H101" s="19"/>
      <c r="I101" s="19"/>
      <c r="J101" s="19"/>
      <c r="K101" s="19"/>
    </row>
    <row r="102" spans="2:11" ht="37.5" x14ac:dyDescent="0.25">
      <c r="B102" s="2047"/>
      <c r="C102" s="82"/>
      <c r="D102" s="186" t="s">
        <v>1134</v>
      </c>
      <c r="E102" s="19"/>
      <c r="F102" s="19"/>
      <c r="G102" s="19"/>
      <c r="H102" s="19"/>
      <c r="I102" s="19"/>
      <c r="J102" s="19"/>
      <c r="K102" s="19"/>
    </row>
    <row r="103" spans="2:11" x14ac:dyDescent="0.25">
      <c r="B103" s="2047"/>
      <c r="C103" s="82"/>
      <c r="D103" s="186" t="s">
        <v>1135</v>
      </c>
      <c r="E103" s="19"/>
      <c r="F103" s="19"/>
      <c r="G103" s="19"/>
      <c r="H103" s="19"/>
      <c r="I103" s="19"/>
      <c r="J103" s="19"/>
      <c r="K103" s="19"/>
    </row>
    <row r="104" spans="2:11" x14ac:dyDescent="0.25">
      <c r="B104" s="2047"/>
      <c r="C104" s="82"/>
      <c r="D104" s="186" t="s">
        <v>1136</v>
      </c>
      <c r="E104" s="19"/>
      <c r="F104" s="19"/>
      <c r="G104" s="19"/>
      <c r="H104" s="19"/>
      <c r="I104" s="19"/>
      <c r="J104" s="19"/>
      <c r="K104" s="19"/>
    </row>
    <row r="105" spans="2:11" x14ac:dyDescent="0.25">
      <c r="B105" s="2047"/>
      <c r="C105" s="82"/>
      <c r="D105" s="186" t="s">
        <v>1137</v>
      </c>
      <c r="E105" s="19"/>
      <c r="F105" s="19"/>
      <c r="G105" s="19"/>
      <c r="H105" s="19"/>
      <c r="I105" s="19"/>
      <c r="J105" s="19"/>
      <c r="K105" s="19"/>
    </row>
    <row r="106" spans="2:11" x14ac:dyDescent="0.25">
      <c r="B106" s="2047"/>
      <c r="C106" s="82"/>
      <c r="D106" s="186" t="s">
        <v>816</v>
      </c>
      <c r="E106" s="19"/>
      <c r="F106" s="19"/>
      <c r="G106" s="19"/>
      <c r="H106" s="19"/>
      <c r="I106" s="19"/>
      <c r="J106" s="19"/>
      <c r="K106" s="19"/>
    </row>
    <row r="107" spans="2:11" ht="84" x14ac:dyDescent="0.25">
      <c r="B107" s="2047"/>
      <c r="C107" s="82"/>
      <c r="D107" s="205" t="s">
        <v>235</v>
      </c>
      <c r="E107" s="19"/>
      <c r="F107" s="19"/>
      <c r="G107" s="19"/>
      <c r="H107" s="19"/>
      <c r="I107" s="19"/>
      <c r="J107" s="19"/>
      <c r="K107" s="19"/>
    </row>
    <row r="108" spans="2:11" x14ac:dyDescent="0.25">
      <c r="B108" s="2047"/>
      <c r="C108" s="82"/>
      <c r="D108" s="186" t="s">
        <v>246</v>
      </c>
      <c r="E108" s="19"/>
      <c r="F108" s="19"/>
      <c r="G108" s="19"/>
      <c r="H108" s="19"/>
      <c r="I108" s="19"/>
      <c r="J108" s="19"/>
      <c r="K108" s="19"/>
    </row>
    <row r="109" spans="2:11" ht="24" x14ac:dyDescent="0.25">
      <c r="B109" s="2047"/>
      <c r="C109" s="82"/>
      <c r="D109" s="185" t="s">
        <v>1138</v>
      </c>
      <c r="E109" s="19"/>
      <c r="F109" s="19"/>
      <c r="G109" s="19"/>
      <c r="H109" s="19"/>
      <c r="I109" s="19"/>
      <c r="J109" s="19"/>
      <c r="K109" s="19"/>
    </row>
    <row r="110" spans="2:11" x14ac:dyDescent="0.25">
      <c r="B110" s="2047"/>
      <c r="C110" s="82"/>
      <c r="D110" s="187"/>
      <c r="E110" s="19"/>
      <c r="F110" s="19"/>
      <c r="G110" s="19"/>
      <c r="H110" s="19"/>
      <c r="I110" s="19"/>
      <c r="J110" s="19"/>
      <c r="K110" s="19"/>
    </row>
    <row r="111" spans="2:11" x14ac:dyDescent="0.25">
      <c r="B111" s="2047"/>
      <c r="C111" s="82"/>
      <c r="D111" s="186" t="s">
        <v>91</v>
      </c>
      <c r="E111" s="19"/>
      <c r="F111" s="19"/>
      <c r="G111" s="19"/>
      <c r="H111" s="19"/>
      <c r="I111" s="19"/>
      <c r="J111" s="19"/>
      <c r="K111" s="19"/>
    </row>
    <row r="112" spans="2:11" ht="37.5" x14ac:dyDescent="0.25">
      <c r="B112" s="2047"/>
      <c r="C112" s="82"/>
      <c r="D112" s="186" t="s">
        <v>1139</v>
      </c>
      <c r="E112" s="19"/>
      <c r="F112" s="19"/>
      <c r="G112" s="19"/>
      <c r="H112" s="19"/>
      <c r="I112" s="19"/>
      <c r="J112" s="19"/>
      <c r="K112" s="19"/>
    </row>
    <row r="113" spans="2:11" ht="37.5" x14ac:dyDescent="0.25">
      <c r="B113" s="2047"/>
      <c r="C113" s="82"/>
      <c r="D113" s="186" t="s">
        <v>1140</v>
      </c>
      <c r="E113" s="19"/>
      <c r="F113" s="19"/>
      <c r="G113" s="19"/>
      <c r="H113" s="19"/>
      <c r="I113" s="19"/>
      <c r="J113" s="19"/>
      <c r="K113" s="19"/>
    </row>
    <row r="114" spans="2:11" ht="38.25" thickBot="1" x14ac:dyDescent="0.3">
      <c r="B114" s="2048"/>
      <c r="C114" s="9"/>
      <c r="D114" s="190" t="s">
        <v>1141</v>
      </c>
      <c r="E114" s="19"/>
      <c r="F114" s="19"/>
      <c r="G114" s="19"/>
      <c r="H114" s="19"/>
      <c r="I114" s="19"/>
      <c r="J114" s="19"/>
      <c r="K114" s="19"/>
    </row>
    <row r="115" spans="2:11" x14ac:dyDescent="0.25">
      <c r="B115" s="19"/>
      <c r="C115" s="80"/>
      <c r="D115" s="19"/>
      <c r="E115" s="19"/>
      <c r="F115" s="19"/>
      <c r="G115" s="19"/>
      <c r="H115" s="19"/>
      <c r="I115" s="19"/>
      <c r="J115" s="19"/>
      <c r="K115" s="19"/>
    </row>
    <row r="116" spans="2:11" s="199" customFormat="1" x14ac:dyDescent="0.25">
      <c r="C116" s="80"/>
    </row>
    <row r="117" spans="2:11" s="199" customFormat="1" x14ac:dyDescent="0.25">
      <c r="C117" s="80"/>
    </row>
    <row r="118" spans="2:11" s="199" customFormat="1" x14ac:dyDescent="0.25">
      <c r="C118" s="80"/>
    </row>
    <row r="119" spans="2:11" s="199" customFormat="1" x14ac:dyDescent="0.25">
      <c r="C119" s="80"/>
    </row>
    <row r="120" spans="2:11" s="199" customFormat="1" x14ac:dyDescent="0.25">
      <c r="C120" s="80"/>
    </row>
    <row r="121" spans="2:11" s="199" customFormat="1" x14ac:dyDescent="0.25">
      <c r="C121" s="80"/>
    </row>
    <row r="122" spans="2:11" s="199" customFormat="1" x14ac:dyDescent="0.25">
      <c r="C122" s="80"/>
    </row>
    <row r="123" spans="2:11" s="199" customFormat="1" x14ac:dyDescent="0.25">
      <c r="C123" s="80"/>
    </row>
    <row r="124" spans="2:11" s="199" customFormat="1" x14ac:dyDescent="0.25">
      <c r="C124" s="80"/>
    </row>
  </sheetData>
  <sheetProtection formatCells="0" formatRows="0" insertColumns="0" insertRows="0" deleteColumns="0" deleteRows="0"/>
  <mergeCells count="38">
    <mergeCell ref="D21:K21"/>
    <mergeCell ref="D22:D23"/>
    <mergeCell ref="E22:F22"/>
    <mergeCell ref="G22:J22"/>
    <mergeCell ref="C22:C23"/>
    <mergeCell ref="B76:B82"/>
    <mergeCell ref="B83:B84"/>
    <mergeCell ref="D83:D84"/>
    <mergeCell ref="C33:C35"/>
    <mergeCell ref="D33:D35"/>
    <mergeCell ref="B56:B62"/>
    <mergeCell ref="B55:E55"/>
    <mergeCell ref="B85:B95"/>
    <mergeCell ref="B96:B114"/>
    <mergeCell ref="B69:G70"/>
    <mergeCell ref="H34:H35"/>
    <mergeCell ref="D31:K31"/>
    <mergeCell ref="F33:G33"/>
    <mergeCell ref="E34:E35"/>
    <mergeCell ref="F34:F35"/>
    <mergeCell ref="D32:K32"/>
    <mergeCell ref="D43:K43"/>
    <mergeCell ref="D44:K44"/>
    <mergeCell ref="B46:E46"/>
    <mergeCell ref="B47:B53"/>
    <mergeCell ref="B15:B42"/>
    <mergeCell ref="D15:K15"/>
    <mergeCell ref="D20:K20"/>
    <mergeCell ref="B10:D10"/>
    <mergeCell ref="F10:S10"/>
    <mergeCell ref="F11:S11"/>
    <mergeCell ref="E12:R12"/>
    <mergeCell ref="E13:R13"/>
    <mergeCell ref="A1:P1"/>
    <mergeCell ref="A2:P2"/>
    <mergeCell ref="A3:P3"/>
    <mergeCell ref="A4:D4"/>
    <mergeCell ref="A5:P5"/>
  </mergeCells>
  <conditionalFormatting sqref="D42">
    <cfRule type="containsText" dxfId="16" priority="5" operator="containsText" text="ERROR">
      <formula>NOT(ISERROR(SEARCH("ERROR",D42)))</formula>
    </cfRule>
  </conditionalFormatting>
  <conditionalFormatting sqref="F10">
    <cfRule type="notContainsBlanks" dxfId="15" priority="4">
      <formula>LEN(TRIM(F10))&gt;0</formula>
    </cfRule>
  </conditionalFormatting>
  <conditionalFormatting sqref="F11:S11">
    <cfRule type="expression" dxfId="14" priority="2">
      <formula>E11="NO SE REPORTA"</formula>
    </cfRule>
    <cfRule type="expression" dxfId="13" priority="3">
      <formula>E10="NO APLICA"</formula>
    </cfRule>
  </conditionalFormatting>
  <conditionalFormatting sqref="E12:R12">
    <cfRule type="expression" dxfId="12"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7:H17" xr:uid="{00000000-0002-0000-2500-000000000000}">
      <formula1>0</formula1>
    </dataValidation>
    <dataValidation type="whole" operator="greaterThanOrEqual" allowBlank="1" showInputMessage="1" showErrorMessage="1" errorTitle="ERROR" error="Valor en PESOS (sin centavos)" sqref="E19 F18:H19 G26:J29 G24:H25 J25" xr:uid="{00000000-0002-0000-2500-000001000000}">
      <formula1>0</formula1>
    </dataValidation>
    <dataValidation type="decimal" allowBlank="1" showInputMessage="1" showErrorMessage="1" errorTitle="ERROR" error="Escriba un valor entre 0% y 100%" sqref="D36:D41 E24:F29" xr:uid="{00000000-0002-0000-2500-000002000000}">
      <formula1>0</formula1>
      <formula2>1</formula2>
    </dataValidation>
    <dataValidation allowBlank="1" showInputMessage="1" showErrorMessage="1" sqref="D42 E36:G42 G30:J30" xr:uid="{00000000-0002-0000-2500-000003000000}"/>
    <dataValidation type="list" allowBlank="1" showInputMessage="1" showErrorMessage="1" sqref="E11" xr:uid="{00000000-0002-0000-2500-000004000000}">
      <formula1>REPORTE</formula1>
    </dataValidation>
    <dataValidation type="list" allowBlank="1" showInputMessage="1" showErrorMessage="1" sqref="E10" xr:uid="{00000000-0002-0000-2500-000005000000}">
      <formula1>SI</formula1>
    </dataValidation>
  </dataValidations>
  <hyperlinks>
    <hyperlink ref="B9" location="'ANEXO 3'!A1" display="VOLVER AL INDICE" xr:uid="{00000000-0004-0000-2500-000000000000}"/>
    <hyperlink ref="E51" r:id="rId1" xr:uid="{00000000-0004-0000-2500-000001000000}"/>
  </hyperlinks>
  <pageMargins left="0.25" right="0.25" top="0.75" bottom="0.75" header="0.3" footer="0.3"/>
  <pageSetup paperSize="178" orientation="landscape" horizontalDpi="1200" verticalDpi="1200" r:id="rId2"/>
  <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8"/>
  <dimension ref="A1:D28"/>
  <sheetViews>
    <sheetView showGridLines="0" zoomScale="98" zoomScaleNormal="98" workbookViewId="0"/>
  </sheetViews>
  <sheetFormatPr baseColWidth="10" defaultRowHeight="15" x14ac:dyDescent="0.25"/>
  <cols>
    <col min="1" max="1" width="8.140625" bestFit="1" customWidth="1"/>
    <col min="2" max="2" width="12.85546875" bestFit="1" customWidth="1"/>
    <col min="3" max="3" width="68.85546875" customWidth="1"/>
  </cols>
  <sheetData>
    <row r="1" spans="1:4" x14ac:dyDescent="0.25">
      <c r="A1" s="530" t="s">
        <v>1186</v>
      </c>
    </row>
    <row r="3" spans="1:4" x14ac:dyDescent="0.25">
      <c r="B3" s="183" t="s">
        <v>1184</v>
      </c>
    </row>
    <row r="5" spans="1:4" x14ac:dyDescent="0.25">
      <c r="B5" s="181"/>
      <c r="C5" s="182"/>
      <c r="D5" s="180"/>
    </row>
    <row r="6" spans="1:4" x14ac:dyDescent="0.25">
      <c r="A6" s="166" t="s">
        <v>1182</v>
      </c>
      <c r="B6" s="166" t="s">
        <v>1183</v>
      </c>
      <c r="C6" s="166" t="s">
        <v>1181</v>
      </c>
    </row>
    <row r="7" spans="1:4" x14ac:dyDescent="0.25">
      <c r="A7" s="528"/>
      <c r="B7" s="528"/>
      <c r="C7" s="529"/>
    </row>
    <row r="8" spans="1:4" x14ac:dyDescent="0.25">
      <c r="A8" s="528"/>
      <c r="B8" s="528"/>
      <c r="C8" s="529"/>
    </row>
    <row r="9" spans="1:4" x14ac:dyDescent="0.25">
      <c r="A9" s="528"/>
      <c r="B9" s="528"/>
      <c r="C9" s="529"/>
    </row>
    <row r="10" spans="1:4" x14ac:dyDescent="0.25">
      <c r="A10" s="528"/>
      <c r="B10" s="528"/>
      <c r="C10" s="529"/>
    </row>
    <row r="11" spans="1:4" x14ac:dyDescent="0.25">
      <c r="A11" s="528"/>
      <c r="B11" s="528"/>
      <c r="C11" s="529"/>
    </row>
    <row r="12" spans="1:4" x14ac:dyDescent="0.25">
      <c r="A12" s="528"/>
      <c r="B12" s="528"/>
      <c r="C12" s="529"/>
    </row>
    <row r="13" spans="1:4" x14ac:dyDescent="0.25">
      <c r="A13" s="528"/>
      <c r="B13" s="528"/>
      <c r="C13" s="529"/>
    </row>
    <row r="14" spans="1:4" x14ac:dyDescent="0.25">
      <c r="A14" s="528"/>
      <c r="B14" s="528"/>
      <c r="C14" s="529"/>
    </row>
    <row r="15" spans="1:4" x14ac:dyDescent="0.25">
      <c r="A15" s="528"/>
      <c r="B15" s="528"/>
      <c r="C15" s="529"/>
    </row>
    <row r="16" spans="1:4" x14ac:dyDescent="0.25">
      <c r="A16" s="528"/>
      <c r="B16" s="528"/>
      <c r="C16" s="529"/>
    </row>
    <row r="17" spans="1:3" x14ac:dyDescent="0.25">
      <c r="A17" s="528"/>
      <c r="B17" s="528"/>
      <c r="C17" s="529"/>
    </row>
    <row r="18" spans="1:3" x14ac:dyDescent="0.25">
      <c r="A18" s="528"/>
      <c r="B18" s="528"/>
      <c r="C18" s="529"/>
    </row>
    <row r="19" spans="1:3" x14ac:dyDescent="0.25">
      <c r="A19" s="528"/>
      <c r="B19" s="528"/>
      <c r="C19" s="529"/>
    </row>
    <row r="20" spans="1:3" x14ac:dyDescent="0.25">
      <c r="A20" s="528"/>
      <c r="B20" s="528"/>
      <c r="C20" s="529"/>
    </row>
    <row r="21" spans="1:3" x14ac:dyDescent="0.25">
      <c r="A21" s="528"/>
      <c r="B21" s="528"/>
      <c r="C21" s="529"/>
    </row>
    <row r="22" spans="1:3" x14ac:dyDescent="0.25">
      <c r="A22" s="528"/>
      <c r="B22" s="528"/>
      <c r="C22" s="529"/>
    </row>
    <row r="23" spans="1:3" x14ac:dyDescent="0.25">
      <c r="A23" s="528"/>
      <c r="B23" s="528"/>
      <c r="C23" s="529"/>
    </row>
    <row r="24" spans="1:3" x14ac:dyDescent="0.25">
      <c r="A24" s="528"/>
      <c r="B24" s="528"/>
      <c r="C24" s="529"/>
    </row>
    <row r="25" spans="1:3" x14ac:dyDescent="0.25">
      <c r="A25" s="528"/>
      <c r="B25" s="528"/>
      <c r="C25" s="529"/>
    </row>
    <row r="26" spans="1:3" x14ac:dyDescent="0.25">
      <c r="A26" s="528"/>
      <c r="B26" s="528"/>
      <c r="C26" s="529"/>
    </row>
    <row r="27" spans="1:3" x14ac:dyDescent="0.25">
      <c r="A27" s="528"/>
      <c r="B27" s="528"/>
      <c r="C27" s="529"/>
    </row>
    <row r="28" spans="1:3" x14ac:dyDescent="0.25">
      <c r="A28" s="528"/>
      <c r="B28" s="528"/>
      <c r="C28" s="529"/>
    </row>
  </sheetData>
  <sheetProtection algorithmName="SHA-512" hashValue="LsnBJXmF304FiPr1vA0a5rRfeZFGbgpnlSc9fTyRIFlPev88PLUPhKsvVS+n3OoPIPMczgV6lZGm4lrL5GD64A==" saltValue="gNzDjeN2t6lPfjcwAmMMFw==" spinCount="100000" sheet="1" objects="1" scenarios="1" insertHyperlinks="0" selectLockedCells="1"/>
  <hyperlinks>
    <hyperlink ref="A1" location="'ANEXO 3'!A1" display="VOLVER AL INDICE" xr:uid="{00000000-0004-0000-2600-000000000000}"/>
  </hyperlinks>
  <pageMargins left="0.7" right="0.7" top="0.75" bottom="0.75" header="0.3" footer="0.3"/>
  <pageSetup paperSize="178"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B26"/>
  <sheetViews>
    <sheetView topLeftCell="A19" zoomScale="140" zoomScaleNormal="140" zoomScaleSheetLayoutView="100" workbookViewId="0">
      <selection activeCell="B23" sqref="B23"/>
    </sheetView>
  </sheetViews>
  <sheetFormatPr baseColWidth="10" defaultRowHeight="12.75" x14ac:dyDescent="0.25"/>
  <cols>
    <col min="1" max="1" width="47.42578125" style="565" customWidth="1"/>
    <col min="2" max="2" width="84.140625" style="565" customWidth="1"/>
    <col min="3" max="16384" width="11.42578125" style="565"/>
  </cols>
  <sheetData>
    <row r="1" spans="1:2" ht="130.5" customHeight="1" thickBot="1" x14ac:dyDescent="0.3">
      <c r="A1" s="1676"/>
      <c r="B1" s="1676"/>
    </row>
    <row r="2" spans="1:2" ht="27" customHeight="1" thickBot="1" x14ac:dyDescent="0.3">
      <c r="A2" s="1677" t="s">
        <v>1264</v>
      </c>
      <c r="B2" s="1678"/>
    </row>
    <row r="3" spans="1:2" ht="24.75" customHeight="1" thickBot="1" x14ac:dyDescent="0.3">
      <c r="A3" s="1679" t="s">
        <v>1265</v>
      </c>
      <c r="B3" s="1680"/>
    </row>
    <row r="4" spans="1:2" x14ac:dyDescent="0.25">
      <c r="A4" s="566" t="s">
        <v>1266</v>
      </c>
      <c r="B4" s="566" t="s">
        <v>1267</v>
      </c>
    </row>
    <row r="5" spans="1:2" ht="36" x14ac:dyDescent="0.25">
      <c r="A5" s="567" t="s">
        <v>1783</v>
      </c>
      <c r="B5" s="568" t="s">
        <v>1268</v>
      </c>
    </row>
    <row r="6" spans="1:2" ht="34.5" customHeight="1" x14ac:dyDescent="0.25">
      <c r="A6" s="567" t="s">
        <v>1269</v>
      </c>
      <c r="B6" s="568" t="s">
        <v>1785</v>
      </c>
    </row>
    <row r="7" spans="1:2" ht="24" customHeight="1" x14ac:dyDescent="0.25">
      <c r="A7" s="567" t="s">
        <v>1270</v>
      </c>
      <c r="B7" s="568" t="s">
        <v>1271</v>
      </c>
    </row>
    <row r="8" spans="1:2" ht="32.25" customHeight="1" x14ac:dyDescent="0.25">
      <c r="A8" s="567" t="s">
        <v>1272</v>
      </c>
      <c r="B8" s="568" t="s">
        <v>1273</v>
      </c>
    </row>
    <row r="9" spans="1:2" ht="49.5" customHeight="1" x14ac:dyDescent="0.25">
      <c r="A9" s="567" t="s">
        <v>1274</v>
      </c>
      <c r="B9" s="568" t="s">
        <v>1275</v>
      </c>
    </row>
    <row r="10" spans="1:2" ht="21" customHeight="1" x14ac:dyDescent="0.25">
      <c r="A10" s="567" t="s">
        <v>1786</v>
      </c>
      <c r="B10" s="568" t="s">
        <v>1877</v>
      </c>
    </row>
    <row r="11" spans="1:2" ht="40.5" customHeight="1" x14ac:dyDescent="0.25">
      <c r="A11" s="567" t="s">
        <v>1276</v>
      </c>
      <c r="B11" s="568" t="s">
        <v>1277</v>
      </c>
    </row>
    <row r="12" spans="1:2" ht="21.75" customHeight="1" x14ac:dyDescent="0.25">
      <c r="A12" s="567" t="s">
        <v>1278</v>
      </c>
      <c r="B12" s="568" t="s">
        <v>1279</v>
      </c>
    </row>
    <row r="13" spans="1:2" ht="21.75" customHeight="1" x14ac:dyDescent="0.25">
      <c r="A13" s="567" t="s">
        <v>1280</v>
      </c>
      <c r="B13" s="568" t="s">
        <v>1787</v>
      </c>
    </row>
    <row r="14" spans="1:2" ht="21" customHeight="1" x14ac:dyDescent="0.25">
      <c r="A14" s="567" t="s">
        <v>1281</v>
      </c>
      <c r="B14" s="568" t="s">
        <v>1282</v>
      </c>
    </row>
    <row r="15" spans="1:2" ht="24.75" customHeight="1" x14ac:dyDescent="0.25">
      <c r="A15" s="567" t="s">
        <v>1283</v>
      </c>
      <c r="B15" s="568" t="s">
        <v>1284</v>
      </c>
    </row>
    <row r="16" spans="1:2" ht="22.5" customHeight="1" x14ac:dyDescent="0.25">
      <c r="A16" s="567" t="s">
        <v>1788</v>
      </c>
      <c r="B16" s="568" t="s">
        <v>1285</v>
      </c>
    </row>
    <row r="17" spans="1:2" ht="39" customHeight="1" x14ac:dyDescent="0.25">
      <c r="A17" s="567" t="s">
        <v>1286</v>
      </c>
      <c r="B17" s="568" t="s">
        <v>1287</v>
      </c>
    </row>
    <row r="18" spans="1:2" ht="22.5" customHeight="1" x14ac:dyDescent="0.25">
      <c r="A18" s="567" t="s">
        <v>1288</v>
      </c>
      <c r="B18" s="568" t="s">
        <v>1289</v>
      </c>
    </row>
    <row r="19" spans="1:2" ht="22.5" customHeight="1" x14ac:dyDescent="0.25">
      <c r="A19" s="567" t="s">
        <v>1872</v>
      </c>
      <c r="B19" s="568" t="s">
        <v>1874</v>
      </c>
    </row>
    <row r="20" spans="1:2" ht="22.5" customHeight="1" x14ac:dyDescent="0.25">
      <c r="A20" s="567" t="s">
        <v>1873</v>
      </c>
      <c r="B20" s="568" t="s">
        <v>1876</v>
      </c>
    </row>
    <row r="21" spans="1:2" ht="22.5" customHeight="1" x14ac:dyDescent="0.25">
      <c r="A21" s="567" t="s">
        <v>1861</v>
      </c>
      <c r="B21" s="568" t="s">
        <v>1875</v>
      </c>
    </row>
    <row r="22" spans="1:2" ht="21.75" customHeight="1" x14ac:dyDescent="0.25">
      <c r="A22" s="567" t="s">
        <v>1862</v>
      </c>
      <c r="B22" s="568" t="s">
        <v>1784</v>
      </c>
    </row>
    <row r="23" spans="1:2" ht="25.5" customHeight="1" x14ac:dyDescent="0.25">
      <c r="A23" s="567" t="s">
        <v>1863</v>
      </c>
      <c r="B23" s="568" t="s">
        <v>1755</v>
      </c>
    </row>
    <row r="24" spans="1:2" ht="25.5" customHeight="1" x14ac:dyDescent="0.25">
      <c r="A24" s="567" t="s">
        <v>1864</v>
      </c>
      <c r="B24" s="568" t="s">
        <v>1870</v>
      </c>
    </row>
    <row r="25" spans="1:2" ht="21" customHeight="1" x14ac:dyDescent="0.25">
      <c r="A25" s="567" t="s">
        <v>1865</v>
      </c>
      <c r="B25" s="568" t="s">
        <v>1290</v>
      </c>
    </row>
    <row r="26" spans="1:2" ht="98.25" customHeight="1" thickBot="1" x14ac:dyDescent="0.3">
      <c r="A26" s="569" t="s">
        <v>1291</v>
      </c>
      <c r="B26" s="570" t="s">
        <v>1292</v>
      </c>
    </row>
  </sheetData>
  <mergeCells count="3">
    <mergeCell ref="A1:B1"/>
    <mergeCell ref="A2:B2"/>
    <mergeCell ref="A3:B3"/>
  </mergeCells>
  <printOptions horizontalCentered="1" verticalCentered="1"/>
  <pageMargins left="0.78740157480314965" right="0.78740157480314965" top="0.98425196850393704" bottom="0.98425196850393704" header="0" footer="0"/>
  <pageSetup scale="70" orientation="landscape" horizontalDpi="300" verticalDpi="300"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39"/>
  <dimension ref="A1:I42"/>
  <sheetViews>
    <sheetView topLeftCell="A3" workbookViewId="0">
      <selection activeCell="B3" sqref="B3"/>
    </sheetView>
  </sheetViews>
  <sheetFormatPr baseColWidth="10" defaultRowHeight="15" x14ac:dyDescent="0.25"/>
  <cols>
    <col min="1" max="1" width="3.42578125" bestFit="1" customWidth="1"/>
    <col min="2" max="2" width="42.85546875" customWidth="1"/>
    <col min="3" max="3" width="1" customWidth="1"/>
    <col min="6" max="6" width="11.140625" customWidth="1"/>
    <col min="9" max="9" width="11.5703125" style="412"/>
  </cols>
  <sheetData>
    <row r="1" spans="1:9" x14ac:dyDescent="0.25">
      <c r="A1" s="493" t="s">
        <v>1186</v>
      </c>
    </row>
    <row r="2" spans="1:9" x14ac:dyDescent="0.25">
      <c r="B2" t="s">
        <v>1188</v>
      </c>
    </row>
    <row r="3" spans="1:9" x14ac:dyDescent="0.25">
      <c r="C3" t="s">
        <v>881</v>
      </c>
    </row>
    <row r="5" spans="1:9" x14ac:dyDescent="0.25">
      <c r="A5" s="209" t="s">
        <v>1148</v>
      </c>
      <c r="B5" s="209" t="s">
        <v>1149</v>
      </c>
      <c r="C5" s="412" t="s">
        <v>881</v>
      </c>
      <c r="D5" s="456">
        <f>IF(SUM('1POMCAS'!E97:E99)=1,SUM('1POMCAS'!E97:E99),"ERROR: LA SUMA DE LA COLUMNA DEBE SER 100%")</f>
        <v>1</v>
      </c>
      <c r="E5" s="457" t="str">
        <f ca="1">IF(+'1POMCAS'!G97*'1POMCAS'!$E97+'1POMCAS'!G98*'1POMCAS'!$E98+'1POMCAS'!G99*'1POMCAS'!$E99=0,"N.A.",'1POMCAS'!G97*'1POMCAS'!$E97+'1POMCAS'!G98*'1POMCAS'!$E98+'1POMCAS'!G99*'1POMCAS'!$E99)</f>
        <v>N.A.</v>
      </c>
      <c r="F5" s="457" t="str">
        <f ca="1">IF(+'1POMCAS'!H97*'1POMCAS'!$E97+'1POMCAS'!H98*'1POMCAS'!$E98+'1POMCAS'!H99*'1POMCAS'!$E99=0,"N.A.",'1POMCAS'!H97*'1POMCAS'!$E97+'1POMCAS'!H98*'1POMCAS'!$E98+'1POMCAS'!H99*'1POMCAS'!$E99)</f>
        <v>N.A.</v>
      </c>
      <c r="G5" s="457" t="str">
        <f ca="1">IF(+'1POMCAS'!I97*'1POMCAS'!$E97+'1POMCAS'!I98*'1POMCAS'!$E98+'1POMCAS'!I99*'1POMCAS'!$E99=0,"N.A.",'1POMCAS'!I97*'1POMCAS'!$E97+'1POMCAS'!I98*'1POMCAS'!$E98+'1POMCAS'!I99*'1POMCAS'!$E99)</f>
        <v>N.A.</v>
      </c>
      <c r="H5" s="457" t="str">
        <f ca="1">IF(+'1POMCAS'!J97*'1POMCAS'!$E97+'1POMCAS'!J98*'1POMCAS'!$E98+'1POMCAS'!J99*'1POMCAS'!$E99=0,"N.A.",'1POMCAS'!J97*'1POMCAS'!$E97+'1POMCAS'!J98*'1POMCAS'!$E98+'1POMCAS'!J99*'1POMCAS'!$E99)</f>
        <v>N.A.</v>
      </c>
      <c r="I5" s="457"/>
    </row>
    <row r="6" spans="1:9" x14ac:dyDescent="0.25">
      <c r="A6" s="209" t="s">
        <v>1150</v>
      </c>
      <c r="B6" s="209" t="s">
        <v>131</v>
      </c>
      <c r="C6" s="412" t="s">
        <v>881</v>
      </c>
      <c r="D6" s="458"/>
      <c r="E6" s="458"/>
      <c r="F6" s="458"/>
      <c r="G6" s="458"/>
      <c r="H6" s="458"/>
      <c r="I6" s="458"/>
    </row>
    <row r="7" spans="1:9" x14ac:dyDescent="0.25">
      <c r="A7" s="209" t="s">
        <v>1151</v>
      </c>
      <c r="B7" s="209" t="s">
        <v>162</v>
      </c>
      <c r="C7" s="412" t="s">
        <v>881</v>
      </c>
      <c r="D7" s="458"/>
      <c r="E7" s="458"/>
      <c r="F7" s="458"/>
      <c r="G7" s="458"/>
      <c r="H7" s="458"/>
      <c r="I7" s="458"/>
    </row>
    <row r="8" spans="1:9" x14ac:dyDescent="0.25">
      <c r="A8" s="209" t="s">
        <v>1152</v>
      </c>
      <c r="B8" s="209" t="s">
        <v>183</v>
      </c>
      <c r="C8" s="412" t="s">
        <v>881</v>
      </c>
      <c r="D8" s="458"/>
      <c r="E8" s="458"/>
      <c r="F8" s="458"/>
      <c r="G8" s="458"/>
      <c r="H8" s="458"/>
      <c r="I8" s="458"/>
    </row>
    <row r="9" spans="1:9" x14ac:dyDescent="0.25">
      <c r="A9" s="209" t="s">
        <v>1153</v>
      </c>
      <c r="B9" s="209" t="s">
        <v>200</v>
      </c>
      <c r="C9" s="412" t="s">
        <v>881</v>
      </c>
      <c r="D9" s="458"/>
      <c r="E9" s="458"/>
      <c r="F9" s="458"/>
      <c r="G9" s="458"/>
      <c r="H9" s="458"/>
      <c r="I9" s="458"/>
    </row>
    <row r="10" spans="1:9" x14ac:dyDescent="0.25">
      <c r="A10" s="209" t="s">
        <v>1154</v>
      </c>
      <c r="B10" s="209" t="s">
        <v>220</v>
      </c>
      <c r="C10" s="412" t="s">
        <v>881</v>
      </c>
      <c r="D10" s="458"/>
      <c r="E10" s="458"/>
      <c r="F10" s="458"/>
      <c r="G10" s="458"/>
      <c r="H10" s="458"/>
      <c r="I10" s="458"/>
    </row>
    <row r="11" spans="1:9" x14ac:dyDescent="0.25">
      <c r="A11" s="209" t="s">
        <v>1155</v>
      </c>
      <c r="B11" s="209" t="s">
        <v>280</v>
      </c>
      <c r="C11" s="412" t="s">
        <v>881</v>
      </c>
      <c r="D11" s="458"/>
      <c r="E11" s="458"/>
      <c r="F11" s="458"/>
      <c r="G11" s="458"/>
      <c r="H11" s="458"/>
      <c r="I11" s="458"/>
    </row>
    <row r="12" spans="1:9" x14ac:dyDescent="0.25">
      <c r="A12" s="209" t="s">
        <v>1156</v>
      </c>
      <c r="B12" s="209" t="s">
        <v>314</v>
      </c>
      <c r="C12" s="412" t="s">
        <v>881</v>
      </c>
      <c r="D12" s="458"/>
      <c r="E12" s="458"/>
      <c r="F12" s="458"/>
      <c r="G12" s="458"/>
      <c r="H12" s="458"/>
      <c r="I12" s="458"/>
    </row>
    <row r="13" spans="1:9" x14ac:dyDescent="0.25">
      <c r="A13" s="209" t="s">
        <v>1157</v>
      </c>
      <c r="B13" s="209" t="s">
        <v>348</v>
      </c>
      <c r="C13" s="412" t="s">
        <v>881</v>
      </c>
      <c r="D13" s="458"/>
      <c r="E13" s="458"/>
      <c r="F13" s="458"/>
      <c r="G13" s="458"/>
      <c r="H13" s="458"/>
      <c r="I13" s="458"/>
    </row>
    <row r="14" spans="1:9" x14ac:dyDescent="0.25">
      <c r="A14" s="209" t="s">
        <v>1158</v>
      </c>
      <c r="B14" s="209" t="s">
        <v>396</v>
      </c>
      <c r="C14" s="412" t="s">
        <v>881</v>
      </c>
      <c r="D14" s="459"/>
      <c r="E14" s="459"/>
      <c r="F14" s="459"/>
      <c r="G14" s="459"/>
      <c r="H14" s="459"/>
      <c r="I14" s="459"/>
    </row>
    <row r="15" spans="1:9" x14ac:dyDescent="0.25">
      <c r="A15" s="209" t="s">
        <v>1159</v>
      </c>
      <c r="B15" s="209" t="s">
        <v>418</v>
      </c>
      <c r="C15" s="412" t="s">
        <v>881</v>
      </c>
      <c r="D15" s="460" t="str">
        <f>IF(SUM('11Forest'!E26:E29)='11Forest'!E20,SUM('11Forest'!E26:E29),"ERROR: LA SUMA DE LA COLUMNA DEBE SER IGUAL A LA META ANUAL")</f>
        <v>ERROR: LA SUMA DE LA COLUMNA DEBE SER IGUAL A LA META ANUAL</v>
      </c>
      <c r="E15" s="460" t="str">
        <f>IF(SUM('11Forest'!F26:F29)='11Forest'!E20,SUM('11Forest'!F26:F29),"ERROR: LA SUMA DE LA COLUMNA DEBE SER IGUAL A LA META ANUAL")</f>
        <v>ERROR: LA SUMA DE LA COLUMNA DEBE SER IGUAL A LA META ANUAL</v>
      </c>
      <c r="F15" s="460">
        <f>IF(SUM('11Forest'!G26:G29)='11Forest'!E20,SUM('11Forest'!G26:G29),"ERROR: LA SUMA DE LA COLUMNA DEBE SER IGUAL A LA META ANUAL")</f>
        <v>169000</v>
      </c>
      <c r="G15" s="460" t="str">
        <f>IF(SUM('11Forest'!H26:H29)='11Forest'!E20,SUM('11Forest'!H26:H29),"ERROR: LA SUMA DE LA COLUMNA DEBE SER IGUAL A LA META ANUAL")</f>
        <v>ERROR: LA SUMA DE LA COLUMNA DEBE SER IGUAL A LA META ANUAL</v>
      </c>
      <c r="H15" s="460"/>
      <c r="I15" s="460">
        <f>IF(SUM('11Forest'!E25:H25)='11Forest'!E20,SUM('11Forest'!E25:H25),"ERROR: LA SUMA DE LA COLUMNA DEBE SER IGUAL A LA META ANUAL")</f>
        <v>169000</v>
      </c>
    </row>
    <row r="16" spans="1:9" x14ac:dyDescent="0.25">
      <c r="A16" s="209" t="s">
        <v>1160</v>
      </c>
      <c r="B16" s="209" t="s">
        <v>449</v>
      </c>
      <c r="C16" s="412" t="s">
        <v>881</v>
      </c>
      <c r="D16" s="461"/>
      <c r="E16" s="461"/>
      <c r="F16" s="461"/>
      <c r="G16" s="461"/>
      <c r="H16" s="461"/>
      <c r="I16" s="461"/>
    </row>
    <row r="17" spans="1:9" x14ac:dyDescent="0.25">
      <c r="A17" s="209" t="s">
        <v>1161</v>
      </c>
      <c r="B17" s="209" t="s">
        <v>480</v>
      </c>
      <c r="C17" s="412" t="s">
        <v>881</v>
      </c>
      <c r="D17" s="458"/>
      <c r="E17" s="458"/>
      <c r="F17" s="458"/>
      <c r="G17" s="458"/>
      <c r="H17" s="458"/>
      <c r="I17" s="458"/>
    </row>
    <row r="18" spans="1:9" x14ac:dyDescent="0.25">
      <c r="A18" s="209" t="s">
        <v>1162</v>
      </c>
      <c r="B18" s="209" t="s">
        <v>526</v>
      </c>
      <c r="C18" s="412" t="s">
        <v>881</v>
      </c>
      <c r="D18" s="458"/>
      <c r="E18" s="458"/>
      <c r="F18" s="458"/>
      <c r="G18" s="458"/>
      <c r="H18" s="458"/>
      <c r="I18" s="458"/>
    </row>
    <row r="19" spans="1:9" x14ac:dyDescent="0.25">
      <c r="A19" s="209" t="s">
        <v>1163</v>
      </c>
      <c r="B19" s="209" t="s">
        <v>557</v>
      </c>
      <c r="C19" s="412" t="s">
        <v>881</v>
      </c>
      <c r="D19" s="458"/>
      <c r="E19" s="458"/>
      <c r="F19" s="458"/>
      <c r="G19" s="458"/>
      <c r="H19" s="458"/>
      <c r="I19" s="458"/>
    </row>
    <row r="20" spans="1:9" x14ac:dyDescent="0.25">
      <c r="A20" s="209" t="s">
        <v>1164</v>
      </c>
      <c r="B20" s="209" t="s">
        <v>585</v>
      </c>
      <c r="C20" s="412" t="s">
        <v>881</v>
      </c>
      <c r="D20" s="456">
        <f>IF(SUM('16MIZC'!H22:H38)=1,SUM('16MIZC'!H22:H38),"ERROR: LA SUMA DE LA COLUMNA DEBE SER 100%")</f>
        <v>1</v>
      </c>
      <c r="E20" s="462">
        <f>SUM('16MIZC'!I22:I38)</f>
        <v>0.36249999999999999</v>
      </c>
      <c r="F20" s="458"/>
      <c r="G20" s="458"/>
      <c r="H20" s="458"/>
      <c r="I20" s="458"/>
    </row>
    <row r="21" spans="1:9" x14ac:dyDescent="0.25">
      <c r="A21" s="209" t="s">
        <v>1165</v>
      </c>
      <c r="B21" s="209" t="s">
        <v>631</v>
      </c>
      <c r="C21" s="412" t="s">
        <v>881</v>
      </c>
      <c r="D21" s="458"/>
      <c r="E21" s="458"/>
      <c r="F21" s="458"/>
      <c r="G21" s="458"/>
      <c r="H21" s="458"/>
      <c r="I21" s="458"/>
    </row>
    <row r="22" spans="1:9" x14ac:dyDescent="0.25">
      <c r="A22" s="209" t="s">
        <v>1166</v>
      </c>
      <c r="B22" s="209" t="s">
        <v>652</v>
      </c>
      <c r="C22" s="412" t="s">
        <v>881</v>
      </c>
      <c r="D22" s="456">
        <f>IF(SUM('18Sector'!D41:D52)=1,SUM('18Sector'!D41:D52),"ERROR: LA SUMA DE LA COLUMNA DEBE SER 100%")</f>
        <v>1</v>
      </c>
      <c r="E22" s="458"/>
      <c r="F22" s="458"/>
      <c r="G22" s="458"/>
      <c r="H22" s="458"/>
      <c r="I22" s="458"/>
    </row>
    <row r="23" spans="1:9" x14ac:dyDescent="0.25">
      <c r="A23" s="209" t="s">
        <v>1167</v>
      </c>
      <c r="B23" s="209" t="s">
        <v>700</v>
      </c>
      <c r="C23" s="412" t="s">
        <v>881</v>
      </c>
      <c r="D23" s="456" t="str">
        <f>IF(SUM('19GAU'!H30:H37)=1,SUM('19GAU'!H30:H37),"ERROR: LA SUMA DE LA COLUMNA DEBE SER 100%")</f>
        <v>ERROR: LA SUMA DE LA COLUMNA DEBE SER 100%</v>
      </c>
      <c r="E23" s="462">
        <f>SUM('19GAU'!I22:I37)</f>
        <v>0.58350000000000002</v>
      </c>
      <c r="F23" s="458"/>
      <c r="G23" s="458"/>
      <c r="H23" s="458"/>
      <c r="I23" s="458"/>
    </row>
    <row r="24" spans="1:9" x14ac:dyDescent="0.25">
      <c r="A24" s="209" t="s">
        <v>1168</v>
      </c>
      <c r="B24" s="209" t="s">
        <v>770</v>
      </c>
      <c r="C24" s="412" t="s">
        <v>881</v>
      </c>
      <c r="D24" s="456" t="str">
        <f>IF(SUM('20Negoc'!D36:D38)=1,SUM('20Negoc'!D36:D38),"ERROR: LA SUMA DE LA COLUMNA DEBE SER 100%")</f>
        <v>ERROR: LA SUMA DE LA COLUMNA DEBE SER 100%</v>
      </c>
      <c r="E24" s="463">
        <f>+'20Negoc'!J30/'20Negoc'!I30</f>
        <v>1</v>
      </c>
      <c r="F24" s="463">
        <f>+'20Negoc'!K30/'20Negoc'!J30</f>
        <v>1</v>
      </c>
      <c r="G24" s="458"/>
      <c r="H24" s="458"/>
      <c r="I24" s="458"/>
    </row>
    <row r="25" spans="1:9" x14ac:dyDescent="0.25">
      <c r="A25" s="209" t="s">
        <v>1169</v>
      </c>
      <c r="B25" s="209" t="s">
        <v>832</v>
      </c>
      <c r="C25" s="412" t="s">
        <v>881</v>
      </c>
      <c r="D25" s="458"/>
      <c r="E25" s="458"/>
      <c r="F25" s="458"/>
      <c r="G25" s="458"/>
      <c r="H25" s="458"/>
      <c r="I25" s="458"/>
    </row>
    <row r="26" spans="1:9" x14ac:dyDescent="0.25">
      <c r="A26" s="209" t="s">
        <v>1170</v>
      </c>
      <c r="B26" s="209" t="s">
        <v>880</v>
      </c>
      <c r="C26" s="412" t="s">
        <v>881</v>
      </c>
      <c r="D26" s="456">
        <f>IF(SUM('22Autor'!F117:F121)=1,SUM('22Autor'!F117:F121),"ERROR: LA SUMA DE LA COLUMNA DEBE SER 100%")</f>
        <v>1</v>
      </c>
      <c r="E26" s="458"/>
      <c r="F26" s="458"/>
      <c r="G26" s="458"/>
      <c r="H26" s="458"/>
      <c r="I26" s="458"/>
    </row>
    <row r="27" spans="1:9" x14ac:dyDescent="0.25">
      <c r="A27" s="209" t="s">
        <v>1171</v>
      </c>
      <c r="B27" s="209" t="s">
        <v>944</v>
      </c>
      <c r="C27" s="412" t="s">
        <v>881</v>
      </c>
      <c r="D27" s="458"/>
      <c r="E27" s="458"/>
      <c r="F27" s="458"/>
      <c r="G27" s="458"/>
      <c r="H27" s="458"/>
      <c r="I27" s="458"/>
    </row>
    <row r="28" spans="1:9" ht="15.75" thickBot="1" x14ac:dyDescent="0.3">
      <c r="A28" s="209" t="s">
        <v>1172</v>
      </c>
      <c r="B28" s="209" t="s">
        <v>965</v>
      </c>
      <c r="C28" s="412" t="s">
        <v>881</v>
      </c>
      <c r="D28" s="458"/>
      <c r="E28" s="458"/>
      <c r="F28" s="458"/>
      <c r="G28" s="458"/>
      <c r="H28" s="458"/>
      <c r="I28" s="458"/>
    </row>
    <row r="29" spans="1:9" ht="15.75" thickBot="1" x14ac:dyDescent="0.3">
      <c r="A29" s="209" t="s">
        <v>1173</v>
      </c>
      <c r="B29" s="209" t="s">
        <v>994</v>
      </c>
      <c r="C29" s="412" t="s">
        <v>881</v>
      </c>
      <c r="D29" s="446" t="str">
        <f>IF(SUM('25Redes'!F79:F80)=1,"","ERROR: LA SUMA DE LAS PONDERACIONES DEBE SER 100%")</f>
        <v/>
      </c>
      <c r="E29" s="464">
        <f>+'25Redes'!E79*'25Redes'!F79+'25Redes'!E80*'25Redes'!F80</f>
        <v>0.14705882352941177</v>
      </c>
      <c r="F29" s="458"/>
      <c r="G29" s="458"/>
      <c r="H29" s="458"/>
      <c r="I29" s="458"/>
    </row>
    <row r="30" spans="1:9" x14ac:dyDescent="0.25">
      <c r="A30" s="209" t="s">
        <v>1174</v>
      </c>
      <c r="B30" s="209" t="s">
        <v>1067</v>
      </c>
      <c r="C30" s="412" t="s">
        <v>881</v>
      </c>
      <c r="D30" s="458"/>
      <c r="E30" s="458"/>
      <c r="F30" s="458"/>
      <c r="G30" s="458"/>
      <c r="H30" s="458"/>
      <c r="I30" s="458"/>
    </row>
    <row r="31" spans="1:9" x14ac:dyDescent="0.25">
      <c r="A31" s="209" t="s">
        <v>1175</v>
      </c>
      <c r="B31" s="209" t="s">
        <v>1114</v>
      </c>
      <c r="C31" s="412" t="s">
        <v>881</v>
      </c>
      <c r="D31" s="456">
        <f>IF(SUM('27Educa'!D36:D41)=1,SUM('27Educa'!D36:D41),"ERROR: LA SUMA DE LA COLUMNA DEBE SER 100%")</f>
        <v>1</v>
      </c>
      <c r="E31" s="458"/>
      <c r="F31" s="458"/>
      <c r="G31" s="458"/>
      <c r="H31" s="458"/>
      <c r="I31" s="458"/>
    </row>
    <row r="32" spans="1:9" x14ac:dyDescent="0.25">
      <c r="C32" s="412" t="s">
        <v>881</v>
      </c>
    </row>
    <row r="33" spans="3:6" x14ac:dyDescent="0.25">
      <c r="C33" s="412" t="s">
        <v>881</v>
      </c>
      <c r="D33" s="494" t="s">
        <v>1238</v>
      </c>
      <c r="F33" s="518" t="s">
        <v>1240</v>
      </c>
    </row>
    <row r="34" spans="3:6" x14ac:dyDescent="0.25">
      <c r="C34" s="412" t="s">
        <v>881</v>
      </c>
      <c r="D34" s="494" t="s">
        <v>1237</v>
      </c>
      <c r="F34" s="518" t="s">
        <v>1239</v>
      </c>
    </row>
    <row r="35" spans="3:6" x14ac:dyDescent="0.25">
      <c r="C35" s="412" t="s">
        <v>881</v>
      </c>
    </row>
    <row r="36" spans="3:6" x14ac:dyDescent="0.25">
      <c r="C36" s="412" t="s">
        <v>881</v>
      </c>
    </row>
    <row r="37" spans="3:6" x14ac:dyDescent="0.25">
      <c r="C37" s="412" t="s">
        <v>881</v>
      </c>
    </row>
    <row r="38" spans="3:6" x14ac:dyDescent="0.25">
      <c r="C38" s="412" t="s">
        <v>881</v>
      </c>
    </row>
    <row r="39" spans="3:6" x14ac:dyDescent="0.25">
      <c r="C39" s="412" t="s">
        <v>881</v>
      </c>
    </row>
    <row r="40" spans="3:6" x14ac:dyDescent="0.25">
      <c r="C40" s="412" t="s">
        <v>881</v>
      </c>
    </row>
    <row r="41" spans="3:6" x14ac:dyDescent="0.25">
      <c r="C41" s="412" t="s">
        <v>881</v>
      </c>
    </row>
    <row r="42" spans="3:6" x14ac:dyDescent="0.25">
      <c r="C42" s="412" t="s">
        <v>881</v>
      </c>
    </row>
  </sheetData>
  <sheetProtection algorithmName="SHA-512" hashValue="E7iSHRO0micllmrxNii03RvnOJK5hLyQjLoWlEvyS8BhlibykYKuwLSgWDIe9bKr0rgV7o/z4gJUJvMIxFrKgw==" saltValue="GBnvGum2z3e+EKxTTYtstw==" spinCount="100000" sheet="1" objects="1" scenarios="1" insertHyperlinks="0" selectLockedCells="1" selectUnlockedCells="1"/>
  <conditionalFormatting sqref="D31">
    <cfRule type="containsText" dxfId="11" priority="12" operator="containsText" text="ERROR">
      <formula>NOT(ISERROR(SEARCH("ERROR",D31)))</formula>
    </cfRule>
  </conditionalFormatting>
  <conditionalFormatting sqref="D5">
    <cfRule type="containsText" dxfId="10" priority="11" operator="containsText" text="ERROR">
      <formula>NOT(ISERROR(SEARCH("ERROR",D5)))</formula>
    </cfRule>
  </conditionalFormatting>
  <conditionalFormatting sqref="D20">
    <cfRule type="containsText" dxfId="9" priority="10" operator="containsText" text="ERROR">
      <formula>NOT(ISERROR(SEARCH("ERROR",D20)))</formula>
    </cfRule>
  </conditionalFormatting>
  <conditionalFormatting sqref="D22">
    <cfRule type="containsText" dxfId="8" priority="9" operator="containsText" text="ERROR">
      <formula>NOT(ISERROR(SEARCH("ERROR",D22)))</formula>
    </cfRule>
  </conditionalFormatting>
  <conditionalFormatting sqref="D23">
    <cfRule type="containsText" dxfId="7" priority="8" operator="containsText" text="ERROR">
      <formula>NOT(ISERROR(SEARCH("ERROR",D23)))</formula>
    </cfRule>
  </conditionalFormatting>
  <conditionalFormatting sqref="D24">
    <cfRule type="containsText" dxfId="6" priority="7" operator="containsText" text="ERROR">
      <formula>NOT(ISERROR(SEARCH("ERROR",D24)))</formula>
    </cfRule>
  </conditionalFormatting>
  <conditionalFormatting sqref="D15">
    <cfRule type="containsText" dxfId="5" priority="6" operator="containsText" text="ERROR">
      <formula>NOT(ISERROR(SEARCH("ERROR",D15)))</formula>
    </cfRule>
  </conditionalFormatting>
  <conditionalFormatting sqref="H15">
    <cfRule type="containsText" dxfId="4" priority="4" operator="containsText" text="ERROR">
      <formula>NOT(ISERROR(SEARCH("ERROR",H15)))</formula>
    </cfRule>
  </conditionalFormatting>
  <conditionalFormatting sqref="E15:G15">
    <cfRule type="containsText" dxfId="3" priority="5" operator="containsText" text="ERROR">
      <formula>NOT(ISERROR(SEARCH("ERROR",E15)))</formula>
    </cfRule>
  </conditionalFormatting>
  <conditionalFormatting sqref="D29">
    <cfRule type="containsText" dxfId="2" priority="3" operator="containsText" text="ERROR">
      <formula>NOT(ISERROR(SEARCH("ERROR",D29)))</formula>
    </cfRule>
  </conditionalFormatting>
  <conditionalFormatting sqref="D26">
    <cfRule type="containsText" dxfId="1" priority="2" operator="containsText" text="ERROR">
      <formula>NOT(ISERROR(SEARCH("ERROR",D26)))</formula>
    </cfRule>
  </conditionalFormatting>
  <conditionalFormatting sqref="I15">
    <cfRule type="containsText" dxfId="0" priority="1" operator="containsText" text="ERROR">
      <formula>NOT(ISERROR(SEARCH("ERROR",I15)))</formula>
    </cfRule>
  </conditionalFormatting>
  <hyperlinks>
    <hyperlink ref="A1" location="'ANEXO 3'!A1" display="VOLVER AL INDICE" xr:uid="{00000000-0004-0000-2700-000000000000}"/>
  </hyperlinks>
  <pageMargins left="0.7" right="0.7" top="0.75" bottom="0.75" header="0.3" footer="0.3"/>
  <pageSetup paperSize="178"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Y343"/>
  <sheetViews>
    <sheetView zoomScale="80" zoomScaleNormal="80" zoomScaleSheetLayoutView="100" workbookViewId="0">
      <pane ySplit="1425" topLeftCell="A85" activePane="bottomLeft"/>
      <selection activeCell="A6" sqref="A1:A1048576"/>
      <selection pane="bottomLeft" activeCell="J99" sqref="J99"/>
    </sheetView>
  </sheetViews>
  <sheetFormatPr baseColWidth="10" defaultRowHeight="36" customHeight="1" x14ac:dyDescent="0.25"/>
  <cols>
    <col min="1" max="1" width="10" style="412" customWidth="1"/>
    <col min="2" max="2" width="14.7109375" style="412" customWidth="1"/>
    <col min="3" max="3" width="14.140625" style="412" customWidth="1"/>
    <col min="4" max="4" width="16.140625" style="412" customWidth="1"/>
    <col min="5" max="5" width="11.42578125" style="412"/>
    <col min="6" max="9" width="11.42578125" style="636"/>
    <col min="10" max="10" width="122.42578125" style="412" bestFit="1" customWidth="1"/>
    <col min="11" max="14" width="17.28515625" style="412" customWidth="1"/>
    <col min="15" max="15" width="25.7109375" style="412" bestFit="1" customWidth="1"/>
    <col min="16" max="18" width="18.85546875" style="412" customWidth="1"/>
    <col min="19" max="19" width="19.28515625" style="412" customWidth="1"/>
    <col min="20" max="20" width="17.42578125" style="412" customWidth="1"/>
    <col min="21" max="21" width="14" style="412" customWidth="1"/>
    <col min="22" max="22" width="26.85546875" style="412" customWidth="1"/>
    <col min="23" max="23" width="19.42578125" style="1" hidden="1" customWidth="1"/>
    <col min="24" max="24" width="15.140625" style="412" hidden="1" customWidth="1"/>
    <col min="25" max="25" width="0" style="412" hidden="1" customWidth="1"/>
    <col min="26" max="16384" width="11.42578125" style="412"/>
  </cols>
  <sheetData>
    <row r="1" spans="1:25" ht="109.5" customHeight="1" thickBot="1" x14ac:dyDescent="0.3">
      <c r="A1" s="1686"/>
      <c r="B1" s="1687"/>
      <c r="C1" s="1687"/>
      <c r="D1" s="1687"/>
      <c r="E1" s="1687"/>
      <c r="F1" s="1688"/>
      <c r="G1" s="1688"/>
      <c r="H1" s="1688"/>
      <c r="I1" s="1687"/>
      <c r="J1" s="1687"/>
      <c r="K1" s="1687"/>
      <c r="L1" s="1687"/>
      <c r="M1" s="1687"/>
      <c r="N1" s="1687"/>
      <c r="O1" s="1687"/>
      <c r="P1" s="1687"/>
      <c r="Q1" s="1687"/>
      <c r="R1" s="1687"/>
      <c r="S1" s="1687"/>
      <c r="T1" s="1687"/>
      <c r="U1" s="1687"/>
      <c r="V1" s="1689"/>
    </row>
    <row r="2" spans="1:25" ht="26.25" customHeight="1" x14ac:dyDescent="0.25">
      <c r="A2" s="1690" t="s">
        <v>1707</v>
      </c>
      <c r="B2" s="1691"/>
      <c r="C2" s="1691"/>
      <c r="D2" s="1691"/>
      <c r="E2" s="1691"/>
      <c r="F2" s="1692"/>
      <c r="G2" s="1692"/>
      <c r="H2" s="1692"/>
      <c r="I2" s="1691"/>
      <c r="J2" s="1691"/>
      <c r="K2" s="1691"/>
      <c r="L2" s="1691"/>
      <c r="M2" s="1691"/>
      <c r="N2" s="1691"/>
      <c r="O2" s="1691"/>
      <c r="P2" s="1691"/>
      <c r="Q2" s="1691"/>
      <c r="R2" s="1691"/>
      <c r="S2" s="1691"/>
      <c r="T2" s="1691"/>
      <c r="U2" s="1691"/>
      <c r="V2" s="1693"/>
    </row>
    <row r="3" spans="1:25" ht="26.25" customHeight="1" x14ac:dyDescent="0.25">
      <c r="A3" s="1694" t="s">
        <v>1348</v>
      </c>
      <c r="B3" s="1695"/>
      <c r="C3" s="1695"/>
      <c r="D3" s="1695"/>
      <c r="E3" s="1695"/>
      <c r="F3" s="1696"/>
      <c r="G3" s="1696"/>
      <c r="H3" s="1696"/>
      <c r="I3" s="1695"/>
      <c r="J3" s="1695"/>
      <c r="K3" s="1695"/>
      <c r="L3" s="1695"/>
      <c r="M3" s="1695"/>
      <c r="N3" s="1695"/>
      <c r="O3" s="1695"/>
      <c r="P3" s="1695"/>
      <c r="Q3" s="1695"/>
      <c r="R3" s="1695"/>
      <c r="S3" s="1695"/>
      <c r="T3" s="1695"/>
      <c r="U3" s="1695"/>
      <c r="V3" s="1697"/>
    </row>
    <row r="4" spans="1:25" ht="26.25" customHeight="1" thickBot="1" x14ac:dyDescent="0.3">
      <c r="A4" s="1698" t="s">
        <v>1293</v>
      </c>
      <c r="B4" s="1699"/>
      <c r="C4" s="1699"/>
      <c r="D4" s="1699"/>
      <c r="E4" s="1699"/>
      <c r="F4" s="1700"/>
      <c r="G4" s="1700"/>
      <c r="H4" s="1700"/>
      <c r="I4" s="1699"/>
      <c r="J4" s="1699"/>
      <c r="K4" s="1699"/>
      <c r="L4" s="1699"/>
      <c r="M4" s="1699"/>
      <c r="N4" s="1699"/>
      <c r="O4" s="1699"/>
      <c r="P4" s="1699"/>
      <c r="Q4" s="1699"/>
      <c r="R4" s="1699"/>
      <c r="S4" s="1699"/>
      <c r="T4" s="1699"/>
      <c r="U4" s="1699"/>
      <c r="V4" s="1701"/>
    </row>
    <row r="5" spans="1:25" ht="36" customHeight="1" thickTop="1" thickBot="1" x14ac:dyDescent="0.3">
      <c r="A5" s="1702" t="s">
        <v>1349</v>
      </c>
      <c r="B5" s="1703"/>
      <c r="C5" s="1703"/>
      <c r="D5" s="1703"/>
      <c r="E5" s="1703"/>
      <c r="F5" s="1703"/>
      <c r="G5" s="1703"/>
      <c r="H5" s="1703"/>
      <c r="I5" s="1704"/>
      <c r="J5" s="1682" t="s">
        <v>1350</v>
      </c>
      <c r="K5" s="1682" t="s">
        <v>1351</v>
      </c>
      <c r="L5" s="1705" t="s">
        <v>1352</v>
      </c>
      <c r="M5" s="1705"/>
      <c r="N5" s="1682" t="s">
        <v>1353</v>
      </c>
      <c r="O5" s="1706" t="s">
        <v>1354</v>
      </c>
      <c r="P5" s="1707"/>
      <c r="Q5" s="1707"/>
      <c r="R5" s="1708"/>
      <c r="S5" s="1709" t="s">
        <v>1355</v>
      </c>
      <c r="T5" s="1682" t="s">
        <v>1356</v>
      </c>
      <c r="U5" s="1681" t="s">
        <v>1357</v>
      </c>
      <c r="V5" s="1682" t="s">
        <v>1358</v>
      </c>
      <c r="W5" s="1684" t="s">
        <v>1359</v>
      </c>
      <c r="X5" s="1685" t="s">
        <v>1360</v>
      </c>
    </row>
    <row r="6" spans="1:25" s="593" customFormat="1" ht="36" customHeight="1" thickTop="1" thickBot="1" x14ac:dyDescent="0.3">
      <c r="A6" s="587" t="s">
        <v>1361</v>
      </c>
      <c r="B6" s="587" t="s">
        <v>1294</v>
      </c>
      <c r="C6" s="588" t="s">
        <v>1362</v>
      </c>
      <c r="D6" s="587" t="s">
        <v>1298</v>
      </c>
      <c r="E6" s="587" t="s">
        <v>1363</v>
      </c>
      <c r="F6" s="587" t="s">
        <v>1364</v>
      </c>
      <c r="G6" s="587" t="s">
        <v>1365</v>
      </c>
      <c r="H6" s="587" t="s">
        <v>1366</v>
      </c>
      <c r="I6" s="589" t="s">
        <v>1367</v>
      </c>
      <c r="J6" s="1683"/>
      <c r="K6" s="1683"/>
      <c r="L6" s="590" t="s">
        <v>1368</v>
      </c>
      <c r="M6" s="591" t="s">
        <v>1369</v>
      </c>
      <c r="N6" s="1683"/>
      <c r="O6" s="592" t="s">
        <v>1370</v>
      </c>
      <c r="P6" s="590" t="s">
        <v>1371</v>
      </c>
      <c r="Q6" s="592" t="s">
        <v>1372</v>
      </c>
      <c r="R6" s="592" t="s">
        <v>1373</v>
      </c>
      <c r="S6" s="1710"/>
      <c r="T6" s="1683"/>
      <c r="U6" s="1682"/>
      <c r="V6" s="1683"/>
      <c r="W6" s="1684"/>
      <c r="X6" s="1685"/>
    </row>
    <row r="7" spans="1:25" ht="22.5" customHeight="1" thickTop="1" thickBot="1" x14ac:dyDescent="0.3">
      <c r="A7" s="594" t="s">
        <v>1374</v>
      </c>
      <c r="B7" s="594"/>
      <c r="C7" s="594"/>
      <c r="D7" s="594"/>
      <c r="E7" s="594"/>
      <c r="F7" s="595"/>
      <c r="G7" s="595"/>
      <c r="H7" s="595"/>
      <c r="I7" s="596"/>
      <c r="J7" s="597" t="s">
        <v>1375</v>
      </c>
      <c r="K7" s="598" t="e">
        <f>+K8+#REF!+K335</f>
        <v>#REF!</v>
      </c>
      <c r="L7" s="598"/>
      <c r="M7" s="598"/>
      <c r="N7" s="598"/>
      <c r="O7" s="598"/>
      <c r="P7" s="598"/>
      <c r="Q7" s="598"/>
      <c r="R7" s="598"/>
      <c r="S7" s="598"/>
      <c r="T7" s="598"/>
      <c r="U7" s="599"/>
      <c r="V7" s="594"/>
      <c r="W7" s="594" t="s">
        <v>1377</v>
      </c>
      <c r="X7" s="594" t="s">
        <v>1376</v>
      </c>
      <c r="Y7" s="600" t="s">
        <v>1376</v>
      </c>
    </row>
    <row r="8" spans="1:25" ht="22.5" customHeight="1" thickTop="1" thickBot="1" x14ac:dyDescent="0.3">
      <c r="A8" s="594" t="s">
        <v>1374</v>
      </c>
      <c r="B8" s="594" t="s">
        <v>1378</v>
      </c>
      <c r="C8" s="594"/>
      <c r="D8" s="594"/>
      <c r="E8" s="594"/>
      <c r="F8" s="595"/>
      <c r="G8" s="595"/>
      <c r="H8" s="595"/>
      <c r="I8" s="596"/>
      <c r="J8" s="597" t="s">
        <v>1950</v>
      </c>
      <c r="K8" s="598"/>
      <c r="L8" s="598"/>
      <c r="M8" s="598"/>
      <c r="N8" s="598"/>
      <c r="O8" s="598"/>
      <c r="P8" s="598"/>
      <c r="Q8" s="598"/>
      <c r="R8" s="598"/>
      <c r="S8" s="598"/>
      <c r="T8" s="598"/>
      <c r="U8" s="599"/>
      <c r="V8" s="594"/>
      <c r="W8" s="594"/>
      <c r="X8" s="594"/>
      <c r="Y8" s="600"/>
    </row>
    <row r="9" spans="1:25" ht="22.5" customHeight="1" thickTop="1" thickBot="1" x14ac:dyDescent="0.3">
      <c r="A9" s="601">
        <v>1</v>
      </c>
      <c r="B9" s="602" t="s">
        <v>1378</v>
      </c>
      <c r="C9" s="602" t="s">
        <v>1378</v>
      </c>
      <c r="D9" s="602"/>
      <c r="E9" s="602"/>
      <c r="F9" s="603"/>
      <c r="G9" s="603"/>
      <c r="H9" s="603"/>
      <c r="I9" s="603"/>
      <c r="J9" s="604" t="s">
        <v>1379</v>
      </c>
      <c r="K9" s="605"/>
      <c r="L9" s="605"/>
      <c r="M9" s="605"/>
      <c r="N9" s="605"/>
      <c r="O9" s="605"/>
      <c r="P9" s="605"/>
      <c r="Q9" s="605"/>
      <c r="R9" s="605"/>
      <c r="S9" s="605"/>
      <c r="T9" s="605"/>
      <c r="U9" s="606"/>
      <c r="V9" s="601"/>
      <c r="W9" s="607" t="s">
        <v>1380</v>
      </c>
      <c r="X9" s="607"/>
      <c r="Y9" s="600" t="s">
        <v>1376</v>
      </c>
    </row>
    <row r="10" spans="1:25" ht="22.5" customHeight="1" thickTop="1" thickBot="1" x14ac:dyDescent="0.3">
      <c r="A10" s="608">
        <v>1</v>
      </c>
      <c r="B10" s="609" t="s">
        <v>1378</v>
      </c>
      <c r="C10" s="609" t="s">
        <v>1378</v>
      </c>
      <c r="D10" s="609" t="s">
        <v>1378</v>
      </c>
      <c r="E10" s="609"/>
      <c r="F10" s="610"/>
      <c r="G10" s="610"/>
      <c r="H10" s="610"/>
      <c r="I10" s="610"/>
      <c r="J10" s="611" t="s">
        <v>1381</v>
      </c>
      <c r="K10" s="612"/>
      <c r="L10" s="612"/>
      <c r="M10" s="612"/>
      <c r="N10" s="612"/>
      <c r="O10" s="612"/>
      <c r="P10" s="612"/>
      <c r="Q10" s="612"/>
      <c r="R10" s="612"/>
      <c r="S10" s="612"/>
      <c r="T10" s="612"/>
      <c r="U10" s="613"/>
      <c r="V10" s="608"/>
      <c r="W10" s="614" t="s">
        <v>1382</v>
      </c>
      <c r="X10" s="614" t="s">
        <v>1383</v>
      </c>
      <c r="Y10" s="600" t="s">
        <v>1376</v>
      </c>
    </row>
    <row r="11" spans="1:25" ht="22.5" customHeight="1" thickTop="1" thickBot="1" x14ac:dyDescent="0.3">
      <c r="A11" s="615" t="s">
        <v>1374</v>
      </c>
      <c r="B11" s="616" t="s">
        <v>1378</v>
      </c>
      <c r="C11" s="616" t="s">
        <v>1378</v>
      </c>
      <c r="D11" s="616" t="s">
        <v>1378</v>
      </c>
      <c r="E11" s="616" t="s">
        <v>1378</v>
      </c>
      <c r="F11" s="617"/>
      <c r="G11" s="617"/>
      <c r="H11" s="617"/>
      <c r="I11" s="617"/>
      <c r="J11" s="618" t="s">
        <v>1384</v>
      </c>
      <c r="K11" s="619"/>
      <c r="L11" s="619"/>
      <c r="M11" s="619"/>
      <c r="N11" s="619"/>
      <c r="O11" s="619"/>
      <c r="P11" s="619"/>
      <c r="Q11" s="619"/>
      <c r="R11" s="619"/>
      <c r="S11" s="619"/>
      <c r="T11" s="619"/>
      <c r="U11" s="620"/>
      <c r="V11" s="616"/>
      <c r="W11" s="621" t="s">
        <v>1385</v>
      </c>
      <c r="X11" s="621" t="s">
        <v>1386</v>
      </c>
      <c r="Y11" s="600" t="s">
        <v>1376</v>
      </c>
    </row>
    <row r="12" spans="1:25" s="183" customFormat="1" ht="22.5" customHeight="1" thickTop="1" thickBot="1" x14ac:dyDescent="0.3">
      <c r="A12" s="622" t="s">
        <v>1374</v>
      </c>
      <c r="B12" s="622" t="s">
        <v>1378</v>
      </c>
      <c r="C12" s="622" t="s">
        <v>1378</v>
      </c>
      <c r="D12" s="622" t="s">
        <v>1378</v>
      </c>
      <c r="E12" s="623" t="s">
        <v>1378</v>
      </c>
      <c r="F12" s="624" t="s">
        <v>1378</v>
      </c>
      <c r="G12" s="624"/>
      <c r="H12" s="624"/>
      <c r="I12" s="624"/>
      <c r="J12" s="625" t="s">
        <v>1387</v>
      </c>
      <c r="K12" s="626"/>
      <c r="L12" s="626"/>
      <c r="M12" s="626"/>
      <c r="N12" s="626"/>
      <c r="O12" s="626"/>
      <c r="P12" s="626"/>
      <c r="Q12" s="626"/>
      <c r="R12" s="626"/>
      <c r="S12" s="626"/>
      <c r="T12" s="626"/>
      <c r="U12" s="627"/>
      <c r="V12" s="628"/>
      <c r="W12" s="629" t="s">
        <v>1388</v>
      </c>
      <c r="X12" s="629" t="s">
        <v>1389</v>
      </c>
      <c r="Y12" s="600" t="s">
        <v>1376</v>
      </c>
    </row>
    <row r="13" spans="1:25" ht="22.5" customHeight="1" thickTop="1" thickBot="1" x14ac:dyDescent="0.3">
      <c r="A13" s="624" t="s">
        <v>1374</v>
      </c>
      <c r="B13" s="624" t="s">
        <v>1378</v>
      </c>
      <c r="C13" s="624" t="s">
        <v>1378</v>
      </c>
      <c r="D13" s="624" t="s">
        <v>1378</v>
      </c>
      <c r="E13" s="630" t="s">
        <v>1378</v>
      </c>
      <c r="F13" s="624" t="s">
        <v>1378</v>
      </c>
      <c r="G13" s="624" t="s">
        <v>1378</v>
      </c>
      <c r="H13" s="624"/>
      <c r="I13" s="624"/>
      <c r="J13" s="631" t="s">
        <v>1390</v>
      </c>
      <c r="K13" s="632"/>
      <c r="L13" s="632"/>
      <c r="M13" s="632"/>
      <c r="N13" s="632"/>
      <c r="O13" s="632"/>
      <c r="P13" s="632"/>
      <c r="Q13" s="632"/>
      <c r="R13" s="632"/>
      <c r="S13" s="632"/>
      <c r="T13" s="632"/>
      <c r="U13" s="633"/>
      <c r="V13" s="634"/>
      <c r="W13" s="635"/>
      <c r="X13" s="635"/>
      <c r="Y13" s="600" t="s">
        <v>1376</v>
      </c>
    </row>
    <row r="14" spans="1:25" ht="22.5" customHeight="1" thickTop="1" thickBot="1" x14ac:dyDescent="0.3">
      <c r="A14" s="624" t="s">
        <v>1374</v>
      </c>
      <c r="B14" s="624" t="s">
        <v>1378</v>
      </c>
      <c r="C14" s="624" t="s">
        <v>1378</v>
      </c>
      <c r="D14" s="624" t="s">
        <v>1378</v>
      </c>
      <c r="E14" s="630" t="s">
        <v>1378</v>
      </c>
      <c r="F14" s="624" t="s">
        <v>1378</v>
      </c>
      <c r="G14" s="624" t="s">
        <v>1391</v>
      </c>
      <c r="H14" s="624"/>
      <c r="I14" s="624"/>
      <c r="J14" s="631" t="s">
        <v>1392</v>
      </c>
      <c r="K14" s="632"/>
      <c r="L14" s="632"/>
      <c r="M14" s="632"/>
      <c r="N14" s="632"/>
      <c r="O14" s="632"/>
      <c r="P14" s="632"/>
      <c r="Q14" s="632"/>
      <c r="R14" s="632"/>
      <c r="S14" s="632"/>
      <c r="T14" s="632"/>
      <c r="U14" s="633"/>
      <c r="V14" s="634"/>
      <c r="W14" s="635"/>
      <c r="X14" s="635"/>
      <c r="Y14" s="600" t="s">
        <v>1376</v>
      </c>
    </row>
    <row r="15" spans="1:25" ht="22.5" customHeight="1" thickTop="1" thickBot="1" x14ac:dyDescent="0.3">
      <c r="A15" s="624" t="s">
        <v>1374</v>
      </c>
      <c r="B15" s="624" t="s">
        <v>1378</v>
      </c>
      <c r="C15" s="624" t="s">
        <v>1378</v>
      </c>
      <c r="D15" s="624" t="s">
        <v>1378</v>
      </c>
      <c r="E15" s="630" t="s">
        <v>1378</v>
      </c>
      <c r="F15" s="624" t="s">
        <v>1378</v>
      </c>
      <c r="G15" s="624" t="s">
        <v>1415</v>
      </c>
      <c r="H15" s="624"/>
      <c r="I15" s="624"/>
      <c r="J15" s="631" t="s">
        <v>1945</v>
      </c>
      <c r="K15" s="632"/>
      <c r="L15" s="632"/>
      <c r="M15" s="632"/>
      <c r="N15" s="632"/>
      <c r="O15" s="632"/>
      <c r="P15" s="632"/>
      <c r="Q15" s="632"/>
      <c r="R15" s="632"/>
      <c r="S15" s="632"/>
      <c r="T15" s="632"/>
      <c r="U15" s="633"/>
      <c r="V15" s="634"/>
      <c r="W15" s="635"/>
      <c r="X15" s="635"/>
      <c r="Y15" s="600"/>
    </row>
    <row r="16" spans="1:25" ht="22.5" customHeight="1" thickTop="1" thickBot="1" x14ac:dyDescent="0.3">
      <c r="A16" s="624" t="s">
        <v>1374</v>
      </c>
      <c r="B16" s="624" t="s">
        <v>1378</v>
      </c>
      <c r="C16" s="624" t="s">
        <v>1378</v>
      </c>
      <c r="D16" s="624" t="s">
        <v>1378</v>
      </c>
      <c r="E16" s="630" t="s">
        <v>1378</v>
      </c>
      <c r="F16" s="624" t="s">
        <v>1378</v>
      </c>
      <c r="G16" s="624" t="s">
        <v>1419</v>
      </c>
      <c r="H16" s="624"/>
      <c r="I16" s="624"/>
      <c r="J16" s="631" t="s">
        <v>1946</v>
      </c>
      <c r="K16" s="632"/>
      <c r="L16" s="632"/>
      <c r="M16" s="632"/>
      <c r="N16" s="632"/>
      <c r="O16" s="632"/>
      <c r="P16" s="632"/>
      <c r="Q16" s="632"/>
      <c r="R16" s="632"/>
      <c r="S16" s="632"/>
      <c r="T16" s="632"/>
      <c r="U16" s="633"/>
      <c r="V16" s="634"/>
      <c r="W16" s="635"/>
      <c r="X16" s="635"/>
      <c r="Y16" s="600"/>
    </row>
    <row r="17" spans="1:25" ht="22.5" customHeight="1" thickTop="1" thickBot="1" x14ac:dyDescent="0.3">
      <c r="A17" s="624" t="s">
        <v>1374</v>
      </c>
      <c r="B17" s="624" t="s">
        <v>1378</v>
      </c>
      <c r="C17" s="624" t="s">
        <v>1378</v>
      </c>
      <c r="D17" s="624" t="s">
        <v>1378</v>
      </c>
      <c r="E17" s="630" t="s">
        <v>1378</v>
      </c>
      <c r="F17" s="624" t="s">
        <v>1378</v>
      </c>
      <c r="G17" s="624" t="s">
        <v>1444</v>
      </c>
      <c r="H17" s="624"/>
      <c r="I17" s="624"/>
      <c r="J17" s="631" t="s">
        <v>1947</v>
      </c>
      <c r="K17" s="632"/>
      <c r="L17" s="632"/>
      <c r="M17" s="632"/>
      <c r="N17" s="632"/>
      <c r="O17" s="632"/>
      <c r="P17" s="632"/>
      <c r="Q17" s="632"/>
      <c r="R17" s="632"/>
      <c r="S17" s="632"/>
      <c r="T17" s="632"/>
      <c r="U17" s="633"/>
      <c r="V17" s="634"/>
      <c r="W17" s="635"/>
      <c r="X17" s="635"/>
      <c r="Y17" s="600"/>
    </row>
    <row r="18" spans="1:25" ht="22.5" customHeight="1" thickTop="1" thickBot="1" x14ac:dyDescent="0.3">
      <c r="A18" s="624" t="s">
        <v>1374</v>
      </c>
      <c r="B18" s="624" t="s">
        <v>1378</v>
      </c>
      <c r="C18" s="624" t="s">
        <v>1378</v>
      </c>
      <c r="D18" s="624" t="s">
        <v>1378</v>
      </c>
      <c r="E18" s="630" t="s">
        <v>1378</v>
      </c>
      <c r="F18" s="624" t="s">
        <v>1378</v>
      </c>
      <c r="G18" s="624" t="s">
        <v>1467</v>
      </c>
      <c r="H18" s="624"/>
      <c r="I18" s="624"/>
      <c r="J18" s="631" t="s">
        <v>1948</v>
      </c>
      <c r="K18" s="632"/>
      <c r="L18" s="632"/>
      <c r="M18" s="632"/>
      <c r="N18" s="632"/>
      <c r="O18" s="632"/>
      <c r="P18" s="632"/>
      <c r="Q18" s="632"/>
      <c r="R18" s="632"/>
      <c r="S18" s="632"/>
      <c r="T18" s="632"/>
      <c r="U18" s="633"/>
      <c r="V18" s="634"/>
      <c r="W18" s="635"/>
      <c r="X18" s="635"/>
      <c r="Y18" s="600"/>
    </row>
    <row r="19" spans="1:25" ht="22.5" customHeight="1" thickTop="1" thickBot="1" x14ac:dyDescent="0.3">
      <c r="A19" s="624" t="s">
        <v>1374</v>
      </c>
      <c r="B19" s="624" t="s">
        <v>1378</v>
      </c>
      <c r="C19" s="624" t="s">
        <v>1378</v>
      </c>
      <c r="D19" s="624" t="s">
        <v>1378</v>
      </c>
      <c r="E19" s="630" t="s">
        <v>1378</v>
      </c>
      <c r="F19" s="624" t="s">
        <v>1378</v>
      </c>
      <c r="G19" s="624" t="s">
        <v>1471</v>
      </c>
      <c r="H19" s="624"/>
      <c r="I19" s="624"/>
      <c r="J19" s="631" t="s">
        <v>1949</v>
      </c>
      <c r="K19" s="632"/>
      <c r="L19" s="632"/>
      <c r="M19" s="632"/>
      <c r="N19" s="632"/>
      <c r="O19" s="632"/>
      <c r="P19" s="632"/>
      <c r="Q19" s="632"/>
      <c r="R19" s="632"/>
      <c r="S19" s="632"/>
      <c r="T19" s="632"/>
      <c r="U19" s="633"/>
      <c r="V19" s="634"/>
      <c r="W19" s="635"/>
      <c r="X19" s="635"/>
      <c r="Y19" s="600"/>
    </row>
    <row r="20" spans="1:25" ht="22.5" customHeight="1" thickTop="1" thickBot="1" x14ac:dyDescent="0.3">
      <c r="A20" s="624" t="s">
        <v>1374</v>
      </c>
      <c r="B20" s="624" t="s">
        <v>1378</v>
      </c>
      <c r="C20" s="624" t="s">
        <v>1378</v>
      </c>
      <c r="D20" s="624" t="s">
        <v>1378</v>
      </c>
      <c r="E20" s="630" t="s">
        <v>1378</v>
      </c>
      <c r="F20" s="624" t="s">
        <v>1378</v>
      </c>
      <c r="G20" s="624" t="s">
        <v>1475</v>
      </c>
      <c r="H20" s="624"/>
      <c r="I20" s="624"/>
      <c r="J20" s="631" t="s">
        <v>1946</v>
      </c>
      <c r="K20" s="632"/>
      <c r="L20" s="632"/>
      <c r="M20" s="632"/>
      <c r="N20" s="632"/>
      <c r="O20" s="632"/>
      <c r="P20" s="632"/>
      <c r="Q20" s="632"/>
      <c r="R20" s="632"/>
      <c r="S20" s="632"/>
      <c r="T20" s="632"/>
      <c r="U20" s="633"/>
      <c r="V20" s="634"/>
      <c r="W20" s="635"/>
      <c r="X20" s="635"/>
      <c r="Y20" s="600"/>
    </row>
    <row r="21" spans="1:25" s="183" customFormat="1" ht="22.5" customHeight="1" thickTop="1" thickBot="1" x14ac:dyDescent="0.3">
      <c r="A21" s="622" t="s">
        <v>1374</v>
      </c>
      <c r="B21" s="622" t="s">
        <v>1378</v>
      </c>
      <c r="C21" s="622" t="s">
        <v>1378</v>
      </c>
      <c r="D21" s="622" t="s">
        <v>1378</v>
      </c>
      <c r="E21" s="623" t="s">
        <v>1378</v>
      </c>
      <c r="F21" s="737" t="s">
        <v>1391</v>
      </c>
      <c r="G21" s="624"/>
      <c r="H21" s="624"/>
      <c r="I21" s="624"/>
      <c r="J21" s="637" t="s">
        <v>1393</v>
      </c>
      <c r="K21" s="638"/>
      <c r="L21" s="638"/>
      <c r="M21" s="638"/>
      <c r="N21" s="638"/>
      <c r="O21" s="638"/>
      <c r="P21" s="638"/>
      <c r="Q21" s="638"/>
      <c r="R21" s="638"/>
      <c r="S21" s="638"/>
      <c r="T21" s="638"/>
      <c r="U21" s="639"/>
      <c r="V21" s="628"/>
      <c r="W21" s="629" t="s">
        <v>1394</v>
      </c>
      <c r="X21" s="629" t="s">
        <v>1395</v>
      </c>
      <c r="Y21" s="600" t="s">
        <v>1376</v>
      </c>
    </row>
    <row r="22" spans="1:25" ht="22.5" customHeight="1" thickTop="1" thickBot="1" x14ac:dyDescent="0.3">
      <c r="A22" s="624" t="s">
        <v>1374</v>
      </c>
      <c r="B22" s="624" t="s">
        <v>1378</v>
      </c>
      <c r="C22" s="624" t="s">
        <v>1378</v>
      </c>
      <c r="D22" s="624" t="s">
        <v>1378</v>
      </c>
      <c r="E22" s="630" t="s">
        <v>1391</v>
      </c>
      <c r="F22" s="622" t="s">
        <v>1391</v>
      </c>
      <c r="G22" s="624" t="s">
        <v>1378</v>
      </c>
      <c r="H22" s="624"/>
      <c r="I22" s="624"/>
      <c r="J22" s="640" t="s">
        <v>1396</v>
      </c>
      <c r="K22" s="641"/>
      <c r="L22" s="641"/>
      <c r="M22" s="641"/>
      <c r="N22" s="632"/>
      <c r="O22" s="641"/>
      <c r="P22" s="641"/>
      <c r="Q22" s="641"/>
      <c r="R22" s="641"/>
      <c r="S22" s="632"/>
      <c r="T22" s="641"/>
      <c r="U22" s="642"/>
      <c r="V22" s="634"/>
      <c r="W22" s="635"/>
      <c r="X22" s="635"/>
      <c r="Y22" s="600" t="s">
        <v>1376</v>
      </c>
    </row>
    <row r="23" spans="1:25" ht="22.5" customHeight="1" thickTop="1" thickBot="1" x14ac:dyDescent="0.3">
      <c r="A23" s="624" t="s">
        <v>1374</v>
      </c>
      <c r="B23" s="624" t="s">
        <v>1378</v>
      </c>
      <c r="C23" s="624" t="s">
        <v>1378</v>
      </c>
      <c r="D23" s="624" t="s">
        <v>1378</v>
      </c>
      <c r="E23" s="630" t="s">
        <v>1391</v>
      </c>
      <c r="F23" s="737" t="s">
        <v>1391</v>
      </c>
      <c r="G23" s="624" t="s">
        <v>1391</v>
      </c>
      <c r="H23" s="624"/>
      <c r="I23" s="624"/>
      <c r="J23" s="640" t="s">
        <v>1397</v>
      </c>
      <c r="K23" s="641"/>
      <c r="L23" s="641"/>
      <c r="M23" s="641"/>
      <c r="N23" s="632"/>
      <c r="O23" s="641"/>
      <c r="P23" s="641"/>
      <c r="Q23" s="641"/>
      <c r="R23" s="641"/>
      <c r="S23" s="632"/>
      <c r="T23" s="641"/>
      <c r="U23" s="642"/>
      <c r="V23" s="634"/>
      <c r="W23" s="635"/>
      <c r="X23" s="635"/>
      <c r="Y23" s="600" t="s">
        <v>1376</v>
      </c>
    </row>
    <row r="24" spans="1:25" ht="22.5" customHeight="1" thickTop="1" thickBot="1" x14ac:dyDescent="0.3">
      <c r="A24" s="624" t="s">
        <v>1374</v>
      </c>
      <c r="B24" s="624" t="s">
        <v>1378</v>
      </c>
      <c r="C24" s="624" t="s">
        <v>1378</v>
      </c>
      <c r="D24" s="624" t="s">
        <v>1378</v>
      </c>
      <c r="E24" s="630" t="s">
        <v>1391</v>
      </c>
      <c r="F24" s="737" t="s">
        <v>1391</v>
      </c>
      <c r="G24" s="624" t="s">
        <v>1415</v>
      </c>
      <c r="H24" s="624"/>
      <c r="I24" s="624"/>
      <c r="J24" s="631" t="s">
        <v>1940</v>
      </c>
      <c r="K24" s="641"/>
      <c r="L24" s="641"/>
      <c r="M24" s="641"/>
      <c r="N24" s="632"/>
      <c r="O24" s="641"/>
      <c r="P24" s="641"/>
      <c r="Q24" s="641"/>
      <c r="R24" s="641"/>
      <c r="S24" s="632"/>
      <c r="T24" s="641"/>
      <c r="U24" s="642"/>
      <c r="V24" s="634"/>
      <c r="W24" s="635"/>
      <c r="X24" s="635"/>
      <c r="Y24" s="600"/>
    </row>
    <row r="25" spans="1:25" ht="22.5" customHeight="1" thickTop="1" thickBot="1" x14ac:dyDescent="0.3">
      <c r="A25" s="624" t="s">
        <v>1374</v>
      </c>
      <c r="B25" s="624" t="s">
        <v>1378</v>
      </c>
      <c r="C25" s="624" t="s">
        <v>1378</v>
      </c>
      <c r="D25" s="624" t="s">
        <v>1378</v>
      </c>
      <c r="E25" s="630" t="s">
        <v>1391</v>
      </c>
      <c r="F25" s="737" t="s">
        <v>1391</v>
      </c>
      <c r="G25" s="624" t="s">
        <v>1419</v>
      </c>
      <c r="H25" s="624"/>
      <c r="I25" s="624"/>
      <c r="J25" s="631" t="s">
        <v>1941</v>
      </c>
      <c r="K25" s="641"/>
      <c r="L25" s="641"/>
      <c r="M25" s="641"/>
      <c r="N25" s="632"/>
      <c r="O25" s="641"/>
      <c r="P25" s="641"/>
      <c r="Q25" s="641"/>
      <c r="R25" s="641"/>
      <c r="S25" s="632"/>
      <c r="T25" s="641"/>
      <c r="U25" s="642"/>
      <c r="V25" s="634"/>
      <c r="W25" s="635"/>
      <c r="X25" s="635"/>
      <c r="Y25" s="600"/>
    </row>
    <row r="26" spans="1:25" ht="22.5" customHeight="1" thickTop="1" thickBot="1" x14ac:dyDescent="0.3">
      <c r="A26" s="624" t="s">
        <v>1374</v>
      </c>
      <c r="B26" s="624" t="s">
        <v>1378</v>
      </c>
      <c r="C26" s="624" t="s">
        <v>1378</v>
      </c>
      <c r="D26" s="624" t="s">
        <v>1378</v>
      </c>
      <c r="E26" s="630" t="s">
        <v>1391</v>
      </c>
      <c r="F26" s="737" t="s">
        <v>1391</v>
      </c>
      <c r="G26" s="624" t="s">
        <v>1444</v>
      </c>
      <c r="H26" s="624"/>
      <c r="I26" s="624"/>
      <c r="J26" s="631" t="s">
        <v>1942</v>
      </c>
      <c r="K26" s="641"/>
      <c r="L26" s="641"/>
      <c r="M26" s="641"/>
      <c r="N26" s="632"/>
      <c r="O26" s="641"/>
      <c r="P26" s="641"/>
      <c r="Q26" s="641"/>
      <c r="R26" s="641"/>
      <c r="S26" s="632"/>
      <c r="T26" s="641"/>
      <c r="U26" s="642"/>
      <c r="V26" s="634"/>
      <c r="W26" s="635"/>
      <c r="X26" s="635"/>
      <c r="Y26" s="600"/>
    </row>
    <row r="27" spans="1:25" ht="22.5" customHeight="1" thickTop="1" thickBot="1" x14ac:dyDescent="0.3">
      <c r="A27" s="624" t="s">
        <v>1374</v>
      </c>
      <c r="B27" s="624" t="s">
        <v>1378</v>
      </c>
      <c r="C27" s="624" t="s">
        <v>1378</v>
      </c>
      <c r="D27" s="624" t="s">
        <v>1378</v>
      </c>
      <c r="E27" s="630" t="s">
        <v>1391</v>
      </c>
      <c r="F27" s="737" t="s">
        <v>1391</v>
      </c>
      <c r="G27" s="624" t="s">
        <v>1467</v>
      </c>
      <c r="H27" s="624"/>
      <c r="I27" s="624"/>
      <c r="J27" s="631" t="s">
        <v>1943</v>
      </c>
      <c r="K27" s="641"/>
      <c r="L27" s="641"/>
      <c r="M27" s="641"/>
      <c r="N27" s="632"/>
      <c r="O27" s="641"/>
      <c r="P27" s="641"/>
      <c r="Q27" s="641"/>
      <c r="R27" s="641"/>
      <c r="S27" s="632"/>
      <c r="T27" s="641"/>
      <c r="U27" s="642"/>
      <c r="V27" s="634"/>
      <c r="W27" s="635"/>
      <c r="X27" s="635"/>
      <c r="Y27" s="600"/>
    </row>
    <row r="28" spans="1:25" ht="22.5" customHeight="1" thickTop="1" thickBot="1" x14ac:dyDescent="0.3">
      <c r="A28" s="624" t="s">
        <v>1374</v>
      </c>
      <c r="B28" s="624" t="s">
        <v>1378</v>
      </c>
      <c r="C28" s="624" t="s">
        <v>1378</v>
      </c>
      <c r="D28" s="624" t="s">
        <v>1378</v>
      </c>
      <c r="E28" s="630" t="s">
        <v>1391</v>
      </c>
      <c r="F28" s="737" t="s">
        <v>1391</v>
      </c>
      <c r="G28" s="624" t="s">
        <v>1471</v>
      </c>
      <c r="H28" s="624"/>
      <c r="I28" s="624"/>
      <c r="J28" s="631" t="s">
        <v>1944</v>
      </c>
      <c r="K28" s="641"/>
      <c r="L28" s="641"/>
      <c r="M28" s="641"/>
      <c r="N28" s="632"/>
      <c r="O28" s="641"/>
      <c r="P28" s="641"/>
      <c r="Q28" s="641"/>
      <c r="R28" s="641"/>
      <c r="S28" s="632"/>
      <c r="T28" s="641"/>
      <c r="U28" s="642"/>
      <c r="V28" s="634"/>
      <c r="W28" s="635"/>
      <c r="X28" s="635"/>
      <c r="Y28" s="600"/>
    </row>
    <row r="29" spans="1:25" ht="22.5" customHeight="1" thickTop="1" thickBot="1" x14ac:dyDescent="0.3">
      <c r="A29" s="624" t="s">
        <v>1374</v>
      </c>
      <c r="B29" s="624" t="s">
        <v>1378</v>
      </c>
      <c r="C29" s="624" t="s">
        <v>1378</v>
      </c>
      <c r="D29" s="624" t="s">
        <v>1378</v>
      </c>
      <c r="E29" s="630" t="s">
        <v>1391</v>
      </c>
      <c r="F29" s="737" t="s">
        <v>1391</v>
      </c>
      <c r="G29" s="624" t="s">
        <v>1475</v>
      </c>
      <c r="H29" s="624"/>
      <c r="I29" s="624"/>
      <c r="J29" s="631" t="s">
        <v>1941</v>
      </c>
      <c r="K29" s="641"/>
      <c r="L29" s="641"/>
      <c r="M29" s="641"/>
      <c r="N29" s="632"/>
      <c r="O29" s="641"/>
      <c r="P29" s="641"/>
      <c r="Q29" s="641"/>
      <c r="R29" s="641"/>
      <c r="S29" s="632"/>
      <c r="T29" s="641"/>
      <c r="U29" s="642"/>
      <c r="V29" s="634"/>
      <c r="W29" s="635"/>
      <c r="X29" s="635"/>
      <c r="Y29" s="600"/>
    </row>
    <row r="30" spans="1:25" ht="22.5" customHeight="1" thickTop="1" thickBot="1" x14ac:dyDescent="0.3">
      <c r="A30" s="634" t="s">
        <v>1374</v>
      </c>
      <c r="B30" s="634" t="s">
        <v>1378</v>
      </c>
      <c r="C30" s="624" t="s">
        <v>1378</v>
      </c>
      <c r="D30" s="624" t="s">
        <v>1378</v>
      </c>
      <c r="E30" s="634" t="s">
        <v>1378</v>
      </c>
      <c r="F30" s="634" t="s">
        <v>1378</v>
      </c>
      <c r="G30" s="722" t="s">
        <v>1378</v>
      </c>
      <c r="H30" s="624"/>
      <c r="I30" s="624"/>
      <c r="J30" s="625" t="s">
        <v>1524</v>
      </c>
      <c r="K30" s="647"/>
      <c r="L30" s="647"/>
      <c r="M30" s="647"/>
      <c r="N30" s="647"/>
      <c r="O30" s="647"/>
      <c r="P30" s="647"/>
      <c r="Q30" s="647"/>
      <c r="R30" s="647"/>
      <c r="S30" s="647"/>
      <c r="T30" s="647"/>
      <c r="U30" s="627"/>
      <c r="V30" s="722"/>
      <c r="W30" s="635" t="s">
        <v>1525</v>
      </c>
      <c r="X30" s="635" t="s">
        <v>1526</v>
      </c>
      <c r="Y30" s="600" t="s">
        <v>1376</v>
      </c>
    </row>
    <row r="31" spans="1:25" ht="22.5" customHeight="1" thickTop="1" thickBot="1" x14ac:dyDescent="0.3">
      <c r="A31" s="634" t="s">
        <v>1374</v>
      </c>
      <c r="B31" s="634" t="s">
        <v>1378</v>
      </c>
      <c r="C31" s="624" t="s">
        <v>1378</v>
      </c>
      <c r="D31" s="624" t="s">
        <v>1378</v>
      </c>
      <c r="E31" s="634" t="s">
        <v>1378</v>
      </c>
      <c r="F31" s="634" t="s">
        <v>1378</v>
      </c>
      <c r="G31" s="624" t="s">
        <v>1378</v>
      </c>
      <c r="H31" s="624" t="s">
        <v>1378</v>
      </c>
      <c r="I31" s="624"/>
      <c r="J31" s="631" t="s">
        <v>1527</v>
      </c>
      <c r="K31" s="648"/>
      <c r="L31" s="648"/>
      <c r="M31" s="648"/>
      <c r="N31" s="648"/>
      <c r="O31" s="648"/>
      <c r="P31" s="648"/>
      <c r="Q31" s="648"/>
      <c r="R31" s="648"/>
      <c r="S31" s="648"/>
      <c r="T31" s="648"/>
      <c r="U31" s="633"/>
      <c r="V31" s="722"/>
      <c r="W31" s="635"/>
      <c r="X31" s="635"/>
      <c r="Y31" s="600" t="s">
        <v>1376</v>
      </c>
    </row>
    <row r="32" spans="1:25" ht="22.5" customHeight="1" thickTop="1" thickBot="1" x14ac:dyDescent="0.3">
      <c r="A32" s="634" t="s">
        <v>1374</v>
      </c>
      <c r="B32" s="634" t="s">
        <v>1378</v>
      </c>
      <c r="C32" s="624" t="s">
        <v>1378</v>
      </c>
      <c r="D32" s="624" t="s">
        <v>1378</v>
      </c>
      <c r="E32" s="634" t="s">
        <v>1378</v>
      </c>
      <c r="F32" s="634" t="s">
        <v>1378</v>
      </c>
      <c r="G32" s="624" t="s">
        <v>1378</v>
      </c>
      <c r="H32" s="624" t="s">
        <v>1391</v>
      </c>
      <c r="I32" s="624"/>
      <c r="J32" s="631" t="s">
        <v>1528</v>
      </c>
      <c r="K32" s="648"/>
      <c r="L32" s="648"/>
      <c r="M32" s="648"/>
      <c r="N32" s="648"/>
      <c r="O32" s="648"/>
      <c r="P32" s="648"/>
      <c r="Q32" s="648"/>
      <c r="R32" s="648"/>
      <c r="S32" s="648"/>
      <c r="T32" s="648"/>
      <c r="U32" s="633"/>
      <c r="V32" s="722"/>
      <c r="W32" s="635"/>
      <c r="X32" s="635"/>
      <c r="Y32" s="600" t="s">
        <v>1376</v>
      </c>
    </row>
    <row r="33" spans="1:25" ht="22.5" customHeight="1" thickTop="1" thickBot="1" x14ac:dyDescent="0.3">
      <c r="A33" s="634" t="s">
        <v>1374</v>
      </c>
      <c r="B33" s="634" t="s">
        <v>1378</v>
      </c>
      <c r="C33" s="624" t="s">
        <v>1378</v>
      </c>
      <c r="D33" s="624" t="s">
        <v>1378</v>
      </c>
      <c r="E33" s="634" t="s">
        <v>1378</v>
      </c>
      <c r="F33" s="634" t="s">
        <v>1378</v>
      </c>
      <c r="G33" s="624" t="s">
        <v>1378</v>
      </c>
      <c r="H33" s="624" t="s">
        <v>1415</v>
      </c>
      <c r="I33" s="624"/>
      <c r="J33" s="631" t="s">
        <v>1920</v>
      </c>
      <c r="K33" s="648"/>
      <c r="L33" s="648"/>
      <c r="M33" s="648"/>
      <c r="N33" s="648"/>
      <c r="O33" s="648"/>
      <c r="P33" s="648"/>
      <c r="Q33" s="648"/>
      <c r="R33" s="648"/>
      <c r="S33" s="648"/>
      <c r="T33" s="648"/>
      <c r="U33" s="633"/>
      <c r="V33" s="737"/>
      <c r="W33" s="635"/>
      <c r="X33" s="635"/>
      <c r="Y33" s="600"/>
    </row>
    <row r="34" spans="1:25" ht="22.5" customHeight="1" thickTop="1" thickBot="1" x14ac:dyDescent="0.3">
      <c r="A34" s="634" t="s">
        <v>1374</v>
      </c>
      <c r="B34" s="634" t="s">
        <v>1378</v>
      </c>
      <c r="C34" s="624" t="s">
        <v>1378</v>
      </c>
      <c r="D34" s="624" t="s">
        <v>1378</v>
      </c>
      <c r="E34" s="634" t="s">
        <v>1378</v>
      </c>
      <c r="F34" s="634" t="s">
        <v>1378</v>
      </c>
      <c r="G34" s="624" t="s">
        <v>1378</v>
      </c>
      <c r="H34" s="624" t="s">
        <v>1419</v>
      </c>
      <c r="I34" s="624"/>
      <c r="J34" s="631" t="s">
        <v>1921</v>
      </c>
      <c r="K34" s="648"/>
      <c r="L34" s="648"/>
      <c r="M34" s="648"/>
      <c r="N34" s="648"/>
      <c r="O34" s="648"/>
      <c r="P34" s="648"/>
      <c r="Q34" s="648"/>
      <c r="R34" s="648"/>
      <c r="S34" s="648"/>
      <c r="T34" s="648"/>
      <c r="U34" s="633"/>
      <c r="V34" s="737"/>
      <c r="W34" s="635"/>
      <c r="X34" s="635"/>
      <c r="Y34" s="600"/>
    </row>
    <row r="35" spans="1:25" ht="22.5" customHeight="1" thickTop="1" thickBot="1" x14ac:dyDescent="0.3">
      <c r="A35" s="634" t="s">
        <v>1374</v>
      </c>
      <c r="B35" s="634" t="s">
        <v>1378</v>
      </c>
      <c r="C35" s="624" t="s">
        <v>1378</v>
      </c>
      <c r="D35" s="624" t="s">
        <v>1378</v>
      </c>
      <c r="E35" s="634" t="s">
        <v>1378</v>
      </c>
      <c r="F35" s="634" t="s">
        <v>1378</v>
      </c>
      <c r="G35" s="624" t="s">
        <v>1378</v>
      </c>
      <c r="H35" s="624" t="s">
        <v>1444</v>
      </c>
      <c r="I35" s="624"/>
      <c r="J35" s="631" t="s">
        <v>1922</v>
      </c>
      <c r="K35" s="648"/>
      <c r="L35" s="648"/>
      <c r="M35" s="648"/>
      <c r="N35" s="648"/>
      <c r="O35" s="648"/>
      <c r="P35" s="648"/>
      <c r="Q35" s="648"/>
      <c r="R35" s="648"/>
      <c r="S35" s="648"/>
      <c r="T35" s="648"/>
      <c r="U35" s="633"/>
      <c r="V35" s="737"/>
      <c r="W35" s="635"/>
      <c r="X35" s="635"/>
      <c r="Y35" s="600"/>
    </row>
    <row r="36" spans="1:25" ht="22.5" customHeight="1" thickTop="1" thickBot="1" x14ac:dyDescent="0.3">
      <c r="A36" s="634" t="s">
        <v>1374</v>
      </c>
      <c r="B36" s="634" t="s">
        <v>1378</v>
      </c>
      <c r="C36" s="624" t="s">
        <v>1378</v>
      </c>
      <c r="D36" s="624" t="s">
        <v>1378</v>
      </c>
      <c r="E36" s="634" t="s">
        <v>1378</v>
      </c>
      <c r="F36" s="634" t="s">
        <v>1378</v>
      </c>
      <c r="G36" s="624" t="s">
        <v>1378</v>
      </c>
      <c r="H36" s="624" t="s">
        <v>1467</v>
      </c>
      <c r="I36" s="624"/>
      <c r="J36" s="631" t="s">
        <v>1923</v>
      </c>
      <c r="K36" s="648"/>
      <c r="L36" s="648"/>
      <c r="M36" s="648"/>
      <c r="N36" s="648"/>
      <c r="O36" s="648"/>
      <c r="P36" s="648"/>
      <c r="Q36" s="648"/>
      <c r="R36" s="648"/>
      <c r="S36" s="648"/>
      <c r="T36" s="648"/>
      <c r="U36" s="633"/>
      <c r="V36" s="737"/>
      <c r="W36" s="635"/>
      <c r="X36" s="635"/>
      <c r="Y36" s="600"/>
    </row>
    <row r="37" spans="1:25" ht="22.5" customHeight="1" thickTop="1" thickBot="1" x14ac:dyDescent="0.3">
      <c r="A37" s="634" t="s">
        <v>1374</v>
      </c>
      <c r="B37" s="634" t="s">
        <v>1378</v>
      </c>
      <c r="C37" s="624" t="s">
        <v>1378</v>
      </c>
      <c r="D37" s="624" t="s">
        <v>1378</v>
      </c>
      <c r="E37" s="634" t="s">
        <v>1378</v>
      </c>
      <c r="F37" s="634" t="s">
        <v>1378</v>
      </c>
      <c r="G37" s="624" t="s">
        <v>1378</v>
      </c>
      <c r="H37" s="624" t="s">
        <v>1471</v>
      </c>
      <c r="I37" s="624"/>
      <c r="J37" s="631" t="s">
        <v>1924</v>
      </c>
      <c r="K37" s="648"/>
      <c r="L37" s="648"/>
      <c r="M37" s="648"/>
      <c r="N37" s="648"/>
      <c r="O37" s="648"/>
      <c r="P37" s="648"/>
      <c r="Q37" s="648"/>
      <c r="R37" s="648"/>
      <c r="S37" s="648"/>
      <c r="T37" s="648"/>
      <c r="U37" s="633"/>
      <c r="V37" s="737"/>
      <c r="W37" s="635"/>
      <c r="X37" s="635"/>
      <c r="Y37" s="600"/>
    </row>
    <row r="38" spans="1:25" ht="22.5" customHeight="1" thickTop="1" thickBot="1" x14ac:dyDescent="0.3">
      <c r="A38" s="634" t="s">
        <v>1374</v>
      </c>
      <c r="B38" s="634" t="s">
        <v>1378</v>
      </c>
      <c r="C38" s="624" t="s">
        <v>1378</v>
      </c>
      <c r="D38" s="624" t="s">
        <v>1378</v>
      </c>
      <c r="E38" s="634" t="s">
        <v>1378</v>
      </c>
      <c r="F38" s="634" t="s">
        <v>1378</v>
      </c>
      <c r="G38" s="624" t="s">
        <v>1378</v>
      </c>
      <c r="H38" s="624" t="s">
        <v>1475</v>
      </c>
      <c r="I38" s="624"/>
      <c r="J38" s="631" t="s">
        <v>1921</v>
      </c>
      <c r="K38" s="648"/>
      <c r="L38" s="648"/>
      <c r="M38" s="648"/>
      <c r="N38" s="648"/>
      <c r="O38" s="648"/>
      <c r="P38" s="648"/>
      <c r="Q38" s="648"/>
      <c r="R38" s="648"/>
      <c r="S38" s="648"/>
      <c r="T38" s="648"/>
      <c r="U38" s="633"/>
      <c r="V38" s="737"/>
      <c r="W38" s="635"/>
      <c r="X38" s="635"/>
      <c r="Y38" s="600"/>
    </row>
    <row r="39" spans="1:25" ht="22.5" customHeight="1" thickTop="1" thickBot="1" x14ac:dyDescent="0.3">
      <c r="A39" s="634" t="s">
        <v>1374</v>
      </c>
      <c r="B39" s="634" t="s">
        <v>1378</v>
      </c>
      <c r="C39" s="624" t="s">
        <v>1378</v>
      </c>
      <c r="D39" s="624" t="s">
        <v>1378</v>
      </c>
      <c r="E39" s="634" t="s">
        <v>1378</v>
      </c>
      <c r="F39" s="634" t="s">
        <v>1378</v>
      </c>
      <c r="G39" s="722" t="s">
        <v>1391</v>
      </c>
      <c r="H39" s="624"/>
      <c r="I39" s="624"/>
      <c r="J39" s="625" t="s">
        <v>1529</v>
      </c>
      <c r="K39" s="647"/>
      <c r="L39" s="647"/>
      <c r="M39" s="647"/>
      <c r="N39" s="647"/>
      <c r="O39" s="647"/>
      <c r="P39" s="647"/>
      <c r="Q39" s="647"/>
      <c r="R39" s="647"/>
      <c r="S39" s="647"/>
      <c r="T39" s="647"/>
      <c r="U39" s="627"/>
      <c r="V39" s="722"/>
      <c r="W39" s="635"/>
      <c r="X39" s="635"/>
      <c r="Y39" s="600"/>
    </row>
    <row r="40" spans="1:25" ht="22.5" customHeight="1" thickTop="1" thickBot="1" x14ac:dyDescent="0.3">
      <c r="A40" s="634" t="s">
        <v>1374</v>
      </c>
      <c r="B40" s="634" t="s">
        <v>1378</v>
      </c>
      <c r="C40" s="624" t="s">
        <v>1378</v>
      </c>
      <c r="D40" s="624" t="s">
        <v>1378</v>
      </c>
      <c r="E40" s="634" t="s">
        <v>1378</v>
      </c>
      <c r="F40" s="634" t="s">
        <v>1378</v>
      </c>
      <c r="G40" s="624" t="s">
        <v>1391</v>
      </c>
      <c r="H40" s="624" t="s">
        <v>1378</v>
      </c>
      <c r="I40" s="624"/>
      <c r="J40" s="631" t="s">
        <v>1530</v>
      </c>
      <c r="K40" s="648"/>
      <c r="L40" s="648"/>
      <c r="M40" s="648"/>
      <c r="N40" s="648"/>
      <c r="O40" s="648"/>
      <c r="P40" s="648"/>
      <c r="Q40" s="648"/>
      <c r="R40" s="648"/>
      <c r="S40" s="648"/>
      <c r="T40" s="648"/>
      <c r="U40" s="633"/>
      <c r="V40" s="722"/>
      <c r="W40" s="635"/>
      <c r="X40" s="635"/>
      <c r="Y40" s="600"/>
    </row>
    <row r="41" spans="1:25" ht="22.5" customHeight="1" thickTop="1" thickBot="1" x14ac:dyDescent="0.3">
      <c r="A41" s="634" t="s">
        <v>1374</v>
      </c>
      <c r="B41" s="634" t="s">
        <v>1378</v>
      </c>
      <c r="C41" s="624" t="s">
        <v>1378</v>
      </c>
      <c r="D41" s="624" t="s">
        <v>1378</v>
      </c>
      <c r="E41" s="634" t="s">
        <v>1378</v>
      </c>
      <c r="F41" s="634" t="s">
        <v>1378</v>
      </c>
      <c r="G41" s="624" t="s">
        <v>1391</v>
      </c>
      <c r="H41" s="624" t="s">
        <v>1391</v>
      </c>
      <c r="I41" s="624"/>
      <c r="J41" s="631" t="s">
        <v>1531</v>
      </c>
      <c r="K41" s="648"/>
      <c r="L41" s="648"/>
      <c r="M41" s="648"/>
      <c r="N41" s="648"/>
      <c r="O41" s="648"/>
      <c r="P41" s="648"/>
      <c r="Q41" s="648"/>
      <c r="R41" s="648"/>
      <c r="S41" s="648"/>
      <c r="T41" s="648"/>
      <c r="U41" s="633"/>
      <c r="V41" s="722"/>
      <c r="W41" s="635"/>
      <c r="X41" s="635"/>
      <c r="Y41" s="600"/>
    </row>
    <row r="42" spans="1:25" ht="22.5" customHeight="1" thickTop="1" thickBot="1" x14ac:dyDescent="0.3">
      <c r="A42" s="634" t="s">
        <v>1374</v>
      </c>
      <c r="B42" s="634" t="s">
        <v>1378</v>
      </c>
      <c r="C42" s="624" t="s">
        <v>1378</v>
      </c>
      <c r="D42" s="624" t="s">
        <v>1378</v>
      </c>
      <c r="E42" s="634" t="s">
        <v>1378</v>
      </c>
      <c r="F42" s="634" t="s">
        <v>1378</v>
      </c>
      <c r="G42" s="624" t="s">
        <v>1391</v>
      </c>
      <c r="H42" s="624" t="s">
        <v>1415</v>
      </c>
      <c r="I42" s="624"/>
      <c r="J42" s="631" t="s">
        <v>1925</v>
      </c>
      <c r="K42" s="648"/>
      <c r="L42" s="648"/>
      <c r="M42" s="648"/>
      <c r="N42" s="648"/>
      <c r="O42" s="648"/>
      <c r="P42" s="648"/>
      <c r="Q42" s="648"/>
      <c r="R42" s="648"/>
      <c r="S42" s="648"/>
      <c r="T42" s="648"/>
      <c r="U42" s="633"/>
      <c r="V42" s="737"/>
      <c r="W42" s="635"/>
      <c r="X42" s="635"/>
      <c r="Y42" s="600"/>
    </row>
    <row r="43" spans="1:25" ht="22.5" customHeight="1" thickTop="1" thickBot="1" x14ac:dyDescent="0.3">
      <c r="A43" s="634" t="s">
        <v>1374</v>
      </c>
      <c r="B43" s="634" t="s">
        <v>1378</v>
      </c>
      <c r="C43" s="624" t="s">
        <v>1378</v>
      </c>
      <c r="D43" s="624" t="s">
        <v>1378</v>
      </c>
      <c r="E43" s="634" t="s">
        <v>1378</v>
      </c>
      <c r="F43" s="634" t="s">
        <v>1378</v>
      </c>
      <c r="G43" s="624" t="s">
        <v>1391</v>
      </c>
      <c r="H43" s="624" t="s">
        <v>1419</v>
      </c>
      <c r="I43" s="624"/>
      <c r="J43" s="631" t="s">
        <v>1926</v>
      </c>
      <c r="K43" s="648"/>
      <c r="L43" s="648"/>
      <c r="M43" s="648"/>
      <c r="N43" s="648"/>
      <c r="O43" s="648"/>
      <c r="P43" s="648"/>
      <c r="Q43" s="648"/>
      <c r="R43" s="648"/>
      <c r="S43" s="648"/>
      <c r="T43" s="648"/>
      <c r="U43" s="633"/>
      <c r="V43" s="737"/>
      <c r="W43" s="635"/>
      <c r="X43" s="635"/>
      <c r="Y43" s="600"/>
    </row>
    <row r="44" spans="1:25" ht="22.5" customHeight="1" thickTop="1" thickBot="1" x14ac:dyDescent="0.3">
      <c r="A44" s="634" t="s">
        <v>1374</v>
      </c>
      <c r="B44" s="634" t="s">
        <v>1378</v>
      </c>
      <c r="C44" s="624" t="s">
        <v>1378</v>
      </c>
      <c r="D44" s="624" t="s">
        <v>1378</v>
      </c>
      <c r="E44" s="634" t="s">
        <v>1378</v>
      </c>
      <c r="F44" s="634" t="s">
        <v>1378</v>
      </c>
      <c r="G44" s="624" t="s">
        <v>1391</v>
      </c>
      <c r="H44" s="624" t="s">
        <v>1444</v>
      </c>
      <c r="I44" s="624"/>
      <c r="J44" s="631" t="s">
        <v>1927</v>
      </c>
      <c r="K44" s="648"/>
      <c r="L44" s="648"/>
      <c r="M44" s="648"/>
      <c r="N44" s="648"/>
      <c r="O44" s="648"/>
      <c r="P44" s="648"/>
      <c r="Q44" s="648"/>
      <c r="R44" s="648"/>
      <c r="S44" s="648"/>
      <c r="T44" s="648"/>
      <c r="U44" s="633"/>
      <c r="V44" s="737"/>
      <c r="W44" s="635"/>
      <c r="X44" s="635"/>
      <c r="Y44" s="600"/>
    </row>
    <row r="45" spans="1:25" ht="22.5" customHeight="1" thickTop="1" thickBot="1" x14ac:dyDescent="0.3">
      <c r="A45" s="634" t="s">
        <v>1374</v>
      </c>
      <c r="B45" s="634" t="s">
        <v>1378</v>
      </c>
      <c r="C45" s="624" t="s">
        <v>1378</v>
      </c>
      <c r="D45" s="624" t="s">
        <v>1378</v>
      </c>
      <c r="E45" s="634" t="s">
        <v>1378</v>
      </c>
      <c r="F45" s="634" t="s">
        <v>1378</v>
      </c>
      <c r="G45" s="624" t="s">
        <v>1391</v>
      </c>
      <c r="H45" s="624" t="s">
        <v>1467</v>
      </c>
      <c r="I45" s="624"/>
      <c r="J45" s="631" t="s">
        <v>1928</v>
      </c>
      <c r="K45" s="648"/>
      <c r="L45" s="648"/>
      <c r="M45" s="648"/>
      <c r="N45" s="648"/>
      <c r="O45" s="648"/>
      <c r="P45" s="648"/>
      <c r="Q45" s="648"/>
      <c r="R45" s="648"/>
      <c r="S45" s="648"/>
      <c r="T45" s="648"/>
      <c r="U45" s="633"/>
      <c r="V45" s="737"/>
      <c r="W45" s="635"/>
      <c r="X45" s="635"/>
      <c r="Y45" s="600"/>
    </row>
    <row r="46" spans="1:25" ht="22.5" customHeight="1" thickTop="1" thickBot="1" x14ac:dyDescent="0.3">
      <c r="A46" s="634" t="s">
        <v>1374</v>
      </c>
      <c r="B46" s="634" t="s">
        <v>1378</v>
      </c>
      <c r="C46" s="624" t="s">
        <v>1378</v>
      </c>
      <c r="D46" s="624" t="s">
        <v>1378</v>
      </c>
      <c r="E46" s="634" t="s">
        <v>1378</v>
      </c>
      <c r="F46" s="634" t="s">
        <v>1378</v>
      </c>
      <c r="G46" s="624" t="s">
        <v>1391</v>
      </c>
      <c r="H46" s="624" t="s">
        <v>1471</v>
      </c>
      <c r="I46" s="624"/>
      <c r="J46" s="631" t="s">
        <v>1929</v>
      </c>
      <c r="K46" s="648"/>
      <c r="L46" s="648"/>
      <c r="M46" s="648"/>
      <c r="N46" s="648"/>
      <c r="O46" s="648"/>
      <c r="P46" s="648"/>
      <c r="Q46" s="648"/>
      <c r="R46" s="648"/>
      <c r="S46" s="648"/>
      <c r="T46" s="648"/>
      <c r="U46" s="633"/>
      <c r="V46" s="737"/>
      <c r="W46" s="635"/>
      <c r="X46" s="635"/>
      <c r="Y46" s="600"/>
    </row>
    <row r="47" spans="1:25" ht="22.5" customHeight="1" thickTop="1" thickBot="1" x14ac:dyDescent="0.3">
      <c r="A47" s="634" t="s">
        <v>1374</v>
      </c>
      <c r="B47" s="634" t="s">
        <v>1378</v>
      </c>
      <c r="C47" s="624" t="s">
        <v>1378</v>
      </c>
      <c r="D47" s="624" t="s">
        <v>1378</v>
      </c>
      <c r="E47" s="634" t="s">
        <v>1378</v>
      </c>
      <c r="F47" s="634" t="s">
        <v>1378</v>
      </c>
      <c r="G47" s="624" t="s">
        <v>1391</v>
      </c>
      <c r="H47" s="624" t="s">
        <v>1475</v>
      </c>
      <c r="I47" s="624"/>
      <c r="J47" s="631" t="s">
        <v>1926</v>
      </c>
      <c r="K47" s="648"/>
      <c r="L47" s="648"/>
      <c r="M47" s="648"/>
      <c r="N47" s="648"/>
      <c r="O47" s="648"/>
      <c r="P47" s="648"/>
      <c r="Q47" s="648"/>
      <c r="R47" s="648"/>
      <c r="S47" s="648"/>
      <c r="T47" s="648"/>
      <c r="U47" s="633"/>
      <c r="V47" s="737"/>
      <c r="W47" s="635"/>
      <c r="X47" s="635"/>
      <c r="Y47" s="600"/>
    </row>
    <row r="48" spans="1:25" ht="22.5" customHeight="1" thickTop="1" thickBot="1" x14ac:dyDescent="0.3">
      <c r="A48" s="634" t="s">
        <v>1374</v>
      </c>
      <c r="B48" s="634" t="s">
        <v>1378</v>
      </c>
      <c r="C48" s="624" t="s">
        <v>1378</v>
      </c>
      <c r="D48" s="624" t="s">
        <v>1378</v>
      </c>
      <c r="E48" s="634" t="s">
        <v>1378</v>
      </c>
      <c r="F48" s="634" t="s">
        <v>1378</v>
      </c>
      <c r="G48" s="722" t="s">
        <v>1415</v>
      </c>
      <c r="H48" s="624"/>
      <c r="I48" s="624"/>
      <c r="J48" s="625" t="s">
        <v>1532</v>
      </c>
      <c r="K48" s="647"/>
      <c r="L48" s="647"/>
      <c r="M48" s="647"/>
      <c r="N48" s="647"/>
      <c r="O48" s="647"/>
      <c r="P48" s="647"/>
      <c r="Q48" s="647"/>
      <c r="R48" s="647"/>
      <c r="S48" s="647"/>
      <c r="T48" s="647"/>
      <c r="U48" s="627"/>
      <c r="V48" s="722"/>
      <c r="W48" s="635" t="s">
        <v>1394</v>
      </c>
      <c r="X48" s="635" t="s">
        <v>1395</v>
      </c>
      <c r="Y48" s="600" t="s">
        <v>1376</v>
      </c>
    </row>
    <row r="49" spans="1:25" ht="22.5" customHeight="1" thickTop="1" thickBot="1" x14ac:dyDescent="0.3">
      <c r="A49" s="634" t="s">
        <v>1374</v>
      </c>
      <c r="B49" s="634" t="s">
        <v>1378</v>
      </c>
      <c r="C49" s="624" t="s">
        <v>1378</v>
      </c>
      <c r="D49" s="624" t="s">
        <v>1378</v>
      </c>
      <c r="E49" s="634" t="s">
        <v>1378</v>
      </c>
      <c r="F49" s="634" t="s">
        <v>1378</v>
      </c>
      <c r="G49" s="624" t="s">
        <v>1415</v>
      </c>
      <c r="H49" s="624" t="s">
        <v>1378</v>
      </c>
      <c r="I49" s="624"/>
      <c r="J49" s="631" t="s">
        <v>1533</v>
      </c>
      <c r="K49" s="648"/>
      <c r="L49" s="648"/>
      <c r="M49" s="648"/>
      <c r="N49" s="648"/>
      <c r="O49" s="648"/>
      <c r="P49" s="648"/>
      <c r="Q49" s="648"/>
      <c r="R49" s="648"/>
      <c r="S49" s="648"/>
      <c r="T49" s="648"/>
      <c r="U49" s="633"/>
      <c r="V49" s="722"/>
      <c r="W49" s="635"/>
      <c r="X49" s="635"/>
      <c r="Y49" s="600" t="s">
        <v>1376</v>
      </c>
    </row>
    <row r="50" spans="1:25" ht="22.5" customHeight="1" thickTop="1" thickBot="1" x14ac:dyDescent="0.3">
      <c r="A50" s="634" t="s">
        <v>1374</v>
      </c>
      <c r="B50" s="634" t="s">
        <v>1378</v>
      </c>
      <c r="C50" s="624" t="s">
        <v>1378</v>
      </c>
      <c r="D50" s="624" t="s">
        <v>1378</v>
      </c>
      <c r="E50" s="634" t="s">
        <v>1378</v>
      </c>
      <c r="F50" s="634" t="s">
        <v>1378</v>
      </c>
      <c r="G50" s="624" t="s">
        <v>1415</v>
      </c>
      <c r="H50" s="624" t="s">
        <v>1391</v>
      </c>
      <c r="I50" s="624"/>
      <c r="J50" s="631" t="s">
        <v>1534</v>
      </c>
      <c r="K50" s="648"/>
      <c r="L50" s="648"/>
      <c r="M50" s="648"/>
      <c r="N50" s="648"/>
      <c r="O50" s="648"/>
      <c r="P50" s="648"/>
      <c r="Q50" s="648"/>
      <c r="R50" s="648"/>
      <c r="S50" s="648"/>
      <c r="T50" s="648"/>
      <c r="U50" s="633"/>
      <c r="V50" s="722"/>
      <c r="W50" s="635"/>
      <c r="X50" s="635"/>
      <c r="Y50" s="600" t="s">
        <v>1376</v>
      </c>
    </row>
    <row r="51" spans="1:25" ht="22.5" customHeight="1" thickTop="1" thickBot="1" x14ac:dyDescent="0.3">
      <c r="A51" s="634" t="s">
        <v>1374</v>
      </c>
      <c r="B51" s="634" t="s">
        <v>1378</v>
      </c>
      <c r="C51" s="624" t="s">
        <v>1378</v>
      </c>
      <c r="D51" s="624" t="s">
        <v>1378</v>
      </c>
      <c r="E51" s="634" t="s">
        <v>1378</v>
      </c>
      <c r="F51" s="634" t="s">
        <v>1378</v>
      </c>
      <c r="G51" s="624" t="s">
        <v>1415</v>
      </c>
      <c r="H51" s="624" t="s">
        <v>1415</v>
      </c>
      <c r="I51" s="624"/>
      <c r="J51" s="631" t="s">
        <v>1930</v>
      </c>
      <c r="K51" s="648"/>
      <c r="L51" s="648"/>
      <c r="M51" s="648"/>
      <c r="N51" s="648"/>
      <c r="O51" s="648"/>
      <c r="P51" s="648"/>
      <c r="Q51" s="648"/>
      <c r="R51" s="648"/>
      <c r="S51" s="648"/>
      <c r="T51" s="648"/>
      <c r="U51" s="633"/>
      <c r="V51" s="737"/>
      <c r="W51" s="635"/>
      <c r="X51" s="635"/>
      <c r="Y51" s="600"/>
    </row>
    <row r="52" spans="1:25" ht="22.5" customHeight="1" thickTop="1" thickBot="1" x14ac:dyDescent="0.3">
      <c r="A52" s="634" t="s">
        <v>1374</v>
      </c>
      <c r="B52" s="634" t="s">
        <v>1378</v>
      </c>
      <c r="C52" s="624" t="s">
        <v>1378</v>
      </c>
      <c r="D52" s="624" t="s">
        <v>1378</v>
      </c>
      <c r="E52" s="634" t="s">
        <v>1378</v>
      </c>
      <c r="F52" s="634" t="s">
        <v>1378</v>
      </c>
      <c r="G52" s="624" t="s">
        <v>1415</v>
      </c>
      <c r="H52" s="624" t="s">
        <v>1419</v>
      </c>
      <c r="I52" s="624"/>
      <c r="J52" s="631" t="s">
        <v>1931</v>
      </c>
      <c r="K52" s="648"/>
      <c r="L52" s="648"/>
      <c r="M52" s="648"/>
      <c r="N52" s="648"/>
      <c r="O52" s="648"/>
      <c r="P52" s="648"/>
      <c r="Q52" s="648"/>
      <c r="R52" s="648"/>
      <c r="S52" s="648"/>
      <c r="T52" s="648"/>
      <c r="U52" s="633"/>
      <c r="V52" s="737"/>
      <c r="W52" s="635"/>
      <c r="X52" s="635"/>
      <c r="Y52" s="600"/>
    </row>
    <row r="53" spans="1:25" ht="22.5" customHeight="1" thickTop="1" thickBot="1" x14ac:dyDescent="0.3">
      <c r="A53" s="634" t="s">
        <v>1374</v>
      </c>
      <c r="B53" s="634" t="s">
        <v>1378</v>
      </c>
      <c r="C53" s="624" t="s">
        <v>1378</v>
      </c>
      <c r="D53" s="624" t="s">
        <v>1378</v>
      </c>
      <c r="E53" s="634" t="s">
        <v>1378</v>
      </c>
      <c r="F53" s="634" t="s">
        <v>1378</v>
      </c>
      <c r="G53" s="624" t="s">
        <v>1415</v>
      </c>
      <c r="H53" s="624" t="s">
        <v>1444</v>
      </c>
      <c r="I53" s="624"/>
      <c r="J53" s="631" t="s">
        <v>1932</v>
      </c>
      <c r="K53" s="648"/>
      <c r="L53" s="648"/>
      <c r="M53" s="648"/>
      <c r="N53" s="648"/>
      <c r="O53" s="648"/>
      <c r="P53" s="648"/>
      <c r="Q53" s="648"/>
      <c r="R53" s="648"/>
      <c r="S53" s="648"/>
      <c r="T53" s="648"/>
      <c r="U53" s="633"/>
      <c r="V53" s="737"/>
      <c r="W53" s="635"/>
      <c r="X53" s="635"/>
      <c r="Y53" s="600"/>
    </row>
    <row r="54" spans="1:25" ht="22.5" customHeight="1" thickTop="1" thickBot="1" x14ac:dyDescent="0.3">
      <c r="A54" s="634" t="s">
        <v>1374</v>
      </c>
      <c r="B54" s="634" t="s">
        <v>1378</v>
      </c>
      <c r="C54" s="624" t="s">
        <v>1378</v>
      </c>
      <c r="D54" s="624" t="s">
        <v>1378</v>
      </c>
      <c r="E54" s="634" t="s">
        <v>1378</v>
      </c>
      <c r="F54" s="634" t="s">
        <v>1378</v>
      </c>
      <c r="G54" s="624" t="s">
        <v>1415</v>
      </c>
      <c r="H54" s="624" t="s">
        <v>1467</v>
      </c>
      <c r="I54" s="624"/>
      <c r="J54" s="631" t="s">
        <v>1933</v>
      </c>
      <c r="K54" s="648"/>
      <c r="L54" s="648"/>
      <c r="M54" s="648"/>
      <c r="N54" s="648"/>
      <c r="O54" s="648"/>
      <c r="P54" s="648"/>
      <c r="Q54" s="648"/>
      <c r="R54" s="648"/>
      <c r="S54" s="648"/>
      <c r="T54" s="648"/>
      <c r="U54" s="633"/>
      <c r="V54" s="737"/>
      <c r="W54" s="635"/>
      <c r="X54" s="635"/>
      <c r="Y54" s="600"/>
    </row>
    <row r="55" spans="1:25" ht="22.5" customHeight="1" thickTop="1" thickBot="1" x14ac:dyDescent="0.3">
      <c r="A55" s="634" t="s">
        <v>1374</v>
      </c>
      <c r="B55" s="634" t="s">
        <v>1378</v>
      </c>
      <c r="C55" s="624" t="s">
        <v>1378</v>
      </c>
      <c r="D55" s="624" t="s">
        <v>1378</v>
      </c>
      <c r="E55" s="634" t="s">
        <v>1378</v>
      </c>
      <c r="F55" s="634" t="s">
        <v>1378</v>
      </c>
      <c r="G55" s="624" t="s">
        <v>1415</v>
      </c>
      <c r="H55" s="624" t="s">
        <v>1471</v>
      </c>
      <c r="I55" s="624"/>
      <c r="J55" s="631" t="s">
        <v>1934</v>
      </c>
      <c r="K55" s="648"/>
      <c r="L55" s="648"/>
      <c r="M55" s="648"/>
      <c r="N55" s="648"/>
      <c r="O55" s="648"/>
      <c r="P55" s="648"/>
      <c r="Q55" s="648"/>
      <c r="R55" s="648"/>
      <c r="S55" s="648"/>
      <c r="T55" s="648"/>
      <c r="U55" s="633"/>
      <c r="V55" s="737"/>
      <c r="W55" s="635"/>
      <c r="X55" s="635"/>
      <c r="Y55" s="600"/>
    </row>
    <row r="56" spans="1:25" ht="22.5" customHeight="1" thickTop="1" thickBot="1" x14ac:dyDescent="0.3">
      <c r="A56" s="634" t="s">
        <v>1374</v>
      </c>
      <c r="B56" s="634" t="s">
        <v>1378</v>
      </c>
      <c r="C56" s="624" t="s">
        <v>1378</v>
      </c>
      <c r="D56" s="624" t="s">
        <v>1378</v>
      </c>
      <c r="E56" s="634" t="s">
        <v>1378</v>
      </c>
      <c r="F56" s="634" t="s">
        <v>1378</v>
      </c>
      <c r="G56" s="624" t="s">
        <v>1415</v>
      </c>
      <c r="H56" s="624" t="s">
        <v>1475</v>
      </c>
      <c r="I56" s="624"/>
      <c r="J56" s="631" t="s">
        <v>1931</v>
      </c>
      <c r="K56" s="648"/>
      <c r="L56" s="648"/>
      <c r="M56" s="648"/>
      <c r="N56" s="648"/>
      <c r="O56" s="648"/>
      <c r="P56" s="648"/>
      <c r="Q56" s="648"/>
      <c r="R56" s="648"/>
      <c r="S56" s="648"/>
      <c r="T56" s="648"/>
      <c r="U56" s="633"/>
      <c r="V56" s="737"/>
      <c r="W56" s="635"/>
      <c r="X56" s="635"/>
      <c r="Y56" s="600"/>
    </row>
    <row r="57" spans="1:25" ht="22.5" customHeight="1" thickTop="1" thickBot="1" x14ac:dyDescent="0.3">
      <c r="A57" s="634" t="s">
        <v>1374</v>
      </c>
      <c r="B57" s="634" t="s">
        <v>1378</v>
      </c>
      <c r="C57" s="624" t="s">
        <v>1378</v>
      </c>
      <c r="D57" s="624" t="s">
        <v>1378</v>
      </c>
      <c r="E57" s="634" t="s">
        <v>1378</v>
      </c>
      <c r="F57" s="634" t="s">
        <v>1378</v>
      </c>
      <c r="G57" s="722" t="s">
        <v>1419</v>
      </c>
      <c r="H57" s="624"/>
      <c r="I57" s="624"/>
      <c r="J57" s="625" t="s">
        <v>1535</v>
      </c>
      <c r="K57" s="647"/>
      <c r="L57" s="647"/>
      <c r="M57" s="647"/>
      <c r="N57" s="647"/>
      <c r="O57" s="647"/>
      <c r="P57" s="647"/>
      <c r="Q57" s="647"/>
      <c r="R57" s="647"/>
      <c r="S57" s="647"/>
      <c r="T57" s="647"/>
      <c r="U57" s="627"/>
      <c r="V57" s="722"/>
      <c r="W57" s="635"/>
      <c r="X57" s="635"/>
      <c r="Y57" s="600"/>
    </row>
    <row r="58" spans="1:25" ht="22.5" customHeight="1" thickTop="1" thickBot="1" x14ac:dyDescent="0.3">
      <c r="A58" s="634" t="s">
        <v>1374</v>
      </c>
      <c r="B58" s="634" t="s">
        <v>1378</v>
      </c>
      <c r="C58" s="624" t="s">
        <v>1378</v>
      </c>
      <c r="D58" s="624" t="s">
        <v>1378</v>
      </c>
      <c r="E58" s="634" t="s">
        <v>1378</v>
      </c>
      <c r="F58" s="634" t="s">
        <v>1378</v>
      </c>
      <c r="G58" s="624" t="s">
        <v>1419</v>
      </c>
      <c r="H58" s="624" t="s">
        <v>1378</v>
      </c>
      <c r="I58" s="624"/>
      <c r="J58" s="631" t="s">
        <v>1536</v>
      </c>
      <c r="K58" s="648"/>
      <c r="L58" s="648"/>
      <c r="M58" s="648"/>
      <c r="N58" s="648"/>
      <c r="O58" s="648"/>
      <c r="P58" s="648"/>
      <c r="Q58" s="648"/>
      <c r="R58" s="648"/>
      <c r="S58" s="648"/>
      <c r="T58" s="648"/>
      <c r="U58" s="633"/>
      <c r="V58" s="722"/>
      <c r="W58" s="635"/>
      <c r="X58" s="635"/>
      <c r="Y58" s="600"/>
    </row>
    <row r="59" spans="1:25" ht="22.5" customHeight="1" thickTop="1" thickBot="1" x14ac:dyDescent="0.3">
      <c r="A59" s="634" t="s">
        <v>1374</v>
      </c>
      <c r="B59" s="634" t="s">
        <v>1378</v>
      </c>
      <c r="C59" s="624" t="s">
        <v>1378</v>
      </c>
      <c r="D59" s="624" t="s">
        <v>1378</v>
      </c>
      <c r="E59" s="634" t="s">
        <v>1378</v>
      </c>
      <c r="F59" s="634" t="s">
        <v>1378</v>
      </c>
      <c r="G59" s="624" t="s">
        <v>1419</v>
      </c>
      <c r="H59" s="624" t="s">
        <v>1391</v>
      </c>
      <c r="I59" s="624"/>
      <c r="J59" s="631" t="s">
        <v>1537</v>
      </c>
      <c r="K59" s="648"/>
      <c r="L59" s="648"/>
      <c r="M59" s="648"/>
      <c r="N59" s="648"/>
      <c r="O59" s="648"/>
      <c r="P59" s="648"/>
      <c r="Q59" s="648"/>
      <c r="R59" s="648"/>
      <c r="S59" s="648"/>
      <c r="T59" s="648"/>
      <c r="U59" s="633"/>
      <c r="V59" s="722"/>
      <c r="W59" s="635"/>
      <c r="X59" s="635"/>
      <c r="Y59" s="600"/>
    </row>
    <row r="60" spans="1:25" ht="22.5" customHeight="1" thickTop="1" thickBot="1" x14ac:dyDescent="0.3">
      <c r="A60" s="634" t="s">
        <v>1374</v>
      </c>
      <c r="B60" s="634" t="s">
        <v>1378</v>
      </c>
      <c r="C60" s="624" t="s">
        <v>1378</v>
      </c>
      <c r="D60" s="624" t="s">
        <v>1378</v>
      </c>
      <c r="E60" s="634" t="s">
        <v>1378</v>
      </c>
      <c r="F60" s="634" t="s">
        <v>1378</v>
      </c>
      <c r="G60" s="624" t="s">
        <v>1419</v>
      </c>
      <c r="H60" s="624" t="s">
        <v>1415</v>
      </c>
      <c r="I60" s="624"/>
      <c r="J60" s="631" t="s">
        <v>1935</v>
      </c>
      <c r="K60" s="648"/>
      <c r="L60" s="648"/>
      <c r="M60" s="648"/>
      <c r="N60" s="648"/>
      <c r="O60" s="648"/>
      <c r="P60" s="648"/>
      <c r="Q60" s="648"/>
      <c r="R60" s="648"/>
      <c r="S60" s="648"/>
      <c r="T60" s="648"/>
      <c r="U60" s="633"/>
      <c r="V60" s="737"/>
      <c r="W60" s="635"/>
      <c r="X60" s="635"/>
      <c r="Y60" s="600"/>
    </row>
    <row r="61" spans="1:25" ht="22.5" customHeight="1" thickTop="1" thickBot="1" x14ac:dyDescent="0.3">
      <c r="A61" s="634" t="s">
        <v>1374</v>
      </c>
      <c r="B61" s="634" t="s">
        <v>1378</v>
      </c>
      <c r="C61" s="624" t="s">
        <v>1378</v>
      </c>
      <c r="D61" s="624" t="s">
        <v>1378</v>
      </c>
      <c r="E61" s="634" t="s">
        <v>1378</v>
      </c>
      <c r="F61" s="634" t="s">
        <v>1378</v>
      </c>
      <c r="G61" s="624" t="s">
        <v>1419</v>
      </c>
      <c r="H61" s="624" t="s">
        <v>1419</v>
      </c>
      <c r="I61" s="624"/>
      <c r="J61" s="631" t="s">
        <v>1936</v>
      </c>
      <c r="K61" s="648"/>
      <c r="L61" s="648"/>
      <c r="M61" s="648"/>
      <c r="N61" s="648"/>
      <c r="O61" s="648"/>
      <c r="P61" s="648"/>
      <c r="Q61" s="648"/>
      <c r="R61" s="648"/>
      <c r="S61" s="648"/>
      <c r="T61" s="648"/>
      <c r="U61" s="633"/>
      <c r="V61" s="737"/>
      <c r="W61" s="635"/>
      <c r="X61" s="635"/>
      <c r="Y61" s="600"/>
    </row>
    <row r="62" spans="1:25" ht="22.5" customHeight="1" thickTop="1" thickBot="1" x14ac:dyDescent="0.3">
      <c r="A62" s="634" t="s">
        <v>1374</v>
      </c>
      <c r="B62" s="634" t="s">
        <v>1378</v>
      </c>
      <c r="C62" s="624" t="s">
        <v>1378</v>
      </c>
      <c r="D62" s="624" t="s">
        <v>1378</v>
      </c>
      <c r="E62" s="634" t="s">
        <v>1378</v>
      </c>
      <c r="F62" s="634" t="s">
        <v>1378</v>
      </c>
      <c r="G62" s="624" t="s">
        <v>1419</v>
      </c>
      <c r="H62" s="624" t="s">
        <v>1444</v>
      </c>
      <c r="I62" s="624"/>
      <c r="J62" s="631" t="s">
        <v>1937</v>
      </c>
      <c r="K62" s="648"/>
      <c r="L62" s="648"/>
      <c r="M62" s="648"/>
      <c r="N62" s="648"/>
      <c r="O62" s="648"/>
      <c r="P62" s="648"/>
      <c r="Q62" s="648"/>
      <c r="R62" s="648"/>
      <c r="S62" s="648"/>
      <c r="T62" s="648"/>
      <c r="U62" s="633"/>
      <c r="V62" s="737"/>
      <c r="W62" s="635"/>
      <c r="X62" s="635"/>
      <c r="Y62" s="600"/>
    </row>
    <row r="63" spans="1:25" ht="22.5" customHeight="1" thickTop="1" thickBot="1" x14ac:dyDescent="0.3">
      <c r="A63" s="634" t="s">
        <v>1374</v>
      </c>
      <c r="B63" s="634" t="s">
        <v>1378</v>
      </c>
      <c r="C63" s="624" t="s">
        <v>1378</v>
      </c>
      <c r="D63" s="624" t="s">
        <v>1378</v>
      </c>
      <c r="E63" s="634" t="s">
        <v>1378</v>
      </c>
      <c r="F63" s="634" t="s">
        <v>1378</v>
      </c>
      <c r="G63" s="624" t="s">
        <v>1419</v>
      </c>
      <c r="H63" s="624" t="s">
        <v>1467</v>
      </c>
      <c r="I63" s="624"/>
      <c r="J63" s="631" t="s">
        <v>1938</v>
      </c>
      <c r="K63" s="648"/>
      <c r="L63" s="648"/>
      <c r="M63" s="648"/>
      <c r="N63" s="648"/>
      <c r="O63" s="648"/>
      <c r="P63" s="648"/>
      <c r="Q63" s="648"/>
      <c r="R63" s="648"/>
      <c r="S63" s="648"/>
      <c r="T63" s="648"/>
      <c r="U63" s="633"/>
      <c r="V63" s="737"/>
      <c r="W63" s="635"/>
      <c r="X63" s="635"/>
      <c r="Y63" s="600"/>
    </row>
    <row r="64" spans="1:25" ht="22.5" customHeight="1" thickTop="1" thickBot="1" x14ac:dyDescent="0.3">
      <c r="A64" s="634" t="s">
        <v>1374</v>
      </c>
      <c r="B64" s="634" t="s">
        <v>1378</v>
      </c>
      <c r="C64" s="624" t="s">
        <v>1378</v>
      </c>
      <c r="D64" s="624" t="s">
        <v>1378</v>
      </c>
      <c r="E64" s="634" t="s">
        <v>1378</v>
      </c>
      <c r="F64" s="634" t="s">
        <v>1378</v>
      </c>
      <c r="G64" s="624" t="s">
        <v>1419</v>
      </c>
      <c r="H64" s="624" t="s">
        <v>1471</v>
      </c>
      <c r="I64" s="624"/>
      <c r="J64" s="631" t="s">
        <v>1939</v>
      </c>
      <c r="K64" s="648"/>
      <c r="L64" s="648"/>
      <c r="M64" s="648"/>
      <c r="N64" s="648"/>
      <c r="O64" s="648"/>
      <c r="P64" s="648"/>
      <c r="Q64" s="648"/>
      <c r="R64" s="648"/>
      <c r="S64" s="648"/>
      <c r="T64" s="648"/>
      <c r="U64" s="633"/>
      <c r="V64" s="737"/>
      <c r="W64" s="635"/>
      <c r="X64" s="635"/>
      <c r="Y64" s="600"/>
    </row>
    <row r="65" spans="1:25" ht="22.5" customHeight="1" thickTop="1" thickBot="1" x14ac:dyDescent="0.3">
      <c r="A65" s="634" t="s">
        <v>1374</v>
      </c>
      <c r="B65" s="634" t="s">
        <v>1378</v>
      </c>
      <c r="C65" s="624" t="s">
        <v>1378</v>
      </c>
      <c r="D65" s="624" t="s">
        <v>1378</v>
      </c>
      <c r="E65" s="634" t="s">
        <v>1378</v>
      </c>
      <c r="F65" s="634" t="s">
        <v>1378</v>
      </c>
      <c r="G65" s="624" t="s">
        <v>1419</v>
      </c>
      <c r="H65" s="624" t="s">
        <v>1475</v>
      </c>
      <c r="I65" s="624"/>
      <c r="J65" s="631" t="s">
        <v>1936</v>
      </c>
      <c r="K65" s="648"/>
      <c r="L65" s="648"/>
      <c r="M65" s="648"/>
      <c r="N65" s="648"/>
      <c r="O65" s="648"/>
      <c r="P65" s="648"/>
      <c r="Q65" s="648"/>
      <c r="R65" s="648"/>
      <c r="S65" s="648"/>
      <c r="T65" s="648"/>
      <c r="U65" s="633"/>
      <c r="V65" s="737"/>
      <c r="W65" s="635"/>
      <c r="X65" s="635"/>
      <c r="Y65" s="600"/>
    </row>
    <row r="66" spans="1:25" ht="22.5" customHeight="1" thickTop="1" thickBot="1" x14ac:dyDescent="0.3">
      <c r="A66" s="608" t="s">
        <v>1374</v>
      </c>
      <c r="B66" s="609" t="s">
        <v>1378</v>
      </c>
      <c r="C66" s="609" t="s">
        <v>1391</v>
      </c>
      <c r="D66" s="609"/>
      <c r="E66" s="609"/>
      <c r="F66" s="610"/>
      <c r="G66" s="610"/>
      <c r="H66" s="610"/>
      <c r="I66" s="610"/>
      <c r="J66" s="611" t="s">
        <v>1398</v>
      </c>
      <c r="K66" s="612"/>
      <c r="L66" s="612"/>
      <c r="M66" s="612"/>
      <c r="N66" s="612"/>
      <c r="O66" s="612"/>
      <c r="P66" s="612"/>
      <c r="Q66" s="612"/>
      <c r="R66" s="612"/>
      <c r="S66" s="612"/>
      <c r="T66" s="612"/>
      <c r="U66" s="613"/>
      <c r="V66" s="608"/>
      <c r="W66" s="614" t="s">
        <v>1399</v>
      </c>
      <c r="X66" s="614" t="s">
        <v>1400</v>
      </c>
      <c r="Y66" s="600" t="s">
        <v>1376</v>
      </c>
    </row>
    <row r="67" spans="1:25" ht="22.5" customHeight="1" thickTop="1" thickBot="1" x14ac:dyDescent="0.3">
      <c r="A67" s="615" t="s">
        <v>1374</v>
      </c>
      <c r="B67" s="616" t="s">
        <v>1378</v>
      </c>
      <c r="C67" s="616" t="s">
        <v>1391</v>
      </c>
      <c r="D67" s="616" t="s">
        <v>1378</v>
      </c>
      <c r="E67" s="616"/>
      <c r="F67" s="617"/>
      <c r="G67" s="617"/>
      <c r="H67" s="617"/>
      <c r="I67" s="617"/>
      <c r="J67" s="618" t="s">
        <v>1401</v>
      </c>
      <c r="K67" s="619"/>
      <c r="L67" s="619"/>
      <c r="M67" s="619"/>
      <c r="N67" s="619"/>
      <c r="O67" s="619"/>
      <c r="P67" s="619"/>
      <c r="Q67" s="619"/>
      <c r="R67" s="619"/>
      <c r="S67" s="619"/>
      <c r="T67" s="619"/>
      <c r="U67" s="620"/>
      <c r="V67" s="616"/>
      <c r="W67" s="621" t="s">
        <v>1402</v>
      </c>
      <c r="X67" s="621" t="s">
        <v>1403</v>
      </c>
      <c r="Y67" s="600" t="s">
        <v>1376</v>
      </c>
    </row>
    <row r="68" spans="1:25" ht="22.5" customHeight="1" thickTop="1" thickBot="1" x14ac:dyDescent="0.3">
      <c r="A68" s="628" t="s">
        <v>1374</v>
      </c>
      <c r="B68" s="628" t="s">
        <v>1378</v>
      </c>
      <c r="C68" s="622" t="s">
        <v>1391</v>
      </c>
      <c r="D68" s="628" t="s">
        <v>1378</v>
      </c>
      <c r="E68" s="622" t="s">
        <v>1378</v>
      </c>
      <c r="F68" s="624"/>
      <c r="G68" s="624"/>
      <c r="H68" s="624"/>
      <c r="I68" s="624"/>
      <c r="J68" s="625" t="s">
        <v>1404</v>
      </c>
      <c r="K68" s="626"/>
      <c r="L68" s="626"/>
      <c r="M68" s="626"/>
      <c r="N68" s="626"/>
      <c r="O68" s="626"/>
      <c r="P68" s="626"/>
      <c r="Q68" s="626"/>
      <c r="R68" s="626"/>
      <c r="S68" s="626"/>
      <c r="T68" s="626"/>
      <c r="U68" s="627"/>
      <c r="V68" s="634"/>
      <c r="W68" s="635" t="s">
        <v>1405</v>
      </c>
      <c r="X68" s="635" t="s">
        <v>1376</v>
      </c>
      <c r="Y68" s="600" t="s">
        <v>1376</v>
      </c>
    </row>
    <row r="69" spans="1:25" ht="22.5" customHeight="1" thickTop="1" thickBot="1" x14ac:dyDescent="0.3">
      <c r="A69" s="634" t="s">
        <v>1374</v>
      </c>
      <c r="B69" s="634" t="s">
        <v>1378</v>
      </c>
      <c r="C69" s="624" t="s">
        <v>1391</v>
      </c>
      <c r="D69" s="634" t="s">
        <v>1378</v>
      </c>
      <c r="E69" s="634" t="s">
        <v>1378</v>
      </c>
      <c r="F69" s="622" t="s">
        <v>1378</v>
      </c>
      <c r="G69" s="624"/>
      <c r="H69" s="624"/>
      <c r="I69" s="624"/>
      <c r="J69" s="625" t="s">
        <v>1406</v>
      </c>
      <c r="K69" s="626"/>
      <c r="L69" s="626"/>
      <c r="M69" s="626"/>
      <c r="N69" s="626"/>
      <c r="O69" s="626"/>
      <c r="P69" s="626"/>
      <c r="Q69" s="626"/>
      <c r="R69" s="626"/>
      <c r="S69" s="626"/>
      <c r="T69" s="626"/>
      <c r="U69" s="627"/>
      <c r="V69" s="634"/>
      <c r="W69" s="635" t="s">
        <v>1407</v>
      </c>
      <c r="X69" s="635" t="s">
        <v>1408</v>
      </c>
      <c r="Y69" s="600" t="s">
        <v>1376</v>
      </c>
    </row>
    <row r="70" spans="1:25" ht="22.5" customHeight="1" thickTop="1" thickBot="1" x14ac:dyDescent="0.3">
      <c r="A70" s="634" t="s">
        <v>1374</v>
      </c>
      <c r="B70" s="634" t="s">
        <v>1378</v>
      </c>
      <c r="C70" s="624" t="s">
        <v>1391</v>
      </c>
      <c r="D70" s="634" t="s">
        <v>1378</v>
      </c>
      <c r="E70" s="634" t="s">
        <v>1378</v>
      </c>
      <c r="F70" s="634" t="s">
        <v>1378</v>
      </c>
      <c r="G70" s="622" t="s">
        <v>1378</v>
      </c>
      <c r="H70" s="624"/>
      <c r="I70" s="624"/>
      <c r="J70" s="625" t="s">
        <v>1409</v>
      </c>
      <c r="K70" s="626"/>
      <c r="L70" s="626"/>
      <c r="M70" s="626"/>
      <c r="N70" s="626"/>
      <c r="O70" s="626"/>
      <c r="P70" s="626"/>
      <c r="Q70" s="626"/>
      <c r="R70" s="626"/>
      <c r="S70" s="626"/>
      <c r="T70" s="626"/>
      <c r="U70" s="627"/>
      <c r="V70" s="634"/>
      <c r="W70" s="635"/>
      <c r="X70" s="635"/>
      <c r="Y70" s="600" t="s">
        <v>1376</v>
      </c>
    </row>
    <row r="71" spans="1:25" ht="22.5" customHeight="1" thickTop="1" thickBot="1" x14ac:dyDescent="0.3">
      <c r="A71" s="634" t="s">
        <v>1374</v>
      </c>
      <c r="B71" s="634" t="s">
        <v>1378</v>
      </c>
      <c r="C71" s="624" t="s">
        <v>1391</v>
      </c>
      <c r="D71" s="634" t="s">
        <v>1378</v>
      </c>
      <c r="E71" s="634" t="s">
        <v>1378</v>
      </c>
      <c r="F71" s="634" t="s">
        <v>1378</v>
      </c>
      <c r="G71" s="634" t="s">
        <v>1378</v>
      </c>
      <c r="H71" s="634" t="s">
        <v>1378</v>
      </c>
      <c r="I71" s="624"/>
      <c r="J71" s="631" t="s">
        <v>1410</v>
      </c>
      <c r="K71" s="632"/>
      <c r="L71" s="632"/>
      <c r="M71" s="632"/>
      <c r="N71" s="632"/>
      <c r="O71" s="632"/>
      <c r="P71" s="632"/>
      <c r="Q71" s="632"/>
      <c r="R71" s="632"/>
      <c r="S71" s="632"/>
      <c r="T71" s="632"/>
      <c r="U71" s="633"/>
      <c r="V71" s="634"/>
      <c r="W71" s="635"/>
      <c r="X71" s="635"/>
      <c r="Y71" s="600" t="s">
        <v>1376</v>
      </c>
    </row>
    <row r="72" spans="1:25" ht="22.5" customHeight="1" thickTop="1" thickBot="1" x14ac:dyDescent="0.3">
      <c r="A72" s="634" t="s">
        <v>1374</v>
      </c>
      <c r="B72" s="634" t="s">
        <v>1378</v>
      </c>
      <c r="C72" s="624" t="s">
        <v>1391</v>
      </c>
      <c r="D72" s="634" t="s">
        <v>1378</v>
      </c>
      <c r="E72" s="634" t="s">
        <v>1378</v>
      </c>
      <c r="F72" s="634" t="s">
        <v>1378</v>
      </c>
      <c r="G72" s="634" t="s">
        <v>1378</v>
      </c>
      <c r="H72" s="624" t="s">
        <v>1391</v>
      </c>
      <c r="I72" s="624"/>
      <c r="J72" s="631" t="s">
        <v>1411</v>
      </c>
      <c r="K72" s="632"/>
      <c r="L72" s="632"/>
      <c r="M72" s="632"/>
      <c r="N72" s="632"/>
      <c r="O72" s="632"/>
      <c r="P72" s="632"/>
      <c r="Q72" s="632"/>
      <c r="R72" s="632"/>
      <c r="S72" s="632"/>
      <c r="T72" s="632"/>
      <c r="U72" s="633"/>
      <c r="V72" s="634"/>
      <c r="W72" s="635"/>
      <c r="X72" s="635"/>
      <c r="Y72" s="600" t="s">
        <v>1376</v>
      </c>
    </row>
    <row r="73" spans="1:25" ht="22.5" customHeight="1" thickTop="1" thickBot="1" x14ac:dyDescent="0.3">
      <c r="A73" s="634" t="s">
        <v>1374</v>
      </c>
      <c r="B73" s="634" t="s">
        <v>1378</v>
      </c>
      <c r="C73" s="624" t="s">
        <v>1391</v>
      </c>
      <c r="D73" s="634" t="s">
        <v>1378</v>
      </c>
      <c r="E73" s="634" t="s">
        <v>1378</v>
      </c>
      <c r="F73" s="634" t="s">
        <v>1378</v>
      </c>
      <c r="G73" s="622" t="s">
        <v>1391</v>
      </c>
      <c r="H73" s="624"/>
      <c r="I73" s="624"/>
      <c r="J73" s="625" t="s">
        <v>1412</v>
      </c>
      <c r="K73" s="626"/>
      <c r="L73" s="626"/>
      <c r="M73" s="626"/>
      <c r="N73" s="626"/>
      <c r="O73" s="626"/>
      <c r="P73" s="626"/>
      <c r="Q73" s="626"/>
      <c r="R73" s="626"/>
      <c r="S73" s="626"/>
      <c r="T73" s="626"/>
      <c r="U73" s="627"/>
      <c r="V73" s="634"/>
      <c r="W73" s="635"/>
      <c r="X73" s="635"/>
      <c r="Y73" s="600" t="s">
        <v>1376</v>
      </c>
    </row>
    <row r="74" spans="1:25" ht="22.5" customHeight="1" thickTop="1" thickBot="1" x14ac:dyDescent="0.3">
      <c r="A74" s="634" t="s">
        <v>1374</v>
      </c>
      <c r="B74" s="634" t="s">
        <v>1378</v>
      </c>
      <c r="C74" s="624" t="s">
        <v>1391</v>
      </c>
      <c r="D74" s="634" t="s">
        <v>1378</v>
      </c>
      <c r="E74" s="634" t="s">
        <v>1378</v>
      </c>
      <c r="F74" s="634" t="s">
        <v>1378</v>
      </c>
      <c r="G74" s="624" t="s">
        <v>1391</v>
      </c>
      <c r="H74" s="624" t="s">
        <v>1378</v>
      </c>
      <c r="I74" s="624"/>
      <c r="J74" s="631" t="s">
        <v>1413</v>
      </c>
      <c r="K74" s="632"/>
      <c r="L74" s="632"/>
      <c r="M74" s="632"/>
      <c r="N74" s="632"/>
      <c r="O74" s="632"/>
      <c r="P74" s="632"/>
      <c r="Q74" s="632"/>
      <c r="R74" s="632"/>
      <c r="S74" s="632"/>
      <c r="T74" s="632"/>
      <c r="U74" s="633"/>
      <c r="V74" s="634"/>
      <c r="W74" s="635"/>
      <c r="X74" s="635"/>
      <c r="Y74" s="600" t="s">
        <v>1376</v>
      </c>
    </row>
    <row r="75" spans="1:25" ht="22.5" customHeight="1" thickTop="1" thickBot="1" x14ac:dyDescent="0.3">
      <c r="A75" s="634" t="s">
        <v>1374</v>
      </c>
      <c r="B75" s="634" t="s">
        <v>1378</v>
      </c>
      <c r="C75" s="624" t="s">
        <v>1391</v>
      </c>
      <c r="D75" s="634" t="s">
        <v>1378</v>
      </c>
      <c r="E75" s="634" t="s">
        <v>1378</v>
      </c>
      <c r="F75" s="634" t="s">
        <v>1378</v>
      </c>
      <c r="G75" s="624" t="s">
        <v>1391</v>
      </c>
      <c r="H75" s="624" t="s">
        <v>1391</v>
      </c>
      <c r="I75" s="624"/>
      <c r="J75" s="631" t="s">
        <v>1414</v>
      </c>
      <c r="K75" s="632"/>
      <c r="L75" s="632"/>
      <c r="M75" s="632"/>
      <c r="N75" s="632"/>
      <c r="O75" s="632"/>
      <c r="P75" s="632"/>
      <c r="Q75" s="632"/>
      <c r="R75" s="632"/>
      <c r="S75" s="632"/>
      <c r="T75" s="632"/>
      <c r="U75" s="633"/>
      <c r="V75" s="634"/>
      <c r="W75" s="635"/>
      <c r="X75" s="635"/>
      <c r="Y75" s="600" t="s">
        <v>1376</v>
      </c>
    </row>
    <row r="76" spans="1:25" ht="22.5" customHeight="1" thickTop="1" thickBot="1" x14ac:dyDescent="0.3">
      <c r="A76" s="634" t="s">
        <v>1374</v>
      </c>
      <c r="B76" s="634" t="s">
        <v>1378</v>
      </c>
      <c r="C76" s="624" t="s">
        <v>1391</v>
      </c>
      <c r="D76" s="634" t="s">
        <v>1378</v>
      </c>
      <c r="E76" s="634" t="s">
        <v>1378</v>
      </c>
      <c r="F76" s="634" t="s">
        <v>1378</v>
      </c>
      <c r="G76" s="622" t="s">
        <v>1415</v>
      </c>
      <c r="H76" s="624"/>
      <c r="I76" s="624"/>
      <c r="J76" s="625" t="s">
        <v>1416</v>
      </c>
      <c r="K76" s="626"/>
      <c r="L76" s="626"/>
      <c r="M76" s="626"/>
      <c r="N76" s="626"/>
      <c r="O76" s="626"/>
      <c r="P76" s="626"/>
      <c r="Q76" s="626"/>
      <c r="R76" s="626"/>
      <c r="S76" s="626"/>
      <c r="T76" s="626"/>
      <c r="U76" s="627"/>
      <c r="V76" s="634"/>
      <c r="W76" s="635"/>
      <c r="X76" s="635"/>
      <c r="Y76" s="600" t="s">
        <v>1376</v>
      </c>
    </row>
    <row r="77" spans="1:25" ht="22.5" customHeight="1" thickTop="1" thickBot="1" x14ac:dyDescent="0.3">
      <c r="A77" s="634" t="s">
        <v>1374</v>
      </c>
      <c r="B77" s="634" t="s">
        <v>1378</v>
      </c>
      <c r="C77" s="624" t="s">
        <v>1391</v>
      </c>
      <c r="D77" s="634" t="s">
        <v>1378</v>
      </c>
      <c r="E77" s="634" t="s">
        <v>1378</v>
      </c>
      <c r="F77" s="634" t="s">
        <v>1378</v>
      </c>
      <c r="G77" s="624" t="s">
        <v>1415</v>
      </c>
      <c r="H77" s="624" t="s">
        <v>1378</v>
      </c>
      <c r="I77" s="624"/>
      <c r="J77" s="631" t="s">
        <v>1417</v>
      </c>
      <c r="K77" s="632"/>
      <c r="L77" s="632"/>
      <c r="M77" s="632"/>
      <c r="N77" s="632"/>
      <c r="O77" s="632"/>
      <c r="P77" s="632"/>
      <c r="Q77" s="632"/>
      <c r="R77" s="632"/>
      <c r="S77" s="632"/>
      <c r="T77" s="632"/>
      <c r="U77" s="633"/>
      <c r="V77" s="634"/>
      <c r="W77" s="635"/>
      <c r="X77" s="635"/>
      <c r="Y77" s="600" t="s">
        <v>1376</v>
      </c>
    </row>
    <row r="78" spans="1:25" ht="22.5" customHeight="1" thickTop="1" thickBot="1" x14ac:dyDescent="0.3">
      <c r="A78" s="634" t="s">
        <v>1374</v>
      </c>
      <c r="B78" s="634" t="s">
        <v>1378</v>
      </c>
      <c r="C78" s="624" t="s">
        <v>1391</v>
      </c>
      <c r="D78" s="634" t="s">
        <v>1378</v>
      </c>
      <c r="E78" s="634" t="s">
        <v>1378</v>
      </c>
      <c r="F78" s="634" t="s">
        <v>1378</v>
      </c>
      <c r="G78" s="624" t="s">
        <v>1415</v>
      </c>
      <c r="H78" s="624" t="s">
        <v>1391</v>
      </c>
      <c r="I78" s="624"/>
      <c r="J78" s="631" t="s">
        <v>1418</v>
      </c>
      <c r="K78" s="632"/>
      <c r="L78" s="632"/>
      <c r="M78" s="632"/>
      <c r="N78" s="632"/>
      <c r="O78" s="632"/>
      <c r="P78" s="632"/>
      <c r="Q78" s="632"/>
      <c r="R78" s="632"/>
      <c r="S78" s="632"/>
      <c r="T78" s="632"/>
      <c r="U78" s="633"/>
      <c r="V78" s="634"/>
      <c r="W78" s="635"/>
      <c r="X78" s="635"/>
      <c r="Y78" s="600" t="s">
        <v>1376</v>
      </c>
    </row>
    <row r="79" spans="1:25" ht="22.5" customHeight="1" thickTop="1" thickBot="1" x14ac:dyDescent="0.3">
      <c r="A79" s="634" t="s">
        <v>1374</v>
      </c>
      <c r="B79" s="634" t="s">
        <v>1378</v>
      </c>
      <c r="C79" s="624" t="s">
        <v>1391</v>
      </c>
      <c r="D79" s="634" t="s">
        <v>1378</v>
      </c>
      <c r="E79" s="634" t="s">
        <v>1378</v>
      </c>
      <c r="F79" s="634" t="s">
        <v>1378</v>
      </c>
      <c r="G79" s="622" t="s">
        <v>1419</v>
      </c>
      <c r="H79" s="624"/>
      <c r="I79" s="624"/>
      <c r="J79" s="637" t="s">
        <v>1420</v>
      </c>
      <c r="K79" s="638"/>
      <c r="L79" s="638"/>
      <c r="M79" s="638"/>
      <c r="N79" s="638"/>
      <c r="O79" s="638"/>
      <c r="P79" s="638"/>
      <c r="Q79" s="638"/>
      <c r="R79" s="638"/>
      <c r="S79" s="638"/>
      <c r="T79" s="638"/>
      <c r="U79" s="639"/>
      <c r="V79" s="634"/>
      <c r="W79" s="635"/>
      <c r="X79" s="635"/>
      <c r="Y79" s="600" t="s">
        <v>1376</v>
      </c>
    </row>
    <row r="80" spans="1:25" ht="22.5" customHeight="1" thickTop="1" thickBot="1" x14ac:dyDescent="0.3">
      <c r="A80" s="634" t="s">
        <v>1374</v>
      </c>
      <c r="B80" s="634" t="s">
        <v>1378</v>
      </c>
      <c r="C80" s="624" t="s">
        <v>1391</v>
      </c>
      <c r="D80" s="634" t="s">
        <v>1378</v>
      </c>
      <c r="E80" s="634" t="s">
        <v>1378</v>
      </c>
      <c r="F80" s="634" t="s">
        <v>1378</v>
      </c>
      <c r="G80" s="624" t="s">
        <v>1419</v>
      </c>
      <c r="H80" s="624" t="s">
        <v>1378</v>
      </c>
      <c r="I80" s="624"/>
      <c r="J80" s="640" t="s">
        <v>1421</v>
      </c>
      <c r="K80" s="641"/>
      <c r="L80" s="641"/>
      <c r="M80" s="641"/>
      <c r="N80" s="632"/>
      <c r="O80" s="641"/>
      <c r="P80" s="641"/>
      <c r="Q80" s="641"/>
      <c r="R80" s="641"/>
      <c r="S80" s="632"/>
      <c r="T80" s="641"/>
      <c r="U80" s="642"/>
      <c r="V80" s="634"/>
      <c r="W80" s="635"/>
      <c r="X80" s="635"/>
      <c r="Y80" s="600" t="s">
        <v>1376</v>
      </c>
    </row>
    <row r="81" spans="1:25" ht="22.5" customHeight="1" thickTop="1" thickBot="1" x14ac:dyDescent="0.3">
      <c r="A81" s="634" t="s">
        <v>1374</v>
      </c>
      <c r="B81" s="634" t="s">
        <v>1378</v>
      </c>
      <c r="C81" s="624" t="s">
        <v>1391</v>
      </c>
      <c r="D81" s="634" t="s">
        <v>1378</v>
      </c>
      <c r="E81" s="634" t="s">
        <v>1378</v>
      </c>
      <c r="F81" s="634" t="s">
        <v>1378</v>
      </c>
      <c r="G81" s="624" t="s">
        <v>1419</v>
      </c>
      <c r="H81" s="624" t="s">
        <v>1391</v>
      </c>
      <c r="I81" s="624"/>
      <c r="J81" s="640" t="s">
        <v>1422</v>
      </c>
      <c r="K81" s="641"/>
      <c r="L81" s="641"/>
      <c r="M81" s="641"/>
      <c r="N81" s="632"/>
      <c r="O81" s="641"/>
      <c r="P81" s="641"/>
      <c r="Q81" s="641"/>
      <c r="R81" s="641"/>
      <c r="S81" s="632"/>
      <c r="T81" s="641"/>
      <c r="U81" s="642"/>
      <c r="V81" s="634"/>
      <c r="W81" s="635"/>
      <c r="X81" s="635"/>
      <c r="Y81" s="600" t="s">
        <v>1376</v>
      </c>
    </row>
    <row r="82" spans="1:25" ht="22.5" customHeight="1" thickTop="1" thickBot="1" x14ac:dyDescent="0.3">
      <c r="A82" s="615" t="s">
        <v>1374</v>
      </c>
      <c r="B82" s="616" t="s">
        <v>1378</v>
      </c>
      <c r="C82" s="616" t="s">
        <v>1391</v>
      </c>
      <c r="D82" s="616" t="s">
        <v>1391</v>
      </c>
      <c r="E82" s="616"/>
      <c r="F82" s="617"/>
      <c r="G82" s="617"/>
      <c r="H82" s="617"/>
      <c r="I82" s="617"/>
      <c r="J82" s="618" t="s">
        <v>1423</v>
      </c>
      <c r="K82" s="619"/>
      <c r="L82" s="619"/>
      <c r="M82" s="619"/>
      <c r="N82" s="619"/>
      <c r="O82" s="619"/>
      <c r="P82" s="619"/>
      <c r="Q82" s="619"/>
      <c r="R82" s="619"/>
      <c r="S82" s="619"/>
      <c r="T82" s="619"/>
      <c r="U82" s="620"/>
      <c r="V82" s="616"/>
      <c r="W82" s="621"/>
      <c r="X82" s="621"/>
      <c r="Y82" s="600" t="s">
        <v>1376</v>
      </c>
    </row>
    <row r="83" spans="1:25" ht="22.5" customHeight="1" thickTop="1" thickBot="1" x14ac:dyDescent="0.3">
      <c r="A83" s="615">
        <v>1</v>
      </c>
      <c r="B83" s="616" t="s">
        <v>1378</v>
      </c>
      <c r="C83" s="616" t="s">
        <v>1391</v>
      </c>
      <c r="D83" s="616" t="s">
        <v>1391</v>
      </c>
      <c r="E83" s="616" t="s">
        <v>1378</v>
      </c>
      <c r="F83" s="617"/>
      <c r="G83" s="617"/>
      <c r="H83" s="617"/>
      <c r="I83" s="617"/>
      <c r="J83" s="618" t="s">
        <v>1424</v>
      </c>
      <c r="K83" s="619"/>
      <c r="L83" s="619"/>
      <c r="M83" s="619"/>
      <c r="N83" s="619"/>
      <c r="O83" s="619"/>
      <c r="P83" s="619"/>
      <c r="Q83" s="619"/>
      <c r="R83" s="619"/>
      <c r="S83" s="619"/>
      <c r="T83" s="619"/>
      <c r="U83" s="620"/>
      <c r="V83" s="616"/>
      <c r="W83" s="621"/>
      <c r="X83" s="621"/>
      <c r="Y83" s="600"/>
    </row>
    <row r="84" spans="1:25" s="183" customFormat="1" ht="22.5" customHeight="1" thickTop="1" thickBot="1" x14ac:dyDescent="0.3">
      <c r="A84" s="628" t="s">
        <v>1374</v>
      </c>
      <c r="B84" s="628" t="s">
        <v>1378</v>
      </c>
      <c r="C84" s="622" t="s">
        <v>1391</v>
      </c>
      <c r="D84" s="622" t="s">
        <v>1391</v>
      </c>
      <c r="E84" s="623" t="s">
        <v>1378</v>
      </c>
      <c r="F84" s="622" t="s">
        <v>1378</v>
      </c>
      <c r="G84" s="622"/>
      <c r="H84" s="624"/>
      <c r="I84" s="624"/>
      <c r="J84" s="625" t="s">
        <v>1425</v>
      </c>
      <c r="K84" s="626"/>
      <c r="L84" s="626"/>
      <c r="M84" s="626"/>
      <c r="N84" s="626"/>
      <c r="O84" s="626"/>
      <c r="P84" s="626"/>
      <c r="Q84" s="626"/>
      <c r="R84" s="626"/>
      <c r="S84" s="626"/>
      <c r="T84" s="626"/>
      <c r="U84" s="627"/>
      <c r="V84" s="628"/>
      <c r="W84" s="629"/>
      <c r="X84" s="629"/>
      <c r="Y84" s="600" t="s">
        <v>1376</v>
      </c>
    </row>
    <row r="85" spans="1:25" s="636" customFormat="1" ht="22.5" customHeight="1" thickTop="1" thickBot="1" x14ac:dyDescent="0.3">
      <c r="A85" s="634" t="s">
        <v>1374</v>
      </c>
      <c r="B85" s="634" t="s">
        <v>1378</v>
      </c>
      <c r="C85" s="624" t="s">
        <v>1391</v>
      </c>
      <c r="D85" s="624" t="s">
        <v>1391</v>
      </c>
      <c r="E85" s="634" t="s">
        <v>1378</v>
      </c>
      <c r="F85" s="624" t="s">
        <v>1378</v>
      </c>
      <c r="G85" s="622" t="s">
        <v>1378</v>
      </c>
      <c r="H85" s="624"/>
      <c r="I85" s="624"/>
      <c r="J85" s="625" t="s">
        <v>1426</v>
      </c>
      <c r="K85" s="632"/>
      <c r="L85" s="632"/>
      <c r="M85" s="632"/>
      <c r="N85" s="632"/>
      <c r="O85" s="632"/>
      <c r="P85" s="632"/>
      <c r="Q85" s="632"/>
      <c r="R85" s="632"/>
      <c r="S85" s="632"/>
      <c r="T85" s="632"/>
      <c r="U85" s="633"/>
      <c r="V85" s="634"/>
      <c r="W85" s="635" t="s">
        <v>1427</v>
      </c>
      <c r="X85" s="635" t="s">
        <v>1428</v>
      </c>
      <c r="Y85" s="643" t="s">
        <v>1376</v>
      </c>
    </row>
    <row r="86" spans="1:25" s="636" customFormat="1" ht="22.5" customHeight="1" thickTop="1" thickBot="1" x14ac:dyDescent="0.3">
      <c r="A86" s="634" t="s">
        <v>1374</v>
      </c>
      <c r="B86" s="634" t="s">
        <v>1378</v>
      </c>
      <c r="C86" s="624" t="s">
        <v>1391</v>
      </c>
      <c r="D86" s="624" t="s">
        <v>1391</v>
      </c>
      <c r="E86" s="634" t="s">
        <v>1378</v>
      </c>
      <c r="F86" s="634" t="s">
        <v>1378</v>
      </c>
      <c r="G86" s="624" t="s">
        <v>1378</v>
      </c>
      <c r="H86" s="624" t="s">
        <v>1378</v>
      </c>
      <c r="I86" s="624"/>
      <c r="J86" s="631" t="s">
        <v>1429</v>
      </c>
      <c r="K86" s="632"/>
      <c r="L86" s="632"/>
      <c r="M86" s="632"/>
      <c r="N86" s="632"/>
      <c r="O86" s="632"/>
      <c r="P86" s="632"/>
      <c r="Q86" s="632"/>
      <c r="R86" s="632"/>
      <c r="S86" s="632"/>
      <c r="T86" s="632"/>
      <c r="U86" s="633"/>
      <c r="V86" s="634"/>
      <c r="W86" s="635"/>
      <c r="X86" s="635"/>
      <c r="Y86" s="643" t="s">
        <v>1376</v>
      </c>
    </row>
    <row r="87" spans="1:25" s="636" customFormat="1" ht="22.5" customHeight="1" thickTop="1" thickBot="1" x14ac:dyDescent="0.3">
      <c r="A87" s="634" t="s">
        <v>1374</v>
      </c>
      <c r="B87" s="634" t="s">
        <v>1378</v>
      </c>
      <c r="C87" s="624" t="s">
        <v>1391</v>
      </c>
      <c r="D87" s="624" t="s">
        <v>1391</v>
      </c>
      <c r="E87" s="634" t="s">
        <v>1378</v>
      </c>
      <c r="F87" s="634" t="s">
        <v>1378</v>
      </c>
      <c r="G87" s="624" t="s">
        <v>1378</v>
      </c>
      <c r="H87" s="624" t="s">
        <v>1391</v>
      </c>
      <c r="I87" s="624"/>
      <c r="J87" s="631" t="s">
        <v>1430</v>
      </c>
      <c r="K87" s="632"/>
      <c r="L87" s="632"/>
      <c r="M87" s="632"/>
      <c r="N87" s="632"/>
      <c r="O87" s="632"/>
      <c r="P87" s="632"/>
      <c r="Q87" s="632"/>
      <c r="R87" s="632"/>
      <c r="S87" s="632"/>
      <c r="T87" s="632"/>
      <c r="U87" s="633"/>
      <c r="V87" s="634"/>
      <c r="W87" s="635"/>
      <c r="X87" s="635"/>
      <c r="Y87" s="643" t="s">
        <v>1376</v>
      </c>
    </row>
    <row r="88" spans="1:25" s="636" customFormat="1" ht="22.5" customHeight="1" thickTop="1" thickBot="1" x14ac:dyDescent="0.3">
      <c r="A88" s="634" t="s">
        <v>1374</v>
      </c>
      <c r="B88" s="634" t="s">
        <v>1378</v>
      </c>
      <c r="C88" s="624" t="s">
        <v>1391</v>
      </c>
      <c r="D88" s="624" t="s">
        <v>1391</v>
      </c>
      <c r="E88" s="634" t="s">
        <v>1378</v>
      </c>
      <c r="F88" s="634" t="s">
        <v>1378</v>
      </c>
      <c r="G88" s="624" t="s">
        <v>1378</v>
      </c>
      <c r="H88" s="624" t="s">
        <v>1415</v>
      </c>
      <c r="I88" s="624"/>
      <c r="J88" s="631" t="s">
        <v>1880</v>
      </c>
      <c r="K88" s="632"/>
      <c r="L88" s="632"/>
      <c r="M88" s="632"/>
      <c r="N88" s="632"/>
      <c r="O88" s="632"/>
      <c r="P88" s="632"/>
      <c r="Q88" s="632"/>
      <c r="R88" s="632"/>
      <c r="S88" s="632"/>
      <c r="T88" s="632"/>
      <c r="U88" s="633"/>
      <c r="V88" s="634"/>
      <c r="W88" s="635"/>
      <c r="X88" s="635"/>
      <c r="Y88" s="643"/>
    </row>
    <row r="89" spans="1:25" s="636" customFormat="1" ht="22.5" customHeight="1" thickTop="1" thickBot="1" x14ac:dyDescent="0.3">
      <c r="A89" s="634" t="s">
        <v>1374</v>
      </c>
      <c r="B89" s="634" t="s">
        <v>1378</v>
      </c>
      <c r="C89" s="624" t="s">
        <v>1391</v>
      </c>
      <c r="D89" s="624" t="s">
        <v>1391</v>
      </c>
      <c r="E89" s="634" t="s">
        <v>1378</v>
      </c>
      <c r="F89" s="634" t="s">
        <v>1378</v>
      </c>
      <c r="G89" s="624" t="s">
        <v>1378</v>
      </c>
      <c r="H89" s="624" t="s">
        <v>1419</v>
      </c>
      <c r="I89" s="624"/>
      <c r="J89" s="631" t="s">
        <v>1881</v>
      </c>
      <c r="K89" s="632"/>
      <c r="L89" s="632"/>
      <c r="M89" s="632"/>
      <c r="N89" s="632"/>
      <c r="O89" s="632"/>
      <c r="P89" s="632"/>
      <c r="Q89" s="632"/>
      <c r="R89" s="632"/>
      <c r="S89" s="632"/>
      <c r="T89" s="632"/>
      <c r="U89" s="633"/>
      <c r="V89" s="634"/>
      <c r="W89" s="635"/>
      <c r="X89" s="635"/>
      <c r="Y89" s="643"/>
    </row>
    <row r="90" spans="1:25" s="636" customFormat="1" ht="22.5" customHeight="1" thickTop="1" thickBot="1" x14ac:dyDescent="0.3">
      <c r="A90" s="634" t="s">
        <v>1374</v>
      </c>
      <c r="B90" s="634" t="s">
        <v>1378</v>
      </c>
      <c r="C90" s="624" t="s">
        <v>1391</v>
      </c>
      <c r="D90" s="624" t="s">
        <v>1391</v>
      </c>
      <c r="E90" s="634" t="s">
        <v>1378</v>
      </c>
      <c r="F90" s="634" t="s">
        <v>1378</v>
      </c>
      <c r="G90" s="624" t="s">
        <v>1378</v>
      </c>
      <c r="H90" s="624" t="s">
        <v>1444</v>
      </c>
      <c r="I90" s="624"/>
      <c r="J90" s="631" t="s">
        <v>1882</v>
      </c>
      <c r="K90" s="632"/>
      <c r="L90" s="632"/>
      <c r="M90" s="632"/>
      <c r="N90" s="632"/>
      <c r="O90" s="632"/>
      <c r="P90" s="632"/>
      <c r="Q90" s="632"/>
      <c r="R90" s="632"/>
      <c r="S90" s="632"/>
      <c r="T90" s="632"/>
      <c r="U90" s="633"/>
      <c r="V90" s="634"/>
      <c r="W90" s="635"/>
      <c r="X90" s="635"/>
      <c r="Y90" s="643"/>
    </row>
    <row r="91" spans="1:25" s="636" customFormat="1" ht="22.5" customHeight="1" thickTop="1" thickBot="1" x14ac:dyDescent="0.3">
      <c r="A91" s="634" t="s">
        <v>1374</v>
      </c>
      <c r="B91" s="634" t="s">
        <v>1378</v>
      </c>
      <c r="C91" s="624" t="s">
        <v>1391</v>
      </c>
      <c r="D91" s="624" t="s">
        <v>1391</v>
      </c>
      <c r="E91" s="634" t="s">
        <v>1378</v>
      </c>
      <c r="F91" s="634" t="s">
        <v>1378</v>
      </c>
      <c r="G91" s="624" t="s">
        <v>1378</v>
      </c>
      <c r="H91" s="624" t="s">
        <v>1467</v>
      </c>
      <c r="I91" s="624"/>
      <c r="J91" s="631" t="s">
        <v>1883</v>
      </c>
      <c r="K91" s="632"/>
      <c r="L91" s="632"/>
      <c r="M91" s="632"/>
      <c r="N91" s="632"/>
      <c r="O91" s="632"/>
      <c r="P91" s="632"/>
      <c r="Q91" s="632"/>
      <c r="R91" s="632"/>
      <c r="S91" s="632"/>
      <c r="T91" s="632"/>
      <c r="U91" s="633"/>
      <c r="V91" s="634"/>
      <c r="W91" s="635"/>
      <c r="X91" s="635"/>
      <c r="Y91" s="643"/>
    </row>
    <row r="92" spans="1:25" s="636" customFormat="1" ht="22.5" customHeight="1" thickTop="1" thickBot="1" x14ac:dyDescent="0.3">
      <c r="A92" s="634" t="s">
        <v>1374</v>
      </c>
      <c r="B92" s="634" t="s">
        <v>1378</v>
      </c>
      <c r="C92" s="624" t="s">
        <v>1391</v>
      </c>
      <c r="D92" s="624" t="s">
        <v>1391</v>
      </c>
      <c r="E92" s="634" t="s">
        <v>1378</v>
      </c>
      <c r="F92" s="634" t="s">
        <v>1378</v>
      </c>
      <c r="G92" s="624" t="s">
        <v>1378</v>
      </c>
      <c r="H92" s="624" t="s">
        <v>1471</v>
      </c>
      <c r="I92" s="624"/>
      <c r="J92" s="631" t="s">
        <v>1884</v>
      </c>
      <c r="K92" s="632"/>
      <c r="L92" s="632"/>
      <c r="M92" s="632"/>
      <c r="N92" s="632"/>
      <c r="O92" s="632"/>
      <c r="P92" s="632"/>
      <c r="Q92" s="632"/>
      <c r="R92" s="632"/>
      <c r="S92" s="632"/>
      <c r="T92" s="632"/>
      <c r="U92" s="633"/>
      <c r="V92" s="634"/>
      <c r="W92" s="635"/>
      <c r="X92" s="635"/>
      <c r="Y92" s="643"/>
    </row>
    <row r="93" spans="1:25" s="636" customFormat="1" ht="22.5" customHeight="1" thickTop="1" thickBot="1" x14ac:dyDescent="0.3">
      <c r="A93" s="634" t="s">
        <v>1374</v>
      </c>
      <c r="B93" s="634" t="s">
        <v>1378</v>
      </c>
      <c r="C93" s="624" t="s">
        <v>1391</v>
      </c>
      <c r="D93" s="624" t="s">
        <v>1391</v>
      </c>
      <c r="E93" s="634" t="s">
        <v>1378</v>
      </c>
      <c r="F93" s="634" t="s">
        <v>1378</v>
      </c>
      <c r="G93" s="624" t="s">
        <v>1378</v>
      </c>
      <c r="H93" s="624" t="s">
        <v>1475</v>
      </c>
      <c r="I93" s="624"/>
      <c r="J93" s="631" t="s">
        <v>1881</v>
      </c>
      <c r="K93" s="632"/>
      <c r="L93" s="632"/>
      <c r="M93" s="632"/>
      <c r="N93" s="632"/>
      <c r="O93" s="632"/>
      <c r="P93" s="632"/>
      <c r="Q93" s="632"/>
      <c r="R93" s="632"/>
      <c r="S93" s="632"/>
      <c r="T93" s="632"/>
      <c r="U93" s="633"/>
      <c r="V93" s="634"/>
      <c r="W93" s="635"/>
      <c r="X93" s="635"/>
      <c r="Y93" s="643"/>
    </row>
    <row r="94" spans="1:25" s="636" customFormat="1" ht="22.5" customHeight="1" thickTop="1" thickBot="1" x14ac:dyDescent="0.3">
      <c r="A94" s="634" t="s">
        <v>1374</v>
      </c>
      <c r="B94" s="634" t="s">
        <v>1378</v>
      </c>
      <c r="C94" s="624" t="s">
        <v>1391</v>
      </c>
      <c r="D94" s="624" t="s">
        <v>1391</v>
      </c>
      <c r="E94" s="634" t="s">
        <v>1378</v>
      </c>
      <c r="F94" s="634" t="s">
        <v>1378</v>
      </c>
      <c r="G94" s="622" t="s">
        <v>1391</v>
      </c>
      <c r="H94" s="624"/>
      <c r="I94" s="624"/>
      <c r="J94" s="625" t="s">
        <v>1431</v>
      </c>
      <c r="K94" s="632"/>
      <c r="L94" s="632"/>
      <c r="M94" s="632"/>
      <c r="N94" s="632"/>
      <c r="O94" s="632"/>
      <c r="P94" s="632"/>
      <c r="Q94" s="632"/>
      <c r="R94" s="632"/>
      <c r="S94" s="632"/>
      <c r="T94" s="632"/>
      <c r="U94" s="633"/>
      <c r="V94" s="634"/>
      <c r="W94" s="635" t="s">
        <v>1432</v>
      </c>
      <c r="X94" s="635" t="s">
        <v>1433</v>
      </c>
      <c r="Y94" s="643" t="s">
        <v>1376</v>
      </c>
    </row>
    <row r="95" spans="1:25" s="636" customFormat="1" ht="22.5" customHeight="1" thickTop="1" thickBot="1" x14ac:dyDescent="0.3">
      <c r="A95" s="634" t="s">
        <v>1374</v>
      </c>
      <c r="B95" s="634" t="s">
        <v>1378</v>
      </c>
      <c r="C95" s="624" t="s">
        <v>1391</v>
      </c>
      <c r="D95" s="624" t="s">
        <v>1391</v>
      </c>
      <c r="E95" s="634" t="s">
        <v>1378</v>
      </c>
      <c r="F95" s="634" t="s">
        <v>1378</v>
      </c>
      <c r="G95" s="624" t="s">
        <v>1391</v>
      </c>
      <c r="H95" s="624" t="s">
        <v>1378</v>
      </c>
      <c r="I95" s="624"/>
      <c r="J95" s="631" t="s">
        <v>1434</v>
      </c>
      <c r="K95" s="632"/>
      <c r="L95" s="632"/>
      <c r="M95" s="632"/>
      <c r="N95" s="632"/>
      <c r="O95" s="632"/>
      <c r="P95" s="632"/>
      <c r="Q95" s="632"/>
      <c r="R95" s="632"/>
      <c r="S95" s="632"/>
      <c r="T95" s="632"/>
      <c r="U95" s="633"/>
      <c r="V95" s="634"/>
      <c r="W95" s="635"/>
      <c r="X95" s="635"/>
      <c r="Y95" s="643" t="s">
        <v>1376</v>
      </c>
    </row>
    <row r="96" spans="1:25" s="636" customFormat="1" ht="22.5" customHeight="1" thickTop="1" thickBot="1" x14ac:dyDescent="0.3">
      <c r="A96" s="634" t="s">
        <v>1374</v>
      </c>
      <c r="B96" s="634" t="s">
        <v>1378</v>
      </c>
      <c r="C96" s="624" t="s">
        <v>1391</v>
      </c>
      <c r="D96" s="624" t="s">
        <v>1391</v>
      </c>
      <c r="E96" s="634" t="s">
        <v>1378</v>
      </c>
      <c r="F96" s="634" t="s">
        <v>1378</v>
      </c>
      <c r="G96" s="624" t="s">
        <v>1391</v>
      </c>
      <c r="H96" s="624" t="s">
        <v>1391</v>
      </c>
      <c r="I96" s="624"/>
      <c r="J96" s="631" t="s">
        <v>1435</v>
      </c>
      <c r="K96" s="632"/>
      <c r="L96" s="632"/>
      <c r="M96" s="632"/>
      <c r="N96" s="632"/>
      <c r="O96" s="632"/>
      <c r="P96" s="632"/>
      <c r="Q96" s="632"/>
      <c r="R96" s="632"/>
      <c r="S96" s="632"/>
      <c r="T96" s="632"/>
      <c r="U96" s="633"/>
      <c r="V96" s="634"/>
      <c r="W96" s="635"/>
      <c r="X96" s="635"/>
      <c r="Y96" s="643" t="s">
        <v>1376</v>
      </c>
    </row>
    <row r="97" spans="1:25" s="636" customFormat="1" ht="22.5" customHeight="1" thickTop="1" thickBot="1" x14ac:dyDescent="0.3">
      <c r="A97" s="634" t="s">
        <v>1374</v>
      </c>
      <c r="B97" s="634" t="s">
        <v>1378</v>
      </c>
      <c r="C97" s="624" t="s">
        <v>1391</v>
      </c>
      <c r="D97" s="624" t="s">
        <v>1391</v>
      </c>
      <c r="E97" s="634" t="s">
        <v>1378</v>
      </c>
      <c r="F97" s="634" t="s">
        <v>1378</v>
      </c>
      <c r="G97" s="624" t="s">
        <v>1391</v>
      </c>
      <c r="H97" s="624" t="s">
        <v>1415</v>
      </c>
      <c r="I97" s="624"/>
      <c r="J97" s="631" t="s">
        <v>1885</v>
      </c>
      <c r="K97" s="632"/>
      <c r="L97" s="632"/>
      <c r="M97" s="632"/>
      <c r="N97" s="632"/>
      <c r="O97" s="632"/>
      <c r="P97" s="632"/>
      <c r="Q97" s="632"/>
      <c r="R97" s="632"/>
      <c r="S97" s="632"/>
      <c r="T97" s="632"/>
      <c r="U97" s="633"/>
      <c r="V97" s="634"/>
      <c r="W97" s="635"/>
      <c r="X97" s="635"/>
      <c r="Y97" s="643"/>
    </row>
    <row r="98" spans="1:25" s="636" customFormat="1" ht="22.5" customHeight="1" thickTop="1" thickBot="1" x14ac:dyDescent="0.3">
      <c r="A98" s="634" t="s">
        <v>1374</v>
      </c>
      <c r="B98" s="634" t="s">
        <v>1378</v>
      </c>
      <c r="C98" s="624" t="s">
        <v>1391</v>
      </c>
      <c r="D98" s="624" t="s">
        <v>1391</v>
      </c>
      <c r="E98" s="634" t="s">
        <v>1378</v>
      </c>
      <c r="F98" s="634" t="s">
        <v>1378</v>
      </c>
      <c r="G98" s="624" t="s">
        <v>1391</v>
      </c>
      <c r="H98" s="624" t="s">
        <v>1419</v>
      </c>
      <c r="I98" s="624"/>
      <c r="J98" s="631" t="s">
        <v>1886</v>
      </c>
      <c r="K98" s="632"/>
      <c r="L98" s="632"/>
      <c r="M98" s="632"/>
      <c r="N98" s="632"/>
      <c r="O98" s="632"/>
      <c r="P98" s="632"/>
      <c r="Q98" s="632"/>
      <c r="R98" s="632"/>
      <c r="S98" s="632"/>
      <c r="T98" s="632"/>
      <c r="U98" s="633"/>
      <c r="V98" s="634"/>
      <c r="W98" s="635"/>
      <c r="X98" s="635"/>
      <c r="Y98" s="643"/>
    </row>
    <row r="99" spans="1:25" s="636" customFormat="1" ht="22.5" customHeight="1" thickTop="1" thickBot="1" x14ac:dyDescent="0.3">
      <c r="A99" s="634" t="s">
        <v>1374</v>
      </c>
      <c r="B99" s="634" t="s">
        <v>1378</v>
      </c>
      <c r="C99" s="624" t="s">
        <v>1391</v>
      </c>
      <c r="D99" s="624" t="s">
        <v>1391</v>
      </c>
      <c r="E99" s="634" t="s">
        <v>1378</v>
      </c>
      <c r="F99" s="634" t="s">
        <v>1378</v>
      </c>
      <c r="G99" s="624" t="s">
        <v>1391</v>
      </c>
      <c r="H99" s="624" t="s">
        <v>1444</v>
      </c>
      <c r="I99" s="624"/>
      <c r="J99" s="631" t="s">
        <v>1887</v>
      </c>
      <c r="K99" s="632"/>
      <c r="L99" s="632"/>
      <c r="M99" s="632"/>
      <c r="N99" s="632"/>
      <c r="O99" s="632"/>
      <c r="P99" s="632"/>
      <c r="Q99" s="632"/>
      <c r="R99" s="632"/>
      <c r="S99" s="632"/>
      <c r="T99" s="632"/>
      <c r="U99" s="633"/>
      <c r="V99" s="634"/>
      <c r="W99" s="635"/>
      <c r="X99" s="635"/>
      <c r="Y99" s="643"/>
    </row>
    <row r="100" spans="1:25" s="636" customFormat="1" ht="22.5" customHeight="1" thickTop="1" thickBot="1" x14ac:dyDescent="0.3">
      <c r="A100" s="634" t="s">
        <v>1374</v>
      </c>
      <c r="B100" s="634" t="s">
        <v>1378</v>
      </c>
      <c r="C100" s="624" t="s">
        <v>1391</v>
      </c>
      <c r="D100" s="624" t="s">
        <v>1391</v>
      </c>
      <c r="E100" s="634" t="s">
        <v>1378</v>
      </c>
      <c r="F100" s="634" t="s">
        <v>1378</v>
      </c>
      <c r="G100" s="624" t="s">
        <v>1391</v>
      </c>
      <c r="H100" s="624" t="s">
        <v>1467</v>
      </c>
      <c r="I100" s="624"/>
      <c r="J100" s="631" t="s">
        <v>1888</v>
      </c>
      <c r="K100" s="632"/>
      <c r="L100" s="632"/>
      <c r="M100" s="632"/>
      <c r="N100" s="632"/>
      <c r="O100" s="632"/>
      <c r="P100" s="632"/>
      <c r="Q100" s="632"/>
      <c r="R100" s="632"/>
      <c r="S100" s="632"/>
      <c r="T100" s="632"/>
      <c r="U100" s="633"/>
      <c r="V100" s="634"/>
      <c r="W100" s="635"/>
      <c r="X100" s="635"/>
      <c r="Y100" s="643"/>
    </row>
    <row r="101" spans="1:25" s="636" customFormat="1" ht="22.5" customHeight="1" thickTop="1" thickBot="1" x14ac:dyDescent="0.3">
      <c r="A101" s="634" t="s">
        <v>1374</v>
      </c>
      <c r="B101" s="634" t="s">
        <v>1378</v>
      </c>
      <c r="C101" s="624" t="s">
        <v>1391</v>
      </c>
      <c r="D101" s="624" t="s">
        <v>1391</v>
      </c>
      <c r="E101" s="634" t="s">
        <v>1378</v>
      </c>
      <c r="F101" s="634" t="s">
        <v>1378</v>
      </c>
      <c r="G101" s="624" t="s">
        <v>1391</v>
      </c>
      <c r="H101" s="624" t="s">
        <v>1471</v>
      </c>
      <c r="I101" s="624"/>
      <c r="J101" s="631" t="s">
        <v>1889</v>
      </c>
      <c r="K101" s="632"/>
      <c r="L101" s="632"/>
      <c r="M101" s="632"/>
      <c r="N101" s="632"/>
      <c r="O101" s="632"/>
      <c r="P101" s="632"/>
      <c r="Q101" s="632"/>
      <c r="R101" s="632"/>
      <c r="S101" s="632"/>
      <c r="T101" s="632"/>
      <c r="U101" s="633"/>
      <c r="V101" s="634"/>
      <c r="W101" s="635"/>
      <c r="X101" s="635"/>
      <c r="Y101" s="643"/>
    </row>
    <row r="102" spans="1:25" s="636" customFormat="1" ht="22.5" customHeight="1" thickTop="1" thickBot="1" x14ac:dyDescent="0.3">
      <c r="A102" s="634" t="s">
        <v>1374</v>
      </c>
      <c r="B102" s="634" t="s">
        <v>1378</v>
      </c>
      <c r="C102" s="624" t="s">
        <v>1391</v>
      </c>
      <c r="D102" s="624" t="s">
        <v>1391</v>
      </c>
      <c r="E102" s="634" t="s">
        <v>1378</v>
      </c>
      <c r="F102" s="634" t="s">
        <v>1378</v>
      </c>
      <c r="G102" s="624" t="s">
        <v>1391</v>
      </c>
      <c r="H102" s="624" t="s">
        <v>1475</v>
      </c>
      <c r="I102" s="624"/>
      <c r="J102" s="631" t="s">
        <v>1886</v>
      </c>
      <c r="K102" s="632"/>
      <c r="L102" s="632"/>
      <c r="M102" s="632"/>
      <c r="N102" s="632"/>
      <c r="O102" s="632"/>
      <c r="P102" s="632"/>
      <c r="Q102" s="632"/>
      <c r="R102" s="632"/>
      <c r="S102" s="632"/>
      <c r="T102" s="632"/>
      <c r="U102" s="633"/>
      <c r="V102" s="634"/>
      <c r="W102" s="635"/>
      <c r="X102" s="635"/>
      <c r="Y102" s="643"/>
    </row>
    <row r="103" spans="1:25" s="636" customFormat="1" ht="22.5" customHeight="1" thickTop="1" thickBot="1" x14ac:dyDescent="0.3">
      <c r="A103" s="634" t="s">
        <v>1374</v>
      </c>
      <c r="B103" s="634" t="s">
        <v>1378</v>
      </c>
      <c r="C103" s="624" t="s">
        <v>1391</v>
      </c>
      <c r="D103" s="624" t="s">
        <v>1391</v>
      </c>
      <c r="E103" s="634" t="s">
        <v>1378</v>
      </c>
      <c r="F103" s="634" t="s">
        <v>1378</v>
      </c>
      <c r="G103" s="622" t="s">
        <v>1415</v>
      </c>
      <c r="H103" s="624"/>
      <c r="I103" s="624"/>
      <c r="J103" s="625" t="s">
        <v>1436</v>
      </c>
      <c r="K103" s="632"/>
      <c r="L103" s="632"/>
      <c r="M103" s="632"/>
      <c r="N103" s="632"/>
      <c r="O103" s="632"/>
      <c r="P103" s="632"/>
      <c r="Q103" s="632"/>
      <c r="R103" s="632"/>
      <c r="S103" s="632"/>
      <c r="T103" s="632"/>
      <c r="U103" s="633"/>
      <c r="V103" s="634"/>
      <c r="W103" s="635"/>
      <c r="X103" s="635"/>
      <c r="Y103" s="643" t="s">
        <v>1376</v>
      </c>
    </row>
    <row r="104" spans="1:25" s="636" customFormat="1" ht="22.5" customHeight="1" thickTop="1" thickBot="1" x14ac:dyDescent="0.3">
      <c r="A104" s="634" t="s">
        <v>1374</v>
      </c>
      <c r="B104" s="634" t="s">
        <v>1378</v>
      </c>
      <c r="C104" s="624" t="s">
        <v>1391</v>
      </c>
      <c r="D104" s="624" t="s">
        <v>1391</v>
      </c>
      <c r="E104" s="634" t="s">
        <v>1378</v>
      </c>
      <c r="F104" s="634" t="s">
        <v>1378</v>
      </c>
      <c r="G104" s="624" t="s">
        <v>1415</v>
      </c>
      <c r="H104" s="624" t="s">
        <v>1378</v>
      </c>
      <c r="I104" s="624"/>
      <c r="J104" s="631" t="s">
        <v>1437</v>
      </c>
      <c r="K104" s="632"/>
      <c r="L104" s="632"/>
      <c r="M104" s="632"/>
      <c r="N104" s="632"/>
      <c r="O104" s="632"/>
      <c r="P104" s="632"/>
      <c r="Q104" s="632"/>
      <c r="R104" s="632"/>
      <c r="S104" s="632"/>
      <c r="T104" s="632"/>
      <c r="U104" s="633"/>
      <c r="V104" s="634"/>
      <c r="W104" s="635"/>
      <c r="X104" s="635"/>
      <c r="Y104" s="643" t="s">
        <v>1376</v>
      </c>
    </row>
    <row r="105" spans="1:25" s="636" customFormat="1" ht="22.5" customHeight="1" thickTop="1" thickBot="1" x14ac:dyDescent="0.3">
      <c r="A105" s="634" t="s">
        <v>1374</v>
      </c>
      <c r="B105" s="634" t="s">
        <v>1378</v>
      </c>
      <c r="C105" s="624" t="s">
        <v>1391</v>
      </c>
      <c r="D105" s="624" t="s">
        <v>1391</v>
      </c>
      <c r="E105" s="634" t="s">
        <v>1378</v>
      </c>
      <c r="F105" s="634" t="s">
        <v>1378</v>
      </c>
      <c r="G105" s="624" t="s">
        <v>1415</v>
      </c>
      <c r="H105" s="624" t="s">
        <v>1391</v>
      </c>
      <c r="I105" s="624"/>
      <c r="J105" s="631" t="s">
        <v>1438</v>
      </c>
      <c r="K105" s="632"/>
      <c r="L105" s="632"/>
      <c r="M105" s="632"/>
      <c r="N105" s="632"/>
      <c r="O105" s="632"/>
      <c r="P105" s="632"/>
      <c r="Q105" s="632"/>
      <c r="R105" s="632"/>
      <c r="S105" s="632"/>
      <c r="T105" s="632"/>
      <c r="U105" s="633"/>
      <c r="V105" s="634"/>
      <c r="W105" s="635"/>
      <c r="X105" s="635"/>
      <c r="Y105" s="643" t="s">
        <v>1376</v>
      </c>
    </row>
    <row r="106" spans="1:25" s="636" customFormat="1" ht="22.5" customHeight="1" thickTop="1" thickBot="1" x14ac:dyDescent="0.3">
      <c r="A106" s="634" t="s">
        <v>1374</v>
      </c>
      <c r="B106" s="634" t="s">
        <v>1378</v>
      </c>
      <c r="C106" s="624" t="s">
        <v>1391</v>
      </c>
      <c r="D106" s="624" t="s">
        <v>1391</v>
      </c>
      <c r="E106" s="634" t="s">
        <v>1378</v>
      </c>
      <c r="F106" s="634" t="s">
        <v>1378</v>
      </c>
      <c r="G106" s="624" t="s">
        <v>1415</v>
      </c>
      <c r="H106" s="624" t="s">
        <v>1415</v>
      </c>
      <c r="I106" s="624"/>
      <c r="J106" s="631" t="s">
        <v>1890</v>
      </c>
      <c r="K106" s="632"/>
      <c r="L106" s="632"/>
      <c r="M106" s="632"/>
      <c r="N106" s="632"/>
      <c r="O106" s="632"/>
      <c r="P106" s="632"/>
      <c r="Q106" s="632"/>
      <c r="R106" s="632"/>
      <c r="S106" s="632"/>
      <c r="T106" s="632"/>
      <c r="U106" s="633"/>
      <c r="V106" s="634"/>
      <c r="W106" s="635"/>
      <c r="X106" s="635"/>
      <c r="Y106" s="643"/>
    </row>
    <row r="107" spans="1:25" s="636" customFormat="1" ht="22.5" customHeight="1" thickTop="1" thickBot="1" x14ac:dyDescent="0.3">
      <c r="A107" s="634" t="s">
        <v>1374</v>
      </c>
      <c r="B107" s="634" t="s">
        <v>1378</v>
      </c>
      <c r="C107" s="624" t="s">
        <v>1391</v>
      </c>
      <c r="D107" s="624" t="s">
        <v>1391</v>
      </c>
      <c r="E107" s="634" t="s">
        <v>1378</v>
      </c>
      <c r="F107" s="634" t="s">
        <v>1378</v>
      </c>
      <c r="G107" s="624" t="s">
        <v>1415</v>
      </c>
      <c r="H107" s="624" t="s">
        <v>1419</v>
      </c>
      <c r="I107" s="624"/>
      <c r="J107" s="631" t="s">
        <v>1891</v>
      </c>
      <c r="K107" s="632"/>
      <c r="L107" s="632"/>
      <c r="M107" s="632"/>
      <c r="N107" s="632"/>
      <c r="O107" s="632"/>
      <c r="P107" s="632"/>
      <c r="Q107" s="632"/>
      <c r="R107" s="632"/>
      <c r="S107" s="632"/>
      <c r="T107" s="632"/>
      <c r="U107" s="633"/>
      <c r="V107" s="634"/>
      <c r="W107" s="635"/>
      <c r="X107" s="635"/>
      <c r="Y107" s="643"/>
    </row>
    <row r="108" spans="1:25" s="636" customFormat="1" ht="22.5" customHeight="1" thickTop="1" thickBot="1" x14ac:dyDescent="0.3">
      <c r="A108" s="634" t="s">
        <v>1374</v>
      </c>
      <c r="B108" s="634" t="s">
        <v>1378</v>
      </c>
      <c r="C108" s="624" t="s">
        <v>1391</v>
      </c>
      <c r="D108" s="624" t="s">
        <v>1391</v>
      </c>
      <c r="E108" s="634" t="s">
        <v>1378</v>
      </c>
      <c r="F108" s="634" t="s">
        <v>1378</v>
      </c>
      <c r="G108" s="624" t="s">
        <v>1415</v>
      </c>
      <c r="H108" s="624" t="s">
        <v>1444</v>
      </c>
      <c r="I108" s="624"/>
      <c r="J108" s="631" t="s">
        <v>1892</v>
      </c>
      <c r="K108" s="632"/>
      <c r="L108" s="632"/>
      <c r="M108" s="632"/>
      <c r="N108" s="632"/>
      <c r="O108" s="632"/>
      <c r="P108" s="632"/>
      <c r="Q108" s="632"/>
      <c r="R108" s="632"/>
      <c r="S108" s="632"/>
      <c r="T108" s="632"/>
      <c r="U108" s="633"/>
      <c r="V108" s="634"/>
      <c r="W108" s="635"/>
      <c r="X108" s="635"/>
      <c r="Y108" s="643"/>
    </row>
    <row r="109" spans="1:25" s="636" customFormat="1" ht="22.5" customHeight="1" thickTop="1" thickBot="1" x14ac:dyDescent="0.3">
      <c r="A109" s="634" t="s">
        <v>1374</v>
      </c>
      <c r="B109" s="634" t="s">
        <v>1378</v>
      </c>
      <c r="C109" s="624" t="s">
        <v>1391</v>
      </c>
      <c r="D109" s="624" t="s">
        <v>1391</v>
      </c>
      <c r="E109" s="634" t="s">
        <v>1378</v>
      </c>
      <c r="F109" s="634" t="s">
        <v>1378</v>
      </c>
      <c r="G109" s="624" t="s">
        <v>1415</v>
      </c>
      <c r="H109" s="624" t="s">
        <v>1467</v>
      </c>
      <c r="I109" s="624"/>
      <c r="J109" s="631" t="s">
        <v>1893</v>
      </c>
      <c r="K109" s="632"/>
      <c r="L109" s="632"/>
      <c r="M109" s="632"/>
      <c r="N109" s="632"/>
      <c r="O109" s="632"/>
      <c r="P109" s="632"/>
      <c r="Q109" s="632"/>
      <c r="R109" s="632"/>
      <c r="S109" s="632"/>
      <c r="T109" s="632"/>
      <c r="U109" s="633"/>
      <c r="V109" s="634"/>
      <c r="W109" s="635"/>
      <c r="X109" s="635"/>
      <c r="Y109" s="643"/>
    </row>
    <row r="110" spans="1:25" s="636" customFormat="1" ht="22.5" customHeight="1" thickTop="1" thickBot="1" x14ac:dyDescent="0.3">
      <c r="A110" s="634" t="s">
        <v>1374</v>
      </c>
      <c r="B110" s="634" t="s">
        <v>1378</v>
      </c>
      <c r="C110" s="624" t="s">
        <v>1391</v>
      </c>
      <c r="D110" s="624" t="s">
        <v>1391</v>
      </c>
      <c r="E110" s="634" t="s">
        <v>1378</v>
      </c>
      <c r="F110" s="634" t="s">
        <v>1378</v>
      </c>
      <c r="G110" s="624" t="s">
        <v>1415</v>
      </c>
      <c r="H110" s="624" t="s">
        <v>1471</v>
      </c>
      <c r="I110" s="624"/>
      <c r="J110" s="631" t="s">
        <v>1894</v>
      </c>
      <c r="K110" s="632"/>
      <c r="L110" s="632"/>
      <c r="M110" s="632"/>
      <c r="N110" s="632"/>
      <c r="O110" s="632"/>
      <c r="P110" s="632"/>
      <c r="Q110" s="632"/>
      <c r="R110" s="632"/>
      <c r="S110" s="632"/>
      <c r="T110" s="632"/>
      <c r="U110" s="633"/>
      <c r="V110" s="634"/>
      <c r="W110" s="635"/>
      <c r="X110" s="635"/>
      <c r="Y110" s="643"/>
    </row>
    <row r="111" spans="1:25" s="636" customFormat="1" ht="22.5" customHeight="1" thickTop="1" thickBot="1" x14ac:dyDescent="0.3">
      <c r="A111" s="634" t="s">
        <v>1374</v>
      </c>
      <c r="B111" s="634" t="s">
        <v>1378</v>
      </c>
      <c r="C111" s="624" t="s">
        <v>1391</v>
      </c>
      <c r="D111" s="624" t="s">
        <v>1391</v>
      </c>
      <c r="E111" s="634" t="s">
        <v>1378</v>
      </c>
      <c r="F111" s="634" t="s">
        <v>1378</v>
      </c>
      <c r="G111" s="624" t="s">
        <v>1415</v>
      </c>
      <c r="H111" s="624" t="s">
        <v>1475</v>
      </c>
      <c r="I111" s="624"/>
      <c r="J111" s="631" t="s">
        <v>1891</v>
      </c>
      <c r="K111" s="632"/>
      <c r="L111" s="632"/>
      <c r="M111" s="632"/>
      <c r="N111" s="632"/>
      <c r="O111" s="632"/>
      <c r="P111" s="632"/>
      <c r="Q111" s="632"/>
      <c r="R111" s="632"/>
      <c r="S111" s="632"/>
      <c r="T111" s="632"/>
      <c r="U111" s="633"/>
      <c r="V111" s="634"/>
      <c r="W111" s="635"/>
      <c r="X111" s="635"/>
      <c r="Y111" s="643"/>
    </row>
    <row r="112" spans="1:25" s="636" customFormat="1" ht="22.5" customHeight="1" thickTop="1" thickBot="1" x14ac:dyDescent="0.3">
      <c r="A112" s="634" t="s">
        <v>1374</v>
      </c>
      <c r="B112" s="634" t="s">
        <v>1378</v>
      </c>
      <c r="C112" s="624" t="s">
        <v>1391</v>
      </c>
      <c r="D112" s="624" t="s">
        <v>1391</v>
      </c>
      <c r="E112" s="634" t="s">
        <v>1378</v>
      </c>
      <c r="F112" s="634" t="s">
        <v>1378</v>
      </c>
      <c r="G112" s="622" t="s">
        <v>1419</v>
      </c>
      <c r="H112" s="624"/>
      <c r="I112" s="624"/>
      <c r="J112" s="625" t="s">
        <v>1439</v>
      </c>
      <c r="K112" s="632"/>
      <c r="L112" s="632"/>
      <c r="M112" s="632"/>
      <c r="N112" s="632"/>
      <c r="O112" s="632"/>
      <c r="P112" s="632"/>
      <c r="Q112" s="632"/>
      <c r="R112" s="632"/>
      <c r="S112" s="632"/>
      <c r="T112" s="632"/>
      <c r="U112" s="633"/>
      <c r="V112" s="634"/>
      <c r="W112" s="635" t="s">
        <v>1440</v>
      </c>
      <c r="X112" s="635" t="s">
        <v>1441</v>
      </c>
      <c r="Y112" s="643" t="s">
        <v>1376</v>
      </c>
    </row>
    <row r="113" spans="1:25" s="636" customFormat="1" ht="22.5" customHeight="1" thickTop="1" thickBot="1" x14ac:dyDescent="0.3">
      <c r="A113" s="634" t="s">
        <v>1374</v>
      </c>
      <c r="B113" s="634" t="s">
        <v>1378</v>
      </c>
      <c r="C113" s="624" t="s">
        <v>1391</v>
      </c>
      <c r="D113" s="624" t="s">
        <v>1391</v>
      </c>
      <c r="E113" s="634" t="s">
        <v>1378</v>
      </c>
      <c r="F113" s="634" t="s">
        <v>1378</v>
      </c>
      <c r="G113" s="624" t="s">
        <v>1419</v>
      </c>
      <c r="H113" s="624" t="s">
        <v>1378</v>
      </c>
      <c r="I113" s="624"/>
      <c r="J113" s="631" t="s">
        <v>1442</v>
      </c>
      <c r="K113" s="632"/>
      <c r="L113" s="632"/>
      <c r="M113" s="632"/>
      <c r="N113" s="632"/>
      <c r="O113" s="632"/>
      <c r="P113" s="632"/>
      <c r="Q113" s="632"/>
      <c r="R113" s="632"/>
      <c r="S113" s="632"/>
      <c r="T113" s="632"/>
      <c r="U113" s="633"/>
      <c r="V113" s="634"/>
      <c r="W113" s="635"/>
      <c r="X113" s="635"/>
      <c r="Y113" s="643" t="s">
        <v>1376</v>
      </c>
    </row>
    <row r="114" spans="1:25" s="636" customFormat="1" ht="22.5" customHeight="1" thickTop="1" thickBot="1" x14ac:dyDescent="0.3">
      <c r="A114" s="634" t="s">
        <v>1374</v>
      </c>
      <c r="B114" s="634" t="s">
        <v>1378</v>
      </c>
      <c r="C114" s="624" t="s">
        <v>1391</v>
      </c>
      <c r="D114" s="624" t="s">
        <v>1391</v>
      </c>
      <c r="E114" s="634" t="s">
        <v>1378</v>
      </c>
      <c r="F114" s="634" t="s">
        <v>1378</v>
      </c>
      <c r="G114" s="624" t="s">
        <v>1419</v>
      </c>
      <c r="H114" s="624" t="s">
        <v>1391</v>
      </c>
      <c r="I114" s="624"/>
      <c r="J114" s="631" t="s">
        <v>1443</v>
      </c>
      <c r="K114" s="632"/>
      <c r="L114" s="632"/>
      <c r="M114" s="632"/>
      <c r="N114" s="632"/>
      <c r="O114" s="632"/>
      <c r="P114" s="632"/>
      <c r="Q114" s="632"/>
      <c r="R114" s="632"/>
      <c r="S114" s="632"/>
      <c r="T114" s="632"/>
      <c r="U114" s="633"/>
      <c r="V114" s="634"/>
      <c r="W114" s="635"/>
      <c r="X114" s="635"/>
      <c r="Y114" s="643" t="s">
        <v>1376</v>
      </c>
    </row>
    <row r="115" spans="1:25" s="636" customFormat="1" ht="22.5" customHeight="1" thickTop="1" thickBot="1" x14ac:dyDescent="0.3">
      <c r="A115" s="634" t="s">
        <v>1374</v>
      </c>
      <c r="B115" s="634" t="s">
        <v>1378</v>
      </c>
      <c r="C115" s="624" t="s">
        <v>1391</v>
      </c>
      <c r="D115" s="624" t="s">
        <v>1391</v>
      </c>
      <c r="E115" s="634" t="s">
        <v>1378</v>
      </c>
      <c r="F115" s="634" t="s">
        <v>1378</v>
      </c>
      <c r="G115" s="624" t="s">
        <v>1419</v>
      </c>
      <c r="H115" s="624" t="s">
        <v>1415</v>
      </c>
      <c r="I115" s="624"/>
      <c r="J115" s="631" t="s">
        <v>1895</v>
      </c>
      <c r="K115" s="632"/>
      <c r="L115" s="632"/>
      <c r="M115" s="632"/>
      <c r="N115" s="632"/>
      <c r="O115" s="632"/>
      <c r="P115" s="632"/>
      <c r="Q115" s="632"/>
      <c r="R115" s="632"/>
      <c r="S115" s="632"/>
      <c r="T115" s="632"/>
      <c r="U115" s="633"/>
      <c r="V115" s="634"/>
      <c r="W115" s="635"/>
      <c r="X115" s="635"/>
      <c r="Y115" s="643"/>
    </row>
    <row r="116" spans="1:25" s="636" customFormat="1" ht="22.5" customHeight="1" thickTop="1" thickBot="1" x14ac:dyDescent="0.3">
      <c r="A116" s="634" t="s">
        <v>1374</v>
      </c>
      <c r="B116" s="634" t="s">
        <v>1378</v>
      </c>
      <c r="C116" s="624" t="s">
        <v>1391</v>
      </c>
      <c r="D116" s="624" t="s">
        <v>1391</v>
      </c>
      <c r="E116" s="634" t="s">
        <v>1378</v>
      </c>
      <c r="F116" s="634" t="s">
        <v>1378</v>
      </c>
      <c r="G116" s="624" t="s">
        <v>1419</v>
      </c>
      <c r="H116" s="624" t="s">
        <v>1419</v>
      </c>
      <c r="I116" s="624"/>
      <c r="J116" s="631" t="s">
        <v>1896</v>
      </c>
      <c r="K116" s="632"/>
      <c r="L116" s="632"/>
      <c r="M116" s="632"/>
      <c r="N116" s="632"/>
      <c r="O116" s="632"/>
      <c r="P116" s="632"/>
      <c r="Q116" s="632"/>
      <c r="R116" s="632"/>
      <c r="S116" s="632"/>
      <c r="T116" s="632"/>
      <c r="U116" s="633"/>
      <c r="V116" s="634"/>
      <c r="W116" s="635"/>
      <c r="X116" s="635"/>
      <c r="Y116" s="643"/>
    </row>
    <row r="117" spans="1:25" s="636" customFormat="1" ht="22.5" customHeight="1" thickTop="1" thickBot="1" x14ac:dyDescent="0.3">
      <c r="A117" s="634" t="s">
        <v>1374</v>
      </c>
      <c r="B117" s="634" t="s">
        <v>1378</v>
      </c>
      <c r="C117" s="624" t="s">
        <v>1391</v>
      </c>
      <c r="D117" s="624" t="s">
        <v>1391</v>
      </c>
      <c r="E117" s="634" t="s">
        <v>1378</v>
      </c>
      <c r="F117" s="634" t="s">
        <v>1378</v>
      </c>
      <c r="G117" s="624" t="s">
        <v>1419</v>
      </c>
      <c r="H117" s="624" t="s">
        <v>1444</v>
      </c>
      <c r="I117" s="624"/>
      <c r="J117" s="631" t="s">
        <v>1897</v>
      </c>
      <c r="K117" s="632"/>
      <c r="L117" s="632"/>
      <c r="M117" s="632"/>
      <c r="N117" s="632"/>
      <c r="O117" s="632"/>
      <c r="P117" s="632"/>
      <c r="Q117" s="632"/>
      <c r="R117" s="632"/>
      <c r="S117" s="632"/>
      <c r="T117" s="632"/>
      <c r="U117" s="633"/>
      <c r="V117" s="634"/>
      <c r="W117" s="635"/>
      <c r="X117" s="635"/>
      <c r="Y117" s="643"/>
    </row>
    <row r="118" spans="1:25" s="636" customFormat="1" ht="22.5" customHeight="1" thickTop="1" thickBot="1" x14ac:dyDescent="0.3">
      <c r="A118" s="634" t="s">
        <v>1374</v>
      </c>
      <c r="B118" s="634" t="s">
        <v>1378</v>
      </c>
      <c r="C118" s="624" t="s">
        <v>1391</v>
      </c>
      <c r="D118" s="624" t="s">
        <v>1391</v>
      </c>
      <c r="E118" s="634" t="s">
        <v>1378</v>
      </c>
      <c r="F118" s="634" t="s">
        <v>1378</v>
      </c>
      <c r="G118" s="624" t="s">
        <v>1419</v>
      </c>
      <c r="H118" s="624" t="s">
        <v>1467</v>
      </c>
      <c r="I118" s="624"/>
      <c r="J118" s="631" t="s">
        <v>1898</v>
      </c>
      <c r="K118" s="632"/>
      <c r="L118" s="632"/>
      <c r="M118" s="632"/>
      <c r="N118" s="632"/>
      <c r="O118" s="632"/>
      <c r="P118" s="632"/>
      <c r="Q118" s="632"/>
      <c r="R118" s="632"/>
      <c r="S118" s="632"/>
      <c r="T118" s="632"/>
      <c r="U118" s="633"/>
      <c r="V118" s="634"/>
      <c r="W118" s="635"/>
      <c r="X118" s="635"/>
      <c r="Y118" s="643"/>
    </row>
    <row r="119" spans="1:25" s="636" customFormat="1" ht="22.5" customHeight="1" thickTop="1" thickBot="1" x14ac:dyDescent="0.3">
      <c r="A119" s="634" t="s">
        <v>1374</v>
      </c>
      <c r="B119" s="634" t="s">
        <v>1378</v>
      </c>
      <c r="C119" s="624" t="s">
        <v>1391</v>
      </c>
      <c r="D119" s="624" t="s">
        <v>1391</v>
      </c>
      <c r="E119" s="634" t="s">
        <v>1378</v>
      </c>
      <c r="F119" s="634" t="s">
        <v>1378</v>
      </c>
      <c r="G119" s="624" t="s">
        <v>1419</v>
      </c>
      <c r="H119" s="624" t="s">
        <v>1471</v>
      </c>
      <c r="I119" s="624"/>
      <c r="J119" s="631" t="s">
        <v>1899</v>
      </c>
      <c r="K119" s="632"/>
      <c r="L119" s="632"/>
      <c r="M119" s="632"/>
      <c r="N119" s="632"/>
      <c r="O119" s="632"/>
      <c r="P119" s="632"/>
      <c r="Q119" s="632"/>
      <c r="R119" s="632"/>
      <c r="S119" s="632"/>
      <c r="T119" s="632"/>
      <c r="U119" s="633"/>
      <c r="V119" s="634"/>
      <c r="W119" s="635"/>
      <c r="X119" s="635"/>
      <c r="Y119" s="643"/>
    </row>
    <row r="120" spans="1:25" s="636" customFormat="1" ht="22.5" customHeight="1" thickTop="1" thickBot="1" x14ac:dyDescent="0.3">
      <c r="A120" s="634" t="s">
        <v>1374</v>
      </c>
      <c r="B120" s="634" t="s">
        <v>1378</v>
      </c>
      <c r="C120" s="624" t="s">
        <v>1391</v>
      </c>
      <c r="D120" s="624" t="s">
        <v>1391</v>
      </c>
      <c r="E120" s="634" t="s">
        <v>1378</v>
      </c>
      <c r="F120" s="634" t="s">
        <v>1378</v>
      </c>
      <c r="G120" s="624" t="s">
        <v>1419</v>
      </c>
      <c r="H120" s="624" t="s">
        <v>1475</v>
      </c>
      <c r="I120" s="624"/>
      <c r="J120" s="631" t="s">
        <v>1896</v>
      </c>
      <c r="K120" s="632"/>
      <c r="L120" s="632"/>
      <c r="M120" s="632"/>
      <c r="N120" s="632"/>
      <c r="O120" s="632"/>
      <c r="P120" s="632"/>
      <c r="Q120" s="632"/>
      <c r="R120" s="632"/>
      <c r="S120" s="632"/>
      <c r="T120" s="632"/>
      <c r="U120" s="633"/>
      <c r="V120" s="634"/>
      <c r="W120" s="635"/>
      <c r="X120" s="635"/>
      <c r="Y120" s="643"/>
    </row>
    <row r="121" spans="1:25" s="636" customFormat="1" ht="22.5" customHeight="1" thickTop="1" thickBot="1" x14ac:dyDescent="0.3">
      <c r="A121" s="634" t="s">
        <v>1374</v>
      </c>
      <c r="B121" s="634" t="s">
        <v>1378</v>
      </c>
      <c r="C121" s="624" t="s">
        <v>1391</v>
      </c>
      <c r="D121" s="624" t="s">
        <v>1391</v>
      </c>
      <c r="E121" s="634" t="s">
        <v>1378</v>
      </c>
      <c r="F121" s="634" t="s">
        <v>1378</v>
      </c>
      <c r="G121" s="622" t="s">
        <v>1444</v>
      </c>
      <c r="H121" s="624"/>
      <c r="I121" s="624"/>
      <c r="J121" s="637" t="s">
        <v>1445</v>
      </c>
      <c r="K121" s="641"/>
      <c r="L121" s="641"/>
      <c r="M121" s="641"/>
      <c r="N121" s="641"/>
      <c r="O121" s="641"/>
      <c r="P121" s="641"/>
      <c r="Q121" s="641"/>
      <c r="R121" s="641"/>
      <c r="S121" s="641"/>
      <c r="T121" s="641"/>
      <c r="U121" s="642"/>
      <c r="V121" s="634"/>
      <c r="W121" s="635"/>
      <c r="X121" s="635"/>
      <c r="Y121" s="643" t="s">
        <v>1376</v>
      </c>
    </row>
    <row r="122" spans="1:25" s="636" customFormat="1" ht="22.5" customHeight="1" thickTop="1" thickBot="1" x14ac:dyDescent="0.3">
      <c r="A122" s="634" t="s">
        <v>1374</v>
      </c>
      <c r="B122" s="634" t="s">
        <v>1378</v>
      </c>
      <c r="C122" s="624" t="s">
        <v>1391</v>
      </c>
      <c r="D122" s="624" t="s">
        <v>1391</v>
      </c>
      <c r="E122" s="634" t="s">
        <v>1378</v>
      </c>
      <c r="F122" s="634" t="s">
        <v>1378</v>
      </c>
      <c r="G122" s="624" t="s">
        <v>1444</v>
      </c>
      <c r="H122" s="624" t="s">
        <v>1378</v>
      </c>
      <c r="I122" s="624"/>
      <c r="J122" s="640" t="s">
        <v>1446</v>
      </c>
      <c r="K122" s="641"/>
      <c r="L122" s="641"/>
      <c r="M122" s="641"/>
      <c r="N122" s="641"/>
      <c r="O122" s="641"/>
      <c r="P122" s="641"/>
      <c r="Q122" s="641"/>
      <c r="R122" s="641"/>
      <c r="S122" s="641"/>
      <c r="T122" s="641"/>
      <c r="U122" s="642"/>
      <c r="V122" s="634"/>
      <c r="W122" s="635"/>
      <c r="X122" s="635"/>
      <c r="Y122" s="643" t="s">
        <v>1376</v>
      </c>
    </row>
    <row r="123" spans="1:25" s="636" customFormat="1" ht="22.5" customHeight="1" thickTop="1" thickBot="1" x14ac:dyDescent="0.3">
      <c r="A123" s="634" t="s">
        <v>1374</v>
      </c>
      <c r="B123" s="634" t="s">
        <v>1378</v>
      </c>
      <c r="C123" s="624" t="s">
        <v>1391</v>
      </c>
      <c r="D123" s="624" t="s">
        <v>1391</v>
      </c>
      <c r="E123" s="634" t="s">
        <v>1378</v>
      </c>
      <c r="F123" s="634" t="s">
        <v>1378</v>
      </c>
      <c r="G123" s="624" t="s">
        <v>1444</v>
      </c>
      <c r="H123" s="624" t="s">
        <v>1391</v>
      </c>
      <c r="I123" s="624"/>
      <c r="J123" s="640" t="s">
        <v>1447</v>
      </c>
      <c r="K123" s="641"/>
      <c r="L123" s="641"/>
      <c r="M123" s="641"/>
      <c r="N123" s="641"/>
      <c r="O123" s="641"/>
      <c r="P123" s="641"/>
      <c r="Q123" s="641"/>
      <c r="R123" s="641"/>
      <c r="S123" s="641"/>
      <c r="T123" s="641"/>
      <c r="U123" s="642"/>
      <c r="V123" s="634"/>
      <c r="W123" s="635"/>
      <c r="X123" s="635"/>
      <c r="Y123" s="643" t="s">
        <v>1376</v>
      </c>
    </row>
    <row r="124" spans="1:25" s="636" customFormat="1" ht="22.5" customHeight="1" thickTop="1" thickBot="1" x14ac:dyDescent="0.3">
      <c r="A124" s="634" t="s">
        <v>1374</v>
      </c>
      <c r="B124" s="634" t="s">
        <v>1378</v>
      </c>
      <c r="C124" s="624" t="s">
        <v>1391</v>
      </c>
      <c r="D124" s="624" t="s">
        <v>1391</v>
      </c>
      <c r="E124" s="634" t="s">
        <v>1378</v>
      </c>
      <c r="F124" s="634" t="s">
        <v>1378</v>
      </c>
      <c r="G124" s="624" t="s">
        <v>1444</v>
      </c>
      <c r="H124" s="624" t="s">
        <v>1415</v>
      </c>
      <c r="I124" s="624"/>
      <c r="J124" s="631" t="s">
        <v>1905</v>
      </c>
      <c r="K124" s="641"/>
      <c r="L124" s="641"/>
      <c r="M124" s="641"/>
      <c r="N124" s="641"/>
      <c r="O124" s="641"/>
      <c r="P124" s="641"/>
      <c r="Q124" s="641"/>
      <c r="R124" s="641"/>
      <c r="S124" s="641"/>
      <c r="T124" s="641"/>
      <c r="U124" s="642"/>
      <c r="V124" s="634"/>
      <c r="W124" s="635"/>
      <c r="X124" s="635"/>
      <c r="Y124" s="643"/>
    </row>
    <row r="125" spans="1:25" s="636" customFormat="1" ht="22.5" customHeight="1" thickTop="1" thickBot="1" x14ac:dyDescent="0.3">
      <c r="A125" s="634" t="s">
        <v>1374</v>
      </c>
      <c r="B125" s="634" t="s">
        <v>1378</v>
      </c>
      <c r="C125" s="624" t="s">
        <v>1391</v>
      </c>
      <c r="D125" s="624" t="s">
        <v>1391</v>
      </c>
      <c r="E125" s="634" t="s">
        <v>1378</v>
      </c>
      <c r="F125" s="634" t="s">
        <v>1378</v>
      </c>
      <c r="G125" s="624" t="s">
        <v>1444</v>
      </c>
      <c r="H125" s="624" t="s">
        <v>1419</v>
      </c>
      <c r="I125" s="624"/>
      <c r="J125" s="631" t="s">
        <v>1906</v>
      </c>
      <c r="K125" s="641"/>
      <c r="L125" s="641"/>
      <c r="M125" s="641"/>
      <c r="N125" s="641"/>
      <c r="O125" s="641"/>
      <c r="P125" s="641"/>
      <c r="Q125" s="641"/>
      <c r="R125" s="641"/>
      <c r="S125" s="641"/>
      <c r="T125" s="641"/>
      <c r="U125" s="642"/>
      <c r="V125" s="634"/>
      <c r="W125" s="635"/>
      <c r="X125" s="635"/>
      <c r="Y125" s="643"/>
    </row>
    <row r="126" spans="1:25" s="636" customFormat="1" ht="22.5" customHeight="1" thickTop="1" thickBot="1" x14ac:dyDescent="0.3">
      <c r="A126" s="634" t="s">
        <v>1374</v>
      </c>
      <c r="B126" s="634" t="s">
        <v>1378</v>
      </c>
      <c r="C126" s="624" t="s">
        <v>1391</v>
      </c>
      <c r="D126" s="624" t="s">
        <v>1391</v>
      </c>
      <c r="E126" s="634" t="s">
        <v>1378</v>
      </c>
      <c r="F126" s="634" t="s">
        <v>1378</v>
      </c>
      <c r="G126" s="624" t="s">
        <v>1444</v>
      </c>
      <c r="H126" s="624" t="s">
        <v>1444</v>
      </c>
      <c r="I126" s="624"/>
      <c r="J126" s="631" t="s">
        <v>1907</v>
      </c>
      <c r="K126" s="641"/>
      <c r="L126" s="641"/>
      <c r="M126" s="641"/>
      <c r="N126" s="641"/>
      <c r="O126" s="641"/>
      <c r="P126" s="641"/>
      <c r="Q126" s="641"/>
      <c r="R126" s="641"/>
      <c r="S126" s="641"/>
      <c r="T126" s="641"/>
      <c r="U126" s="642"/>
      <c r="V126" s="634"/>
      <c r="W126" s="635"/>
      <c r="X126" s="635"/>
      <c r="Y126" s="643"/>
    </row>
    <row r="127" spans="1:25" s="636" customFormat="1" ht="22.5" customHeight="1" thickTop="1" thickBot="1" x14ac:dyDescent="0.3">
      <c r="A127" s="634" t="s">
        <v>1374</v>
      </c>
      <c r="B127" s="634" t="s">
        <v>1378</v>
      </c>
      <c r="C127" s="624" t="s">
        <v>1391</v>
      </c>
      <c r="D127" s="624" t="s">
        <v>1391</v>
      </c>
      <c r="E127" s="634" t="s">
        <v>1378</v>
      </c>
      <c r="F127" s="634" t="s">
        <v>1378</v>
      </c>
      <c r="G127" s="624" t="s">
        <v>1444</v>
      </c>
      <c r="H127" s="624" t="s">
        <v>1467</v>
      </c>
      <c r="I127" s="624"/>
      <c r="J127" s="631" t="s">
        <v>1908</v>
      </c>
      <c r="K127" s="641"/>
      <c r="L127" s="641"/>
      <c r="M127" s="641"/>
      <c r="N127" s="641"/>
      <c r="O127" s="641"/>
      <c r="P127" s="641"/>
      <c r="Q127" s="641"/>
      <c r="R127" s="641"/>
      <c r="S127" s="641"/>
      <c r="T127" s="641"/>
      <c r="U127" s="642"/>
      <c r="V127" s="634"/>
      <c r="W127" s="635"/>
      <c r="X127" s="635"/>
      <c r="Y127" s="643"/>
    </row>
    <row r="128" spans="1:25" s="636" customFormat="1" ht="22.5" customHeight="1" thickTop="1" thickBot="1" x14ac:dyDescent="0.3">
      <c r="A128" s="634" t="s">
        <v>1374</v>
      </c>
      <c r="B128" s="634" t="s">
        <v>1378</v>
      </c>
      <c r="C128" s="624" t="s">
        <v>1391</v>
      </c>
      <c r="D128" s="624" t="s">
        <v>1391</v>
      </c>
      <c r="E128" s="634" t="s">
        <v>1378</v>
      </c>
      <c r="F128" s="634" t="s">
        <v>1378</v>
      </c>
      <c r="G128" s="624" t="s">
        <v>1444</v>
      </c>
      <c r="H128" s="624" t="s">
        <v>1471</v>
      </c>
      <c r="I128" s="624"/>
      <c r="J128" s="631" t="s">
        <v>1909</v>
      </c>
      <c r="K128" s="641"/>
      <c r="L128" s="641"/>
      <c r="M128" s="641"/>
      <c r="N128" s="641"/>
      <c r="O128" s="641"/>
      <c r="P128" s="641"/>
      <c r="Q128" s="641"/>
      <c r="R128" s="641"/>
      <c r="S128" s="641"/>
      <c r="T128" s="641"/>
      <c r="U128" s="642"/>
      <c r="V128" s="634"/>
      <c r="W128" s="635"/>
      <c r="X128" s="635"/>
      <c r="Y128" s="643"/>
    </row>
    <row r="129" spans="1:25" s="636" customFormat="1" ht="22.5" customHeight="1" thickTop="1" thickBot="1" x14ac:dyDescent="0.3">
      <c r="A129" s="634" t="s">
        <v>1374</v>
      </c>
      <c r="B129" s="634" t="s">
        <v>1378</v>
      </c>
      <c r="C129" s="624" t="s">
        <v>1391</v>
      </c>
      <c r="D129" s="624" t="s">
        <v>1391</v>
      </c>
      <c r="E129" s="634" t="s">
        <v>1378</v>
      </c>
      <c r="F129" s="634" t="s">
        <v>1378</v>
      </c>
      <c r="G129" s="624" t="s">
        <v>1444</v>
      </c>
      <c r="H129" s="624" t="s">
        <v>1475</v>
      </c>
      <c r="I129" s="624"/>
      <c r="J129" s="631" t="s">
        <v>1906</v>
      </c>
      <c r="K129" s="641"/>
      <c r="L129" s="641"/>
      <c r="M129" s="641"/>
      <c r="N129" s="641"/>
      <c r="O129" s="641"/>
      <c r="P129" s="641"/>
      <c r="Q129" s="641"/>
      <c r="R129" s="641"/>
      <c r="S129" s="641"/>
      <c r="T129" s="641"/>
      <c r="U129" s="642"/>
      <c r="V129" s="634"/>
      <c r="W129" s="635"/>
      <c r="X129" s="635"/>
      <c r="Y129" s="643"/>
    </row>
    <row r="130" spans="1:25" ht="22.5" customHeight="1" thickTop="1" thickBot="1" x14ac:dyDescent="0.3">
      <c r="A130" s="615">
        <v>1</v>
      </c>
      <c r="B130" s="616" t="s">
        <v>1378</v>
      </c>
      <c r="C130" s="616" t="s">
        <v>1391</v>
      </c>
      <c r="D130" s="616" t="s">
        <v>1391</v>
      </c>
      <c r="E130" s="616" t="s">
        <v>1391</v>
      </c>
      <c r="F130" s="617"/>
      <c r="G130" s="617"/>
      <c r="H130" s="617"/>
      <c r="I130" s="617"/>
      <c r="J130" s="618" t="s">
        <v>1448</v>
      </c>
      <c r="K130" s="644"/>
      <c r="L130" s="644"/>
      <c r="M130" s="644"/>
      <c r="N130" s="644"/>
      <c r="O130" s="644"/>
      <c r="P130" s="644"/>
      <c r="Q130" s="644"/>
      <c r="R130" s="644"/>
      <c r="S130" s="644"/>
      <c r="T130" s="644"/>
      <c r="U130" s="620"/>
      <c r="V130" s="616"/>
      <c r="W130" s="621" t="s">
        <v>1449</v>
      </c>
      <c r="X130" s="621" t="s">
        <v>1450</v>
      </c>
      <c r="Y130" s="600" t="s">
        <v>1376</v>
      </c>
    </row>
    <row r="131" spans="1:25" ht="22.5" customHeight="1" thickTop="1" thickBot="1" x14ac:dyDescent="0.3">
      <c r="A131" s="634">
        <v>1</v>
      </c>
      <c r="B131" s="634" t="s">
        <v>1378</v>
      </c>
      <c r="C131" s="624" t="s">
        <v>1391</v>
      </c>
      <c r="D131" s="624" t="s">
        <v>1391</v>
      </c>
      <c r="E131" s="634" t="s">
        <v>1391</v>
      </c>
      <c r="F131" s="622" t="s">
        <v>1378</v>
      </c>
      <c r="G131" s="624"/>
      <c r="H131" s="624"/>
      <c r="I131" s="624"/>
      <c r="J131" s="637" t="s">
        <v>1451</v>
      </c>
      <c r="K131" s="645"/>
      <c r="L131" s="645"/>
      <c r="M131" s="645"/>
      <c r="N131" s="645"/>
      <c r="O131" s="645"/>
      <c r="P131" s="645"/>
      <c r="Q131" s="645"/>
      <c r="R131" s="645"/>
      <c r="S131" s="645"/>
      <c r="T131" s="645"/>
      <c r="U131" s="639"/>
      <c r="V131" s="622"/>
      <c r="W131" s="635" t="s">
        <v>1452</v>
      </c>
      <c r="X131" s="635"/>
      <c r="Y131" s="600" t="s">
        <v>1376</v>
      </c>
    </row>
    <row r="132" spans="1:25" ht="22.5" customHeight="1" thickTop="1" thickBot="1" x14ac:dyDescent="0.3">
      <c r="A132" s="634">
        <v>1</v>
      </c>
      <c r="B132" s="634" t="s">
        <v>1378</v>
      </c>
      <c r="C132" s="624" t="s">
        <v>1391</v>
      </c>
      <c r="D132" s="624" t="s">
        <v>1391</v>
      </c>
      <c r="E132" s="634" t="s">
        <v>1391</v>
      </c>
      <c r="F132" s="624" t="s">
        <v>1378</v>
      </c>
      <c r="G132" s="622" t="s">
        <v>1378</v>
      </c>
      <c r="H132" s="624"/>
      <c r="I132" s="624"/>
      <c r="J132" s="640" t="s">
        <v>1453</v>
      </c>
      <c r="K132" s="646"/>
      <c r="L132" s="646"/>
      <c r="M132" s="646"/>
      <c r="N132" s="646"/>
      <c r="O132" s="646"/>
      <c r="P132" s="646"/>
      <c r="Q132" s="646"/>
      <c r="R132" s="646"/>
      <c r="S132" s="646"/>
      <c r="T132" s="646"/>
      <c r="U132" s="642"/>
      <c r="V132" s="622"/>
      <c r="W132" s="635"/>
      <c r="X132" s="635"/>
      <c r="Y132" s="600" t="s">
        <v>1376</v>
      </c>
    </row>
    <row r="133" spans="1:25" ht="22.5" customHeight="1" thickTop="1" thickBot="1" x14ac:dyDescent="0.3">
      <c r="A133" s="634">
        <v>1</v>
      </c>
      <c r="B133" s="634" t="s">
        <v>1378</v>
      </c>
      <c r="C133" s="624" t="s">
        <v>1391</v>
      </c>
      <c r="D133" s="624" t="s">
        <v>1391</v>
      </c>
      <c r="E133" s="634" t="s">
        <v>1391</v>
      </c>
      <c r="F133" s="624" t="s">
        <v>1378</v>
      </c>
      <c r="G133" s="622" t="s">
        <v>1391</v>
      </c>
      <c r="H133" s="624"/>
      <c r="I133" s="624"/>
      <c r="J133" s="640" t="s">
        <v>1454</v>
      </c>
      <c r="K133" s="646"/>
      <c r="L133" s="646"/>
      <c r="M133" s="646"/>
      <c r="N133" s="646"/>
      <c r="O133" s="646"/>
      <c r="P133" s="646"/>
      <c r="Q133" s="646"/>
      <c r="R133" s="646"/>
      <c r="S133" s="646"/>
      <c r="T133" s="646"/>
      <c r="U133" s="642"/>
      <c r="V133" s="622"/>
      <c r="W133" s="635"/>
      <c r="X133" s="635"/>
      <c r="Y133" s="600" t="s">
        <v>1376</v>
      </c>
    </row>
    <row r="134" spans="1:25" ht="22.5" customHeight="1" thickTop="1" thickBot="1" x14ac:dyDescent="0.3">
      <c r="A134" s="634">
        <v>1</v>
      </c>
      <c r="B134" s="634" t="s">
        <v>1378</v>
      </c>
      <c r="C134" s="624" t="s">
        <v>1391</v>
      </c>
      <c r="D134" s="624" t="s">
        <v>1391</v>
      </c>
      <c r="E134" s="634" t="s">
        <v>1391</v>
      </c>
      <c r="F134" s="624" t="s">
        <v>1378</v>
      </c>
      <c r="G134" s="737" t="s">
        <v>1415</v>
      </c>
      <c r="H134" s="624"/>
      <c r="I134" s="624"/>
      <c r="J134" s="631" t="s">
        <v>1900</v>
      </c>
      <c r="K134" s="646"/>
      <c r="L134" s="646"/>
      <c r="M134" s="646"/>
      <c r="N134" s="646"/>
      <c r="O134" s="646"/>
      <c r="P134" s="646"/>
      <c r="Q134" s="646"/>
      <c r="R134" s="646"/>
      <c r="S134" s="646"/>
      <c r="T134" s="646"/>
      <c r="U134" s="642"/>
      <c r="V134" s="737"/>
      <c r="W134" s="635"/>
      <c r="X134" s="635"/>
      <c r="Y134" s="600"/>
    </row>
    <row r="135" spans="1:25" ht="22.5" customHeight="1" thickTop="1" thickBot="1" x14ac:dyDescent="0.3">
      <c r="A135" s="634">
        <v>1</v>
      </c>
      <c r="B135" s="634" t="s">
        <v>1378</v>
      </c>
      <c r="C135" s="624" t="s">
        <v>1391</v>
      </c>
      <c r="D135" s="624" t="s">
        <v>1391</v>
      </c>
      <c r="E135" s="634" t="s">
        <v>1391</v>
      </c>
      <c r="F135" s="624" t="s">
        <v>1378</v>
      </c>
      <c r="G135" s="737" t="s">
        <v>1419</v>
      </c>
      <c r="H135" s="624"/>
      <c r="I135" s="624"/>
      <c r="J135" s="631" t="s">
        <v>1901</v>
      </c>
      <c r="K135" s="646"/>
      <c r="L135" s="646"/>
      <c r="M135" s="646"/>
      <c r="N135" s="646"/>
      <c r="O135" s="646"/>
      <c r="P135" s="646"/>
      <c r="Q135" s="646"/>
      <c r="R135" s="646"/>
      <c r="S135" s="646"/>
      <c r="T135" s="646"/>
      <c r="U135" s="642"/>
      <c r="V135" s="737"/>
      <c r="W135" s="635"/>
      <c r="X135" s="635"/>
      <c r="Y135" s="600"/>
    </row>
    <row r="136" spans="1:25" ht="22.5" customHeight="1" thickTop="1" thickBot="1" x14ac:dyDescent="0.3">
      <c r="A136" s="634">
        <v>1</v>
      </c>
      <c r="B136" s="634" t="s">
        <v>1378</v>
      </c>
      <c r="C136" s="624" t="s">
        <v>1391</v>
      </c>
      <c r="D136" s="624" t="s">
        <v>1391</v>
      </c>
      <c r="E136" s="634" t="s">
        <v>1391</v>
      </c>
      <c r="F136" s="624" t="s">
        <v>1378</v>
      </c>
      <c r="G136" s="737" t="s">
        <v>1444</v>
      </c>
      <c r="H136" s="624"/>
      <c r="I136" s="624"/>
      <c r="J136" s="631" t="s">
        <v>1902</v>
      </c>
      <c r="K136" s="646"/>
      <c r="L136" s="646"/>
      <c r="M136" s="646"/>
      <c r="N136" s="646"/>
      <c r="O136" s="646"/>
      <c r="P136" s="646"/>
      <c r="Q136" s="646"/>
      <c r="R136" s="646"/>
      <c r="S136" s="646"/>
      <c r="T136" s="646"/>
      <c r="U136" s="642"/>
      <c r="V136" s="737"/>
      <c r="W136" s="635"/>
      <c r="X136" s="635"/>
      <c r="Y136" s="600"/>
    </row>
    <row r="137" spans="1:25" ht="22.5" customHeight="1" thickTop="1" thickBot="1" x14ac:dyDescent="0.3">
      <c r="A137" s="634">
        <v>1</v>
      </c>
      <c r="B137" s="634" t="s">
        <v>1378</v>
      </c>
      <c r="C137" s="624" t="s">
        <v>1391</v>
      </c>
      <c r="D137" s="624" t="s">
        <v>1391</v>
      </c>
      <c r="E137" s="634" t="s">
        <v>1391</v>
      </c>
      <c r="F137" s="624" t="s">
        <v>1378</v>
      </c>
      <c r="G137" s="737" t="s">
        <v>1467</v>
      </c>
      <c r="H137" s="624"/>
      <c r="I137" s="624"/>
      <c r="J137" s="631" t="s">
        <v>1903</v>
      </c>
      <c r="K137" s="646"/>
      <c r="L137" s="646"/>
      <c r="M137" s="646"/>
      <c r="N137" s="646"/>
      <c r="O137" s="646"/>
      <c r="P137" s="646"/>
      <c r="Q137" s="646"/>
      <c r="R137" s="646"/>
      <c r="S137" s="646"/>
      <c r="T137" s="646"/>
      <c r="U137" s="642"/>
      <c r="V137" s="737"/>
      <c r="W137" s="635"/>
      <c r="X137" s="635"/>
      <c r="Y137" s="600"/>
    </row>
    <row r="138" spans="1:25" ht="22.5" customHeight="1" thickTop="1" thickBot="1" x14ac:dyDescent="0.3">
      <c r="A138" s="634">
        <v>1</v>
      </c>
      <c r="B138" s="634" t="s">
        <v>1378</v>
      </c>
      <c r="C138" s="624" t="s">
        <v>1391</v>
      </c>
      <c r="D138" s="624" t="s">
        <v>1391</v>
      </c>
      <c r="E138" s="634" t="s">
        <v>1391</v>
      </c>
      <c r="F138" s="624" t="s">
        <v>1378</v>
      </c>
      <c r="G138" s="737" t="s">
        <v>1471</v>
      </c>
      <c r="H138" s="624"/>
      <c r="I138" s="624"/>
      <c r="J138" s="631" t="s">
        <v>1904</v>
      </c>
      <c r="K138" s="646"/>
      <c r="L138" s="646"/>
      <c r="M138" s="646"/>
      <c r="N138" s="646"/>
      <c r="O138" s="646"/>
      <c r="P138" s="646"/>
      <c r="Q138" s="646"/>
      <c r="R138" s="646"/>
      <c r="S138" s="646"/>
      <c r="T138" s="646"/>
      <c r="U138" s="642"/>
      <c r="V138" s="737"/>
      <c r="W138" s="635"/>
      <c r="X138" s="635"/>
      <c r="Y138" s="600"/>
    </row>
    <row r="139" spans="1:25" ht="22.5" customHeight="1" thickTop="1" thickBot="1" x14ac:dyDescent="0.3">
      <c r="A139" s="634">
        <v>1</v>
      </c>
      <c r="B139" s="634" t="s">
        <v>1378</v>
      </c>
      <c r="C139" s="624" t="s">
        <v>1391</v>
      </c>
      <c r="D139" s="624" t="s">
        <v>1391</v>
      </c>
      <c r="E139" s="634" t="s">
        <v>1391</v>
      </c>
      <c r="F139" s="624" t="s">
        <v>1378</v>
      </c>
      <c r="G139" s="737" t="s">
        <v>1475</v>
      </c>
      <c r="H139" s="624"/>
      <c r="I139" s="624"/>
      <c r="J139" s="631" t="s">
        <v>1901</v>
      </c>
      <c r="K139" s="646"/>
      <c r="L139" s="646"/>
      <c r="M139" s="646"/>
      <c r="N139" s="646"/>
      <c r="O139" s="646"/>
      <c r="P139" s="646"/>
      <c r="Q139" s="646"/>
      <c r="R139" s="646"/>
      <c r="S139" s="646"/>
      <c r="T139" s="646"/>
      <c r="U139" s="642"/>
      <c r="V139" s="737"/>
      <c r="W139" s="635"/>
      <c r="X139" s="635"/>
      <c r="Y139" s="600"/>
    </row>
    <row r="140" spans="1:25" ht="22.5" customHeight="1" thickTop="1" thickBot="1" x14ac:dyDescent="0.3">
      <c r="A140" s="634">
        <v>1</v>
      </c>
      <c r="B140" s="634" t="s">
        <v>1378</v>
      </c>
      <c r="C140" s="624" t="s">
        <v>1391</v>
      </c>
      <c r="D140" s="624" t="s">
        <v>1391</v>
      </c>
      <c r="E140" s="634" t="s">
        <v>1391</v>
      </c>
      <c r="F140" s="622" t="s">
        <v>1391</v>
      </c>
      <c r="G140" s="624"/>
      <c r="H140" s="624"/>
      <c r="I140" s="624"/>
      <c r="J140" s="637" t="s">
        <v>1455</v>
      </c>
      <c r="K140" s="645"/>
      <c r="L140" s="645"/>
      <c r="M140" s="645"/>
      <c r="N140" s="645"/>
      <c r="O140" s="645"/>
      <c r="P140" s="645"/>
      <c r="Q140" s="645"/>
      <c r="R140" s="645"/>
      <c r="S140" s="645"/>
      <c r="T140" s="645"/>
      <c r="U140" s="639"/>
      <c r="V140" s="622"/>
      <c r="W140" s="635" t="s">
        <v>1452</v>
      </c>
      <c r="X140" s="635"/>
      <c r="Y140" s="600" t="s">
        <v>1376</v>
      </c>
    </row>
    <row r="141" spans="1:25" ht="22.5" customHeight="1" thickTop="1" thickBot="1" x14ac:dyDescent="0.3">
      <c r="A141" s="634">
        <v>1</v>
      </c>
      <c r="B141" s="634" t="s">
        <v>1378</v>
      </c>
      <c r="C141" s="624" t="s">
        <v>1391</v>
      </c>
      <c r="D141" s="624" t="s">
        <v>1391</v>
      </c>
      <c r="E141" s="634" t="s">
        <v>1391</v>
      </c>
      <c r="F141" s="624" t="s">
        <v>1391</v>
      </c>
      <c r="G141" s="622" t="s">
        <v>1378</v>
      </c>
      <c r="H141" s="624"/>
      <c r="I141" s="624"/>
      <c r="J141" s="640" t="s">
        <v>1456</v>
      </c>
      <c r="K141" s="646"/>
      <c r="L141" s="646"/>
      <c r="M141" s="646"/>
      <c r="N141" s="646"/>
      <c r="O141" s="646"/>
      <c r="P141" s="646"/>
      <c r="Q141" s="646"/>
      <c r="R141" s="646"/>
      <c r="S141" s="646"/>
      <c r="T141" s="646"/>
      <c r="U141" s="642"/>
      <c r="V141" s="622"/>
      <c r="W141" s="635"/>
      <c r="X141" s="635"/>
      <c r="Y141" s="600" t="s">
        <v>1376</v>
      </c>
    </row>
    <row r="142" spans="1:25" ht="22.5" customHeight="1" thickTop="1" thickBot="1" x14ac:dyDescent="0.3">
      <c r="A142" s="634">
        <v>1</v>
      </c>
      <c r="B142" s="634" t="s">
        <v>1378</v>
      </c>
      <c r="C142" s="624" t="s">
        <v>1391</v>
      </c>
      <c r="D142" s="624" t="s">
        <v>1391</v>
      </c>
      <c r="E142" s="634" t="s">
        <v>1391</v>
      </c>
      <c r="F142" s="624" t="s">
        <v>1391</v>
      </c>
      <c r="G142" s="622" t="s">
        <v>1391</v>
      </c>
      <c r="H142" s="624"/>
      <c r="I142" s="624"/>
      <c r="J142" s="640" t="s">
        <v>1457</v>
      </c>
      <c r="K142" s="646"/>
      <c r="L142" s="646"/>
      <c r="M142" s="646"/>
      <c r="N142" s="646"/>
      <c r="O142" s="646"/>
      <c r="P142" s="646"/>
      <c r="Q142" s="646"/>
      <c r="R142" s="646"/>
      <c r="S142" s="646"/>
      <c r="T142" s="646"/>
      <c r="U142" s="642"/>
      <c r="V142" s="622"/>
      <c r="W142" s="635"/>
      <c r="X142" s="635"/>
      <c r="Y142" s="600" t="s">
        <v>1376</v>
      </c>
    </row>
    <row r="143" spans="1:25" ht="22.5" customHeight="1" thickTop="1" thickBot="1" x14ac:dyDescent="0.3">
      <c r="A143" s="634">
        <v>1</v>
      </c>
      <c r="B143" s="634" t="s">
        <v>1378</v>
      </c>
      <c r="C143" s="624" t="s">
        <v>1391</v>
      </c>
      <c r="D143" s="624" t="s">
        <v>1391</v>
      </c>
      <c r="E143" s="634" t="s">
        <v>1391</v>
      </c>
      <c r="F143" s="624" t="s">
        <v>1391</v>
      </c>
      <c r="G143" s="737" t="s">
        <v>1415</v>
      </c>
      <c r="H143" s="624"/>
      <c r="I143" s="624"/>
      <c r="J143" s="631" t="s">
        <v>1910</v>
      </c>
      <c r="K143" s="646"/>
      <c r="L143" s="646"/>
      <c r="M143" s="646"/>
      <c r="N143" s="646"/>
      <c r="O143" s="646"/>
      <c r="P143" s="646"/>
      <c r="Q143" s="646"/>
      <c r="R143" s="646"/>
      <c r="S143" s="646"/>
      <c r="T143" s="646"/>
      <c r="U143" s="642"/>
      <c r="V143" s="737"/>
      <c r="W143" s="635"/>
      <c r="X143" s="635"/>
      <c r="Y143" s="600"/>
    </row>
    <row r="144" spans="1:25" ht="22.5" customHeight="1" thickTop="1" thickBot="1" x14ac:dyDescent="0.3">
      <c r="A144" s="634">
        <v>1</v>
      </c>
      <c r="B144" s="634" t="s">
        <v>1378</v>
      </c>
      <c r="C144" s="624" t="s">
        <v>1391</v>
      </c>
      <c r="D144" s="624" t="s">
        <v>1391</v>
      </c>
      <c r="E144" s="634" t="s">
        <v>1391</v>
      </c>
      <c r="F144" s="624" t="s">
        <v>1391</v>
      </c>
      <c r="G144" s="737" t="s">
        <v>1419</v>
      </c>
      <c r="H144" s="624"/>
      <c r="I144" s="624"/>
      <c r="J144" s="631" t="s">
        <v>1911</v>
      </c>
      <c r="K144" s="646"/>
      <c r="L144" s="646"/>
      <c r="M144" s="646"/>
      <c r="N144" s="646"/>
      <c r="O144" s="646"/>
      <c r="P144" s="646"/>
      <c r="Q144" s="646"/>
      <c r="R144" s="646"/>
      <c r="S144" s="646"/>
      <c r="T144" s="646"/>
      <c r="U144" s="642"/>
      <c r="V144" s="737"/>
      <c r="W144" s="635"/>
      <c r="X144" s="635"/>
      <c r="Y144" s="600"/>
    </row>
    <row r="145" spans="1:25" ht="22.5" customHeight="1" thickTop="1" thickBot="1" x14ac:dyDescent="0.3">
      <c r="A145" s="634">
        <v>1</v>
      </c>
      <c r="B145" s="634" t="s">
        <v>1378</v>
      </c>
      <c r="C145" s="624" t="s">
        <v>1391</v>
      </c>
      <c r="D145" s="624" t="s">
        <v>1391</v>
      </c>
      <c r="E145" s="634" t="s">
        <v>1391</v>
      </c>
      <c r="F145" s="624" t="s">
        <v>1391</v>
      </c>
      <c r="G145" s="737" t="s">
        <v>1444</v>
      </c>
      <c r="H145" s="624"/>
      <c r="I145" s="624"/>
      <c r="J145" s="631" t="s">
        <v>1912</v>
      </c>
      <c r="K145" s="646"/>
      <c r="L145" s="646"/>
      <c r="M145" s="646"/>
      <c r="N145" s="646"/>
      <c r="O145" s="646"/>
      <c r="P145" s="646"/>
      <c r="Q145" s="646"/>
      <c r="R145" s="646"/>
      <c r="S145" s="646"/>
      <c r="T145" s="646"/>
      <c r="U145" s="642"/>
      <c r="V145" s="737"/>
      <c r="W145" s="635"/>
      <c r="X145" s="635"/>
      <c r="Y145" s="600"/>
    </row>
    <row r="146" spans="1:25" ht="22.5" customHeight="1" thickTop="1" thickBot="1" x14ac:dyDescent="0.3">
      <c r="A146" s="634">
        <v>1</v>
      </c>
      <c r="B146" s="634" t="s">
        <v>1378</v>
      </c>
      <c r="C146" s="624" t="s">
        <v>1391</v>
      </c>
      <c r="D146" s="624" t="s">
        <v>1391</v>
      </c>
      <c r="E146" s="634" t="s">
        <v>1391</v>
      </c>
      <c r="F146" s="624" t="s">
        <v>1391</v>
      </c>
      <c r="G146" s="737" t="s">
        <v>1467</v>
      </c>
      <c r="H146" s="624"/>
      <c r="I146" s="624"/>
      <c r="J146" s="631" t="s">
        <v>1913</v>
      </c>
      <c r="K146" s="646"/>
      <c r="L146" s="646"/>
      <c r="M146" s="646"/>
      <c r="N146" s="646"/>
      <c r="O146" s="646"/>
      <c r="P146" s="646"/>
      <c r="Q146" s="646"/>
      <c r="R146" s="646"/>
      <c r="S146" s="646"/>
      <c r="T146" s="646"/>
      <c r="U146" s="642"/>
      <c r="V146" s="737"/>
      <c r="W146" s="635"/>
      <c r="X146" s="635"/>
      <c r="Y146" s="600"/>
    </row>
    <row r="147" spans="1:25" ht="22.5" customHeight="1" thickTop="1" thickBot="1" x14ac:dyDescent="0.3">
      <c r="A147" s="634">
        <v>1</v>
      </c>
      <c r="B147" s="634" t="s">
        <v>1378</v>
      </c>
      <c r="C147" s="624" t="s">
        <v>1391</v>
      </c>
      <c r="D147" s="624" t="s">
        <v>1391</v>
      </c>
      <c r="E147" s="634" t="s">
        <v>1391</v>
      </c>
      <c r="F147" s="624" t="s">
        <v>1391</v>
      </c>
      <c r="G147" s="737" t="s">
        <v>1471</v>
      </c>
      <c r="H147" s="624"/>
      <c r="I147" s="624"/>
      <c r="J147" s="631" t="s">
        <v>1914</v>
      </c>
      <c r="K147" s="646"/>
      <c r="L147" s="646"/>
      <c r="M147" s="646"/>
      <c r="N147" s="646"/>
      <c r="O147" s="646"/>
      <c r="P147" s="646"/>
      <c r="Q147" s="646"/>
      <c r="R147" s="646"/>
      <c r="S147" s="646"/>
      <c r="T147" s="646"/>
      <c r="U147" s="642"/>
      <c r="V147" s="737"/>
      <c r="W147" s="635"/>
      <c r="X147" s="635"/>
      <c r="Y147" s="600"/>
    </row>
    <row r="148" spans="1:25" ht="22.5" customHeight="1" thickTop="1" thickBot="1" x14ac:dyDescent="0.3">
      <c r="A148" s="634">
        <v>1</v>
      </c>
      <c r="B148" s="634" t="s">
        <v>1378</v>
      </c>
      <c r="C148" s="624" t="s">
        <v>1391</v>
      </c>
      <c r="D148" s="624" t="s">
        <v>1391</v>
      </c>
      <c r="E148" s="634" t="s">
        <v>1391</v>
      </c>
      <c r="F148" s="624" t="s">
        <v>1391</v>
      </c>
      <c r="G148" s="737" t="s">
        <v>1475</v>
      </c>
      <c r="H148" s="624"/>
      <c r="I148" s="624"/>
      <c r="J148" s="631" t="s">
        <v>1911</v>
      </c>
      <c r="K148" s="646"/>
      <c r="L148" s="646"/>
      <c r="M148" s="646"/>
      <c r="N148" s="646"/>
      <c r="O148" s="646"/>
      <c r="P148" s="646"/>
      <c r="Q148" s="646"/>
      <c r="R148" s="646"/>
      <c r="S148" s="646"/>
      <c r="T148" s="646"/>
      <c r="U148" s="642"/>
      <c r="V148" s="737"/>
      <c r="W148" s="635"/>
      <c r="X148" s="635"/>
      <c r="Y148" s="600"/>
    </row>
    <row r="149" spans="1:25" ht="22.5" customHeight="1" thickTop="1" thickBot="1" x14ac:dyDescent="0.3">
      <c r="A149" s="634">
        <v>1</v>
      </c>
      <c r="B149" s="634" t="s">
        <v>1378</v>
      </c>
      <c r="C149" s="624" t="s">
        <v>1391</v>
      </c>
      <c r="D149" s="624" t="s">
        <v>1391</v>
      </c>
      <c r="E149" s="634" t="s">
        <v>1391</v>
      </c>
      <c r="F149" s="622" t="s">
        <v>1415</v>
      </c>
      <c r="G149" s="624"/>
      <c r="H149" s="624"/>
      <c r="I149" s="624"/>
      <c r="J149" s="637" t="s">
        <v>1458</v>
      </c>
      <c r="K149" s="645"/>
      <c r="L149" s="645"/>
      <c r="M149" s="645"/>
      <c r="N149" s="645"/>
      <c r="O149" s="645"/>
      <c r="P149" s="645"/>
      <c r="Q149" s="645"/>
      <c r="R149" s="645"/>
      <c r="S149" s="645"/>
      <c r="T149" s="645"/>
      <c r="U149" s="639"/>
      <c r="V149" s="622"/>
      <c r="W149" s="635"/>
      <c r="X149" s="635"/>
      <c r="Y149" s="600" t="s">
        <v>1376</v>
      </c>
    </row>
    <row r="150" spans="1:25" ht="22.5" customHeight="1" thickTop="1" thickBot="1" x14ac:dyDescent="0.3">
      <c r="A150" s="634">
        <v>1</v>
      </c>
      <c r="B150" s="634" t="s">
        <v>1378</v>
      </c>
      <c r="C150" s="624" t="s">
        <v>1391</v>
      </c>
      <c r="D150" s="624" t="s">
        <v>1391</v>
      </c>
      <c r="E150" s="634" t="s">
        <v>1391</v>
      </c>
      <c r="F150" s="624" t="s">
        <v>1415</v>
      </c>
      <c r="G150" s="622" t="s">
        <v>1378</v>
      </c>
      <c r="H150" s="624"/>
      <c r="I150" s="624"/>
      <c r="J150" s="640" t="s">
        <v>1459</v>
      </c>
      <c r="K150" s="646"/>
      <c r="L150" s="646"/>
      <c r="M150" s="646"/>
      <c r="N150" s="646"/>
      <c r="O150" s="646"/>
      <c r="P150" s="646"/>
      <c r="Q150" s="646"/>
      <c r="R150" s="646"/>
      <c r="S150" s="646"/>
      <c r="T150" s="646"/>
      <c r="U150" s="642"/>
      <c r="V150" s="622"/>
      <c r="W150" s="635"/>
      <c r="X150" s="635"/>
      <c r="Y150" s="600" t="s">
        <v>1376</v>
      </c>
    </row>
    <row r="151" spans="1:25" ht="22.5" customHeight="1" thickTop="1" thickBot="1" x14ac:dyDescent="0.3">
      <c r="A151" s="634">
        <v>1</v>
      </c>
      <c r="B151" s="634" t="s">
        <v>1378</v>
      </c>
      <c r="C151" s="624" t="s">
        <v>1391</v>
      </c>
      <c r="D151" s="624" t="s">
        <v>1391</v>
      </c>
      <c r="E151" s="634" t="s">
        <v>1391</v>
      </c>
      <c r="F151" s="624" t="s">
        <v>1415</v>
      </c>
      <c r="G151" s="622" t="s">
        <v>1391</v>
      </c>
      <c r="H151" s="624"/>
      <c r="I151" s="624"/>
      <c r="J151" s="640" t="s">
        <v>1460</v>
      </c>
      <c r="K151" s="646"/>
      <c r="L151" s="646"/>
      <c r="M151" s="646"/>
      <c r="N151" s="646"/>
      <c r="O151" s="646"/>
      <c r="P151" s="646"/>
      <c r="Q151" s="646"/>
      <c r="R151" s="646"/>
      <c r="S151" s="646"/>
      <c r="T151" s="646"/>
      <c r="U151" s="642"/>
      <c r="V151" s="622"/>
      <c r="W151" s="635"/>
      <c r="X151" s="635"/>
      <c r="Y151" s="600" t="s">
        <v>1376</v>
      </c>
    </row>
    <row r="152" spans="1:25" ht="22.5" customHeight="1" thickTop="1" thickBot="1" x14ac:dyDescent="0.3">
      <c r="A152" s="634">
        <v>1</v>
      </c>
      <c r="B152" s="634" t="s">
        <v>1378</v>
      </c>
      <c r="C152" s="624" t="s">
        <v>1391</v>
      </c>
      <c r="D152" s="624" t="s">
        <v>1391</v>
      </c>
      <c r="E152" s="634" t="s">
        <v>1391</v>
      </c>
      <c r="F152" s="624" t="s">
        <v>1415</v>
      </c>
      <c r="G152" s="737" t="s">
        <v>1415</v>
      </c>
      <c r="H152" s="624"/>
      <c r="I152" s="624"/>
      <c r="J152" s="631" t="s">
        <v>1915</v>
      </c>
      <c r="K152" s="646"/>
      <c r="L152" s="646"/>
      <c r="M152" s="646"/>
      <c r="N152" s="646"/>
      <c r="O152" s="646"/>
      <c r="P152" s="646"/>
      <c r="Q152" s="646"/>
      <c r="R152" s="646"/>
      <c r="S152" s="646"/>
      <c r="T152" s="646"/>
      <c r="U152" s="642"/>
      <c r="V152" s="737"/>
      <c r="W152" s="635"/>
      <c r="X152" s="635"/>
      <c r="Y152" s="600"/>
    </row>
    <row r="153" spans="1:25" ht="22.5" customHeight="1" thickTop="1" thickBot="1" x14ac:dyDescent="0.3">
      <c r="A153" s="634">
        <v>1</v>
      </c>
      <c r="B153" s="634" t="s">
        <v>1378</v>
      </c>
      <c r="C153" s="624" t="s">
        <v>1391</v>
      </c>
      <c r="D153" s="624" t="s">
        <v>1391</v>
      </c>
      <c r="E153" s="634" t="s">
        <v>1391</v>
      </c>
      <c r="F153" s="624" t="s">
        <v>1415</v>
      </c>
      <c r="G153" s="737" t="s">
        <v>1419</v>
      </c>
      <c r="H153" s="624"/>
      <c r="I153" s="624"/>
      <c r="J153" s="631" t="s">
        <v>1916</v>
      </c>
      <c r="K153" s="646"/>
      <c r="L153" s="646"/>
      <c r="M153" s="646"/>
      <c r="N153" s="646"/>
      <c r="O153" s="646"/>
      <c r="P153" s="646"/>
      <c r="Q153" s="646"/>
      <c r="R153" s="646"/>
      <c r="S153" s="646"/>
      <c r="T153" s="646"/>
      <c r="U153" s="642"/>
      <c r="V153" s="737"/>
      <c r="W153" s="635"/>
      <c r="X153" s="635"/>
      <c r="Y153" s="600"/>
    </row>
    <row r="154" spans="1:25" ht="22.5" customHeight="1" thickTop="1" thickBot="1" x14ac:dyDescent="0.3">
      <c r="A154" s="634">
        <v>1</v>
      </c>
      <c r="B154" s="634" t="s">
        <v>1378</v>
      </c>
      <c r="C154" s="624" t="s">
        <v>1391</v>
      </c>
      <c r="D154" s="624" t="s">
        <v>1391</v>
      </c>
      <c r="E154" s="634" t="s">
        <v>1391</v>
      </c>
      <c r="F154" s="624" t="s">
        <v>1415</v>
      </c>
      <c r="G154" s="737" t="s">
        <v>1444</v>
      </c>
      <c r="H154" s="624"/>
      <c r="I154" s="624"/>
      <c r="J154" s="631" t="s">
        <v>1917</v>
      </c>
      <c r="K154" s="646"/>
      <c r="L154" s="646"/>
      <c r="M154" s="646"/>
      <c r="N154" s="646"/>
      <c r="O154" s="646"/>
      <c r="P154" s="646"/>
      <c r="Q154" s="646"/>
      <c r="R154" s="646"/>
      <c r="S154" s="646"/>
      <c r="T154" s="646"/>
      <c r="U154" s="642"/>
      <c r="V154" s="737"/>
      <c r="W154" s="635"/>
      <c r="X154" s="635"/>
      <c r="Y154" s="600"/>
    </row>
    <row r="155" spans="1:25" ht="22.5" customHeight="1" thickTop="1" thickBot="1" x14ac:dyDescent="0.3">
      <c r="A155" s="634">
        <v>1</v>
      </c>
      <c r="B155" s="634" t="s">
        <v>1378</v>
      </c>
      <c r="C155" s="624" t="s">
        <v>1391</v>
      </c>
      <c r="D155" s="624" t="s">
        <v>1391</v>
      </c>
      <c r="E155" s="634" t="s">
        <v>1391</v>
      </c>
      <c r="F155" s="624" t="s">
        <v>1415</v>
      </c>
      <c r="G155" s="737" t="s">
        <v>1467</v>
      </c>
      <c r="H155" s="624"/>
      <c r="I155" s="624"/>
      <c r="J155" s="631" t="s">
        <v>1918</v>
      </c>
      <c r="K155" s="646"/>
      <c r="L155" s="646"/>
      <c r="M155" s="646"/>
      <c r="N155" s="646"/>
      <c r="O155" s="646"/>
      <c r="P155" s="646"/>
      <c r="Q155" s="646"/>
      <c r="R155" s="646"/>
      <c r="S155" s="646"/>
      <c r="T155" s="646"/>
      <c r="U155" s="642"/>
      <c r="V155" s="737"/>
      <c r="W155" s="635"/>
      <c r="X155" s="635"/>
      <c r="Y155" s="600"/>
    </row>
    <row r="156" spans="1:25" ht="22.5" customHeight="1" thickTop="1" thickBot="1" x14ac:dyDescent="0.3">
      <c r="A156" s="634">
        <v>1</v>
      </c>
      <c r="B156" s="634" t="s">
        <v>1378</v>
      </c>
      <c r="C156" s="624" t="s">
        <v>1391</v>
      </c>
      <c r="D156" s="624" t="s">
        <v>1391</v>
      </c>
      <c r="E156" s="634" t="s">
        <v>1391</v>
      </c>
      <c r="F156" s="624" t="s">
        <v>1415</v>
      </c>
      <c r="G156" s="737" t="s">
        <v>1471</v>
      </c>
      <c r="H156" s="624"/>
      <c r="I156" s="624"/>
      <c r="J156" s="631" t="s">
        <v>1919</v>
      </c>
      <c r="K156" s="646"/>
      <c r="L156" s="646"/>
      <c r="M156" s="646"/>
      <c r="N156" s="646"/>
      <c r="O156" s="646"/>
      <c r="P156" s="646"/>
      <c r="Q156" s="646"/>
      <c r="R156" s="646"/>
      <c r="S156" s="646"/>
      <c r="T156" s="646"/>
      <c r="U156" s="642"/>
      <c r="V156" s="737"/>
      <c r="W156" s="635"/>
      <c r="X156" s="635"/>
      <c r="Y156" s="600"/>
    </row>
    <row r="157" spans="1:25" ht="22.5" customHeight="1" thickTop="1" thickBot="1" x14ac:dyDescent="0.3">
      <c r="A157" s="634">
        <v>1</v>
      </c>
      <c r="B157" s="634" t="s">
        <v>1378</v>
      </c>
      <c r="C157" s="624" t="s">
        <v>1391</v>
      </c>
      <c r="D157" s="624" t="s">
        <v>1391</v>
      </c>
      <c r="E157" s="634" t="s">
        <v>1391</v>
      </c>
      <c r="F157" s="624" t="s">
        <v>1415</v>
      </c>
      <c r="G157" s="737" t="s">
        <v>1475</v>
      </c>
      <c r="H157" s="624"/>
      <c r="I157" s="624"/>
      <c r="J157" s="631" t="s">
        <v>1916</v>
      </c>
      <c r="K157" s="646"/>
      <c r="L157" s="646"/>
      <c r="M157" s="646"/>
      <c r="N157" s="646"/>
      <c r="O157" s="646"/>
      <c r="P157" s="646"/>
      <c r="Q157" s="646"/>
      <c r="R157" s="646"/>
      <c r="S157" s="646"/>
      <c r="T157" s="646"/>
      <c r="U157" s="642"/>
      <c r="V157" s="737"/>
      <c r="W157" s="635"/>
      <c r="X157" s="635"/>
      <c r="Y157" s="600"/>
    </row>
    <row r="158" spans="1:25" ht="22.5" customHeight="1" thickTop="1" thickBot="1" x14ac:dyDescent="0.3">
      <c r="A158" s="634">
        <v>1</v>
      </c>
      <c r="B158" s="634" t="s">
        <v>1378</v>
      </c>
      <c r="C158" s="624" t="s">
        <v>1391</v>
      </c>
      <c r="D158" s="624" t="s">
        <v>1391</v>
      </c>
      <c r="E158" s="634" t="s">
        <v>1391</v>
      </c>
      <c r="F158" s="622" t="s">
        <v>1419</v>
      </c>
      <c r="G158" s="624"/>
      <c r="H158" s="624"/>
      <c r="I158" s="624"/>
      <c r="J158" s="637" t="s">
        <v>1461</v>
      </c>
      <c r="K158" s="645"/>
      <c r="L158" s="645"/>
      <c r="M158" s="645"/>
      <c r="N158" s="645"/>
      <c r="O158" s="645"/>
      <c r="P158" s="645"/>
      <c r="Q158" s="645"/>
      <c r="R158" s="645"/>
      <c r="S158" s="645"/>
      <c r="T158" s="645"/>
      <c r="U158" s="639"/>
      <c r="V158" s="622"/>
      <c r="W158" s="635"/>
      <c r="X158" s="635"/>
      <c r="Y158" s="600" t="s">
        <v>1376</v>
      </c>
    </row>
    <row r="159" spans="1:25" ht="22.5" customHeight="1" thickTop="1" thickBot="1" x14ac:dyDescent="0.3">
      <c r="A159" s="634">
        <v>1</v>
      </c>
      <c r="B159" s="634" t="s">
        <v>1378</v>
      </c>
      <c r="C159" s="624" t="s">
        <v>1391</v>
      </c>
      <c r="D159" s="624" t="s">
        <v>1391</v>
      </c>
      <c r="E159" s="634" t="s">
        <v>1391</v>
      </c>
      <c r="F159" s="624" t="s">
        <v>1419</v>
      </c>
      <c r="G159" s="622" t="s">
        <v>1378</v>
      </c>
      <c r="H159" s="624"/>
      <c r="I159" s="624"/>
      <c r="J159" s="640" t="s">
        <v>1462</v>
      </c>
      <c r="K159" s="646"/>
      <c r="L159" s="646"/>
      <c r="M159" s="646"/>
      <c r="N159" s="646"/>
      <c r="O159" s="646"/>
      <c r="P159" s="646"/>
      <c r="Q159" s="646"/>
      <c r="R159" s="646"/>
      <c r="S159" s="646"/>
      <c r="T159" s="646"/>
      <c r="U159" s="642"/>
      <c r="V159" s="622"/>
      <c r="W159" s="635"/>
      <c r="X159" s="635"/>
      <c r="Y159" s="600" t="s">
        <v>1376</v>
      </c>
    </row>
    <row r="160" spans="1:25" ht="22.5" customHeight="1" thickTop="1" thickBot="1" x14ac:dyDescent="0.3">
      <c r="A160" s="634">
        <v>1</v>
      </c>
      <c r="B160" s="634" t="s">
        <v>1378</v>
      </c>
      <c r="C160" s="624" t="s">
        <v>1391</v>
      </c>
      <c r="D160" s="624" t="s">
        <v>1391</v>
      </c>
      <c r="E160" s="634" t="s">
        <v>1391</v>
      </c>
      <c r="F160" s="624" t="s">
        <v>1419</v>
      </c>
      <c r="G160" s="622" t="s">
        <v>1391</v>
      </c>
      <c r="H160" s="624"/>
      <c r="I160" s="624"/>
      <c r="J160" s="640" t="s">
        <v>1463</v>
      </c>
      <c r="K160" s="646"/>
      <c r="L160" s="646"/>
      <c r="M160" s="646"/>
      <c r="N160" s="646"/>
      <c r="O160" s="646"/>
      <c r="P160" s="646"/>
      <c r="Q160" s="646"/>
      <c r="R160" s="646"/>
      <c r="S160" s="646"/>
      <c r="T160" s="646"/>
      <c r="U160" s="642"/>
      <c r="V160" s="622"/>
      <c r="W160" s="635"/>
      <c r="X160" s="635"/>
      <c r="Y160" s="600" t="s">
        <v>1376</v>
      </c>
    </row>
    <row r="161" spans="1:25" ht="22.5" customHeight="1" thickTop="1" thickBot="1" x14ac:dyDescent="0.3">
      <c r="A161" s="634">
        <v>1</v>
      </c>
      <c r="B161" s="634" t="s">
        <v>1378</v>
      </c>
      <c r="C161" s="624" t="s">
        <v>1391</v>
      </c>
      <c r="D161" s="624" t="s">
        <v>1391</v>
      </c>
      <c r="E161" s="634" t="s">
        <v>1391</v>
      </c>
      <c r="F161" s="622" t="s">
        <v>1444</v>
      </c>
      <c r="G161" s="624"/>
      <c r="H161" s="624"/>
      <c r="I161" s="624"/>
      <c r="J161" s="637" t="s">
        <v>1464</v>
      </c>
      <c r="K161" s="645"/>
      <c r="L161" s="645"/>
      <c r="M161" s="645"/>
      <c r="N161" s="645"/>
      <c r="O161" s="645"/>
      <c r="P161" s="645"/>
      <c r="Q161" s="645"/>
      <c r="R161" s="645"/>
      <c r="S161" s="645"/>
      <c r="T161" s="645"/>
      <c r="U161" s="639"/>
      <c r="V161" s="622"/>
      <c r="W161" s="635"/>
      <c r="X161" s="635"/>
      <c r="Y161" s="600" t="s">
        <v>1376</v>
      </c>
    </row>
    <row r="162" spans="1:25" ht="22.5" customHeight="1" thickTop="1" thickBot="1" x14ac:dyDescent="0.3">
      <c r="A162" s="634">
        <v>1</v>
      </c>
      <c r="B162" s="634" t="s">
        <v>1378</v>
      </c>
      <c r="C162" s="624" t="s">
        <v>1391</v>
      </c>
      <c r="D162" s="624" t="s">
        <v>1391</v>
      </c>
      <c r="E162" s="634" t="s">
        <v>1391</v>
      </c>
      <c r="F162" s="624" t="s">
        <v>1444</v>
      </c>
      <c r="G162" s="622" t="s">
        <v>1378</v>
      </c>
      <c r="H162" s="624"/>
      <c r="I162" s="624"/>
      <c r="J162" s="640" t="s">
        <v>1465</v>
      </c>
      <c r="K162" s="646"/>
      <c r="L162" s="646"/>
      <c r="M162" s="646"/>
      <c r="N162" s="646"/>
      <c r="O162" s="646"/>
      <c r="P162" s="646"/>
      <c r="Q162" s="646"/>
      <c r="R162" s="646"/>
      <c r="S162" s="646"/>
      <c r="T162" s="646"/>
      <c r="U162" s="642"/>
      <c r="V162" s="622"/>
      <c r="W162" s="635"/>
      <c r="X162" s="635"/>
      <c r="Y162" s="600" t="s">
        <v>1376</v>
      </c>
    </row>
    <row r="163" spans="1:25" ht="22.5" customHeight="1" thickTop="1" thickBot="1" x14ac:dyDescent="0.3">
      <c r="A163" s="634">
        <v>1</v>
      </c>
      <c r="B163" s="634" t="s">
        <v>1378</v>
      </c>
      <c r="C163" s="624" t="s">
        <v>1391</v>
      </c>
      <c r="D163" s="624" t="s">
        <v>1391</v>
      </c>
      <c r="E163" s="634" t="s">
        <v>1391</v>
      </c>
      <c r="F163" s="624" t="s">
        <v>1444</v>
      </c>
      <c r="G163" s="622" t="s">
        <v>1391</v>
      </c>
      <c r="H163" s="624"/>
      <c r="I163" s="624"/>
      <c r="J163" s="640" t="s">
        <v>1466</v>
      </c>
      <c r="K163" s="646"/>
      <c r="L163" s="646"/>
      <c r="M163" s="646"/>
      <c r="N163" s="646"/>
      <c r="O163" s="646"/>
      <c r="P163" s="646"/>
      <c r="Q163" s="646"/>
      <c r="R163" s="646"/>
      <c r="S163" s="646"/>
      <c r="T163" s="646"/>
      <c r="U163" s="642"/>
      <c r="V163" s="622"/>
      <c r="W163" s="635"/>
      <c r="X163" s="635"/>
      <c r="Y163" s="600" t="s">
        <v>1376</v>
      </c>
    </row>
    <row r="164" spans="1:25" ht="22.5" customHeight="1" thickTop="1" thickBot="1" x14ac:dyDescent="0.3">
      <c r="A164" s="634">
        <v>1</v>
      </c>
      <c r="B164" s="634" t="s">
        <v>1378</v>
      </c>
      <c r="C164" s="624" t="s">
        <v>1391</v>
      </c>
      <c r="D164" s="624" t="s">
        <v>1391</v>
      </c>
      <c r="E164" s="634" t="s">
        <v>1391</v>
      </c>
      <c r="F164" s="622" t="s">
        <v>1467</v>
      </c>
      <c r="G164" s="624"/>
      <c r="H164" s="624"/>
      <c r="I164" s="624"/>
      <c r="J164" s="637" t="s">
        <v>1468</v>
      </c>
      <c r="K164" s="645"/>
      <c r="L164" s="645"/>
      <c r="M164" s="645"/>
      <c r="N164" s="645"/>
      <c r="O164" s="645"/>
      <c r="P164" s="645"/>
      <c r="Q164" s="645"/>
      <c r="R164" s="645"/>
      <c r="S164" s="645"/>
      <c r="T164" s="645"/>
      <c r="U164" s="639"/>
      <c r="V164" s="622"/>
      <c r="W164" s="635"/>
      <c r="X164" s="635"/>
      <c r="Y164" s="600" t="s">
        <v>1376</v>
      </c>
    </row>
    <row r="165" spans="1:25" ht="22.5" customHeight="1" thickTop="1" thickBot="1" x14ac:dyDescent="0.3">
      <c r="A165" s="634">
        <v>1</v>
      </c>
      <c r="B165" s="634" t="s">
        <v>1378</v>
      </c>
      <c r="C165" s="624" t="s">
        <v>1391</v>
      </c>
      <c r="D165" s="624" t="s">
        <v>1391</v>
      </c>
      <c r="E165" s="634" t="s">
        <v>1391</v>
      </c>
      <c r="F165" s="624" t="s">
        <v>1467</v>
      </c>
      <c r="G165" s="622" t="s">
        <v>1378</v>
      </c>
      <c r="H165" s="624"/>
      <c r="I165" s="624"/>
      <c r="J165" s="640" t="s">
        <v>1469</v>
      </c>
      <c r="K165" s="646"/>
      <c r="L165" s="646"/>
      <c r="M165" s="646"/>
      <c r="N165" s="646"/>
      <c r="O165" s="646"/>
      <c r="P165" s="646"/>
      <c r="Q165" s="646"/>
      <c r="R165" s="646"/>
      <c r="S165" s="646"/>
      <c r="T165" s="646"/>
      <c r="U165" s="642"/>
      <c r="V165" s="622"/>
      <c r="W165" s="635"/>
      <c r="X165" s="635"/>
      <c r="Y165" s="600" t="s">
        <v>1376</v>
      </c>
    </row>
    <row r="166" spans="1:25" ht="22.5" customHeight="1" thickTop="1" thickBot="1" x14ac:dyDescent="0.3">
      <c r="A166" s="634">
        <v>1</v>
      </c>
      <c r="B166" s="634" t="s">
        <v>1378</v>
      </c>
      <c r="C166" s="624" t="s">
        <v>1391</v>
      </c>
      <c r="D166" s="624" t="s">
        <v>1391</v>
      </c>
      <c r="E166" s="634" t="s">
        <v>1391</v>
      </c>
      <c r="F166" s="624" t="s">
        <v>1467</v>
      </c>
      <c r="G166" s="622" t="s">
        <v>1391</v>
      </c>
      <c r="H166" s="624"/>
      <c r="I166" s="624"/>
      <c r="J166" s="640" t="s">
        <v>1470</v>
      </c>
      <c r="K166" s="646"/>
      <c r="L166" s="646"/>
      <c r="M166" s="646"/>
      <c r="N166" s="646"/>
      <c r="O166" s="646"/>
      <c r="P166" s="646"/>
      <c r="Q166" s="646"/>
      <c r="R166" s="646"/>
      <c r="S166" s="646"/>
      <c r="T166" s="646"/>
      <c r="U166" s="642"/>
      <c r="V166" s="622"/>
      <c r="W166" s="635"/>
      <c r="X166" s="635"/>
      <c r="Y166" s="600" t="s">
        <v>1376</v>
      </c>
    </row>
    <row r="167" spans="1:25" ht="22.5" customHeight="1" thickTop="1" thickBot="1" x14ac:dyDescent="0.3">
      <c r="A167" s="634">
        <v>1</v>
      </c>
      <c r="B167" s="634" t="s">
        <v>1378</v>
      </c>
      <c r="C167" s="624" t="s">
        <v>1391</v>
      </c>
      <c r="D167" s="624" t="s">
        <v>1391</v>
      </c>
      <c r="E167" s="634" t="s">
        <v>1391</v>
      </c>
      <c r="F167" s="622" t="s">
        <v>1471</v>
      </c>
      <c r="G167" s="624"/>
      <c r="H167" s="624"/>
      <c r="I167" s="624"/>
      <c r="J167" s="637" t="s">
        <v>1472</v>
      </c>
      <c r="K167" s="645"/>
      <c r="L167" s="645"/>
      <c r="M167" s="645"/>
      <c r="N167" s="645"/>
      <c r="O167" s="645"/>
      <c r="P167" s="645"/>
      <c r="Q167" s="645"/>
      <c r="R167" s="645"/>
      <c r="S167" s="645"/>
      <c r="T167" s="645"/>
      <c r="U167" s="639"/>
      <c r="V167" s="622"/>
      <c r="W167" s="635"/>
      <c r="X167" s="635"/>
      <c r="Y167" s="600" t="s">
        <v>1376</v>
      </c>
    </row>
    <row r="168" spans="1:25" ht="22.5" customHeight="1" thickTop="1" thickBot="1" x14ac:dyDescent="0.3">
      <c r="A168" s="634">
        <v>1</v>
      </c>
      <c r="B168" s="634" t="s">
        <v>1378</v>
      </c>
      <c r="C168" s="624" t="s">
        <v>1391</v>
      </c>
      <c r="D168" s="624" t="s">
        <v>1391</v>
      </c>
      <c r="E168" s="634" t="s">
        <v>1391</v>
      </c>
      <c r="F168" s="624" t="s">
        <v>1471</v>
      </c>
      <c r="G168" s="622" t="s">
        <v>1378</v>
      </c>
      <c r="H168" s="624"/>
      <c r="I168" s="624"/>
      <c r="J168" s="640" t="s">
        <v>1473</v>
      </c>
      <c r="K168" s="646"/>
      <c r="L168" s="646"/>
      <c r="M168" s="646"/>
      <c r="N168" s="646"/>
      <c r="O168" s="646"/>
      <c r="P168" s="646"/>
      <c r="Q168" s="646"/>
      <c r="R168" s="646"/>
      <c r="S168" s="646"/>
      <c r="T168" s="646"/>
      <c r="U168" s="642"/>
      <c r="V168" s="622"/>
      <c r="W168" s="635"/>
      <c r="X168" s="635"/>
      <c r="Y168" s="600" t="s">
        <v>1376</v>
      </c>
    </row>
    <row r="169" spans="1:25" ht="22.5" customHeight="1" thickTop="1" thickBot="1" x14ac:dyDescent="0.3">
      <c r="A169" s="634">
        <v>1</v>
      </c>
      <c r="B169" s="634" t="s">
        <v>1378</v>
      </c>
      <c r="C169" s="624" t="s">
        <v>1391</v>
      </c>
      <c r="D169" s="624" t="s">
        <v>1391</v>
      </c>
      <c r="E169" s="634" t="s">
        <v>1391</v>
      </c>
      <c r="F169" s="624" t="s">
        <v>1471</v>
      </c>
      <c r="G169" s="622" t="s">
        <v>1391</v>
      </c>
      <c r="H169" s="624"/>
      <c r="I169" s="624"/>
      <c r="J169" s="640" t="s">
        <v>1474</v>
      </c>
      <c r="K169" s="646"/>
      <c r="L169" s="646"/>
      <c r="M169" s="646"/>
      <c r="N169" s="646"/>
      <c r="O169" s="646"/>
      <c r="P169" s="646"/>
      <c r="Q169" s="646"/>
      <c r="R169" s="646"/>
      <c r="S169" s="646"/>
      <c r="T169" s="646"/>
      <c r="U169" s="642"/>
      <c r="V169" s="622"/>
      <c r="W169" s="635"/>
      <c r="X169" s="635"/>
      <c r="Y169" s="600" t="s">
        <v>1376</v>
      </c>
    </row>
    <row r="170" spans="1:25" ht="22.5" customHeight="1" thickTop="1" thickBot="1" x14ac:dyDescent="0.3">
      <c r="A170" s="634">
        <v>1</v>
      </c>
      <c r="B170" s="634" t="s">
        <v>1378</v>
      </c>
      <c r="C170" s="624" t="s">
        <v>1391</v>
      </c>
      <c r="D170" s="624" t="s">
        <v>1391</v>
      </c>
      <c r="E170" s="634" t="s">
        <v>1391</v>
      </c>
      <c r="F170" s="622" t="s">
        <v>1475</v>
      </c>
      <c r="G170" s="624"/>
      <c r="H170" s="624"/>
      <c r="I170" s="624"/>
      <c r="J170" s="637" t="s">
        <v>1476</v>
      </c>
      <c r="K170" s="645"/>
      <c r="L170" s="645"/>
      <c r="M170" s="645"/>
      <c r="N170" s="645"/>
      <c r="O170" s="645"/>
      <c r="P170" s="645"/>
      <c r="Q170" s="645"/>
      <c r="R170" s="645"/>
      <c r="S170" s="645"/>
      <c r="T170" s="645"/>
      <c r="U170" s="639"/>
      <c r="V170" s="622"/>
      <c r="W170" s="635"/>
      <c r="X170" s="635"/>
      <c r="Y170" s="600" t="s">
        <v>1376</v>
      </c>
    </row>
    <row r="171" spans="1:25" ht="22.5" customHeight="1" thickTop="1" thickBot="1" x14ac:dyDescent="0.3">
      <c r="A171" s="634">
        <v>1</v>
      </c>
      <c r="B171" s="634" t="s">
        <v>1378</v>
      </c>
      <c r="C171" s="624" t="s">
        <v>1391</v>
      </c>
      <c r="D171" s="624" t="s">
        <v>1391</v>
      </c>
      <c r="E171" s="634" t="s">
        <v>1391</v>
      </c>
      <c r="F171" s="624" t="s">
        <v>1475</v>
      </c>
      <c r="G171" s="622" t="s">
        <v>1378</v>
      </c>
      <c r="H171" s="624"/>
      <c r="I171" s="624"/>
      <c r="J171" s="640" t="s">
        <v>1477</v>
      </c>
      <c r="K171" s="646"/>
      <c r="L171" s="646"/>
      <c r="M171" s="646"/>
      <c r="N171" s="646"/>
      <c r="O171" s="646"/>
      <c r="P171" s="646"/>
      <c r="Q171" s="646"/>
      <c r="R171" s="646"/>
      <c r="S171" s="646"/>
      <c r="T171" s="646"/>
      <c r="U171" s="642"/>
      <c r="V171" s="622"/>
      <c r="W171" s="635"/>
      <c r="X171" s="635"/>
      <c r="Y171" s="600" t="s">
        <v>1376</v>
      </c>
    </row>
    <row r="172" spans="1:25" ht="22.5" customHeight="1" thickTop="1" thickBot="1" x14ac:dyDescent="0.3">
      <c r="A172" s="634">
        <v>1</v>
      </c>
      <c r="B172" s="634" t="s">
        <v>1378</v>
      </c>
      <c r="C172" s="624" t="s">
        <v>1391</v>
      </c>
      <c r="D172" s="624" t="s">
        <v>1391</v>
      </c>
      <c r="E172" s="634" t="s">
        <v>1391</v>
      </c>
      <c r="F172" s="624" t="s">
        <v>1475</v>
      </c>
      <c r="G172" s="622" t="s">
        <v>1391</v>
      </c>
      <c r="H172" s="624"/>
      <c r="I172" s="624"/>
      <c r="J172" s="640" t="s">
        <v>1478</v>
      </c>
      <c r="K172" s="646"/>
      <c r="L172" s="646"/>
      <c r="M172" s="646"/>
      <c r="N172" s="646"/>
      <c r="O172" s="646"/>
      <c r="P172" s="646"/>
      <c r="Q172" s="646"/>
      <c r="R172" s="646"/>
      <c r="S172" s="646"/>
      <c r="T172" s="646"/>
      <c r="U172" s="642"/>
      <c r="V172" s="622"/>
      <c r="W172" s="635"/>
      <c r="X172" s="635"/>
      <c r="Y172" s="600" t="s">
        <v>1376</v>
      </c>
    </row>
    <row r="173" spans="1:25" ht="22.5" customHeight="1" thickTop="1" thickBot="1" x14ac:dyDescent="0.3">
      <c r="A173" s="615" t="s">
        <v>1374</v>
      </c>
      <c r="B173" s="616" t="s">
        <v>1378</v>
      </c>
      <c r="C173" s="616" t="s">
        <v>1391</v>
      </c>
      <c r="D173" s="616" t="s">
        <v>1415</v>
      </c>
      <c r="E173" s="616"/>
      <c r="F173" s="617"/>
      <c r="G173" s="617"/>
      <c r="H173" s="617"/>
      <c r="I173" s="617"/>
      <c r="J173" s="618" t="s">
        <v>1479</v>
      </c>
      <c r="K173" s="619"/>
      <c r="L173" s="619"/>
      <c r="M173" s="619"/>
      <c r="N173" s="619"/>
      <c r="O173" s="619"/>
      <c r="P173" s="619"/>
      <c r="Q173" s="619"/>
      <c r="R173" s="619"/>
      <c r="S173" s="619"/>
      <c r="T173" s="619"/>
      <c r="U173" s="620"/>
      <c r="V173" s="616"/>
      <c r="W173" s="621" t="s">
        <v>1480</v>
      </c>
      <c r="X173" s="621" t="s">
        <v>1481</v>
      </c>
      <c r="Y173" s="600" t="s">
        <v>1376</v>
      </c>
    </row>
    <row r="174" spans="1:25" s="183" customFormat="1" ht="22.5" customHeight="1" thickTop="1" thickBot="1" x14ac:dyDescent="0.3">
      <c r="A174" s="622" t="s">
        <v>1374</v>
      </c>
      <c r="B174" s="622" t="s">
        <v>1378</v>
      </c>
      <c r="C174" s="622" t="s">
        <v>1391</v>
      </c>
      <c r="D174" s="622" t="s">
        <v>1415</v>
      </c>
      <c r="E174" s="623" t="s">
        <v>1378</v>
      </c>
      <c r="F174" s="622"/>
      <c r="G174" s="622"/>
      <c r="H174" s="624"/>
      <c r="I174" s="624"/>
      <c r="J174" s="625" t="s">
        <v>1296</v>
      </c>
      <c r="K174" s="645"/>
      <c r="L174" s="645"/>
      <c r="M174" s="645"/>
      <c r="N174" s="645"/>
      <c r="O174" s="645"/>
      <c r="P174" s="645"/>
      <c r="Q174" s="645"/>
      <c r="R174" s="645"/>
      <c r="S174" s="645"/>
      <c r="T174" s="645"/>
      <c r="U174" s="639"/>
      <c r="V174" s="628"/>
      <c r="W174" s="629" t="s">
        <v>1482</v>
      </c>
      <c r="X174" s="629" t="s">
        <v>1483</v>
      </c>
      <c r="Y174" s="600" t="s">
        <v>1376</v>
      </c>
    </row>
    <row r="175" spans="1:25" ht="22.5" customHeight="1" thickTop="1" thickBot="1" x14ac:dyDescent="0.3">
      <c r="A175" s="634" t="s">
        <v>1374</v>
      </c>
      <c r="B175" s="624" t="s">
        <v>1378</v>
      </c>
      <c r="C175" s="624" t="s">
        <v>1391</v>
      </c>
      <c r="D175" s="624" t="s">
        <v>1415</v>
      </c>
      <c r="E175" s="624" t="s">
        <v>1378</v>
      </c>
      <c r="F175" s="622" t="s">
        <v>1378</v>
      </c>
      <c r="G175" s="624"/>
      <c r="H175" s="624"/>
      <c r="I175" s="624"/>
      <c r="J175" s="625" t="s">
        <v>1484</v>
      </c>
      <c r="K175" s="645"/>
      <c r="L175" s="645"/>
      <c r="M175" s="645"/>
      <c r="N175" s="645"/>
      <c r="O175" s="645"/>
      <c r="P175" s="645"/>
      <c r="Q175" s="645"/>
      <c r="R175" s="645"/>
      <c r="S175" s="645"/>
      <c r="T175" s="645"/>
      <c r="U175" s="639"/>
      <c r="V175" s="634"/>
      <c r="W175" s="635" t="s">
        <v>1485</v>
      </c>
      <c r="X175" s="635" t="s">
        <v>1486</v>
      </c>
      <c r="Y175" s="600" t="s">
        <v>1376</v>
      </c>
    </row>
    <row r="176" spans="1:25" ht="22.5" customHeight="1" thickTop="1" thickBot="1" x14ac:dyDescent="0.3">
      <c r="A176" s="634" t="s">
        <v>1374</v>
      </c>
      <c r="B176" s="624" t="s">
        <v>1378</v>
      </c>
      <c r="C176" s="624" t="s">
        <v>1391</v>
      </c>
      <c r="D176" s="624" t="s">
        <v>1415</v>
      </c>
      <c r="E176" s="624" t="s">
        <v>1378</v>
      </c>
      <c r="F176" s="624" t="s">
        <v>1378</v>
      </c>
      <c r="G176" s="622" t="s">
        <v>1378</v>
      </c>
      <c r="H176" s="624"/>
      <c r="I176" s="624"/>
      <c r="J176" s="631" t="s">
        <v>1487</v>
      </c>
      <c r="K176" s="645"/>
      <c r="L176" s="645"/>
      <c r="M176" s="645"/>
      <c r="N176" s="645"/>
      <c r="O176" s="645"/>
      <c r="P176" s="645"/>
      <c r="Q176" s="645"/>
      <c r="R176" s="645"/>
      <c r="S176" s="645"/>
      <c r="T176" s="645"/>
      <c r="U176" s="639"/>
      <c r="V176" s="634"/>
      <c r="W176" s="635"/>
      <c r="X176" s="635"/>
      <c r="Y176" s="600" t="s">
        <v>1376</v>
      </c>
    </row>
    <row r="177" spans="1:25" ht="22.5" customHeight="1" thickTop="1" thickBot="1" x14ac:dyDescent="0.3">
      <c r="A177" s="634" t="s">
        <v>1374</v>
      </c>
      <c r="B177" s="624" t="s">
        <v>1378</v>
      </c>
      <c r="C177" s="624" t="s">
        <v>1391</v>
      </c>
      <c r="D177" s="624" t="s">
        <v>1415</v>
      </c>
      <c r="E177" s="624" t="s">
        <v>1378</v>
      </c>
      <c r="F177" s="624" t="s">
        <v>1378</v>
      </c>
      <c r="G177" s="622" t="s">
        <v>1391</v>
      </c>
      <c r="H177" s="624"/>
      <c r="I177" s="624"/>
      <c r="J177" s="631" t="s">
        <v>1488</v>
      </c>
      <c r="K177" s="646"/>
      <c r="L177" s="646"/>
      <c r="M177" s="646"/>
      <c r="N177" s="646"/>
      <c r="O177" s="646"/>
      <c r="P177" s="646"/>
      <c r="Q177" s="646"/>
      <c r="R177" s="646"/>
      <c r="S177" s="646"/>
      <c r="T177" s="646"/>
      <c r="U177" s="642"/>
      <c r="V177" s="634"/>
      <c r="W177" s="635"/>
      <c r="X177" s="635"/>
      <c r="Y177" s="600" t="s">
        <v>1376</v>
      </c>
    </row>
    <row r="178" spans="1:25" ht="22.5" customHeight="1" thickTop="1" thickBot="1" x14ac:dyDescent="0.3">
      <c r="A178" s="634" t="s">
        <v>1374</v>
      </c>
      <c r="B178" s="624" t="s">
        <v>1378</v>
      </c>
      <c r="C178" s="624" t="s">
        <v>1391</v>
      </c>
      <c r="D178" s="624" t="s">
        <v>1415</v>
      </c>
      <c r="E178" s="624" t="s">
        <v>1378</v>
      </c>
      <c r="F178" s="624" t="s">
        <v>1378</v>
      </c>
      <c r="G178" s="737" t="s">
        <v>1415</v>
      </c>
      <c r="H178" s="624"/>
      <c r="I178" s="624"/>
      <c r="J178" s="631" t="s">
        <v>1952</v>
      </c>
      <c r="K178" s="646"/>
      <c r="L178" s="646"/>
      <c r="M178" s="646"/>
      <c r="N178" s="646"/>
      <c r="O178" s="646"/>
      <c r="P178" s="646"/>
      <c r="Q178" s="646"/>
      <c r="R178" s="646"/>
      <c r="S178" s="646"/>
      <c r="T178" s="646"/>
      <c r="U178" s="642"/>
      <c r="V178" s="634"/>
      <c r="W178" s="635"/>
      <c r="X178" s="635"/>
      <c r="Y178" s="600"/>
    </row>
    <row r="179" spans="1:25" ht="22.5" customHeight="1" thickTop="1" thickBot="1" x14ac:dyDescent="0.3">
      <c r="A179" s="634" t="s">
        <v>1374</v>
      </c>
      <c r="B179" s="624" t="s">
        <v>1378</v>
      </c>
      <c r="C179" s="624" t="s">
        <v>1391</v>
      </c>
      <c r="D179" s="624" t="s">
        <v>1415</v>
      </c>
      <c r="E179" s="624" t="s">
        <v>1378</v>
      </c>
      <c r="F179" s="624" t="s">
        <v>1378</v>
      </c>
      <c r="G179" s="737" t="s">
        <v>1419</v>
      </c>
      <c r="H179" s="624"/>
      <c r="I179" s="624"/>
      <c r="J179" s="631" t="s">
        <v>1953</v>
      </c>
      <c r="K179" s="646"/>
      <c r="L179" s="646"/>
      <c r="M179" s="646"/>
      <c r="N179" s="646"/>
      <c r="O179" s="646"/>
      <c r="P179" s="646"/>
      <c r="Q179" s="646"/>
      <c r="R179" s="646"/>
      <c r="S179" s="646"/>
      <c r="T179" s="646"/>
      <c r="U179" s="642"/>
      <c r="V179" s="634"/>
      <c r="W179" s="635"/>
      <c r="X179" s="635"/>
      <c r="Y179" s="600"/>
    </row>
    <row r="180" spans="1:25" ht="22.5" customHeight="1" thickTop="1" thickBot="1" x14ac:dyDescent="0.3">
      <c r="A180" s="634" t="s">
        <v>1374</v>
      </c>
      <c r="B180" s="624" t="s">
        <v>1378</v>
      </c>
      <c r="C180" s="624" t="s">
        <v>1391</v>
      </c>
      <c r="D180" s="624" t="s">
        <v>1415</v>
      </c>
      <c r="E180" s="624" t="s">
        <v>1378</v>
      </c>
      <c r="F180" s="624" t="s">
        <v>1378</v>
      </c>
      <c r="G180" s="737" t="s">
        <v>1444</v>
      </c>
      <c r="H180" s="624"/>
      <c r="I180" s="624"/>
      <c r="J180" s="631" t="s">
        <v>1954</v>
      </c>
      <c r="K180" s="646"/>
      <c r="L180" s="646"/>
      <c r="M180" s="646"/>
      <c r="N180" s="646"/>
      <c r="O180" s="646"/>
      <c r="P180" s="646"/>
      <c r="Q180" s="646"/>
      <c r="R180" s="646"/>
      <c r="S180" s="646"/>
      <c r="T180" s="646"/>
      <c r="U180" s="642"/>
      <c r="V180" s="634"/>
      <c r="W180" s="635"/>
      <c r="X180" s="635"/>
      <c r="Y180" s="600"/>
    </row>
    <row r="181" spans="1:25" ht="22.5" customHeight="1" thickTop="1" thickBot="1" x14ac:dyDescent="0.3">
      <c r="A181" s="634" t="s">
        <v>1374</v>
      </c>
      <c r="B181" s="624" t="s">
        <v>1378</v>
      </c>
      <c r="C181" s="624" t="s">
        <v>1391</v>
      </c>
      <c r="D181" s="624" t="s">
        <v>1415</v>
      </c>
      <c r="E181" s="624" t="s">
        <v>1378</v>
      </c>
      <c r="F181" s="624" t="s">
        <v>1378</v>
      </c>
      <c r="G181" s="737" t="s">
        <v>1467</v>
      </c>
      <c r="H181" s="624"/>
      <c r="I181" s="624"/>
      <c r="J181" s="631" t="s">
        <v>1955</v>
      </c>
      <c r="K181" s="646"/>
      <c r="L181" s="646"/>
      <c r="M181" s="646"/>
      <c r="N181" s="646"/>
      <c r="O181" s="646"/>
      <c r="P181" s="646"/>
      <c r="Q181" s="646"/>
      <c r="R181" s="646"/>
      <c r="S181" s="646"/>
      <c r="T181" s="646"/>
      <c r="U181" s="642"/>
      <c r="V181" s="634"/>
      <c r="W181" s="635"/>
      <c r="X181" s="635"/>
      <c r="Y181" s="600"/>
    </row>
    <row r="182" spans="1:25" ht="22.5" customHeight="1" thickTop="1" thickBot="1" x14ac:dyDescent="0.3">
      <c r="A182" s="634" t="s">
        <v>1374</v>
      </c>
      <c r="B182" s="624" t="s">
        <v>1378</v>
      </c>
      <c r="C182" s="624" t="s">
        <v>1391</v>
      </c>
      <c r="D182" s="624" t="s">
        <v>1415</v>
      </c>
      <c r="E182" s="624" t="s">
        <v>1378</v>
      </c>
      <c r="F182" s="624" t="s">
        <v>1378</v>
      </c>
      <c r="G182" s="737" t="s">
        <v>1471</v>
      </c>
      <c r="H182" s="624"/>
      <c r="I182" s="624"/>
      <c r="J182" s="631" t="s">
        <v>1956</v>
      </c>
      <c r="K182" s="646"/>
      <c r="L182" s="646"/>
      <c r="M182" s="646"/>
      <c r="N182" s="646"/>
      <c r="O182" s="646"/>
      <c r="P182" s="646"/>
      <c r="Q182" s="646"/>
      <c r="R182" s="646"/>
      <c r="S182" s="646"/>
      <c r="T182" s="646"/>
      <c r="U182" s="642"/>
      <c r="V182" s="634"/>
      <c r="W182" s="635"/>
      <c r="X182" s="635"/>
      <c r="Y182" s="600"/>
    </row>
    <row r="183" spans="1:25" ht="22.5" customHeight="1" thickTop="1" thickBot="1" x14ac:dyDescent="0.3">
      <c r="A183" s="634" t="s">
        <v>1374</v>
      </c>
      <c r="B183" s="624" t="s">
        <v>1378</v>
      </c>
      <c r="C183" s="624" t="s">
        <v>1391</v>
      </c>
      <c r="D183" s="624" t="s">
        <v>1415</v>
      </c>
      <c r="E183" s="624" t="s">
        <v>1378</v>
      </c>
      <c r="F183" s="624" t="s">
        <v>1378</v>
      </c>
      <c r="G183" s="737" t="s">
        <v>1475</v>
      </c>
      <c r="H183" s="624"/>
      <c r="I183" s="624"/>
      <c r="J183" s="631" t="s">
        <v>1953</v>
      </c>
      <c r="K183" s="646"/>
      <c r="L183" s="646"/>
      <c r="M183" s="646"/>
      <c r="N183" s="646"/>
      <c r="O183" s="646"/>
      <c r="P183" s="646"/>
      <c r="Q183" s="646"/>
      <c r="R183" s="646"/>
      <c r="S183" s="646"/>
      <c r="T183" s="646"/>
      <c r="U183" s="642"/>
      <c r="V183" s="634"/>
      <c r="W183" s="635"/>
      <c r="X183" s="635"/>
      <c r="Y183" s="600"/>
    </row>
    <row r="184" spans="1:25" s="747" customFormat="1" ht="22.5" customHeight="1" thickTop="1" thickBot="1" x14ac:dyDescent="0.3">
      <c r="A184" s="739" t="s">
        <v>1374</v>
      </c>
      <c r="B184" s="740" t="s">
        <v>1378</v>
      </c>
      <c r="C184" s="740" t="s">
        <v>1391</v>
      </c>
      <c r="D184" s="740" t="s">
        <v>1415</v>
      </c>
      <c r="E184" s="740" t="s">
        <v>1378</v>
      </c>
      <c r="F184" s="741" t="s">
        <v>1391</v>
      </c>
      <c r="G184" s="740"/>
      <c r="H184" s="740"/>
      <c r="I184" s="740"/>
      <c r="J184" s="742" t="s">
        <v>1951</v>
      </c>
      <c r="K184" s="743"/>
      <c r="L184" s="743"/>
      <c r="M184" s="743"/>
      <c r="N184" s="743"/>
      <c r="O184" s="743"/>
      <c r="P184" s="743"/>
      <c r="Q184" s="743"/>
      <c r="R184" s="743"/>
      <c r="S184" s="743"/>
      <c r="T184" s="743"/>
      <c r="U184" s="744"/>
      <c r="V184" s="739"/>
      <c r="W184" s="745" t="s">
        <v>1490</v>
      </c>
      <c r="X184" s="745" t="s">
        <v>1491</v>
      </c>
      <c r="Y184" s="746" t="s">
        <v>1376</v>
      </c>
    </row>
    <row r="185" spans="1:25" ht="22.5" customHeight="1" thickTop="1" thickBot="1" x14ac:dyDescent="0.3">
      <c r="A185" s="634"/>
      <c r="B185" s="624"/>
      <c r="C185" s="624"/>
      <c r="D185" s="624"/>
      <c r="E185" s="624"/>
      <c r="F185" s="624"/>
      <c r="G185" s="622"/>
      <c r="H185" s="624"/>
      <c r="I185" s="624"/>
      <c r="J185" s="631"/>
      <c r="K185" s="646"/>
      <c r="L185" s="646"/>
      <c r="M185" s="646"/>
      <c r="N185" s="646"/>
      <c r="O185" s="646"/>
      <c r="P185" s="646"/>
      <c r="Q185" s="646"/>
      <c r="R185" s="646"/>
      <c r="S185" s="646"/>
      <c r="T185" s="646"/>
      <c r="U185" s="642"/>
      <c r="V185" s="634"/>
      <c r="W185" s="635"/>
      <c r="X185" s="635"/>
      <c r="Y185" s="600"/>
    </row>
    <row r="186" spans="1:25" ht="22.5" customHeight="1" thickTop="1" thickBot="1" x14ac:dyDescent="0.3">
      <c r="A186" s="615" t="s">
        <v>1374</v>
      </c>
      <c r="B186" s="616" t="s">
        <v>1378</v>
      </c>
      <c r="C186" s="616" t="s">
        <v>1391</v>
      </c>
      <c r="D186" s="616" t="s">
        <v>1419</v>
      </c>
      <c r="E186" s="616"/>
      <c r="F186" s="617"/>
      <c r="G186" s="617"/>
      <c r="H186" s="617"/>
      <c r="I186" s="617"/>
      <c r="J186" s="618" t="s">
        <v>1492</v>
      </c>
      <c r="K186" s="644"/>
      <c r="L186" s="644"/>
      <c r="M186" s="644"/>
      <c r="N186" s="644"/>
      <c r="O186" s="644"/>
      <c r="P186" s="644"/>
      <c r="Q186" s="644"/>
      <c r="R186" s="644"/>
      <c r="S186" s="644"/>
      <c r="T186" s="644"/>
      <c r="U186" s="620"/>
      <c r="V186" s="616"/>
      <c r="W186" s="621" t="s">
        <v>1449</v>
      </c>
      <c r="X186" s="621" t="s">
        <v>1450</v>
      </c>
      <c r="Y186" s="600" t="s">
        <v>1376</v>
      </c>
    </row>
    <row r="187" spans="1:25" s="183" customFormat="1" ht="22.5" customHeight="1" thickTop="1" thickBot="1" x14ac:dyDescent="0.3">
      <c r="A187" s="628" t="s">
        <v>1374</v>
      </c>
      <c r="B187" s="628" t="s">
        <v>1378</v>
      </c>
      <c r="C187" s="622" t="s">
        <v>1391</v>
      </c>
      <c r="D187" s="622" t="s">
        <v>1419</v>
      </c>
      <c r="E187" s="623" t="s">
        <v>1378</v>
      </c>
      <c r="F187" s="622"/>
      <c r="G187" s="622"/>
      <c r="H187" s="624"/>
      <c r="I187" s="624"/>
      <c r="J187" s="625" t="s">
        <v>1493</v>
      </c>
      <c r="K187" s="645"/>
      <c r="L187" s="645"/>
      <c r="M187" s="645"/>
      <c r="N187" s="645"/>
      <c r="O187" s="645"/>
      <c r="P187" s="645"/>
      <c r="Q187" s="645"/>
      <c r="R187" s="645"/>
      <c r="S187" s="645"/>
      <c r="T187" s="645"/>
      <c r="U187" s="639"/>
      <c r="V187" s="622"/>
      <c r="W187" s="629" t="s">
        <v>1494</v>
      </c>
      <c r="X187" s="629"/>
      <c r="Y187" s="600" t="s">
        <v>1376</v>
      </c>
    </row>
    <row r="188" spans="1:25" s="183" customFormat="1" ht="22.5" customHeight="1" thickTop="1" thickBot="1" x14ac:dyDescent="0.3">
      <c r="A188" s="634" t="s">
        <v>1374</v>
      </c>
      <c r="B188" s="634" t="s">
        <v>1378</v>
      </c>
      <c r="C188" s="624" t="s">
        <v>1391</v>
      </c>
      <c r="D188" s="624" t="s">
        <v>1419</v>
      </c>
      <c r="E188" s="634" t="s">
        <v>1378</v>
      </c>
      <c r="F188" s="622" t="s">
        <v>1378</v>
      </c>
      <c r="G188" s="622"/>
      <c r="H188" s="624"/>
      <c r="I188" s="624"/>
      <c r="J188" s="625" t="s">
        <v>1495</v>
      </c>
      <c r="K188" s="645"/>
      <c r="L188" s="645"/>
      <c r="M188" s="645"/>
      <c r="N188" s="645"/>
      <c r="O188" s="645"/>
      <c r="P188" s="645"/>
      <c r="Q188" s="645"/>
      <c r="R188" s="645"/>
      <c r="S188" s="645"/>
      <c r="T188" s="645"/>
      <c r="U188" s="639"/>
      <c r="V188" s="622"/>
      <c r="W188" s="629"/>
      <c r="X188" s="629"/>
      <c r="Y188" s="600"/>
    </row>
    <row r="189" spans="1:25" ht="22.5" customHeight="1" thickTop="1" thickBot="1" x14ac:dyDescent="0.3">
      <c r="A189" s="634" t="s">
        <v>1374</v>
      </c>
      <c r="B189" s="634" t="s">
        <v>1378</v>
      </c>
      <c r="C189" s="624" t="s">
        <v>1391</v>
      </c>
      <c r="D189" s="624" t="s">
        <v>1419</v>
      </c>
      <c r="E189" s="634" t="s">
        <v>1378</v>
      </c>
      <c r="F189" s="624" t="s">
        <v>1378</v>
      </c>
      <c r="G189" s="622" t="s">
        <v>1378</v>
      </c>
      <c r="H189" s="624"/>
      <c r="I189" s="624"/>
      <c r="J189" s="637" t="s">
        <v>1496</v>
      </c>
      <c r="K189" s="645"/>
      <c r="L189" s="645"/>
      <c r="M189" s="645"/>
      <c r="N189" s="645"/>
      <c r="O189" s="645"/>
      <c r="P189" s="645"/>
      <c r="Q189" s="645"/>
      <c r="R189" s="645"/>
      <c r="S189" s="645"/>
      <c r="T189" s="645"/>
      <c r="U189" s="639"/>
      <c r="V189" s="622"/>
      <c r="W189" s="635" t="s">
        <v>1452</v>
      </c>
      <c r="X189" s="635"/>
      <c r="Y189" s="600" t="s">
        <v>1376</v>
      </c>
    </row>
    <row r="190" spans="1:25" ht="22.5" customHeight="1" thickTop="1" thickBot="1" x14ac:dyDescent="0.3">
      <c r="A190" s="634" t="s">
        <v>1374</v>
      </c>
      <c r="B190" s="634" t="s">
        <v>1378</v>
      </c>
      <c r="C190" s="624" t="s">
        <v>1391</v>
      </c>
      <c r="D190" s="624" t="s">
        <v>1419</v>
      </c>
      <c r="E190" s="634" t="s">
        <v>1378</v>
      </c>
      <c r="F190" s="624" t="s">
        <v>1378</v>
      </c>
      <c r="G190" s="624" t="s">
        <v>1378</v>
      </c>
      <c r="H190" s="624" t="s">
        <v>1378</v>
      </c>
      <c r="I190" s="624"/>
      <c r="J190" s="637" t="s">
        <v>1497</v>
      </c>
      <c r="K190" s="646"/>
      <c r="L190" s="646"/>
      <c r="M190" s="646"/>
      <c r="N190" s="646"/>
      <c r="O190" s="646"/>
      <c r="P190" s="646"/>
      <c r="Q190" s="646"/>
      <c r="R190" s="646"/>
      <c r="S190" s="646"/>
      <c r="T190" s="646"/>
      <c r="U190" s="639"/>
      <c r="V190" s="622"/>
      <c r="W190" s="635"/>
      <c r="X190" s="635"/>
      <c r="Y190" s="600" t="s">
        <v>1376</v>
      </c>
    </row>
    <row r="191" spans="1:25" ht="22.5" customHeight="1" thickTop="1" thickBot="1" x14ac:dyDescent="0.3">
      <c r="A191" s="634" t="s">
        <v>1374</v>
      </c>
      <c r="B191" s="634" t="s">
        <v>1378</v>
      </c>
      <c r="C191" s="624" t="s">
        <v>1391</v>
      </c>
      <c r="D191" s="624" t="s">
        <v>1419</v>
      </c>
      <c r="E191" s="634" t="s">
        <v>1378</v>
      </c>
      <c r="F191" s="624" t="s">
        <v>1378</v>
      </c>
      <c r="G191" s="624" t="s">
        <v>1378</v>
      </c>
      <c r="H191" s="624" t="s">
        <v>1378</v>
      </c>
      <c r="I191" s="624" t="s">
        <v>1378</v>
      </c>
      <c r="J191" s="640" t="s">
        <v>1498</v>
      </c>
      <c r="K191" s="646"/>
      <c r="L191" s="646"/>
      <c r="M191" s="646"/>
      <c r="N191" s="646"/>
      <c r="O191" s="646"/>
      <c r="P191" s="646"/>
      <c r="Q191" s="646"/>
      <c r="R191" s="646"/>
      <c r="S191" s="646"/>
      <c r="T191" s="646"/>
      <c r="U191" s="642"/>
      <c r="V191" s="622"/>
      <c r="W191" s="635"/>
      <c r="X191" s="635"/>
      <c r="Y191" s="600"/>
    </row>
    <row r="192" spans="1:25" ht="22.5" customHeight="1" thickTop="1" thickBot="1" x14ac:dyDescent="0.3">
      <c r="A192" s="634" t="s">
        <v>1374</v>
      </c>
      <c r="B192" s="634" t="s">
        <v>1378</v>
      </c>
      <c r="C192" s="624" t="s">
        <v>1391</v>
      </c>
      <c r="D192" s="624" t="s">
        <v>1419</v>
      </c>
      <c r="E192" s="634" t="s">
        <v>1378</v>
      </c>
      <c r="F192" s="624" t="s">
        <v>1378</v>
      </c>
      <c r="G192" s="624" t="s">
        <v>1378</v>
      </c>
      <c r="H192" s="624" t="s">
        <v>1378</v>
      </c>
      <c r="I192" s="624" t="s">
        <v>1391</v>
      </c>
      <c r="J192" s="640" t="s">
        <v>1499</v>
      </c>
      <c r="K192" s="646"/>
      <c r="L192" s="646"/>
      <c r="M192" s="646"/>
      <c r="N192" s="646"/>
      <c r="O192" s="646"/>
      <c r="P192" s="646"/>
      <c r="Q192" s="646"/>
      <c r="R192" s="646"/>
      <c r="S192" s="646"/>
      <c r="T192" s="646"/>
      <c r="U192" s="642"/>
      <c r="V192" s="622"/>
      <c r="W192" s="635"/>
      <c r="X192" s="635"/>
      <c r="Y192" s="600"/>
    </row>
    <row r="193" spans="1:25" ht="22.5" customHeight="1" thickTop="1" thickBot="1" x14ac:dyDescent="0.3">
      <c r="A193" s="634" t="s">
        <v>1374</v>
      </c>
      <c r="B193" s="634" t="s">
        <v>1378</v>
      </c>
      <c r="C193" s="624" t="s">
        <v>1391</v>
      </c>
      <c r="D193" s="624" t="s">
        <v>1419</v>
      </c>
      <c r="E193" s="634" t="s">
        <v>1378</v>
      </c>
      <c r="F193" s="624" t="s">
        <v>1378</v>
      </c>
      <c r="G193" s="624" t="s">
        <v>1378</v>
      </c>
      <c r="H193" s="624" t="s">
        <v>1391</v>
      </c>
      <c r="I193" s="624"/>
      <c r="J193" s="637" t="s">
        <v>1500</v>
      </c>
      <c r="K193" s="646"/>
      <c r="L193" s="646"/>
      <c r="M193" s="646"/>
      <c r="N193" s="646"/>
      <c r="O193" s="646"/>
      <c r="P193" s="646"/>
      <c r="Q193" s="646"/>
      <c r="R193" s="646"/>
      <c r="S193" s="646"/>
      <c r="T193" s="646"/>
      <c r="U193" s="639"/>
      <c r="V193" s="622"/>
      <c r="W193" s="635"/>
      <c r="X193" s="635"/>
      <c r="Y193" s="600" t="s">
        <v>1376</v>
      </c>
    </row>
    <row r="194" spans="1:25" ht="22.5" customHeight="1" thickTop="1" thickBot="1" x14ac:dyDescent="0.3">
      <c r="A194" s="634" t="s">
        <v>1374</v>
      </c>
      <c r="B194" s="634" t="s">
        <v>1378</v>
      </c>
      <c r="C194" s="624" t="s">
        <v>1391</v>
      </c>
      <c r="D194" s="624" t="s">
        <v>1419</v>
      </c>
      <c r="E194" s="634" t="s">
        <v>1378</v>
      </c>
      <c r="F194" s="624" t="s">
        <v>1378</v>
      </c>
      <c r="G194" s="624" t="s">
        <v>1378</v>
      </c>
      <c r="H194" s="624" t="s">
        <v>1391</v>
      </c>
      <c r="I194" s="624" t="s">
        <v>1378</v>
      </c>
      <c r="J194" s="640" t="s">
        <v>1501</v>
      </c>
      <c r="K194" s="646"/>
      <c r="L194" s="646"/>
      <c r="M194" s="646"/>
      <c r="N194" s="646"/>
      <c r="O194" s="646"/>
      <c r="P194" s="646"/>
      <c r="Q194" s="646"/>
      <c r="R194" s="646"/>
      <c r="S194" s="646"/>
      <c r="T194" s="646"/>
      <c r="U194" s="642"/>
      <c r="V194" s="622"/>
      <c r="W194" s="635"/>
      <c r="X194" s="635"/>
      <c r="Y194" s="600"/>
    </row>
    <row r="195" spans="1:25" ht="22.5" customHeight="1" thickTop="1" thickBot="1" x14ac:dyDescent="0.3">
      <c r="A195" s="634" t="s">
        <v>1374</v>
      </c>
      <c r="B195" s="634" t="s">
        <v>1378</v>
      </c>
      <c r="C195" s="624" t="s">
        <v>1391</v>
      </c>
      <c r="D195" s="624" t="s">
        <v>1419</v>
      </c>
      <c r="E195" s="634" t="s">
        <v>1378</v>
      </c>
      <c r="F195" s="624" t="s">
        <v>1378</v>
      </c>
      <c r="G195" s="624" t="s">
        <v>1378</v>
      </c>
      <c r="H195" s="624" t="s">
        <v>1391</v>
      </c>
      <c r="I195" s="624" t="s">
        <v>1391</v>
      </c>
      <c r="J195" s="640" t="s">
        <v>1502</v>
      </c>
      <c r="K195" s="646"/>
      <c r="L195" s="646"/>
      <c r="M195" s="646"/>
      <c r="N195" s="646"/>
      <c r="O195" s="646"/>
      <c r="P195" s="646"/>
      <c r="Q195" s="646"/>
      <c r="R195" s="646"/>
      <c r="S195" s="646"/>
      <c r="T195" s="646"/>
      <c r="U195" s="642"/>
      <c r="V195" s="622"/>
      <c r="W195" s="635"/>
      <c r="X195" s="635"/>
      <c r="Y195" s="600"/>
    </row>
    <row r="196" spans="1:25" ht="22.5" customHeight="1" thickTop="1" thickBot="1" x14ac:dyDescent="0.3">
      <c r="A196" s="634" t="s">
        <v>1374</v>
      </c>
      <c r="B196" s="634" t="s">
        <v>1378</v>
      </c>
      <c r="C196" s="624" t="s">
        <v>1391</v>
      </c>
      <c r="D196" s="624" t="s">
        <v>1419</v>
      </c>
      <c r="E196" s="634" t="s">
        <v>1378</v>
      </c>
      <c r="F196" s="622" t="s">
        <v>1391</v>
      </c>
      <c r="G196" s="624"/>
      <c r="H196" s="624"/>
      <c r="I196" s="624"/>
      <c r="J196" s="637" t="s">
        <v>1503</v>
      </c>
      <c r="K196" s="646"/>
      <c r="L196" s="646"/>
      <c r="M196" s="646"/>
      <c r="N196" s="646"/>
      <c r="O196" s="646"/>
      <c r="P196" s="646"/>
      <c r="Q196" s="646"/>
      <c r="R196" s="646"/>
      <c r="S196" s="646"/>
      <c r="T196" s="646"/>
      <c r="U196" s="639"/>
      <c r="V196" s="622"/>
      <c r="W196" s="635"/>
      <c r="X196" s="635"/>
      <c r="Y196" s="600"/>
    </row>
    <row r="197" spans="1:25" ht="22.5" customHeight="1" thickTop="1" thickBot="1" x14ac:dyDescent="0.3">
      <c r="A197" s="634" t="s">
        <v>1374</v>
      </c>
      <c r="B197" s="634" t="s">
        <v>1378</v>
      </c>
      <c r="C197" s="624" t="s">
        <v>1391</v>
      </c>
      <c r="D197" s="624" t="s">
        <v>1419</v>
      </c>
      <c r="E197" s="634" t="s">
        <v>1378</v>
      </c>
      <c r="F197" s="624" t="s">
        <v>1391</v>
      </c>
      <c r="G197" s="622" t="s">
        <v>1378</v>
      </c>
      <c r="H197" s="624"/>
      <c r="I197" s="624"/>
      <c r="J197" s="640" t="s">
        <v>1504</v>
      </c>
      <c r="K197" s="646"/>
      <c r="L197" s="646"/>
      <c r="M197" s="646"/>
      <c r="N197" s="646"/>
      <c r="O197" s="646"/>
      <c r="P197" s="646"/>
      <c r="Q197" s="646"/>
      <c r="R197" s="646"/>
      <c r="S197" s="646"/>
      <c r="T197" s="646"/>
      <c r="U197" s="642"/>
      <c r="V197" s="622"/>
      <c r="W197" s="635"/>
      <c r="X197" s="635"/>
      <c r="Y197" s="600"/>
    </row>
    <row r="198" spans="1:25" ht="22.5" customHeight="1" thickTop="1" thickBot="1" x14ac:dyDescent="0.3">
      <c r="A198" s="634" t="s">
        <v>1374</v>
      </c>
      <c r="B198" s="634" t="s">
        <v>1378</v>
      </c>
      <c r="C198" s="624" t="s">
        <v>1391</v>
      </c>
      <c r="D198" s="624" t="s">
        <v>1419</v>
      </c>
      <c r="E198" s="634" t="s">
        <v>1378</v>
      </c>
      <c r="F198" s="624" t="s">
        <v>1391</v>
      </c>
      <c r="G198" s="622" t="s">
        <v>1391</v>
      </c>
      <c r="H198" s="624"/>
      <c r="I198" s="624"/>
      <c r="J198" s="640" t="s">
        <v>1505</v>
      </c>
      <c r="K198" s="646"/>
      <c r="L198" s="646"/>
      <c r="M198" s="646"/>
      <c r="N198" s="646"/>
      <c r="O198" s="646"/>
      <c r="P198" s="646"/>
      <c r="Q198" s="646"/>
      <c r="R198" s="646"/>
      <c r="S198" s="646"/>
      <c r="T198" s="646"/>
      <c r="U198" s="642"/>
      <c r="V198" s="622"/>
      <c r="W198" s="635"/>
      <c r="X198" s="635"/>
      <c r="Y198" s="600"/>
    </row>
    <row r="199" spans="1:25" s="183" customFormat="1" ht="22.5" customHeight="1" thickTop="1" thickBot="1" x14ac:dyDescent="0.3">
      <c r="A199" s="628" t="s">
        <v>1374</v>
      </c>
      <c r="B199" s="628" t="s">
        <v>1378</v>
      </c>
      <c r="C199" s="622" t="s">
        <v>1391</v>
      </c>
      <c r="D199" s="622" t="s">
        <v>1419</v>
      </c>
      <c r="E199" s="623" t="s">
        <v>1391</v>
      </c>
      <c r="F199" s="622"/>
      <c r="G199" s="622"/>
      <c r="H199" s="624"/>
      <c r="I199" s="624"/>
      <c r="J199" s="637" t="s">
        <v>1506</v>
      </c>
      <c r="K199" s="647"/>
      <c r="L199" s="647"/>
      <c r="M199" s="647"/>
      <c r="N199" s="647"/>
      <c r="O199" s="647"/>
      <c r="P199" s="647"/>
      <c r="Q199" s="647"/>
      <c r="R199" s="647"/>
      <c r="S199" s="647"/>
      <c r="T199" s="647"/>
      <c r="U199" s="627"/>
      <c r="V199" s="622"/>
      <c r="W199" s="629" t="s">
        <v>1507</v>
      </c>
      <c r="X199" s="629"/>
      <c r="Y199" s="600" t="s">
        <v>1376</v>
      </c>
    </row>
    <row r="200" spans="1:25" ht="22.5" customHeight="1" thickTop="1" thickBot="1" x14ac:dyDescent="0.3">
      <c r="A200" s="624" t="s">
        <v>1374</v>
      </c>
      <c r="B200" s="634" t="s">
        <v>1378</v>
      </c>
      <c r="C200" s="624" t="s">
        <v>1391</v>
      </c>
      <c r="D200" s="624" t="s">
        <v>1419</v>
      </c>
      <c r="E200" s="624" t="s">
        <v>1391</v>
      </c>
      <c r="F200" s="622" t="s">
        <v>1378</v>
      </c>
      <c r="G200" s="624"/>
      <c r="H200" s="624"/>
      <c r="I200" s="624"/>
      <c r="J200" s="637" t="s">
        <v>1508</v>
      </c>
      <c r="K200" s="645"/>
      <c r="L200" s="645"/>
      <c r="M200" s="645"/>
      <c r="N200" s="645"/>
      <c r="O200" s="645"/>
      <c r="P200" s="645"/>
      <c r="Q200" s="645"/>
      <c r="R200" s="645"/>
      <c r="S200" s="645"/>
      <c r="T200" s="645"/>
      <c r="U200" s="639"/>
      <c r="V200" s="622"/>
      <c r="W200" s="635" t="s">
        <v>1509</v>
      </c>
      <c r="X200" s="635" t="s">
        <v>1510</v>
      </c>
      <c r="Y200" s="600" t="s">
        <v>1376</v>
      </c>
    </row>
    <row r="201" spans="1:25" ht="22.5" customHeight="1" thickTop="1" thickBot="1" x14ac:dyDescent="0.3">
      <c r="A201" s="634" t="s">
        <v>1374</v>
      </c>
      <c r="B201" s="634" t="s">
        <v>1378</v>
      </c>
      <c r="C201" s="624" t="s">
        <v>1391</v>
      </c>
      <c r="D201" s="624" t="s">
        <v>1419</v>
      </c>
      <c r="E201" s="624" t="s">
        <v>1391</v>
      </c>
      <c r="F201" s="624" t="s">
        <v>1378</v>
      </c>
      <c r="G201" s="622" t="s">
        <v>1378</v>
      </c>
      <c r="H201" s="624"/>
      <c r="I201" s="624"/>
      <c r="J201" s="640" t="s">
        <v>1511</v>
      </c>
      <c r="K201" s="646"/>
      <c r="L201" s="646"/>
      <c r="M201" s="646"/>
      <c r="N201" s="646"/>
      <c r="O201" s="646"/>
      <c r="P201" s="646"/>
      <c r="Q201" s="646"/>
      <c r="R201" s="646"/>
      <c r="S201" s="646"/>
      <c r="T201" s="646"/>
      <c r="U201" s="642"/>
      <c r="V201" s="622"/>
      <c r="W201" s="635"/>
      <c r="X201" s="635"/>
      <c r="Y201" s="600" t="s">
        <v>1376</v>
      </c>
    </row>
    <row r="202" spans="1:25" ht="22.5" customHeight="1" thickTop="1" thickBot="1" x14ac:dyDescent="0.3">
      <c r="A202" s="634" t="s">
        <v>1374</v>
      </c>
      <c r="B202" s="634" t="s">
        <v>1378</v>
      </c>
      <c r="C202" s="624" t="s">
        <v>1391</v>
      </c>
      <c r="D202" s="624" t="s">
        <v>1419</v>
      </c>
      <c r="E202" s="624" t="s">
        <v>1391</v>
      </c>
      <c r="F202" s="624" t="s">
        <v>1378</v>
      </c>
      <c r="G202" s="622" t="s">
        <v>1391</v>
      </c>
      <c r="H202" s="624"/>
      <c r="I202" s="624"/>
      <c r="J202" s="640" t="s">
        <v>1512</v>
      </c>
      <c r="K202" s="646"/>
      <c r="L202" s="646"/>
      <c r="M202" s="646"/>
      <c r="N202" s="646"/>
      <c r="O202" s="646"/>
      <c r="P202" s="646"/>
      <c r="Q202" s="646"/>
      <c r="R202" s="646"/>
      <c r="S202" s="646"/>
      <c r="T202" s="646"/>
      <c r="U202" s="642"/>
      <c r="V202" s="622"/>
      <c r="W202" s="635"/>
      <c r="X202" s="635"/>
      <c r="Y202" s="600" t="s">
        <v>1376</v>
      </c>
    </row>
    <row r="203" spans="1:25" ht="22.5" customHeight="1" thickTop="1" thickBot="1" x14ac:dyDescent="0.3">
      <c r="A203" s="634" t="s">
        <v>1374</v>
      </c>
      <c r="B203" s="634" t="s">
        <v>1378</v>
      </c>
      <c r="C203" s="624" t="s">
        <v>1391</v>
      </c>
      <c r="D203" s="624" t="s">
        <v>1419</v>
      </c>
      <c r="E203" s="624" t="s">
        <v>1391</v>
      </c>
      <c r="F203" s="622" t="s">
        <v>1391</v>
      </c>
      <c r="G203" s="624"/>
      <c r="H203" s="624"/>
      <c r="I203" s="624"/>
      <c r="J203" s="637" t="s">
        <v>1513</v>
      </c>
      <c r="K203" s="645"/>
      <c r="L203" s="645"/>
      <c r="M203" s="645"/>
      <c r="N203" s="645"/>
      <c r="O203" s="645"/>
      <c r="P203" s="645"/>
      <c r="Q203" s="645"/>
      <c r="R203" s="645"/>
      <c r="S203" s="645"/>
      <c r="T203" s="645"/>
      <c r="U203" s="639"/>
      <c r="V203" s="622"/>
      <c r="W203" s="635"/>
      <c r="X203" s="635"/>
      <c r="Y203" s="600" t="s">
        <v>1376</v>
      </c>
    </row>
    <row r="204" spans="1:25" ht="22.5" customHeight="1" thickTop="1" thickBot="1" x14ac:dyDescent="0.3">
      <c r="A204" s="634" t="s">
        <v>1374</v>
      </c>
      <c r="B204" s="634" t="s">
        <v>1378</v>
      </c>
      <c r="C204" s="624" t="s">
        <v>1391</v>
      </c>
      <c r="D204" s="624" t="s">
        <v>1419</v>
      </c>
      <c r="E204" s="624" t="s">
        <v>1391</v>
      </c>
      <c r="F204" s="624" t="s">
        <v>1391</v>
      </c>
      <c r="G204" s="622" t="s">
        <v>1378</v>
      </c>
      <c r="H204" s="624"/>
      <c r="I204" s="624"/>
      <c r="J204" s="640" t="s">
        <v>1514</v>
      </c>
      <c r="K204" s="646"/>
      <c r="L204" s="646"/>
      <c r="M204" s="646"/>
      <c r="N204" s="646"/>
      <c r="O204" s="646"/>
      <c r="P204" s="646"/>
      <c r="Q204" s="646"/>
      <c r="R204" s="646"/>
      <c r="S204" s="646"/>
      <c r="T204" s="646"/>
      <c r="U204" s="642"/>
      <c r="V204" s="622"/>
      <c r="W204" s="635"/>
      <c r="X204" s="635"/>
      <c r="Y204" s="600" t="s">
        <v>1376</v>
      </c>
    </row>
    <row r="205" spans="1:25" ht="22.5" customHeight="1" thickTop="1" thickBot="1" x14ac:dyDescent="0.3">
      <c r="A205" s="634" t="s">
        <v>1374</v>
      </c>
      <c r="B205" s="634" t="s">
        <v>1378</v>
      </c>
      <c r="C205" s="624" t="s">
        <v>1391</v>
      </c>
      <c r="D205" s="624" t="s">
        <v>1419</v>
      </c>
      <c r="E205" s="624" t="s">
        <v>1391</v>
      </c>
      <c r="F205" s="624" t="s">
        <v>1391</v>
      </c>
      <c r="G205" s="622" t="s">
        <v>1391</v>
      </c>
      <c r="H205" s="624"/>
      <c r="I205" s="624"/>
      <c r="J205" s="640" t="s">
        <v>1515</v>
      </c>
      <c r="K205" s="646"/>
      <c r="L205" s="646"/>
      <c r="M205" s="646"/>
      <c r="N205" s="646"/>
      <c r="O205" s="646"/>
      <c r="P205" s="646"/>
      <c r="Q205" s="646"/>
      <c r="R205" s="646"/>
      <c r="S205" s="646"/>
      <c r="T205" s="646"/>
      <c r="U205" s="642"/>
      <c r="V205" s="622"/>
      <c r="W205" s="635"/>
      <c r="X205" s="635"/>
      <c r="Y205" s="600" t="s">
        <v>1376</v>
      </c>
    </row>
    <row r="206" spans="1:25" ht="22.5" customHeight="1" thickTop="1" thickBot="1" x14ac:dyDescent="0.3">
      <c r="A206" s="634" t="s">
        <v>1374</v>
      </c>
      <c r="B206" s="634" t="s">
        <v>1378</v>
      </c>
      <c r="C206" s="624" t="s">
        <v>1391</v>
      </c>
      <c r="D206" s="624" t="s">
        <v>1419</v>
      </c>
      <c r="E206" s="624" t="s">
        <v>1391</v>
      </c>
      <c r="F206" s="622" t="s">
        <v>1415</v>
      </c>
      <c r="G206" s="624"/>
      <c r="H206" s="624"/>
      <c r="I206" s="624"/>
      <c r="J206" s="637" t="s">
        <v>1516</v>
      </c>
      <c r="K206" s="645"/>
      <c r="L206" s="645"/>
      <c r="M206" s="645"/>
      <c r="N206" s="645"/>
      <c r="O206" s="645"/>
      <c r="P206" s="645"/>
      <c r="Q206" s="645"/>
      <c r="R206" s="645"/>
      <c r="S206" s="645"/>
      <c r="T206" s="645"/>
      <c r="U206" s="639"/>
      <c r="V206" s="622"/>
      <c r="W206" s="635"/>
      <c r="X206" s="635"/>
      <c r="Y206" s="600" t="s">
        <v>1376</v>
      </c>
    </row>
    <row r="207" spans="1:25" ht="22.5" customHeight="1" thickTop="1" thickBot="1" x14ac:dyDescent="0.3">
      <c r="A207" s="634" t="s">
        <v>1374</v>
      </c>
      <c r="B207" s="634" t="s">
        <v>1378</v>
      </c>
      <c r="C207" s="624" t="s">
        <v>1391</v>
      </c>
      <c r="D207" s="624" t="s">
        <v>1419</v>
      </c>
      <c r="E207" s="624" t="s">
        <v>1391</v>
      </c>
      <c r="F207" s="624" t="s">
        <v>1415</v>
      </c>
      <c r="G207" s="622" t="s">
        <v>1378</v>
      </c>
      <c r="H207" s="624"/>
      <c r="I207" s="624"/>
      <c r="J207" s="640" t="s">
        <v>1517</v>
      </c>
      <c r="K207" s="646"/>
      <c r="L207" s="646"/>
      <c r="M207" s="646"/>
      <c r="N207" s="646"/>
      <c r="O207" s="646"/>
      <c r="P207" s="646"/>
      <c r="Q207" s="646"/>
      <c r="R207" s="646"/>
      <c r="S207" s="646"/>
      <c r="T207" s="646"/>
      <c r="U207" s="642"/>
      <c r="V207" s="622"/>
      <c r="W207" s="635"/>
      <c r="X207" s="635"/>
      <c r="Y207" s="600" t="s">
        <v>1376</v>
      </c>
    </row>
    <row r="208" spans="1:25" ht="22.5" customHeight="1" thickTop="1" thickBot="1" x14ac:dyDescent="0.3">
      <c r="A208" s="634" t="s">
        <v>1374</v>
      </c>
      <c r="B208" s="634" t="s">
        <v>1378</v>
      </c>
      <c r="C208" s="624" t="s">
        <v>1391</v>
      </c>
      <c r="D208" s="624" t="s">
        <v>1419</v>
      </c>
      <c r="E208" s="624" t="s">
        <v>1391</v>
      </c>
      <c r="F208" s="624" t="s">
        <v>1415</v>
      </c>
      <c r="G208" s="622" t="s">
        <v>1391</v>
      </c>
      <c r="H208" s="624"/>
      <c r="I208" s="624"/>
      <c r="J208" s="640" t="s">
        <v>1518</v>
      </c>
      <c r="K208" s="646"/>
      <c r="L208" s="646"/>
      <c r="M208" s="646"/>
      <c r="N208" s="646"/>
      <c r="O208" s="646"/>
      <c r="P208" s="646"/>
      <c r="Q208" s="646"/>
      <c r="R208" s="646"/>
      <c r="S208" s="646"/>
      <c r="T208" s="646"/>
      <c r="U208" s="642"/>
      <c r="V208" s="622"/>
      <c r="W208" s="635"/>
      <c r="X208" s="635"/>
      <c r="Y208" s="600" t="s">
        <v>1376</v>
      </c>
    </row>
    <row r="209" spans="1:25" ht="22.5" customHeight="1" thickTop="1" thickBot="1" x14ac:dyDescent="0.3">
      <c r="A209" s="634" t="s">
        <v>1374</v>
      </c>
      <c r="B209" s="634" t="s">
        <v>1378</v>
      </c>
      <c r="C209" s="624" t="s">
        <v>1391</v>
      </c>
      <c r="D209" s="624" t="s">
        <v>1419</v>
      </c>
      <c r="E209" s="624" t="s">
        <v>1391</v>
      </c>
      <c r="F209" s="622" t="s">
        <v>1419</v>
      </c>
      <c r="G209" s="624"/>
      <c r="H209" s="624"/>
      <c r="I209" s="624"/>
      <c r="J209" s="637" t="s">
        <v>1519</v>
      </c>
      <c r="K209" s="645"/>
      <c r="L209" s="645"/>
      <c r="M209" s="645"/>
      <c r="N209" s="645"/>
      <c r="O209" s="645"/>
      <c r="P209" s="645"/>
      <c r="Q209" s="645"/>
      <c r="R209" s="645"/>
      <c r="S209" s="645"/>
      <c r="T209" s="645"/>
      <c r="U209" s="639"/>
      <c r="V209" s="622"/>
      <c r="W209" s="635"/>
      <c r="X209" s="635"/>
      <c r="Y209" s="600" t="s">
        <v>1376</v>
      </c>
    </row>
    <row r="210" spans="1:25" ht="22.5" customHeight="1" thickTop="1" thickBot="1" x14ac:dyDescent="0.3">
      <c r="A210" s="634" t="s">
        <v>1374</v>
      </c>
      <c r="B210" s="634" t="s">
        <v>1378</v>
      </c>
      <c r="C210" s="624" t="s">
        <v>1391</v>
      </c>
      <c r="D210" s="624" t="s">
        <v>1419</v>
      </c>
      <c r="E210" s="624" t="s">
        <v>1391</v>
      </c>
      <c r="F210" s="624" t="s">
        <v>1419</v>
      </c>
      <c r="G210" s="622" t="s">
        <v>1378</v>
      </c>
      <c r="H210" s="624"/>
      <c r="I210" s="624"/>
      <c r="J210" s="640" t="s">
        <v>1520</v>
      </c>
      <c r="K210" s="646"/>
      <c r="L210" s="646"/>
      <c r="M210" s="646"/>
      <c r="N210" s="646"/>
      <c r="O210" s="646"/>
      <c r="P210" s="646"/>
      <c r="Q210" s="646"/>
      <c r="R210" s="646"/>
      <c r="S210" s="646"/>
      <c r="T210" s="646"/>
      <c r="U210" s="642"/>
      <c r="V210" s="622"/>
      <c r="W210" s="635"/>
      <c r="X210" s="635"/>
      <c r="Y210" s="600" t="s">
        <v>1376</v>
      </c>
    </row>
    <row r="211" spans="1:25" ht="22.5" customHeight="1" thickTop="1" thickBot="1" x14ac:dyDescent="0.3">
      <c r="A211" s="634" t="s">
        <v>1374</v>
      </c>
      <c r="B211" s="634" t="s">
        <v>1378</v>
      </c>
      <c r="C211" s="624" t="s">
        <v>1391</v>
      </c>
      <c r="D211" s="624" t="s">
        <v>1419</v>
      </c>
      <c r="E211" s="624" t="s">
        <v>1391</v>
      </c>
      <c r="F211" s="624" t="s">
        <v>1419</v>
      </c>
      <c r="G211" s="622" t="s">
        <v>1391</v>
      </c>
      <c r="H211" s="624"/>
      <c r="I211" s="624"/>
      <c r="J211" s="640" t="s">
        <v>1521</v>
      </c>
      <c r="K211" s="646"/>
      <c r="L211" s="646"/>
      <c r="M211" s="646"/>
      <c r="N211" s="646"/>
      <c r="O211" s="646"/>
      <c r="P211" s="646"/>
      <c r="Q211" s="646"/>
      <c r="R211" s="646"/>
      <c r="S211" s="646"/>
      <c r="T211" s="646"/>
      <c r="U211" s="642"/>
      <c r="V211" s="622"/>
      <c r="W211" s="635"/>
      <c r="X211" s="635"/>
      <c r="Y211" s="600" t="s">
        <v>1376</v>
      </c>
    </row>
    <row r="212" spans="1:25" s="751" customFormat="1" ht="22.5" customHeight="1" thickTop="1" thickBot="1" x14ac:dyDescent="0.3">
      <c r="A212" s="748" t="s">
        <v>1374</v>
      </c>
      <c r="B212" s="741" t="s">
        <v>1378</v>
      </c>
      <c r="C212" s="741" t="s">
        <v>1391</v>
      </c>
      <c r="D212" s="741" t="s">
        <v>1444</v>
      </c>
      <c r="E212" s="741"/>
      <c r="F212" s="741"/>
      <c r="G212" s="741"/>
      <c r="H212" s="740"/>
      <c r="I212" s="740"/>
      <c r="J212" s="742" t="s">
        <v>1522</v>
      </c>
      <c r="K212" s="749"/>
      <c r="L212" s="749"/>
      <c r="M212" s="749"/>
      <c r="N212" s="749"/>
      <c r="O212" s="749"/>
      <c r="P212" s="749"/>
      <c r="Q212" s="749"/>
      <c r="R212" s="749"/>
      <c r="S212" s="749"/>
      <c r="T212" s="749"/>
      <c r="U212" s="750"/>
      <c r="V212" s="741"/>
      <c r="W212" s="741"/>
      <c r="X212" s="741"/>
      <c r="Y212" s="746" t="s">
        <v>1376</v>
      </c>
    </row>
    <row r="213" spans="1:25" s="751" customFormat="1" ht="22.5" customHeight="1" thickTop="1" thickBot="1" x14ac:dyDescent="0.3">
      <c r="A213" s="748"/>
      <c r="B213" s="748"/>
      <c r="C213" s="741"/>
      <c r="D213" s="741"/>
      <c r="E213" s="741"/>
      <c r="F213" s="741"/>
      <c r="G213" s="741"/>
      <c r="H213" s="740"/>
      <c r="I213" s="740"/>
      <c r="J213" s="742"/>
      <c r="K213" s="749"/>
      <c r="L213" s="749"/>
      <c r="M213" s="749"/>
      <c r="N213" s="749"/>
      <c r="O213" s="749"/>
      <c r="P213" s="749"/>
      <c r="Q213" s="749"/>
      <c r="R213" s="749"/>
      <c r="S213" s="749"/>
      <c r="T213" s="749"/>
      <c r="U213" s="750"/>
      <c r="V213" s="741"/>
      <c r="W213" s="752"/>
      <c r="X213" s="752"/>
      <c r="Y213" s="746"/>
    </row>
    <row r="214" spans="1:25" s="747" customFormat="1" ht="22.5" customHeight="1" thickTop="1" thickBot="1" x14ac:dyDescent="0.3">
      <c r="A214" s="739"/>
      <c r="B214" s="741"/>
      <c r="C214" s="741"/>
      <c r="D214" s="741"/>
      <c r="E214" s="741"/>
      <c r="F214" s="741"/>
      <c r="G214" s="741"/>
      <c r="H214" s="740"/>
      <c r="I214" s="740"/>
      <c r="J214" s="742"/>
      <c r="K214" s="749"/>
      <c r="L214" s="749"/>
      <c r="M214" s="749"/>
      <c r="N214" s="749"/>
      <c r="O214" s="749"/>
      <c r="P214" s="749"/>
      <c r="Q214" s="749"/>
      <c r="R214" s="749"/>
      <c r="S214" s="749"/>
      <c r="T214" s="749"/>
      <c r="U214" s="749"/>
      <c r="V214" s="741"/>
      <c r="W214" s="741"/>
      <c r="X214" s="741"/>
      <c r="Y214" s="746"/>
    </row>
    <row r="215" spans="1:25" s="183" customFormat="1" ht="22.5" customHeight="1" thickTop="1" thickBot="1" x14ac:dyDescent="0.3">
      <c r="A215" s="601" t="s">
        <v>1374</v>
      </c>
      <c r="B215" s="602" t="s">
        <v>1391</v>
      </c>
      <c r="C215" s="602"/>
      <c r="D215" s="602"/>
      <c r="E215" s="602"/>
      <c r="F215" s="602"/>
      <c r="G215" s="602"/>
      <c r="H215" s="603"/>
      <c r="I215" s="603"/>
      <c r="J215" s="604" t="s">
        <v>1551</v>
      </c>
      <c r="K215" s="605"/>
      <c r="L215" s="605"/>
      <c r="M215" s="605"/>
      <c r="N215" s="605"/>
      <c r="O215" s="605"/>
      <c r="P215" s="605"/>
      <c r="Q215" s="605"/>
      <c r="R215" s="605"/>
      <c r="S215" s="605"/>
      <c r="T215" s="605"/>
      <c r="U215" s="606"/>
      <c r="V215" s="601"/>
      <c r="W215" s="607" t="s">
        <v>1552</v>
      </c>
      <c r="X215" s="607"/>
      <c r="Y215" s="600" t="s">
        <v>1376</v>
      </c>
    </row>
    <row r="216" spans="1:25" s="183" customFormat="1" ht="22.5" customHeight="1" thickTop="1" thickBot="1" x14ac:dyDescent="0.3">
      <c r="A216" s="608" t="s">
        <v>1374</v>
      </c>
      <c r="B216" s="609" t="s">
        <v>1391</v>
      </c>
      <c r="C216" s="609" t="s">
        <v>1378</v>
      </c>
      <c r="D216" s="609"/>
      <c r="E216" s="609"/>
      <c r="F216" s="609"/>
      <c r="G216" s="609"/>
      <c r="H216" s="610"/>
      <c r="I216" s="610"/>
      <c r="J216" s="611" t="s">
        <v>1553</v>
      </c>
      <c r="K216" s="612"/>
      <c r="L216" s="612"/>
      <c r="M216" s="612"/>
      <c r="N216" s="612"/>
      <c r="O216" s="612"/>
      <c r="P216" s="612"/>
      <c r="Q216" s="612"/>
      <c r="R216" s="612"/>
      <c r="S216" s="612"/>
      <c r="T216" s="612"/>
      <c r="U216" s="613"/>
      <c r="V216" s="609"/>
      <c r="W216" s="608" t="s">
        <v>1554</v>
      </c>
      <c r="X216" s="609"/>
      <c r="Y216" s="600" t="s">
        <v>1376</v>
      </c>
    </row>
    <row r="217" spans="1:25" s="183" customFormat="1" ht="22.5" customHeight="1" thickTop="1" thickBot="1" x14ac:dyDescent="0.3">
      <c r="A217" s="615" t="s">
        <v>1374</v>
      </c>
      <c r="B217" s="616" t="s">
        <v>1391</v>
      </c>
      <c r="C217" s="616" t="s">
        <v>1378</v>
      </c>
      <c r="D217" s="616" t="s">
        <v>1378</v>
      </c>
      <c r="E217" s="616"/>
      <c r="F217" s="616"/>
      <c r="G217" s="616"/>
      <c r="H217" s="617"/>
      <c r="I217" s="617"/>
      <c r="J217" s="618" t="s">
        <v>1555</v>
      </c>
      <c r="K217" s="619"/>
      <c r="L217" s="619"/>
      <c r="M217" s="619"/>
      <c r="N217" s="619"/>
      <c r="O217" s="619"/>
      <c r="P217" s="619"/>
      <c r="Q217" s="619"/>
      <c r="R217" s="619"/>
      <c r="S217" s="619"/>
      <c r="T217" s="619"/>
      <c r="U217" s="620"/>
      <c r="V217" s="616"/>
      <c r="W217" s="621" t="s">
        <v>1556</v>
      </c>
      <c r="X217" s="621"/>
      <c r="Y217" s="600" t="s">
        <v>1376</v>
      </c>
    </row>
    <row r="218" spans="1:25" s="183" customFormat="1" ht="22.5" customHeight="1" thickTop="1" thickBot="1" x14ac:dyDescent="0.3">
      <c r="A218" s="628" t="s">
        <v>1374</v>
      </c>
      <c r="B218" s="622" t="s">
        <v>1391</v>
      </c>
      <c r="C218" s="622" t="s">
        <v>1378</v>
      </c>
      <c r="D218" s="623" t="s">
        <v>1378</v>
      </c>
      <c r="E218" s="623" t="s">
        <v>1378</v>
      </c>
      <c r="F218" s="623"/>
      <c r="G218" s="623"/>
      <c r="H218" s="630"/>
      <c r="I218" s="630"/>
      <c r="J218" s="625" t="s">
        <v>1557</v>
      </c>
      <c r="K218" s="626"/>
      <c r="L218" s="626"/>
      <c r="M218" s="626"/>
      <c r="N218" s="626"/>
      <c r="O218" s="626"/>
      <c r="P218" s="626"/>
      <c r="Q218" s="626"/>
      <c r="R218" s="626"/>
      <c r="S218" s="626"/>
      <c r="T218" s="626"/>
      <c r="U218" s="627"/>
      <c r="V218" s="622"/>
      <c r="W218" s="629" t="s">
        <v>1558</v>
      </c>
      <c r="X218" s="629"/>
      <c r="Y218" s="600" t="s">
        <v>1376</v>
      </c>
    </row>
    <row r="219" spans="1:25" ht="22.5" customHeight="1" thickTop="1" thickBot="1" x14ac:dyDescent="0.3">
      <c r="A219" s="634" t="s">
        <v>1374</v>
      </c>
      <c r="B219" s="624" t="s">
        <v>1391</v>
      </c>
      <c r="C219" s="624" t="s">
        <v>1378</v>
      </c>
      <c r="D219" s="630" t="s">
        <v>1378</v>
      </c>
      <c r="E219" s="630" t="s">
        <v>1378</v>
      </c>
      <c r="F219" s="623" t="s">
        <v>1378</v>
      </c>
      <c r="G219" s="630"/>
      <c r="H219" s="630"/>
      <c r="I219" s="630"/>
      <c r="J219" s="631" t="s">
        <v>1559</v>
      </c>
      <c r="K219" s="632"/>
      <c r="L219" s="632"/>
      <c r="M219" s="632"/>
      <c r="N219" s="632"/>
      <c r="O219" s="632"/>
      <c r="P219" s="632"/>
      <c r="Q219" s="632"/>
      <c r="R219" s="632"/>
      <c r="S219" s="632"/>
      <c r="T219" s="632"/>
      <c r="U219" s="633"/>
      <c r="V219" s="622"/>
      <c r="W219" s="635" t="s">
        <v>1560</v>
      </c>
      <c r="X219" s="635"/>
      <c r="Y219" s="600" t="s">
        <v>1376</v>
      </c>
    </row>
    <row r="220" spans="1:25" ht="22.5" customHeight="1" thickTop="1" thickBot="1" x14ac:dyDescent="0.3">
      <c r="A220" s="634" t="s">
        <v>1374</v>
      </c>
      <c r="B220" s="624" t="s">
        <v>1391</v>
      </c>
      <c r="C220" s="624" t="s">
        <v>1378</v>
      </c>
      <c r="D220" s="630" t="s">
        <v>1378</v>
      </c>
      <c r="E220" s="630" t="s">
        <v>1378</v>
      </c>
      <c r="F220" s="623" t="s">
        <v>1391</v>
      </c>
      <c r="G220" s="630"/>
      <c r="H220" s="630"/>
      <c r="I220" s="630"/>
      <c r="J220" s="631" t="s">
        <v>1561</v>
      </c>
      <c r="K220" s="632"/>
      <c r="L220" s="632"/>
      <c r="M220" s="632"/>
      <c r="N220" s="632"/>
      <c r="O220" s="632"/>
      <c r="P220" s="632"/>
      <c r="Q220" s="632"/>
      <c r="R220" s="632"/>
      <c r="S220" s="632"/>
      <c r="T220" s="632"/>
      <c r="U220" s="633"/>
      <c r="V220" s="622"/>
      <c r="W220" s="635" t="s">
        <v>1562</v>
      </c>
      <c r="X220" s="635"/>
      <c r="Y220" s="600" t="s">
        <v>1376</v>
      </c>
    </row>
    <row r="221" spans="1:25" ht="22.5" customHeight="1" thickTop="1" thickBot="1" x14ac:dyDescent="0.3">
      <c r="A221" s="634" t="s">
        <v>1374</v>
      </c>
      <c r="B221" s="624" t="s">
        <v>1391</v>
      </c>
      <c r="C221" s="624" t="s">
        <v>1378</v>
      </c>
      <c r="D221" s="630" t="s">
        <v>1378</v>
      </c>
      <c r="E221" s="630" t="s">
        <v>1378</v>
      </c>
      <c r="F221" s="623" t="s">
        <v>1415</v>
      </c>
      <c r="G221" s="630"/>
      <c r="H221" s="630"/>
      <c r="I221" s="630"/>
      <c r="J221" s="631" t="s">
        <v>1563</v>
      </c>
      <c r="K221" s="632"/>
      <c r="L221" s="632"/>
      <c r="M221" s="632"/>
      <c r="N221" s="632"/>
      <c r="O221" s="632"/>
      <c r="P221" s="632"/>
      <c r="Q221" s="632"/>
      <c r="R221" s="632"/>
      <c r="S221" s="632"/>
      <c r="T221" s="632"/>
      <c r="U221" s="633"/>
      <c r="V221" s="622"/>
      <c r="W221" s="635" t="s">
        <v>1564</v>
      </c>
      <c r="X221" s="635"/>
      <c r="Y221" s="600" t="s">
        <v>1376</v>
      </c>
    </row>
    <row r="222" spans="1:25" ht="22.5" customHeight="1" thickTop="1" thickBot="1" x14ac:dyDescent="0.3">
      <c r="A222" s="634" t="s">
        <v>1374</v>
      </c>
      <c r="B222" s="624" t="s">
        <v>1391</v>
      </c>
      <c r="C222" s="624" t="s">
        <v>1378</v>
      </c>
      <c r="D222" s="630" t="s">
        <v>1378</v>
      </c>
      <c r="E222" s="630" t="s">
        <v>1378</v>
      </c>
      <c r="F222" s="630" t="s">
        <v>1415</v>
      </c>
      <c r="G222" s="623" t="s">
        <v>1378</v>
      </c>
      <c r="H222" s="630"/>
      <c r="I222" s="630"/>
      <c r="J222" s="631" t="s">
        <v>1565</v>
      </c>
      <c r="K222" s="626"/>
      <c r="L222" s="626"/>
      <c r="M222" s="626"/>
      <c r="N222" s="626"/>
      <c r="O222" s="626"/>
      <c r="P222" s="626"/>
      <c r="Q222" s="626"/>
      <c r="R222" s="626"/>
      <c r="S222" s="626"/>
      <c r="T222" s="626"/>
      <c r="U222" s="627"/>
      <c r="V222" s="622"/>
      <c r="W222" s="635" t="s">
        <v>1566</v>
      </c>
      <c r="X222" s="635"/>
      <c r="Y222" s="600" t="s">
        <v>1376</v>
      </c>
    </row>
    <row r="223" spans="1:25" s="183" customFormat="1" ht="22.5" customHeight="1" thickTop="1" thickBot="1" x14ac:dyDescent="0.3">
      <c r="A223" s="628" t="s">
        <v>1374</v>
      </c>
      <c r="B223" s="622" t="s">
        <v>1391</v>
      </c>
      <c r="C223" s="622" t="s">
        <v>1378</v>
      </c>
      <c r="D223" s="623" t="s">
        <v>1378</v>
      </c>
      <c r="E223" s="623" t="s">
        <v>1391</v>
      </c>
      <c r="F223" s="623"/>
      <c r="G223" s="623"/>
      <c r="H223" s="630"/>
      <c r="I223" s="630"/>
      <c r="J223" s="625" t="s">
        <v>1567</v>
      </c>
      <c r="K223" s="626"/>
      <c r="L223" s="626"/>
      <c r="M223" s="626"/>
      <c r="N223" s="626"/>
      <c r="O223" s="626"/>
      <c r="P223" s="626"/>
      <c r="Q223" s="626"/>
      <c r="R223" s="626"/>
      <c r="S223" s="626"/>
      <c r="T223" s="626"/>
      <c r="U223" s="627"/>
      <c r="V223" s="622"/>
      <c r="W223" s="629" t="s">
        <v>1568</v>
      </c>
      <c r="X223" s="629"/>
      <c r="Y223" s="600" t="s">
        <v>1376</v>
      </c>
    </row>
    <row r="224" spans="1:25" ht="22.5" customHeight="1" thickTop="1" thickBot="1" x14ac:dyDescent="0.3">
      <c r="A224" s="634" t="s">
        <v>1374</v>
      </c>
      <c r="B224" s="624" t="s">
        <v>1391</v>
      </c>
      <c r="C224" s="624" t="s">
        <v>1378</v>
      </c>
      <c r="D224" s="630" t="s">
        <v>1378</v>
      </c>
      <c r="E224" s="630" t="s">
        <v>1391</v>
      </c>
      <c r="F224" s="623" t="s">
        <v>1378</v>
      </c>
      <c r="G224" s="630"/>
      <c r="H224" s="630"/>
      <c r="I224" s="630"/>
      <c r="J224" s="631" t="s">
        <v>1569</v>
      </c>
      <c r="K224" s="632"/>
      <c r="L224" s="632"/>
      <c r="M224" s="632"/>
      <c r="N224" s="632"/>
      <c r="O224" s="632"/>
      <c r="P224" s="632"/>
      <c r="Q224" s="632"/>
      <c r="R224" s="632"/>
      <c r="S224" s="632"/>
      <c r="T224" s="632"/>
      <c r="U224" s="633"/>
      <c r="V224" s="622"/>
      <c r="W224" s="635" t="s">
        <v>1570</v>
      </c>
      <c r="X224" s="635"/>
      <c r="Y224" s="600" t="s">
        <v>1376</v>
      </c>
    </row>
    <row r="225" spans="1:25" s="751" customFormat="1" ht="22.5" customHeight="1" thickTop="1" thickBot="1" x14ac:dyDescent="0.3">
      <c r="A225" s="748" t="s">
        <v>1374</v>
      </c>
      <c r="B225" s="741" t="s">
        <v>1391</v>
      </c>
      <c r="C225" s="741" t="s">
        <v>1391</v>
      </c>
      <c r="D225" s="741"/>
      <c r="E225" s="741"/>
      <c r="F225" s="741"/>
      <c r="G225" s="741"/>
      <c r="H225" s="740"/>
      <c r="I225" s="740"/>
      <c r="J225" s="742" t="s">
        <v>1571</v>
      </c>
      <c r="K225" s="749"/>
      <c r="L225" s="749"/>
      <c r="M225" s="749"/>
      <c r="N225" s="749"/>
      <c r="O225" s="749"/>
      <c r="P225" s="749"/>
      <c r="Q225" s="749"/>
      <c r="R225" s="749"/>
      <c r="S225" s="749"/>
      <c r="T225" s="749"/>
      <c r="U225" s="750"/>
      <c r="V225" s="741"/>
      <c r="W225" s="741" t="s">
        <v>1572</v>
      </c>
      <c r="X225" s="741"/>
      <c r="Y225" s="746" t="s">
        <v>1376</v>
      </c>
    </row>
    <row r="226" spans="1:25" s="751" customFormat="1" ht="22.5" customHeight="1" thickTop="1" thickBot="1" x14ac:dyDescent="0.3">
      <c r="A226" s="748"/>
      <c r="B226" s="741"/>
      <c r="C226" s="741"/>
      <c r="D226" s="741"/>
      <c r="E226" s="741"/>
      <c r="F226" s="741"/>
      <c r="G226" s="741"/>
      <c r="H226" s="740"/>
      <c r="I226" s="740"/>
      <c r="J226" s="742"/>
      <c r="K226" s="749"/>
      <c r="L226" s="749"/>
      <c r="M226" s="749"/>
      <c r="N226" s="749"/>
      <c r="O226" s="749"/>
      <c r="P226" s="749"/>
      <c r="Q226" s="749"/>
      <c r="R226" s="749"/>
      <c r="S226" s="749"/>
      <c r="T226" s="749"/>
      <c r="U226" s="750"/>
      <c r="V226" s="741"/>
      <c r="W226" s="752"/>
      <c r="X226" s="752"/>
      <c r="Y226" s="746"/>
    </row>
    <row r="227" spans="1:25" s="751" customFormat="1" ht="22.5" customHeight="1" thickTop="1" thickBot="1" x14ac:dyDescent="0.3">
      <c r="A227" s="748"/>
      <c r="B227" s="741"/>
      <c r="C227" s="741"/>
      <c r="D227" s="741"/>
      <c r="E227" s="741"/>
      <c r="F227" s="741"/>
      <c r="G227" s="741"/>
      <c r="H227" s="740"/>
      <c r="I227" s="740"/>
      <c r="J227" s="742"/>
      <c r="K227" s="749"/>
      <c r="L227" s="749"/>
      <c r="M227" s="749"/>
      <c r="N227" s="749"/>
      <c r="O227" s="749"/>
      <c r="P227" s="749"/>
      <c r="Q227" s="749"/>
      <c r="R227" s="749"/>
      <c r="S227" s="749"/>
      <c r="T227" s="749"/>
      <c r="U227" s="750"/>
      <c r="V227" s="741"/>
      <c r="W227" s="752"/>
      <c r="X227" s="752"/>
      <c r="Y227" s="746"/>
    </row>
    <row r="228" spans="1:25" s="751" customFormat="1" ht="22.5" customHeight="1" thickTop="1" thickBot="1" x14ac:dyDescent="0.3">
      <c r="A228" s="748"/>
      <c r="B228" s="741"/>
      <c r="C228" s="741"/>
      <c r="D228" s="741"/>
      <c r="E228" s="741"/>
      <c r="F228" s="741"/>
      <c r="G228" s="741"/>
      <c r="H228" s="740"/>
      <c r="I228" s="740"/>
      <c r="J228" s="742"/>
      <c r="K228" s="749"/>
      <c r="L228" s="749"/>
      <c r="M228" s="749"/>
      <c r="N228" s="749"/>
      <c r="O228" s="749"/>
      <c r="P228" s="749"/>
      <c r="Q228" s="749"/>
      <c r="R228" s="749"/>
      <c r="S228" s="749"/>
      <c r="T228" s="749"/>
      <c r="U228" s="750"/>
      <c r="V228" s="748"/>
      <c r="W228" s="752"/>
      <c r="X228" s="752"/>
      <c r="Y228" s="746"/>
    </row>
    <row r="229" spans="1:25" s="183" customFormat="1" ht="22.5" customHeight="1" thickTop="1" thickBot="1" x14ac:dyDescent="0.3">
      <c r="A229" s="608" t="s">
        <v>1374</v>
      </c>
      <c r="B229" s="609" t="s">
        <v>1391</v>
      </c>
      <c r="C229" s="609" t="s">
        <v>1415</v>
      </c>
      <c r="D229" s="609"/>
      <c r="E229" s="609"/>
      <c r="F229" s="609"/>
      <c r="G229" s="609"/>
      <c r="H229" s="610"/>
      <c r="I229" s="610"/>
      <c r="J229" s="611" t="s">
        <v>1577</v>
      </c>
      <c r="K229" s="649"/>
      <c r="L229" s="649"/>
      <c r="M229" s="649"/>
      <c r="N229" s="649"/>
      <c r="O229" s="649"/>
      <c r="P229" s="649"/>
      <c r="Q229" s="649"/>
      <c r="R229" s="649"/>
      <c r="S229" s="649"/>
      <c r="T229" s="649"/>
      <c r="U229" s="613"/>
      <c r="V229" s="609"/>
      <c r="W229" s="609" t="s">
        <v>1578</v>
      </c>
      <c r="X229" s="609"/>
      <c r="Y229" s="600" t="s">
        <v>1376</v>
      </c>
    </row>
    <row r="230" spans="1:25" s="183" customFormat="1" ht="22.5" customHeight="1" thickTop="1" thickBot="1" x14ac:dyDescent="0.3">
      <c r="A230" s="616" t="s">
        <v>1374</v>
      </c>
      <c r="B230" s="616" t="s">
        <v>1391</v>
      </c>
      <c r="C230" s="616" t="s">
        <v>1415</v>
      </c>
      <c r="D230" s="616" t="s">
        <v>1378</v>
      </c>
      <c r="E230" s="616"/>
      <c r="F230" s="616"/>
      <c r="G230" s="616"/>
      <c r="H230" s="617"/>
      <c r="I230" s="617"/>
      <c r="J230" s="618" t="s">
        <v>1579</v>
      </c>
      <c r="K230" s="644"/>
      <c r="L230" s="644"/>
      <c r="M230" s="644"/>
      <c r="N230" s="644"/>
      <c r="O230" s="644"/>
      <c r="P230" s="644"/>
      <c r="Q230" s="644"/>
      <c r="R230" s="644"/>
      <c r="S230" s="644"/>
      <c r="T230" s="644"/>
      <c r="U230" s="620"/>
      <c r="V230" s="616"/>
      <c r="W230" s="621" t="s">
        <v>1580</v>
      </c>
      <c r="X230" s="621" t="s">
        <v>1581</v>
      </c>
      <c r="Y230" s="600" t="s">
        <v>1376</v>
      </c>
    </row>
    <row r="231" spans="1:25" s="183" customFormat="1" ht="22.5" customHeight="1" thickTop="1" thickBot="1" x14ac:dyDescent="0.3">
      <c r="A231" s="628" t="s">
        <v>1374</v>
      </c>
      <c r="B231" s="622" t="s">
        <v>1391</v>
      </c>
      <c r="C231" s="622" t="s">
        <v>1415</v>
      </c>
      <c r="D231" s="622" t="s">
        <v>1378</v>
      </c>
      <c r="E231" s="623" t="s">
        <v>1378</v>
      </c>
      <c r="F231" s="622"/>
      <c r="G231" s="622"/>
      <c r="H231" s="624"/>
      <c r="I231" s="624"/>
      <c r="J231" s="625" t="s">
        <v>1582</v>
      </c>
      <c r="K231" s="647"/>
      <c r="L231" s="647"/>
      <c r="M231" s="647"/>
      <c r="N231" s="647"/>
      <c r="O231" s="647"/>
      <c r="P231" s="647"/>
      <c r="Q231" s="647"/>
      <c r="R231" s="647"/>
      <c r="S231" s="647"/>
      <c r="T231" s="647"/>
      <c r="U231" s="627"/>
      <c r="V231" s="628"/>
      <c r="W231" s="629" t="s">
        <v>1583</v>
      </c>
      <c r="X231" s="629" t="s">
        <v>1584</v>
      </c>
      <c r="Y231" s="600" t="s">
        <v>1376</v>
      </c>
    </row>
    <row r="232" spans="1:25" s="183" customFormat="1" ht="22.5" customHeight="1" thickTop="1" thickBot="1" x14ac:dyDescent="0.3">
      <c r="A232" s="628" t="s">
        <v>1374</v>
      </c>
      <c r="B232" s="622" t="s">
        <v>1391</v>
      </c>
      <c r="C232" s="622" t="s">
        <v>1415</v>
      </c>
      <c r="D232" s="622" t="s">
        <v>1378</v>
      </c>
      <c r="E232" s="623" t="s">
        <v>1391</v>
      </c>
      <c r="F232" s="622"/>
      <c r="G232" s="622"/>
      <c r="H232" s="624"/>
      <c r="I232" s="624"/>
      <c r="J232" s="625" t="s">
        <v>1585</v>
      </c>
      <c r="K232" s="647"/>
      <c r="L232" s="647"/>
      <c r="M232" s="647"/>
      <c r="N232" s="647"/>
      <c r="O232" s="647"/>
      <c r="P232" s="647"/>
      <c r="Q232" s="647"/>
      <c r="R232" s="647"/>
      <c r="S232" s="647"/>
      <c r="T232" s="647"/>
      <c r="U232" s="627"/>
      <c r="V232" s="622"/>
      <c r="W232" s="629" t="s">
        <v>1586</v>
      </c>
      <c r="X232" s="629"/>
      <c r="Y232" s="600" t="s">
        <v>1376</v>
      </c>
    </row>
    <row r="233" spans="1:25" s="183" customFormat="1" ht="22.5" customHeight="1" thickTop="1" thickBot="1" x14ac:dyDescent="0.3">
      <c r="A233" s="615" t="s">
        <v>1374</v>
      </c>
      <c r="B233" s="616" t="s">
        <v>1391</v>
      </c>
      <c r="C233" s="616" t="s">
        <v>1415</v>
      </c>
      <c r="D233" s="616" t="s">
        <v>1391</v>
      </c>
      <c r="E233" s="616"/>
      <c r="F233" s="616"/>
      <c r="G233" s="616"/>
      <c r="H233" s="617"/>
      <c r="I233" s="617"/>
      <c r="J233" s="618" t="s">
        <v>1587</v>
      </c>
      <c r="K233" s="644"/>
      <c r="L233" s="644"/>
      <c r="M233" s="644"/>
      <c r="N233" s="644"/>
      <c r="O233" s="644"/>
      <c r="P233" s="644"/>
      <c r="Q233" s="644"/>
      <c r="R233" s="644"/>
      <c r="S233" s="644"/>
      <c r="T233" s="644"/>
      <c r="U233" s="620"/>
      <c r="V233" s="616"/>
      <c r="W233" s="621" t="s">
        <v>1588</v>
      </c>
      <c r="X233" s="621"/>
      <c r="Y233" s="600" t="s">
        <v>1376</v>
      </c>
    </row>
    <row r="234" spans="1:25" s="183" customFormat="1" ht="22.5" customHeight="1" thickTop="1" thickBot="1" x14ac:dyDescent="0.3">
      <c r="A234" s="615" t="s">
        <v>1374</v>
      </c>
      <c r="B234" s="616" t="s">
        <v>1391</v>
      </c>
      <c r="C234" s="616" t="s">
        <v>1415</v>
      </c>
      <c r="D234" s="616" t="s">
        <v>1415</v>
      </c>
      <c r="E234" s="616"/>
      <c r="F234" s="616"/>
      <c r="G234" s="616"/>
      <c r="H234" s="617"/>
      <c r="I234" s="617"/>
      <c r="J234" s="618" t="s">
        <v>1589</v>
      </c>
      <c r="K234" s="644"/>
      <c r="L234" s="644"/>
      <c r="M234" s="644"/>
      <c r="N234" s="644"/>
      <c r="O234" s="644"/>
      <c r="P234" s="644"/>
      <c r="Q234" s="644"/>
      <c r="R234" s="644"/>
      <c r="S234" s="644"/>
      <c r="T234" s="644"/>
      <c r="U234" s="620"/>
      <c r="V234" s="616"/>
      <c r="W234" s="621" t="s">
        <v>1590</v>
      </c>
      <c r="X234" s="621" t="s">
        <v>1591</v>
      </c>
      <c r="Y234" s="600" t="s">
        <v>1376</v>
      </c>
    </row>
    <row r="235" spans="1:25" s="183" customFormat="1" ht="22.5" customHeight="1" thickTop="1" thickBot="1" x14ac:dyDescent="0.3">
      <c r="A235" s="608" t="s">
        <v>1374</v>
      </c>
      <c r="B235" s="609" t="s">
        <v>1391</v>
      </c>
      <c r="C235" s="609" t="s">
        <v>1419</v>
      </c>
      <c r="D235" s="609"/>
      <c r="E235" s="609"/>
      <c r="F235" s="609"/>
      <c r="G235" s="609"/>
      <c r="H235" s="610"/>
      <c r="I235" s="610"/>
      <c r="J235" s="611" t="s">
        <v>1592</v>
      </c>
      <c r="K235" s="649"/>
      <c r="L235" s="649"/>
      <c r="M235" s="649"/>
      <c r="N235" s="649"/>
      <c r="O235" s="649"/>
      <c r="P235" s="649"/>
      <c r="Q235" s="649"/>
      <c r="R235" s="649"/>
      <c r="S235" s="649"/>
      <c r="T235" s="649"/>
      <c r="U235" s="613"/>
      <c r="V235" s="609"/>
      <c r="W235" s="609" t="s">
        <v>1593</v>
      </c>
      <c r="X235" s="609"/>
      <c r="Y235" s="600" t="s">
        <v>1376</v>
      </c>
    </row>
    <row r="236" spans="1:25" s="183" customFormat="1" ht="22.5" customHeight="1" thickTop="1" thickBot="1" x14ac:dyDescent="0.3">
      <c r="A236" s="615" t="s">
        <v>1374</v>
      </c>
      <c r="B236" s="616" t="s">
        <v>1391</v>
      </c>
      <c r="C236" s="616" t="s">
        <v>1419</v>
      </c>
      <c r="D236" s="616" t="s">
        <v>1378</v>
      </c>
      <c r="E236" s="616"/>
      <c r="F236" s="616"/>
      <c r="G236" s="616"/>
      <c r="H236" s="617"/>
      <c r="I236" s="617"/>
      <c r="J236" s="618" t="s">
        <v>1594</v>
      </c>
      <c r="K236" s="644"/>
      <c r="L236" s="644"/>
      <c r="M236" s="644"/>
      <c r="N236" s="644"/>
      <c r="O236" s="644"/>
      <c r="P236" s="644"/>
      <c r="Q236" s="644"/>
      <c r="R236" s="644"/>
      <c r="S236" s="644"/>
      <c r="T236" s="644"/>
      <c r="U236" s="620"/>
      <c r="V236" s="616"/>
      <c r="W236" s="621" t="s">
        <v>1595</v>
      </c>
      <c r="X236" s="621" t="s">
        <v>1596</v>
      </c>
      <c r="Y236" s="600" t="s">
        <v>1376</v>
      </c>
    </row>
    <row r="237" spans="1:25" s="183" customFormat="1" ht="22.5" customHeight="1" thickTop="1" thickBot="1" x14ac:dyDescent="0.3">
      <c r="A237" s="628" t="s">
        <v>1374</v>
      </c>
      <c r="B237" s="622" t="s">
        <v>1391</v>
      </c>
      <c r="C237" s="622" t="s">
        <v>1419</v>
      </c>
      <c r="D237" s="622" t="s">
        <v>1378</v>
      </c>
      <c r="E237" s="623" t="s">
        <v>1378</v>
      </c>
      <c r="F237" s="622"/>
      <c r="G237" s="622"/>
      <c r="H237" s="624"/>
      <c r="I237" s="624"/>
      <c r="J237" s="625" t="s">
        <v>1597</v>
      </c>
      <c r="K237" s="647"/>
      <c r="L237" s="647"/>
      <c r="M237" s="647"/>
      <c r="N237" s="647"/>
      <c r="O237" s="647"/>
      <c r="P237" s="647"/>
      <c r="Q237" s="647"/>
      <c r="R237" s="647"/>
      <c r="S237" s="647"/>
      <c r="T237" s="647"/>
      <c r="U237" s="627"/>
      <c r="V237" s="628"/>
      <c r="W237" s="629" t="s">
        <v>1598</v>
      </c>
      <c r="X237" s="629" t="s">
        <v>1584</v>
      </c>
      <c r="Y237" s="600" t="s">
        <v>1376</v>
      </c>
    </row>
    <row r="238" spans="1:25" ht="22.5" customHeight="1" thickTop="1" thickBot="1" x14ac:dyDescent="0.3">
      <c r="A238" s="634" t="s">
        <v>1374</v>
      </c>
      <c r="B238" s="624" t="s">
        <v>1391</v>
      </c>
      <c r="C238" s="624" t="s">
        <v>1419</v>
      </c>
      <c r="D238" s="624" t="s">
        <v>1378</v>
      </c>
      <c r="E238" s="630" t="s">
        <v>1378</v>
      </c>
      <c r="F238" s="622" t="s">
        <v>1378</v>
      </c>
      <c r="G238" s="624"/>
      <c r="H238" s="624"/>
      <c r="I238" s="624"/>
      <c r="J238" s="631" t="s">
        <v>1599</v>
      </c>
      <c r="K238" s="648"/>
      <c r="L238" s="648"/>
      <c r="M238" s="648"/>
      <c r="N238" s="648"/>
      <c r="O238" s="648"/>
      <c r="P238" s="648"/>
      <c r="Q238" s="648"/>
      <c r="R238" s="648"/>
      <c r="S238" s="648"/>
      <c r="T238" s="648"/>
      <c r="U238" s="633"/>
      <c r="V238" s="624"/>
      <c r="W238" s="635" t="s">
        <v>1600</v>
      </c>
      <c r="X238" s="635"/>
      <c r="Y238" s="600" t="s">
        <v>1376</v>
      </c>
    </row>
    <row r="239" spans="1:25" ht="22.5" customHeight="1" thickTop="1" thickBot="1" x14ac:dyDescent="0.3">
      <c r="A239" s="634" t="s">
        <v>1374</v>
      </c>
      <c r="B239" s="624" t="s">
        <v>1391</v>
      </c>
      <c r="C239" s="624" t="s">
        <v>1419</v>
      </c>
      <c r="D239" s="624" t="s">
        <v>1378</v>
      </c>
      <c r="E239" s="630" t="s">
        <v>1378</v>
      </c>
      <c r="F239" s="622" t="s">
        <v>1391</v>
      </c>
      <c r="G239" s="624"/>
      <c r="H239" s="624"/>
      <c r="I239" s="624"/>
      <c r="J239" s="631" t="s">
        <v>1601</v>
      </c>
      <c r="K239" s="648"/>
      <c r="L239" s="648"/>
      <c r="M239" s="648"/>
      <c r="N239" s="648"/>
      <c r="O239" s="648"/>
      <c r="P239" s="648"/>
      <c r="Q239" s="648"/>
      <c r="R239" s="648"/>
      <c r="S239" s="648"/>
      <c r="T239" s="648"/>
      <c r="U239" s="633"/>
      <c r="V239" s="634"/>
      <c r="W239" s="635" t="s">
        <v>1602</v>
      </c>
      <c r="X239" s="635"/>
      <c r="Y239" s="600" t="s">
        <v>1376</v>
      </c>
    </row>
    <row r="240" spans="1:25" s="183" customFormat="1" ht="22.5" customHeight="1" thickTop="1" thickBot="1" x14ac:dyDescent="0.3">
      <c r="A240" s="628" t="s">
        <v>1374</v>
      </c>
      <c r="B240" s="622" t="s">
        <v>1391</v>
      </c>
      <c r="C240" s="622" t="s">
        <v>1419</v>
      </c>
      <c r="D240" s="622" t="s">
        <v>1378</v>
      </c>
      <c r="E240" s="623" t="s">
        <v>1391</v>
      </c>
      <c r="F240" s="622"/>
      <c r="G240" s="622"/>
      <c r="H240" s="624"/>
      <c r="I240" s="624"/>
      <c r="J240" s="625" t="s">
        <v>1603</v>
      </c>
      <c r="K240" s="647"/>
      <c r="L240" s="647"/>
      <c r="M240" s="647"/>
      <c r="N240" s="647"/>
      <c r="O240" s="647"/>
      <c r="P240" s="647"/>
      <c r="Q240" s="647"/>
      <c r="R240" s="647"/>
      <c r="S240" s="647"/>
      <c r="T240" s="647"/>
      <c r="U240" s="627"/>
      <c r="V240" s="628"/>
      <c r="W240" s="629" t="s">
        <v>1604</v>
      </c>
      <c r="X240" s="629"/>
      <c r="Y240" s="600" t="s">
        <v>1376</v>
      </c>
    </row>
    <row r="241" spans="1:25" ht="22.5" customHeight="1" thickTop="1" thickBot="1" x14ac:dyDescent="0.3">
      <c r="A241" s="634" t="s">
        <v>1374</v>
      </c>
      <c r="B241" s="624" t="s">
        <v>1391</v>
      </c>
      <c r="C241" s="624" t="s">
        <v>1419</v>
      </c>
      <c r="D241" s="624" t="s">
        <v>1378</v>
      </c>
      <c r="E241" s="630" t="s">
        <v>1391</v>
      </c>
      <c r="F241" s="622" t="s">
        <v>1378</v>
      </c>
      <c r="G241" s="624"/>
      <c r="H241" s="624"/>
      <c r="I241" s="624"/>
      <c r="J241" s="631" t="s">
        <v>1605</v>
      </c>
      <c r="K241" s="648"/>
      <c r="L241" s="648"/>
      <c r="M241" s="648"/>
      <c r="N241" s="648"/>
      <c r="O241" s="648"/>
      <c r="P241" s="648"/>
      <c r="Q241" s="648"/>
      <c r="R241" s="648"/>
      <c r="S241" s="648"/>
      <c r="T241" s="648"/>
      <c r="U241" s="633"/>
      <c r="V241" s="634"/>
      <c r="W241" s="635" t="s">
        <v>1606</v>
      </c>
      <c r="X241" s="635"/>
      <c r="Y241" s="600" t="s">
        <v>1376</v>
      </c>
    </row>
    <row r="242" spans="1:25" ht="22.5" customHeight="1" thickTop="1" thickBot="1" x14ac:dyDescent="0.3">
      <c r="A242" s="634" t="s">
        <v>1374</v>
      </c>
      <c r="B242" s="624" t="s">
        <v>1391</v>
      </c>
      <c r="C242" s="624" t="s">
        <v>1419</v>
      </c>
      <c r="D242" s="624" t="s">
        <v>1378</v>
      </c>
      <c r="E242" s="630" t="s">
        <v>1391</v>
      </c>
      <c r="F242" s="622" t="s">
        <v>1391</v>
      </c>
      <c r="G242" s="624"/>
      <c r="H242" s="624"/>
      <c r="I242" s="624"/>
      <c r="J242" s="631" t="s">
        <v>1607</v>
      </c>
      <c r="K242" s="648"/>
      <c r="L242" s="648"/>
      <c r="M242" s="648"/>
      <c r="N242" s="648"/>
      <c r="O242" s="648"/>
      <c r="P242" s="648"/>
      <c r="Q242" s="648"/>
      <c r="R242" s="648"/>
      <c r="S242" s="648"/>
      <c r="T242" s="648"/>
      <c r="U242" s="633"/>
      <c r="V242" s="634"/>
      <c r="W242" s="635" t="s">
        <v>1608</v>
      </c>
      <c r="X242" s="635"/>
      <c r="Y242" s="600" t="s">
        <v>1376</v>
      </c>
    </row>
    <row r="243" spans="1:25" ht="22.5" customHeight="1" thickTop="1" thickBot="1" x14ac:dyDescent="0.3">
      <c r="A243" s="634" t="s">
        <v>1374</v>
      </c>
      <c r="B243" s="624" t="s">
        <v>1391</v>
      </c>
      <c r="C243" s="624" t="s">
        <v>1419</v>
      </c>
      <c r="D243" s="624" t="s">
        <v>1378</v>
      </c>
      <c r="E243" s="630" t="s">
        <v>1391</v>
      </c>
      <c r="F243" s="622" t="s">
        <v>1415</v>
      </c>
      <c r="G243" s="624"/>
      <c r="H243" s="624"/>
      <c r="I243" s="624"/>
      <c r="J243" s="631" t="s">
        <v>1609</v>
      </c>
      <c r="K243" s="648"/>
      <c r="L243" s="648"/>
      <c r="M243" s="648"/>
      <c r="N243" s="648"/>
      <c r="O243" s="648"/>
      <c r="P243" s="648"/>
      <c r="Q243" s="648"/>
      <c r="R243" s="648"/>
      <c r="S243" s="648"/>
      <c r="T243" s="648"/>
      <c r="U243" s="633"/>
      <c r="V243" s="634"/>
      <c r="W243" s="635" t="s">
        <v>1610</v>
      </c>
      <c r="X243" s="635"/>
      <c r="Y243" s="600" t="s">
        <v>1376</v>
      </c>
    </row>
    <row r="244" spans="1:25" ht="22.5" customHeight="1" thickTop="1" thickBot="1" x14ac:dyDescent="0.3">
      <c r="A244" s="634" t="s">
        <v>1374</v>
      </c>
      <c r="B244" s="624" t="s">
        <v>1391</v>
      </c>
      <c r="C244" s="624" t="s">
        <v>1419</v>
      </c>
      <c r="D244" s="624" t="s">
        <v>1378</v>
      </c>
      <c r="E244" s="630" t="s">
        <v>1391</v>
      </c>
      <c r="F244" s="622" t="s">
        <v>1419</v>
      </c>
      <c r="G244" s="624"/>
      <c r="H244" s="624"/>
      <c r="I244" s="624"/>
      <c r="J244" s="631" t="s">
        <v>1611</v>
      </c>
      <c r="K244" s="648"/>
      <c r="L244" s="648"/>
      <c r="M244" s="648"/>
      <c r="N244" s="648"/>
      <c r="O244" s="648"/>
      <c r="P244" s="648"/>
      <c r="Q244" s="648"/>
      <c r="R244" s="648"/>
      <c r="S244" s="648"/>
      <c r="T244" s="648"/>
      <c r="U244" s="633"/>
      <c r="V244" s="634"/>
      <c r="W244" s="635" t="s">
        <v>1612</v>
      </c>
      <c r="X244" s="635"/>
      <c r="Y244" s="600" t="s">
        <v>1376</v>
      </c>
    </row>
    <row r="245" spans="1:25" ht="22.5" customHeight="1" thickTop="1" thickBot="1" x14ac:dyDescent="0.3">
      <c r="A245" s="634" t="s">
        <v>1374</v>
      </c>
      <c r="B245" s="624" t="s">
        <v>1391</v>
      </c>
      <c r="C245" s="624" t="s">
        <v>1419</v>
      </c>
      <c r="D245" s="624" t="s">
        <v>1378</v>
      </c>
      <c r="E245" s="630" t="s">
        <v>1391</v>
      </c>
      <c r="F245" s="622" t="s">
        <v>1444</v>
      </c>
      <c r="G245" s="624"/>
      <c r="H245" s="624"/>
      <c r="I245" s="624"/>
      <c r="J245" s="631" t="s">
        <v>1613</v>
      </c>
      <c r="K245" s="648"/>
      <c r="L245" s="648"/>
      <c r="M245" s="648"/>
      <c r="N245" s="648"/>
      <c r="O245" s="648"/>
      <c r="P245" s="648"/>
      <c r="Q245" s="648"/>
      <c r="R245" s="648"/>
      <c r="S245" s="648"/>
      <c r="T245" s="648"/>
      <c r="U245" s="633"/>
      <c r="V245" s="634"/>
      <c r="W245" s="635" t="s">
        <v>1614</v>
      </c>
      <c r="X245" s="635" t="s">
        <v>1615</v>
      </c>
      <c r="Y245" s="600" t="s">
        <v>1376</v>
      </c>
    </row>
    <row r="246" spans="1:25" s="183" customFormat="1" ht="22.5" customHeight="1" thickTop="1" thickBot="1" x14ac:dyDescent="0.3">
      <c r="A246" s="628" t="s">
        <v>1374</v>
      </c>
      <c r="B246" s="622" t="s">
        <v>1391</v>
      </c>
      <c r="C246" s="622" t="s">
        <v>1419</v>
      </c>
      <c r="D246" s="622" t="s">
        <v>1378</v>
      </c>
      <c r="E246" s="623" t="s">
        <v>1415</v>
      </c>
      <c r="F246" s="622"/>
      <c r="G246" s="622"/>
      <c r="H246" s="624"/>
      <c r="I246" s="624"/>
      <c r="J246" s="625" t="s">
        <v>1616</v>
      </c>
      <c r="K246" s="647"/>
      <c r="L246" s="647"/>
      <c r="M246" s="647"/>
      <c r="N246" s="647"/>
      <c r="O246" s="647"/>
      <c r="P246" s="647"/>
      <c r="Q246" s="647"/>
      <c r="R246" s="647"/>
      <c r="S246" s="647"/>
      <c r="T246" s="647"/>
      <c r="U246" s="627"/>
      <c r="V246" s="628"/>
      <c r="W246" s="629" t="s">
        <v>1617</v>
      </c>
      <c r="X246" s="629"/>
      <c r="Y246" s="600" t="s">
        <v>1376</v>
      </c>
    </row>
    <row r="247" spans="1:25" s="183" customFormat="1" ht="22.5" customHeight="1" thickTop="1" thickBot="1" x14ac:dyDescent="0.3">
      <c r="A247" s="615" t="s">
        <v>1374</v>
      </c>
      <c r="B247" s="616" t="s">
        <v>1391</v>
      </c>
      <c r="C247" s="616" t="s">
        <v>1419</v>
      </c>
      <c r="D247" s="616" t="s">
        <v>1391</v>
      </c>
      <c r="E247" s="616"/>
      <c r="F247" s="616"/>
      <c r="G247" s="616"/>
      <c r="H247" s="617"/>
      <c r="I247" s="617"/>
      <c r="J247" s="618" t="s">
        <v>1618</v>
      </c>
      <c r="K247" s="644"/>
      <c r="L247" s="644"/>
      <c r="M247" s="644"/>
      <c r="N247" s="644"/>
      <c r="O247" s="644"/>
      <c r="P247" s="644"/>
      <c r="Q247" s="644"/>
      <c r="R247" s="644"/>
      <c r="S247" s="644"/>
      <c r="T247" s="644"/>
      <c r="U247" s="620"/>
      <c r="V247" s="616"/>
      <c r="W247" s="621" t="s">
        <v>1619</v>
      </c>
      <c r="X247" s="621" t="s">
        <v>1620</v>
      </c>
      <c r="Y247" s="600" t="s">
        <v>1376</v>
      </c>
    </row>
    <row r="248" spans="1:25" s="183" customFormat="1" ht="22.5" customHeight="1" thickTop="1" thickBot="1" x14ac:dyDescent="0.3">
      <c r="A248" s="628" t="s">
        <v>1374</v>
      </c>
      <c r="B248" s="622" t="s">
        <v>1391</v>
      </c>
      <c r="C248" s="622" t="s">
        <v>1419</v>
      </c>
      <c r="D248" s="622" t="s">
        <v>1391</v>
      </c>
      <c r="E248" s="623" t="s">
        <v>1378</v>
      </c>
      <c r="F248" s="623"/>
      <c r="G248" s="622"/>
      <c r="H248" s="624"/>
      <c r="I248" s="624"/>
      <c r="J248" s="625" t="s">
        <v>1621</v>
      </c>
      <c r="K248" s="650"/>
      <c r="L248" s="650"/>
      <c r="M248" s="650"/>
      <c r="N248" s="650"/>
      <c r="O248" s="650"/>
      <c r="P248" s="650"/>
      <c r="Q248" s="650"/>
      <c r="R248" s="650"/>
      <c r="S248" s="650"/>
      <c r="T248" s="650"/>
      <c r="U248" s="651"/>
      <c r="V248" s="622"/>
      <c r="W248" s="629" t="s">
        <v>1622</v>
      </c>
      <c r="X248" s="629"/>
      <c r="Y248" s="600" t="s">
        <v>1376</v>
      </c>
    </row>
    <row r="249" spans="1:25" ht="22.5" customHeight="1" thickTop="1" thickBot="1" x14ac:dyDescent="0.3">
      <c r="A249" s="634" t="s">
        <v>1374</v>
      </c>
      <c r="B249" s="624" t="s">
        <v>1391</v>
      </c>
      <c r="C249" s="624" t="s">
        <v>1419</v>
      </c>
      <c r="D249" s="624" t="s">
        <v>1391</v>
      </c>
      <c r="E249" s="630" t="s">
        <v>1378</v>
      </c>
      <c r="F249" s="623" t="s">
        <v>1378</v>
      </c>
      <c r="G249" s="624"/>
      <c r="H249" s="624"/>
      <c r="I249" s="624"/>
      <c r="J249" s="631" t="s">
        <v>1623</v>
      </c>
      <c r="K249" s="652"/>
      <c r="L249" s="652"/>
      <c r="M249" s="652"/>
      <c r="N249" s="652"/>
      <c r="O249" s="652"/>
      <c r="P249" s="652"/>
      <c r="Q249" s="652"/>
      <c r="R249" s="652"/>
      <c r="S249" s="652"/>
      <c r="T249" s="652"/>
      <c r="U249" s="653"/>
      <c r="V249" s="624"/>
      <c r="W249" s="635" t="s">
        <v>1624</v>
      </c>
      <c r="X249" s="635"/>
      <c r="Y249" s="600" t="s">
        <v>1376</v>
      </c>
    </row>
    <row r="250" spans="1:25" ht="22.5" customHeight="1" thickTop="1" thickBot="1" x14ac:dyDescent="0.3">
      <c r="A250" s="634" t="s">
        <v>1374</v>
      </c>
      <c r="B250" s="624" t="s">
        <v>1391</v>
      </c>
      <c r="C250" s="624" t="s">
        <v>1419</v>
      </c>
      <c r="D250" s="624" t="s">
        <v>1391</v>
      </c>
      <c r="E250" s="630" t="s">
        <v>1378</v>
      </c>
      <c r="F250" s="623" t="s">
        <v>1391</v>
      </c>
      <c r="G250" s="624"/>
      <c r="H250" s="624"/>
      <c r="I250" s="624"/>
      <c r="J250" s="631" t="s">
        <v>1625</v>
      </c>
      <c r="K250" s="652"/>
      <c r="L250" s="652"/>
      <c r="M250" s="652"/>
      <c r="N250" s="652"/>
      <c r="O250" s="652"/>
      <c r="P250" s="652"/>
      <c r="Q250" s="652"/>
      <c r="R250" s="652"/>
      <c r="S250" s="652"/>
      <c r="T250" s="652"/>
      <c r="U250" s="653"/>
      <c r="V250" s="624"/>
      <c r="W250" s="635" t="s">
        <v>1626</v>
      </c>
      <c r="X250" s="635"/>
      <c r="Y250" s="600" t="s">
        <v>1376</v>
      </c>
    </row>
    <row r="251" spans="1:25" s="183" customFormat="1" ht="22.5" customHeight="1" thickTop="1" thickBot="1" x14ac:dyDescent="0.3">
      <c r="A251" s="628" t="s">
        <v>1374</v>
      </c>
      <c r="B251" s="622" t="s">
        <v>1391</v>
      </c>
      <c r="C251" s="622" t="s">
        <v>1419</v>
      </c>
      <c r="D251" s="622" t="s">
        <v>1391</v>
      </c>
      <c r="E251" s="623" t="s">
        <v>1391</v>
      </c>
      <c r="F251" s="622"/>
      <c r="G251" s="622"/>
      <c r="H251" s="624"/>
      <c r="I251" s="624"/>
      <c r="J251" s="625" t="s">
        <v>1627</v>
      </c>
      <c r="K251" s="650"/>
      <c r="L251" s="650"/>
      <c r="M251" s="650"/>
      <c r="N251" s="650"/>
      <c r="O251" s="650"/>
      <c r="P251" s="650"/>
      <c r="Q251" s="650"/>
      <c r="R251" s="650"/>
      <c r="S251" s="650"/>
      <c r="T251" s="650"/>
      <c r="U251" s="651"/>
      <c r="V251" s="622"/>
      <c r="W251" s="629" t="s">
        <v>1628</v>
      </c>
      <c r="X251" s="629"/>
      <c r="Y251" s="600" t="s">
        <v>1376</v>
      </c>
    </row>
    <row r="252" spans="1:25" s="183" customFormat="1" ht="22.5" customHeight="1" thickTop="1" thickBot="1" x14ac:dyDescent="0.3">
      <c r="A252" s="628" t="s">
        <v>1374</v>
      </c>
      <c r="B252" s="622" t="s">
        <v>1391</v>
      </c>
      <c r="C252" s="622" t="s">
        <v>1419</v>
      </c>
      <c r="D252" s="622" t="s">
        <v>1391</v>
      </c>
      <c r="E252" s="623" t="s">
        <v>1415</v>
      </c>
      <c r="F252" s="622"/>
      <c r="G252" s="622"/>
      <c r="H252" s="624"/>
      <c r="I252" s="624"/>
      <c r="J252" s="625" t="s">
        <v>1629</v>
      </c>
      <c r="K252" s="650"/>
      <c r="L252" s="650"/>
      <c r="M252" s="650"/>
      <c r="N252" s="650"/>
      <c r="O252" s="650"/>
      <c r="P252" s="650"/>
      <c r="Q252" s="650"/>
      <c r="R252" s="650"/>
      <c r="S252" s="650"/>
      <c r="T252" s="650"/>
      <c r="U252" s="651"/>
      <c r="V252" s="622"/>
      <c r="W252" s="629" t="s">
        <v>1630</v>
      </c>
      <c r="X252" s="629"/>
      <c r="Y252" s="600" t="s">
        <v>1376</v>
      </c>
    </row>
    <row r="253" spans="1:25" s="183" customFormat="1" ht="22.5" customHeight="1" thickTop="1" thickBot="1" x14ac:dyDescent="0.3">
      <c r="A253" s="615" t="s">
        <v>1374</v>
      </c>
      <c r="B253" s="616" t="s">
        <v>1391</v>
      </c>
      <c r="C253" s="616" t="s">
        <v>1419</v>
      </c>
      <c r="D253" s="616" t="s">
        <v>1415</v>
      </c>
      <c r="E253" s="616"/>
      <c r="F253" s="616"/>
      <c r="G253" s="616"/>
      <c r="H253" s="617"/>
      <c r="I253" s="617"/>
      <c r="J253" s="618" t="s">
        <v>1589</v>
      </c>
      <c r="K253" s="654"/>
      <c r="L253" s="654"/>
      <c r="M253" s="654"/>
      <c r="N253" s="654"/>
      <c r="O253" s="654"/>
      <c r="P253" s="654"/>
      <c r="Q253" s="654"/>
      <c r="R253" s="654"/>
      <c r="S253" s="654"/>
      <c r="T253" s="654"/>
      <c r="U253" s="655"/>
      <c r="V253" s="616"/>
      <c r="W253" s="621" t="s">
        <v>1631</v>
      </c>
      <c r="X253" s="621" t="s">
        <v>1591</v>
      </c>
      <c r="Y253" s="600" t="s">
        <v>1376</v>
      </c>
    </row>
    <row r="254" spans="1:25" s="183" customFormat="1" ht="22.5" customHeight="1" thickTop="1" thickBot="1" x14ac:dyDescent="0.3">
      <c r="A254" s="608" t="s">
        <v>1374</v>
      </c>
      <c r="B254" s="609" t="s">
        <v>1391</v>
      </c>
      <c r="C254" s="609" t="s">
        <v>1444</v>
      </c>
      <c r="D254" s="609"/>
      <c r="E254" s="609"/>
      <c r="F254" s="609"/>
      <c r="G254" s="609"/>
      <c r="H254" s="610"/>
      <c r="I254" s="610"/>
      <c r="J254" s="656" t="s">
        <v>1632</v>
      </c>
      <c r="K254" s="657"/>
      <c r="L254" s="657"/>
      <c r="M254" s="657"/>
      <c r="N254" s="657"/>
      <c r="O254" s="657"/>
      <c r="P254" s="657"/>
      <c r="Q254" s="657"/>
      <c r="R254" s="657"/>
      <c r="S254" s="657"/>
      <c r="T254" s="657"/>
      <c r="U254" s="658"/>
      <c r="V254" s="609"/>
      <c r="W254" s="609" t="s">
        <v>1633</v>
      </c>
      <c r="X254" s="609"/>
      <c r="Y254" s="600" t="s">
        <v>1376</v>
      </c>
    </row>
    <row r="255" spans="1:25" s="183" customFormat="1" ht="22.5" customHeight="1" thickTop="1" thickBot="1" x14ac:dyDescent="0.3">
      <c r="A255" s="615" t="s">
        <v>1374</v>
      </c>
      <c r="B255" s="616" t="s">
        <v>1391</v>
      </c>
      <c r="C255" s="616" t="s">
        <v>1444</v>
      </c>
      <c r="D255" s="616" t="s">
        <v>1378</v>
      </c>
      <c r="E255" s="616"/>
      <c r="F255" s="616"/>
      <c r="G255" s="616"/>
      <c r="H255" s="617"/>
      <c r="I255" s="617"/>
      <c r="J255" s="618" t="s">
        <v>1295</v>
      </c>
      <c r="K255" s="654"/>
      <c r="L255" s="654"/>
      <c r="M255" s="654"/>
      <c r="N255" s="654"/>
      <c r="O255" s="654"/>
      <c r="P255" s="654"/>
      <c r="Q255" s="654"/>
      <c r="R255" s="654"/>
      <c r="S255" s="654"/>
      <c r="T255" s="654"/>
      <c r="U255" s="655"/>
      <c r="V255" s="616"/>
      <c r="W255" s="621"/>
      <c r="X255" s="621"/>
      <c r="Y255" s="600"/>
    </row>
    <row r="256" spans="1:25" s="662" customFormat="1" ht="22.5" customHeight="1" thickTop="1" thickBot="1" x14ac:dyDescent="0.3">
      <c r="A256" s="634" t="s">
        <v>1374</v>
      </c>
      <c r="B256" s="630" t="s">
        <v>1391</v>
      </c>
      <c r="C256" s="630" t="s">
        <v>1444</v>
      </c>
      <c r="D256" s="630" t="s">
        <v>1378</v>
      </c>
      <c r="E256" s="623" t="s">
        <v>1378</v>
      </c>
      <c r="F256" s="630"/>
      <c r="G256" s="630"/>
      <c r="H256" s="630"/>
      <c r="I256" s="630"/>
      <c r="J256" s="631" t="s">
        <v>1634</v>
      </c>
      <c r="K256" s="659"/>
      <c r="L256" s="659"/>
      <c r="M256" s="659"/>
      <c r="N256" s="659"/>
      <c r="O256" s="659"/>
      <c r="P256" s="659"/>
      <c r="Q256" s="659"/>
      <c r="R256" s="659"/>
      <c r="S256" s="659"/>
      <c r="T256" s="659"/>
      <c r="U256" s="660"/>
      <c r="V256" s="630"/>
      <c r="W256" s="661"/>
      <c r="X256" s="661"/>
      <c r="Y256" s="643"/>
    </row>
    <row r="257" spans="1:25" s="662" customFormat="1" ht="22.5" customHeight="1" thickTop="1" thickBot="1" x14ac:dyDescent="0.3">
      <c r="A257" s="634" t="s">
        <v>1374</v>
      </c>
      <c r="B257" s="630" t="s">
        <v>1391</v>
      </c>
      <c r="C257" s="630" t="s">
        <v>1444</v>
      </c>
      <c r="D257" s="630" t="s">
        <v>1378</v>
      </c>
      <c r="E257" s="623" t="s">
        <v>1391</v>
      </c>
      <c r="F257" s="630"/>
      <c r="G257" s="630"/>
      <c r="H257" s="630"/>
      <c r="I257" s="630"/>
      <c r="J257" s="631" t="s">
        <v>1635</v>
      </c>
      <c r="K257" s="659"/>
      <c r="L257" s="659"/>
      <c r="M257" s="659"/>
      <c r="N257" s="659"/>
      <c r="O257" s="659"/>
      <c r="P257" s="659"/>
      <c r="Q257" s="659"/>
      <c r="R257" s="659"/>
      <c r="S257" s="659"/>
      <c r="T257" s="659"/>
      <c r="U257" s="660"/>
      <c r="V257" s="630"/>
      <c r="W257" s="661"/>
      <c r="X257" s="661"/>
      <c r="Y257" s="643"/>
    </row>
    <row r="258" spans="1:25" s="662" customFormat="1" ht="22.5" customHeight="1" thickTop="1" thickBot="1" x14ac:dyDescent="0.3">
      <c r="A258" s="634" t="s">
        <v>1374</v>
      </c>
      <c r="B258" s="630" t="s">
        <v>1391</v>
      </c>
      <c r="C258" s="630" t="s">
        <v>1444</v>
      </c>
      <c r="D258" s="630" t="s">
        <v>1378</v>
      </c>
      <c r="E258" s="623" t="s">
        <v>1415</v>
      </c>
      <c r="F258" s="630"/>
      <c r="G258" s="630"/>
      <c r="H258" s="630"/>
      <c r="I258" s="630"/>
      <c r="J258" s="640" t="s">
        <v>1636</v>
      </c>
      <c r="K258" s="659"/>
      <c r="L258" s="659"/>
      <c r="M258" s="659"/>
      <c r="N258" s="659"/>
      <c r="O258" s="659"/>
      <c r="P258" s="659"/>
      <c r="Q258" s="659"/>
      <c r="R258" s="659"/>
      <c r="S258" s="659"/>
      <c r="T258" s="659"/>
      <c r="U258" s="660"/>
      <c r="V258" s="630"/>
      <c r="W258" s="661"/>
      <c r="X258" s="661"/>
      <c r="Y258" s="643"/>
    </row>
    <row r="259" spans="1:25" s="183" customFormat="1" ht="22.5" customHeight="1" thickTop="1" thickBot="1" x14ac:dyDescent="0.3">
      <c r="A259" s="615" t="s">
        <v>1374</v>
      </c>
      <c r="B259" s="616" t="s">
        <v>1391</v>
      </c>
      <c r="C259" s="616" t="s">
        <v>1444</v>
      </c>
      <c r="D259" s="616" t="s">
        <v>1391</v>
      </c>
      <c r="E259" s="616"/>
      <c r="F259" s="616"/>
      <c r="G259" s="616"/>
      <c r="H259" s="617"/>
      <c r="I259" s="617"/>
      <c r="J259" s="618" t="s">
        <v>1523</v>
      </c>
      <c r="K259" s="654"/>
      <c r="L259" s="654"/>
      <c r="M259" s="654"/>
      <c r="N259" s="654"/>
      <c r="O259" s="654"/>
      <c r="P259" s="654"/>
      <c r="Q259" s="654"/>
      <c r="R259" s="654"/>
      <c r="S259" s="654"/>
      <c r="T259" s="654"/>
      <c r="U259" s="655"/>
      <c r="V259" s="616"/>
      <c r="W259" s="621"/>
      <c r="X259" s="621"/>
      <c r="Y259" s="600" t="s">
        <v>1376</v>
      </c>
    </row>
    <row r="260" spans="1:25" s="183" customFormat="1" ht="22.5" customHeight="1" thickTop="1" thickBot="1" x14ac:dyDescent="0.3">
      <c r="A260" s="628" t="s">
        <v>1374</v>
      </c>
      <c r="B260" s="622" t="s">
        <v>1391</v>
      </c>
      <c r="C260" s="622" t="s">
        <v>1444</v>
      </c>
      <c r="D260" s="622" t="s">
        <v>1391</v>
      </c>
      <c r="E260" s="623" t="s">
        <v>1378</v>
      </c>
      <c r="F260" s="622"/>
      <c r="G260" s="622"/>
      <c r="H260" s="624"/>
      <c r="I260" s="624"/>
      <c r="J260" s="625" t="s">
        <v>1637</v>
      </c>
      <c r="K260" s="650"/>
      <c r="L260" s="650"/>
      <c r="M260" s="650"/>
      <c r="N260" s="650"/>
      <c r="O260" s="650"/>
      <c r="P260" s="650"/>
      <c r="Q260" s="650"/>
      <c r="R260" s="650"/>
      <c r="S260" s="650"/>
      <c r="T260" s="650"/>
      <c r="U260" s="651"/>
      <c r="V260" s="622"/>
      <c r="W260" s="629"/>
      <c r="X260" s="629"/>
      <c r="Y260" s="600" t="s">
        <v>1376</v>
      </c>
    </row>
    <row r="261" spans="1:25" s="183" customFormat="1" ht="22.5" customHeight="1" thickTop="1" thickBot="1" x14ac:dyDescent="0.3">
      <c r="A261" s="615" t="s">
        <v>1374</v>
      </c>
      <c r="B261" s="616" t="s">
        <v>1391</v>
      </c>
      <c r="C261" s="616" t="s">
        <v>1444</v>
      </c>
      <c r="D261" s="616" t="s">
        <v>1415</v>
      </c>
      <c r="E261" s="616"/>
      <c r="F261" s="616"/>
      <c r="G261" s="616"/>
      <c r="H261" s="617"/>
      <c r="I261" s="617"/>
      <c r="J261" s="618" t="s">
        <v>1638</v>
      </c>
      <c r="K261" s="654"/>
      <c r="L261" s="654"/>
      <c r="M261" s="654"/>
      <c r="N261" s="654"/>
      <c r="O261" s="654"/>
      <c r="P261" s="654"/>
      <c r="Q261" s="654"/>
      <c r="R261" s="654"/>
      <c r="S261" s="654"/>
      <c r="T261" s="654"/>
      <c r="U261" s="655"/>
      <c r="V261" s="616"/>
      <c r="W261" s="621"/>
      <c r="X261" s="621"/>
      <c r="Y261" s="600" t="s">
        <v>1376</v>
      </c>
    </row>
    <row r="262" spans="1:25" s="183" customFormat="1" ht="22.5" customHeight="1" thickTop="1" thickBot="1" x14ac:dyDescent="0.3">
      <c r="A262" s="615" t="s">
        <v>1374</v>
      </c>
      <c r="B262" s="616" t="s">
        <v>1391</v>
      </c>
      <c r="C262" s="616" t="s">
        <v>1444</v>
      </c>
      <c r="D262" s="616" t="s">
        <v>1419</v>
      </c>
      <c r="E262" s="616"/>
      <c r="F262" s="616"/>
      <c r="G262" s="616"/>
      <c r="H262" s="617"/>
      <c r="I262" s="617"/>
      <c r="J262" s="618" t="s">
        <v>1639</v>
      </c>
      <c r="K262" s="654"/>
      <c r="L262" s="654"/>
      <c r="M262" s="654"/>
      <c r="N262" s="654"/>
      <c r="O262" s="654"/>
      <c r="P262" s="654"/>
      <c r="Q262" s="654"/>
      <c r="R262" s="654"/>
      <c r="S262" s="654"/>
      <c r="T262" s="654"/>
      <c r="U262" s="655"/>
      <c r="V262" s="616"/>
      <c r="W262" s="621"/>
      <c r="X262" s="621"/>
      <c r="Y262" s="600" t="s">
        <v>1376</v>
      </c>
    </row>
    <row r="263" spans="1:25" s="183" customFormat="1" ht="22.5" customHeight="1" thickTop="1" thickBot="1" x14ac:dyDescent="0.3">
      <c r="A263" s="615" t="s">
        <v>1374</v>
      </c>
      <c r="B263" s="616" t="s">
        <v>1391</v>
      </c>
      <c r="C263" s="616" t="s">
        <v>1444</v>
      </c>
      <c r="D263" s="616" t="s">
        <v>1444</v>
      </c>
      <c r="E263" s="616"/>
      <c r="F263" s="616"/>
      <c r="G263" s="616"/>
      <c r="H263" s="617"/>
      <c r="I263" s="617"/>
      <c r="J263" s="618" t="s">
        <v>1640</v>
      </c>
      <c r="K263" s="654"/>
      <c r="L263" s="654"/>
      <c r="M263" s="654"/>
      <c r="N263" s="654"/>
      <c r="O263" s="654"/>
      <c r="P263" s="654"/>
      <c r="Q263" s="654"/>
      <c r="R263" s="654"/>
      <c r="S263" s="654"/>
      <c r="T263" s="654"/>
      <c r="U263" s="655"/>
      <c r="V263" s="616"/>
      <c r="W263" s="621"/>
      <c r="X263" s="621"/>
      <c r="Y263" s="600" t="s">
        <v>1376</v>
      </c>
    </row>
    <row r="264" spans="1:25" s="183" customFormat="1" ht="22.5" customHeight="1" thickTop="1" thickBot="1" x14ac:dyDescent="0.3">
      <c r="A264" s="628" t="s">
        <v>1374</v>
      </c>
      <c r="B264" s="622" t="s">
        <v>1391</v>
      </c>
      <c r="C264" s="622" t="s">
        <v>1444</v>
      </c>
      <c r="D264" s="622" t="s">
        <v>1444</v>
      </c>
      <c r="E264" s="623" t="s">
        <v>1378</v>
      </c>
      <c r="F264" s="622"/>
      <c r="G264" s="622"/>
      <c r="H264" s="624"/>
      <c r="I264" s="624"/>
      <c r="J264" s="625" t="s">
        <v>1641</v>
      </c>
      <c r="K264" s="650"/>
      <c r="L264" s="650"/>
      <c r="M264" s="650"/>
      <c r="N264" s="650"/>
      <c r="O264" s="650"/>
      <c r="P264" s="650"/>
      <c r="Q264" s="650"/>
      <c r="R264" s="650"/>
      <c r="S264" s="650"/>
      <c r="T264" s="650"/>
      <c r="U264" s="651"/>
      <c r="V264" s="622"/>
      <c r="W264" s="629"/>
      <c r="X264" s="629"/>
      <c r="Y264" s="600" t="s">
        <v>1376</v>
      </c>
    </row>
    <row r="265" spans="1:25" s="183" customFormat="1" ht="22.5" customHeight="1" thickTop="1" thickBot="1" x14ac:dyDescent="0.3">
      <c r="A265" s="628" t="s">
        <v>1374</v>
      </c>
      <c r="B265" s="622" t="s">
        <v>1391</v>
      </c>
      <c r="C265" s="622" t="s">
        <v>1444</v>
      </c>
      <c r="D265" s="622" t="s">
        <v>1444</v>
      </c>
      <c r="E265" s="623" t="s">
        <v>1391</v>
      </c>
      <c r="F265" s="622"/>
      <c r="G265" s="622"/>
      <c r="H265" s="624"/>
      <c r="I265" s="624"/>
      <c r="J265" s="625" t="s">
        <v>1642</v>
      </c>
      <c r="K265" s="650"/>
      <c r="L265" s="650"/>
      <c r="M265" s="650"/>
      <c r="N265" s="650"/>
      <c r="O265" s="650"/>
      <c r="P265" s="650"/>
      <c r="Q265" s="650"/>
      <c r="R265" s="650"/>
      <c r="S265" s="650"/>
      <c r="T265" s="650"/>
      <c r="U265" s="651"/>
      <c r="V265" s="628"/>
      <c r="W265" s="629"/>
      <c r="X265" s="629"/>
      <c r="Y265" s="600" t="s">
        <v>1376</v>
      </c>
    </row>
    <row r="266" spans="1:25" s="183" customFormat="1" ht="22.5" customHeight="1" thickTop="1" thickBot="1" x14ac:dyDescent="0.3">
      <c r="A266" s="615" t="s">
        <v>1374</v>
      </c>
      <c r="B266" s="616" t="s">
        <v>1391</v>
      </c>
      <c r="C266" s="616" t="s">
        <v>1444</v>
      </c>
      <c r="D266" s="616" t="s">
        <v>1467</v>
      </c>
      <c r="E266" s="616"/>
      <c r="F266" s="616"/>
      <c r="G266" s="616"/>
      <c r="H266" s="617"/>
      <c r="I266" s="617"/>
      <c r="J266" s="618" t="s">
        <v>1643</v>
      </c>
      <c r="K266" s="654"/>
      <c r="L266" s="654"/>
      <c r="M266" s="654"/>
      <c r="N266" s="654"/>
      <c r="O266" s="654"/>
      <c r="P266" s="654"/>
      <c r="Q266" s="654"/>
      <c r="R266" s="654"/>
      <c r="S266" s="654"/>
      <c r="T266" s="654"/>
      <c r="U266" s="655"/>
      <c r="V266" s="616"/>
      <c r="W266" s="621"/>
      <c r="X266" s="621"/>
      <c r="Y266" s="600" t="s">
        <v>1376</v>
      </c>
    </row>
    <row r="267" spans="1:25" s="183" customFormat="1" ht="22.5" customHeight="1" thickTop="1" thickBot="1" x14ac:dyDescent="0.3">
      <c r="A267" s="615" t="s">
        <v>1374</v>
      </c>
      <c r="B267" s="616" t="s">
        <v>1391</v>
      </c>
      <c r="C267" s="616" t="s">
        <v>1444</v>
      </c>
      <c r="D267" s="616" t="s">
        <v>1471</v>
      </c>
      <c r="E267" s="616"/>
      <c r="F267" s="616"/>
      <c r="G267" s="616"/>
      <c r="H267" s="617"/>
      <c r="I267" s="617"/>
      <c r="J267" s="618" t="s">
        <v>1644</v>
      </c>
      <c r="K267" s="654"/>
      <c r="L267" s="654"/>
      <c r="M267" s="654"/>
      <c r="N267" s="654"/>
      <c r="O267" s="654"/>
      <c r="P267" s="654"/>
      <c r="Q267" s="654"/>
      <c r="R267" s="654"/>
      <c r="S267" s="654"/>
      <c r="T267" s="654"/>
      <c r="U267" s="655"/>
      <c r="V267" s="616"/>
      <c r="W267" s="621"/>
      <c r="X267" s="621"/>
      <c r="Y267" s="600" t="s">
        <v>1376</v>
      </c>
    </row>
    <row r="268" spans="1:25" s="183" customFormat="1" ht="22.5" customHeight="1" thickTop="1" thickBot="1" x14ac:dyDescent="0.3">
      <c r="A268" s="615" t="s">
        <v>1374</v>
      </c>
      <c r="B268" s="616" t="s">
        <v>1391</v>
      </c>
      <c r="C268" s="616" t="s">
        <v>1444</v>
      </c>
      <c r="D268" s="616" t="s">
        <v>1475</v>
      </c>
      <c r="E268" s="616"/>
      <c r="F268" s="616"/>
      <c r="G268" s="616"/>
      <c r="H268" s="617"/>
      <c r="I268" s="617"/>
      <c r="J268" s="618" t="s">
        <v>1645</v>
      </c>
      <c r="K268" s="654"/>
      <c r="L268" s="654"/>
      <c r="M268" s="654"/>
      <c r="N268" s="654"/>
      <c r="O268" s="654"/>
      <c r="P268" s="654"/>
      <c r="Q268" s="654"/>
      <c r="R268" s="654"/>
      <c r="S268" s="654"/>
      <c r="T268" s="654"/>
      <c r="U268" s="655"/>
      <c r="V268" s="616"/>
      <c r="W268" s="621"/>
      <c r="X268" s="621"/>
      <c r="Y268" s="600" t="s">
        <v>1376</v>
      </c>
    </row>
    <row r="269" spans="1:25" s="183" customFormat="1" ht="22.5" customHeight="1" thickTop="1" thickBot="1" x14ac:dyDescent="0.3">
      <c r="A269" s="615" t="s">
        <v>1374</v>
      </c>
      <c r="B269" s="616" t="s">
        <v>1391</v>
      </c>
      <c r="C269" s="616" t="s">
        <v>1444</v>
      </c>
      <c r="D269" s="616" t="s">
        <v>1573</v>
      </c>
      <c r="E269" s="616"/>
      <c r="F269" s="616"/>
      <c r="G269" s="616"/>
      <c r="H269" s="617"/>
      <c r="I269" s="617"/>
      <c r="J269" s="618" t="s">
        <v>1646</v>
      </c>
      <c r="K269" s="654"/>
      <c r="L269" s="654"/>
      <c r="M269" s="654"/>
      <c r="N269" s="654"/>
      <c r="O269" s="654"/>
      <c r="P269" s="654"/>
      <c r="Q269" s="654"/>
      <c r="R269" s="654"/>
      <c r="S269" s="654"/>
      <c r="T269" s="654"/>
      <c r="U269" s="655"/>
      <c r="V269" s="616"/>
      <c r="W269" s="621"/>
      <c r="X269" s="621"/>
      <c r="Y269" s="600" t="s">
        <v>1376</v>
      </c>
    </row>
    <row r="270" spans="1:25" s="183" customFormat="1" ht="22.5" customHeight="1" thickTop="1" thickBot="1" x14ac:dyDescent="0.3">
      <c r="A270" s="615" t="s">
        <v>1374</v>
      </c>
      <c r="B270" s="616" t="s">
        <v>1391</v>
      </c>
      <c r="C270" s="616" t="s">
        <v>1444</v>
      </c>
      <c r="D270" s="616" t="s">
        <v>1574</v>
      </c>
      <c r="E270" s="616"/>
      <c r="F270" s="616"/>
      <c r="G270" s="616"/>
      <c r="H270" s="617"/>
      <c r="I270" s="617"/>
      <c r="J270" s="618" t="s">
        <v>1647</v>
      </c>
      <c r="K270" s="654"/>
      <c r="L270" s="654"/>
      <c r="M270" s="654"/>
      <c r="N270" s="654"/>
      <c r="O270" s="654"/>
      <c r="P270" s="654"/>
      <c r="Q270" s="654"/>
      <c r="R270" s="654"/>
      <c r="S270" s="654"/>
      <c r="T270" s="654"/>
      <c r="U270" s="655"/>
      <c r="V270" s="616"/>
      <c r="W270" s="621"/>
      <c r="X270" s="621"/>
      <c r="Y270" s="600" t="s">
        <v>1376</v>
      </c>
    </row>
    <row r="271" spans="1:25" s="183" customFormat="1" ht="22.5" customHeight="1" thickTop="1" thickBot="1" x14ac:dyDescent="0.3">
      <c r="A271" s="615" t="s">
        <v>1374</v>
      </c>
      <c r="B271" s="616" t="s">
        <v>1391</v>
      </c>
      <c r="C271" s="616" t="s">
        <v>1444</v>
      </c>
      <c r="D271" s="616" t="s">
        <v>1575</v>
      </c>
      <c r="E271" s="616"/>
      <c r="F271" s="616"/>
      <c r="G271" s="616"/>
      <c r="H271" s="617"/>
      <c r="I271" s="617"/>
      <c r="J271" s="618" t="s">
        <v>1648</v>
      </c>
      <c r="K271" s="654"/>
      <c r="L271" s="654"/>
      <c r="M271" s="654"/>
      <c r="N271" s="654"/>
      <c r="O271" s="654"/>
      <c r="P271" s="654"/>
      <c r="Q271" s="654"/>
      <c r="R271" s="654"/>
      <c r="S271" s="654"/>
      <c r="T271" s="654"/>
      <c r="U271" s="655"/>
      <c r="V271" s="616"/>
      <c r="W271" s="621" t="s">
        <v>1649</v>
      </c>
      <c r="X271" s="621"/>
      <c r="Y271" s="600" t="s">
        <v>1376</v>
      </c>
    </row>
    <row r="272" spans="1:25" s="183" customFormat="1" ht="22.5" customHeight="1" thickTop="1" thickBot="1" x14ac:dyDescent="0.3">
      <c r="A272" s="615" t="s">
        <v>1374</v>
      </c>
      <c r="B272" s="616" t="s">
        <v>1391</v>
      </c>
      <c r="C272" s="616" t="s">
        <v>1444</v>
      </c>
      <c r="D272" s="616" t="s">
        <v>1576</v>
      </c>
      <c r="E272" s="616"/>
      <c r="F272" s="616"/>
      <c r="G272" s="616"/>
      <c r="H272" s="617"/>
      <c r="I272" s="617"/>
      <c r="J272" s="618" t="s">
        <v>1297</v>
      </c>
      <c r="K272" s="654"/>
      <c r="L272" s="654"/>
      <c r="M272" s="654"/>
      <c r="N272" s="654"/>
      <c r="O272" s="654"/>
      <c r="P272" s="654"/>
      <c r="Q272" s="654"/>
      <c r="R272" s="654"/>
      <c r="S272" s="654"/>
      <c r="T272" s="654"/>
      <c r="U272" s="655"/>
      <c r="V272" s="616"/>
      <c r="W272" s="621" t="s">
        <v>1650</v>
      </c>
      <c r="X272" s="621"/>
      <c r="Y272" s="600" t="s">
        <v>1376</v>
      </c>
    </row>
    <row r="273" spans="1:25" s="183" customFormat="1" ht="22.5" customHeight="1" thickTop="1" thickBot="1" x14ac:dyDescent="0.3">
      <c r="A273" s="628" t="s">
        <v>1374</v>
      </c>
      <c r="B273" s="622" t="s">
        <v>1391</v>
      </c>
      <c r="C273" s="622" t="s">
        <v>1444</v>
      </c>
      <c r="D273" s="622" t="s">
        <v>1576</v>
      </c>
      <c r="E273" s="623" t="s">
        <v>1378</v>
      </c>
      <c r="F273" s="622"/>
      <c r="G273" s="622"/>
      <c r="H273" s="624"/>
      <c r="I273" s="624"/>
      <c r="J273" s="625" t="s">
        <v>1651</v>
      </c>
      <c r="K273" s="650"/>
      <c r="L273" s="650"/>
      <c r="M273" s="650"/>
      <c r="N273" s="650"/>
      <c r="O273" s="650"/>
      <c r="P273" s="650"/>
      <c r="Q273" s="650"/>
      <c r="R273" s="650"/>
      <c r="S273" s="650"/>
      <c r="T273" s="650"/>
      <c r="U273" s="651"/>
      <c r="V273" s="628"/>
      <c r="W273" s="629" t="s">
        <v>1652</v>
      </c>
      <c r="X273" s="629"/>
      <c r="Y273" s="600" t="s">
        <v>1376</v>
      </c>
    </row>
    <row r="274" spans="1:25" s="183" customFormat="1" ht="22.5" customHeight="1" thickTop="1" thickBot="1" x14ac:dyDescent="0.3">
      <c r="A274" s="628" t="s">
        <v>1374</v>
      </c>
      <c r="B274" s="622" t="s">
        <v>1391</v>
      </c>
      <c r="C274" s="622" t="s">
        <v>1444</v>
      </c>
      <c r="D274" s="622" t="s">
        <v>1576</v>
      </c>
      <c r="E274" s="623" t="s">
        <v>1391</v>
      </c>
      <c r="F274" s="622"/>
      <c r="G274" s="622"/>
      <c r="H274" s="624"/>
      <c r="I274" s="624"/>
      <c r="J274" s="625" t="s">
        <v>1653</v>
      </c>
      <c r="K274" s="650"/>
      <c r="L274" s="650"/>
      <c r="M274" s="650"/>
      <c r="N274" s="650"/>
      <c r="O274" s="650"/>
      <c r="P274" s="650"/>
      <c r="Q274" s="650"/>
      <c r="R274" s="650"/>
      <c r="S274" s="650"/>
      <c r="T274" s="650"/>
      <c r="U274" s="651"/>
      <c r="V274" s="622"/>
      <c r="W274" s="629" t="s">
        <v>1654</v>
      </c>
      <c r="X274" s="629"/>
      <c r="Y274" s="600" t="s">
        <v>1376</v>
      </c>
    </row>
    <row r="275" spans="1:25" s="183" customFormat="1" ht="22.5" customHeight="1" thickTop="1" thickBot="1" x14ac:dyDescent="0.3">
      <c r="A275" s="628" t="s">
        <v>1374</v>
      </c>
      <c r="B275" s="622" t="s">
        <v>1391</v>
      </c>
      <c r="C275" s="622" t="s">
        <v>1444</v>
      </c>
      <c r="D275" s="622" t="s">
        <v>1576</v>
      </c>
      <c r="E275" s="623" t="s">
        <v>1415</v>
      </c>
      <c r="F275" s="622"/>
      <c r="G275" s="622"/>
      <c r="H275" s="624"/>
      <c r="I275" s="624"/>
      <c r="J275" s="625" t="s">
        <v>1655</v>
      </c>
      <c r="K275" s="650"/>
      <c r="L275" s="650"/>
      <c r="M275" s="650"/>
      <c r="N275" s="650"/>
      <c r="O275" s="650"/>
      <c r="P275" s="650"/>
      <c r="Q275" s="650"/>
      <c r="R275" s="650"/>
      <c r="S275" s="650"/>
      <c r="T275" s="650"/>
      <c r="U275" s="651"/>
      <c r="V275" s="628"/>
      <c r="W275" s="629" t="s">
        <v>1656</v>
      </c>
      <c r="X275" s="629"/>
      <c r="Y275" s="600" t="s">
        <v>1376</v>
      </c>
    </row>
    <row r="276" spans="1:25" s="183" customFormat="1" ht="22.5" customHeight="1" thickTop="1" thickBot="1" x14ac:dyDescent="0.3">
      <c r="A276" s="615" t="s">
        <v>1374</v>
      </c>
      <c r="B276" s="616" t="s">
        <v>1391</v>
      </c>
      <c r="C276" s="616" t="s">
        <v>1444</v>
      </c>
      <c r="D276" s="616" t="s">
        <v>1657</v>
      </c>
      <c r="E276" s="616"/>
      <c r="F276" s="616"/>
      <c r="G276" s="616"/>
      <c r="H276" s="617"/>
      <c r="I276" s="617"/>
      <c r="J276" s="618" t="s">
        <v>1658</v>
      </c>
      <c r="K276" s="654"/>
      <c r="L276" s="654"/>
      <c r="M276" s="654"/>
      <c r="N276" s="654"/>
      <c r="O276" s="654"/>
      <c r="P276" s="654"/>
      <c r="Q276" s="654"/>
      <c r="R276" s="654"/>
      <c r="S276" s="654"/>
      <c r="T276" s="654"/>
      <c r="U276" s="655"/>
      <c r="V276" s="616"/>
      <c r="W276" s="616" t="s">
        <v>1659</v>
      </c>
      <c r="X276" s="616"/>
      <c r="Y276" s="600" t="s">
        <v>1376</v>
      </c>
    </row>
    <row r="277" spans="1:25" s="665" customFormat="1" ht="22.5" customHeight="1" thickTop="1" thickBot="1" x14ac:dyDescent="0.3">
      <c r="A277" s="628" t="s">
        <v>1374</v>
      </c>
      <c r="B277" s="623" t="s">
        <v>1391</v>
      </c>
      <c r="C277" s="623" t="s">
        <v>1444</v>
      </c>
      <c r="D277" s="623" t="s">
        <v>1657</v>
      </c>
      <c r="E277" s="623" t="s">
        <v>1378</v>
      </c>
      <c r="F277" s="623"/>
      <c r="G277" s="623"/>
      <c r="H277" s="630"/>
      <c r="I277" s="630"/>
      <c r="J277" s="637" t="s">
        <v>1660</v>
      </c>
      <c r="K277" s="663"/>
      <c r="L277" s="663"/>
      <c r="M277" s="663"/>
      <c r="N277" s="663"/>
      <c r="O277" s="663"/>
      <c r="P277" s="663"/>
      <c r="Q277" s="663"/>
      <c r="R277" s="663"/>
      <c r="S277" s="663"/>
      <c r="T277" s="663"/>
      <c r="U277" s="664"/>
      <c r="V277" s="623"/>
      <c r="W277" s="623" t="s">
        <v>1661</v>
      </c>
      <c r="X277" s="623"/>
      <c r="Y277" s="600" t="s">
        <v>1376</v>
      </c>
    </row>
    <row r="278" spans="1:25" s="180" customFormat="1" ht="22.5" customHeight="1" thickTop="1" thickBot="1" x14ac:dyDescent="0.3">
      <c r="A278" s="634" t="s">
        <v>1374</v>
      </c>
      <c r="B278" s="630" t="s">
        <v>1391</v>
      </c>
      <c r="C278" s="630" t="s">
        <v>1444</v>
      </c>
      <c r="D278" s="630" t="s">
        <v>1657</v>
      </c>
      <c r="E278" s="630" t="s">
        <v>1378</v>
      </c>
      <c r="F278" s="623" t="s">
        <v>1378</v>
      </c>
      <c r="G278" s="630"/>
      <c r="H278" s="630"/>
      <c r="I278" s="630"/>
      <c r="J278" s="640" t="s">
        <v>1662</v>
      </c>
      <c r="K278" s="663"/>
      <c r="L278" s="663"/>
      <c r="M278" s="663"/>
      <c r="N278" s="663"/>
      <c r="O278" s="663"/>
      <c r="P278" s="663"/>
      <c r="Q278" s="663"/>
      <c r="R278" s="663"/>
      <c r="S278" s="663"/>
      <c r="T278" s="663"/>
      <c r="U278" s="664"/>
      <c r="V278" s="623"/>
      <c r="W278" s="623"/>
      <c r="X278" s="623"/>
      <c r="Y278" s="600"/>
    </row>
    <row r="279" spans="1:25" s="180" customFormat="1" ht="22.5" customHeight="1" thickTop="1" thickBot="1" x14ac:dyDescent="0.3">
      <c r="A279" s="634" t="s">
        <v>1374</v>
      </c>
      <c r="B279" s="630" t="s">
        <v>1391</v>
      </c>
      <c r="C279" s="630" t="s">
        <v>1444</v>
      </c>
      <c r="D279" s="630" t="s">
        <v>1657</v>
      </c>
      <c r="E279" s="630" t="s">
        <v>1378</v>
      </c>
      <c r="F279" s="623" t="s">
        <v>1391</v>
      </c>
      <c r="G279" s="630"/>
      <c r="H279" s="630"/>
      <c r="I279" s="630"/>
      <c r="J279" s="640" t="s">
        <v>1663</v>
      </c>
      <c r="K279" s="663"/>
      <c r="L279" s="663"/>
      <c r="M279" s="663"/>
      <c r="N279" s="663"/>
      <c r="O279" s="663"/>
      <c r="P279" s="663"/>
      <c r="Q279" s="663"/>
      <c r="R279" s="663"/>
      <c r="S279" s="663"/>
      <c r="T279" s="663"/>
      <c r="U279" s="664"/>
      <c r="V279" s="623"/>
      <c r="W279" s="623"/>
      <c r="X279" s="623"/>
      <c r="Y279" s="600"/>
    </row>
    <row r="280" spans="1:25" s="665" customFormat="1" ht="22.5" customHeight="1" thickTop="1" thickBot="1" x14ac:dyDescent="0.3">
      <c r="A280" s="628" t="s">
        <v>1374</v>
      </c>
      <c r="B280" s="623" t="s">
        <v>1391</v>
      </c>
      <c r="C280" s="623" t="s">
        <v>1444</v>
      </c>
      <c r="D280" s="623" t="s">
        <v>1657</v>
      </c>
      <c r="E280" s="623" t="s">
        <v>1391</v>
      </c>
      <c r="F280" s="623"/>
      <c r="G280" s="623"/>
      <c r="H280" s="630"/>
      <c r="I280" s="630"/>
      <c r="J280" s="637" t="s">
        <v>1664</v>
      </c>
      <c r="K280" s="663"/>
      <c r="L280" s="663"/>
      <c r="M280" s="663"/>
      <c r="N280" s="663"/>
      <c r="O280" s="663"/>
      <c r="P280" s="663"/>
      <c r="Q280" s="663"/>
      <c r="R280" s="663"/>
      <c r="S280" s="663"/>
      <c r="T280" s="663"/>
      <c r="U280" s="664"/>
      <c r="V280" s="623"/>
      <c r="W280" s="623"/>
      <c r="X280" s="623"/>
      <c r="Y280" s="600" t="s">
        <v>1376</v>
      </c>
    </row>
    <row r="281" spans="1:25" s="183" customFormat="1" ht="22.5" customHeight="1" thickTop="1" thickBot="1" x14ac:dyDescent="0.3">
      <c r="A281" s="615">
        <v>1</v>
      </c>
      <c r="B281" s="616" t="s">
        <v>1391</v>
      </c>
      <c r="C281" s="616" t="s">
        <v>1444</v>
      </c>
      <c r="D281" s="616" t="s">
        <v>1665</v>
      </c>
      <c r="E281" s="616"/>
      <c r="F281" s="616"/>
      <c r="G281" s="616"/>
      <c r="H281" s="617"/>
      <c r="I281" s="617"/>
      <c r="J281" s="618" t="s">
        <v>1666</v>
      </c>
      <c r="K281" s="654"/>
      <c r="L281" s="654"/>
      <c r="M281" s="654"/>
      <c r="N281" s="654"/>
      <c r="O281" s="654"/>
      <c r="P281" s="654"/>
      <c r="Q281" s="654"/>
      <c r="R281" s="654"/>
      <c r="S281" s="654"/>
      <c r="T281" s="654"/>
      <c r="U281" s="655"/>
      <c r="V281" s="616"/>
      <c r="W281" s="616"/>
      <c r="X281" s="616"/>
      <c r="Y281" s="600"/>
    </row>
    <row r="282" spans="1:25" s="662" customFormat="1" ht="22.5" customHeight="1" thickTop="1" thickBot="1" x14ac:dyDescent="0.3">
      <c r="A282" s="634">
        <v>1</v>
      </c>
      <c r="B282" s="630" t="s">
        <v>1391</v>
      </c>
      <c r="C282" s="630" t="s">
        <v>1444</v>
      </c>
      <c r="D282" s="630" t="s">
        <v>1665</v>
      </c>
      <c r="E282" s="623" t="s">
        <v>1378</v>
      </c>
      <c r="F282" s="630"/>
      <c r="G282" s="630"/>
      <c r="H282" s="630"/>
      <c r="I282" s="630"/>
      <c r="J282" s="640" t="s">
        <v>1667</v>
      </c>
      <c r="K282" s="659"/>
      <c r="L282" s="659"/>
      <c r="M282" s="659"/>
      <c r="N282" s="659"/>
      <c r="O282" s="659"/>
      <c r="P282" s="659"/>
      <c r="Q282" s="659"/>
      <c r="R282" s="659"/>
      <c r="S282" s="659"/>
      <c r="T282" s="659"/>
      <c r="U282" s="660"/>
      <c r="V282" s="630"/>
      <c r="W282" s="630"/>
      <c r="X282" s="630"/>
      <c r="Y282" s="643"/>
    </row>
    <row r="283" spans="1:25" s="662" customFormat="1" ht="22.5" customHeight="1" thickTop="1" thickBot="1" x14ac:dyDescent="0.3">
      <c r="A283" s="634">
        <v>1</v>
      </c>
      <c r="B283" s="630" t="s">
        <v>1391</v>
      </c>
      <c r="C283" s="630" t="s">
        <v>1444</v>
      </c>
      <c r="D283" s="630" t="s">
        <v>1665</v>
      </c>
      <c r="E283" s="623" t="s">
        <v>1391</v>
      </c>
      <c r="F283" s="630"/>
      <c r="G283" s="630"/>
      <c r="H283" s="630"/>
      <c r="I283" s="630"/>
      <c r="J283" s="640" t="s">
        <v>1668</v>
      </c>
      <c r="K283" s="659"/>
      <c r="L283" s="659"/>
      <c r="M283" s="659"/>
      <c r="N283" s="659"/>
      <c r="O283" s="659"/>
      <c r="P283" s="659"/>
      <c r="Q283" s="659"/>
      <c r="R283" s="659"/>
      <c r="S283" s="659"/>
      <c r="T283" s="659"/>
      <c r="U283" s="660"/>
      <c r="V283" s="630"/>
      <c r="W283" s="630"/>
      <c r="X283" s="630"/>
      <c r="Y283" s="643"/>
    </row>
    <row r="284" spans="1:25" s="183" customFormat="1" ht="22.5" customHeight="1" thickTop="1" thickBot="1" x14ac:dyDescent="0.3">
      <c r="A284" s="608" t="s">
        <v>1374</v>
      </c>
      <c r="B284" s="609" t="s">
        <v>1391</v>
      </c>
      <c r="C284" s="609" t="s">
        <v>1467</v>
      </c>
      <c r="D284" s="609"/>
      <c r="E284" s="609"/>
      <c r="F284" s="609"/>
      <c r="G284" s="609"/>
      <c r="H284" s="610"/>
      <c r="I284" s="610"/>
      <c r="J284" s="611" t="s">
        <v>1669</v>
      </c>
      <c r="K284" s="666"/>
      <c r="L284" s="666"/>
      <c r="M284" s="666"/>
      <c r="N284" s="666"/>
      <c r="O284" s="666"/>
      <c r="P284" s="666"/>
      <c r="Q284" s="666"/>
      <c r="R284" s="666"/>
      <c r="S284" s="666"/>
      <c r="T284" s="666"/>
      <c r="U284" s="667"/>
      <c r="V284" s="609"/>
      <c r="W284" s="609" t="s">
        <v>1670</v>
      </c>
      <c r="X284" s="609" t="s">
        <v>1671</v>
      </c>
      <c r="Y284" s="600" t="s">
        <v>1376</v>
      </c>
    </row>
    <row r="285" spans="1:25" s="183" customFormat="1" ht="22.5" customHeight="1" thickTop="1" thickBot="1" x14ac:dyDescent="0.3">
      <c r="A285" s="615" t="s">
        <v>1374</v>
      </c>
      <c r="B285" s="616" t="s">
        <v>1391</v>
      </c>
      <c r="C285" s="616" t="s">
        <v>1467</v>
      </c>
      <c r="D285" s="616" t="s">
        <v>1378</v>
      </c>
      <c r="E285" s="616"/>
      <c r="F285" s="616"/>
      <c r="G285" s="616"/>
      <c r="H285" s="617"/>
      <c r="I285" s="617"/>
      <c r="J285" s="618" t="s">
        <v>1672</v>
      </c>
      <c r="K285" s="654"/>
      <c r="L285" s="654"/>
      <c r="M285" s="654"/>
      <c r="N285" s="654"/>
      <c r="O285" s="654"/>
      <c r="P285" s="654"/>
      <c r="Q285" s="654"/>
      <c r="R285" s="654"/>
      <c r="S285" s="654"/>
      <c r="T285" s="654"/>
      <c r="U285" s="655"/>
      <c r="V285" s="616"/>
      <c r="W285" s="621"/>
      <c r="X285" s="621"/>
      <c r="Y285" s="600" t="s">
        <v>1376</v>
      </c>
    </row>
    <row r="286" spans="1:25" s="183" customFormat="1" ht="22.5" customHeight="1" thickTop="1" thickBot="1" x14ac:dyDescent="0.3">
      <c r="A286" s="628" t="s">
        <v>1374</v>
      </c>
      <c r="B286" s="622" t="s">
        <v>1391</v>
      </c>
      <c r="C286" s="622" t="s">
        <v>1467</v>
      </c>
      <c r="D286" s="622" t="s">
        <v>1378</v>
      </c>
      <c r="E286" s="623" t="s">
        <v>1378</v>
      </c>
      <c r="F286" s="622"/>
      <c r="G286" s="622"/>
      <c r="H286" s="624"/>
      <c r="I286" s="624"/>
      <c r="J286" s="625" t="s">
        <v>1673</v>
      </c>
      <c r="K286" s="650"/>
      <c r="L286" s="650"/>
      <c r="M286" s="650"/>
      <c r="N286" s="650"/>
      <c r="O286" s="650"/>
      <c r="P286" s="650"/>
      <c r="Q286" s="650"/>
      <c r="R286" s="650"/>
      <c r="S286" s="650"/>
      <c r="T286" s="650"/>
      <c r="U286" s="651"/>
      <c r="V286" s="622"/>
      <c r="W286" s="629"/>
      <c r="X286" s="629"/>
      <c r="Y286" s="600" t="s">
        <v>1376</v>
      </c>
    </row>
    <row r="287" spans="1:25" s="183" customFormat="1" ht="22.5" customHeight="1" thickTop="1" thickBot="1" x14ac:dyDescent="0.3">
      <c r="A287" s="615" t="s">
        <v>1374</v>
      </c>
      <c r="B287" s="616" t="s">
        <v>1391</v>
      </c>
      <c r="C287" s="616" t="s">
        <v>1467</v>
      </c>
      <c r="D287" s="616" t="s">
        <v>1391</v>
      </c>
      <c r="E287" s="616"/>
      <c r="F287" s="616"/>
      <c r="G287" s="616"/>
      <c r="H287" s="617"/>
      <c r="I287" s="617"/>
      <c r="J287" s="618" t="s">
        <v>1674</v>
      </c>
      <c r="K287" s="654"/>
      <c r="L287" s="654"/>
      <c r="M287" s="654"/>
      <c r="N287" s="654"/>
      <c r="O287" s="654"/>
      <c r="P287" s="654"/>
      <c r="Q287" s="654"/>
      <c r="R287" s="654"/>
      <c r="S287" s="654"/>
      <c r="T287" s="654"/>
      <c r="U287" s="655"/>
      <c r="V287" s="616"/>
      <c r="W287" s="621"/>
      <c r="X287" s="621"/>
      <c r="Y287" s="600" t="s">
        <v>1376</v>
      </c>
    </row>
    <row r="288" spans="1:25" s="183" customFormat="1" ht="22.5" customHeight="1" thickTop="1" thickBot="1" x14ac:dyDescent="0.3">
      <c r="A288" s="615" t="s">
        <v>1374</v>
      </c>
      <c r="B288" s="616" t="s">
        <v>1391</v>
      </c>
      <c r="C288" s="616" t="s">
        <v>1467</v>
      </c>
      <c r="D288" s="616" t="s">
        <v>1415</v>
      </c>
      <c r="E288" s="616"/>
      <c r="F288" s="616"/>
      <c r="G288" s="616"/>
      <c r="H288" s="617"/>
      <c r="I288" s="617"/>
      <c r="J288" s="618" t="s">
        <v>1675</v>
      </c>
      <c r="K288" s="654"/>
      <c r="L288" s="654"/>
      <c r="M288" s="654"/>
      <c r="N288" s="654"/>
      <c r="O288" s="654"/>
      <c r="P288" s="654"/>
      <c r="Q288" s="654"/>
      <c r="R288" s="654"/>
      <c r="S288" s="654"/>
      <c r="T288" s="654"/>
      <c r="U288" s="655"/>
      <c r="V288" s="616"/>
      <c r="W288" s="621"/>
      <c r="X288" s="621"/>
      <c r="Y288" s="600" t="s">
        <v>1376</v>
      </c>
    </row>
    <row r="289" spans="1:25" s="636" customFormat="1" ht="22.5" customHeight="1" thickTop="1" thickBot="1" x14ac:dyDescent="0.3">
      <c r="A289" s="634" t="s">
        <v>1374</v>
      </c>
      <c r="B289" s="624" t="s">
        <v>1391</v>
      </c>
      <c r="C289" s="624" t="s">
        <v>1467</v>
      </c>
      <c r="D289" s="624" t="s">
        <v>1415</v>
      </c>
      <c r="E289" s="623" t="s">
        <v>1378</v>
      </c>
      <c r="F289" s="624"/>
      <c r="G289" s="624"/>
      <c r="H289" s="624"/>
      <c r="I289" s="624"/>
      <c r="J289" s="631" t="s">
        <v>1676</v>
      </c>
      <c r="K289" s="652"/>
      <c r="L289" s="652"/>
      <c r="M289" s="652"/>
      <c r="N289" s="652"/>
      <c r="O289" s="652"/>
      <c r="P289" s="652"/>
      <c r="Q289" s="652"/>
      <c r="R289" s="652"/>
      <c r="S289" s="652"/>
      <c r="T289" s="652"/>
      <c r="U289" s="653"/>
      <c r="V289" s="634"/>
      <c r="W289" s="635"/>
      <c r="X289" s="635"/>
      <c r="Y289" s="643" t="s">
        <v>1376</v>
      </c>
    </row>
    <row r="290" spans="1:25" s="636" customFormat="1" ht="22.5" customHeight="1" thickTop="1" thickBot="1" x14ac:dyDescent="0.3">
      <c r="A290" s="634" t="s">
        <v>1374</v>
      </c>
      <c r="B290" s="624" t="s">
        <v>1391</v>
      </c>
      <c r="C290" s="624" t="s">
        <v>1467</v>
      </c>
      <c r="D290" s="624" t="s">
        <v>1415</v>
      </c>
      <c r="E290" s="623" t="s">
        <v>1391</v>
      </c>
      <c r="F290" s="624"/>
      <c r="G290" s="624"/>
      <c r="H290" s="624"/>
      <c r="I290" s="624"/>
      <c r="J290" s="631" t="s">
        <v>1677</v>
      </c>
      <c r="K290" s="652"/>
      <c r="L290" s="652"/>
      <c r="M290" s="652"/>
      <c r="N290" s="652"/>
      <c r="O290" s="652"/>
      <c r="P290" s="652"/>
      <c r="Q290" s="652"/>
      <c r="R290" s="652"/>
      <c r="S290" s="652"/>
      <c r="T290" s="652"/>
      <c r="U290" s="653"/>
      <c r="V290" s="634"/>
      <c r="W290" s="635"/>
      <c r="X290" s="635"/>
      <c r="Y290" s="643" t="s">
        <v>1376</v>
      </c>
    </row>
    <row r="291" spans="1:25" s="636" customFormat="1" ht="22.5" customHeight="1" thickTop="1" thickBot="1" x14ac:dyDescent="0.3">
      <c r="A291" s="634" t="s">
        <v>1374</v>
      </c>
      <c r="B291" s="624" t="s">
        <v>1391</v>
      </c>
      <c r="C291" s="624" t="s">
        <v>1467</v>
      </c>
      <c r="D291" s="624" t="s">
        <v>1415</v>
      </c>
      <c r="E291" s="623" t="s">
        <v>1415</v>
      </c>
      <c r="F291" s="624"/>
      <c r="G291" s="624"/>
      <c r="H291" s="624"/>
      <c r="I291" s="624"/>
      <c r="J291" s="631" t="s">
        <v>1678</v>
      </c>
      <c r="K291" s="652"/>
      <c r="L291" s="652"/>
      <c r="M291" s="652"/>
      <c r="N291" s="652"/>
      <c r="O291" s="652"/>
      <c r="P291" s="652"/>
      <c r="Q291" s="652"/>
      <c r="R291" s="652"/>
      <c r="S291" s="652"/>
      <c r="T291" s="652"/>
      <c r="U291" s="653"/>
      <c r="V291" s="634"/>
      <c r="W291" s="635"/>
      <c r="X291" s="635"/>
      <c r="Y291" s="643" t="s">
        <v>1376</v>
      </c>
    </row>
    <row r="292" spans="1:25" s="636" customFormat="1" ht="22.5" customHeight="1" thickTop="1" thickBot="1" x14ac:dyDescent="0.3">
      <c r="A292" s="634" t="s">
        <v>1374</v>
      </c>
      <c r="B292" s="624" t="s">
        <v>1391</v>
      </c>
      <c r="C292" s="624" t="s">
        <v>1467</v>
      </c>
      <c r="D292" s="624" t="s">
        <v>1415</v>
      </c>
      <c r="E292" s="623" t="s">
        <v>1419</v>
      </c>
      <c r="F292" s="624"/>
      <c r="G292" s="624"/>
      <c r="H292" s="624"/>
      <c r="I292" s="624"/>
      <c r="J292" s="631" t="s">
        <v>1679</v>
      </c>
      <c r="K292" s="652"/>
      <c r="L292" s="652"/>
      <c r="M292" s="652"/>
      <c r="N292" s="652"/>
      <c r="O292" s="652"/>
      <c r="P292" s="652"/>
      <c r="Q292" s="652"/>
      <c r="R292" s="652"/>
      <c r="S292" s="652"/>
      <c r="T292" s="652"/>
      <c r="U292" s="653"/>
      <c r="V292" s="634"/>
      <c r="W292" s="635"/>
      <c r="X292" s="635"/>
      <c r="Y292" s="643" t="s">
        <v>1376</v>
      </c>
    </row>
    <row r="293" spans="1:25" s="636" customFormat="1" ht="22.5" customHeight="1" thickTop="1" thickBot="1" x14ac:dyDescent="0.3">
      <c r="A293" s="634" t="s">
        <v>1374</v>
      </c>
      <c r="B293" s="624" t="s">
        <v>1391</v>
      </c>
      <c r="C293" s="624" t="s">
        <v>1467</v>
      </c>
      <c r="D293" s="624" t="s">
        <v>1415</v>
      </c>
      <c r="E293" s="623" t="s">
        <v>1444</v>
      </c>
      <c r="F293" s="624"/>
      <c r="G293" s="624"/>
      <c r="H293" s="624"/>
      <c r="I293" s="624"/>
      <c r="J293" s="631" t="s">
        <v>1680</v>
      </c>
      <c r="K293" s="652"/>
      <c r="L293" s="652"/>
      <c r="M293" s="652"/>
      <c r="N293" s="652"/>
      <c r="O293" s="652"/>
      <c r="P293" s="652"/>
      <c r="Q293" s="652"/>
      <c r="R293" s="652"/>
      <c r="S293" s="652"/>
      <c r="T293" s="652"/>
      <c r="U293" s="653"/>
      <c r="V293" s="634"/>
      <c r="W293" s="635"/>
      <c r="X293" s="635"/>
      <c r="Y293" s="643" t="s">
        <v>1376</v>
      </c>
    </row>
    <row r="294" spans="1:25" s="183" customFormat="1" ht="22.5" customHeight="1" thickTop="1" thickBot="1" x14ac:dyDescent="0.3">
      <c r="A294" s="615" t="s">
        <v>1374</v>
      </c>
      <c r="B294" s="616" t="s">
        <v>1391</v>
      </c>
      <c r="C294" s="616" t="s">
        <v>1467</v>
      </c>
      <c r="D294" s="616" t="s">
        <v>1419</v>
      </c>
      <c r="E294" s="616"/>
      <c r="F294" s="616"/>
      <c r="G294" s="616"/>
      <c r="H294" s="617"/>
      <c r="I294" s="617"/>
      <c r="J294" s="618" t="s">
        <v>1681</v>
      </c>
      <c r="K294" s="654"/>
      <c r="L294" s="654"/>
      <c r="M294" s="654"/>
      <c r="N294" s="654"/>
      <c r="O294" s="654"/>
      <c r="P294" s="654"/>
      <c r="Q294" s="654"/>
      <c r="R294" s="654"/>
      <c r="S294" s="654"/>
      <c r="T294" s="654"/>
      <c r="U294" s="655"/>
      <c r="V294" s="616"/>
      <c r="W294" s="621"/>
      <c r="X294" s="621"/>
      <c r="Y294" s="600" t="s">
        <v>1376</v>
      </c>
    </row>
    <row r="295" spans="1:25" s="183" customFormat="1" ht="22.5" customHeight="1" thickTop="1" thickBot="1" x14ac:dyDescent="0.3">
      <c r="A295" s="615" t="s">
        <v>1374</v>
      </c>
      <c r="B295" s="616" t="s">
        <v>1391</v>
      </c>
      <c r="C295" s="616" t="s">
        <v>1467</v>
      </c>
      <c r="D295" s="616" t="s">
        <v>1444</v>
      </c>
      <c r="E295" s="616"/>
      <c r="F295" s="616"/>
      <c r="G295" s="616"/>
      <c r="H295" s="617"/>
      <c r="I295" s="617"/>
      <c r="J295" s="618" t="s">
        <v>1682</v>
      </c>
      <c r="K295" s="654"/>
      <c r="L295" s="654"/>
      <c r="M295" s="654"/>
      <c r="N295" s="654"/>
      <c r="O295" s="654"/>
      <c r="P295" s="654"/>
      <c r="Q295" s="654"/>
      <c r="R295" s="654"/>
      <c r="S295" s="654"/>
      <c r="T295" s="654"/>
      <c r="U295" s="655"/>
      <c r="V295" s="616"/>
      <c r="W295" s="621"/>
      <c r="X295" s="621"/>
      <c r="Y295" s="600" t="s">
        <v>1376</v>
      </c>
    </row>
    <row r="296" spans="1:25" s="183" customFormat="1" ht="22.5" customHeight="1" thickTop="1" thickBot="1" x14ac:dyDescent="0.3">
      <c r="A296" s="615">
        <v>1</v>
      </c>
      <c r="B296" s="616" t="s">
        <v>1391</v>
      </c>
      <c r="C296" s="616" t="s">
        <v>1467</v>
      </c>
      <c r="D296" s="616" t="s">
        <v>1467</v>
      </c>
      <c r="E296" s="616"/>
      <c r="F296" s="616"/>
      <c r="G296" s="616"/>
      <c r="H296" s="617"/>
      <c r="I296" s="617"/>
      <c r="J296" s="618" t="s">
        <v>1683</v>
      </c>
      <c r="K296" s="654"/>
      <c r="L296" s="654"/>
      <c r="M296" s="654"/>
      <c r="N296" s="654"/>
      <c r="O296" s="654"/>
      <c r="P296" s="654"/>
      <c r="Q296" s="654"/>
      <c r="R296" s="654"/>
      <c r="S296" s="654"/>
      <c r="T296" s="654"/>
      <c r="U296" s="655"/>
      <c r="V296" s="616"/>
      <c r="W296" s="621"/>
      <c r="X296" s="621"/>
      <c r="Y296" s="600"/>
    </row>
    <row r="297" spans="1:25" s="751" customFormat="1" ht="22.5" customHeight="1" thickTop="1" thickBot="1" x14ac:dyDescent="0.3">
      <c r="A297" s="748" t="s">
        <v>1374</v>
      </c>
      <c r="B297" s="741" t="s">
        <v>1391</v>
      </c>
      <c r="C297" s="741" t="s">
        <v>1471</v>
      </c>
      <c r="D297" s="741"/>
      <c r="E297" s="741"/>
      <c r="F297" s="741"/>
      <c r="G297" s="741"/>
      <c r="H297" s="740"/>
      <c r="I297" s="740"/>
      <c r="J297" s="742" t="s">
        <v>1684</v>
      </c>
      <c r="K297" s="749"/>
      <c r="L297" s="749"/>
      <c r="M297" s="749"/>
      <c r="N297" s="749"/>
      <c r="O297" s="749"/>
      <c r="P297" s="749"/>
      <c r="Q297" s="749"/>
      <c r="R297" s="749"/>
      <c r="S297" s="749"/>
      <c r="T297" s="749"/>
      <c r="U297" s="750"/>
      <c r="V297" s="741"/>
      <c r="W297" s="741" t="s">
        <v>1685</v>
      </c>
      <c r="X297" s="741"/>
      <c r="Y297" s="746" t="s">
        <v>1376</v>
      </c>
    </row>
    <row r="298" spans="1:25" s="751" customFormat="1" ht="22.5" customHeight="1" thickTop="1" thickBot="1" x14ac:dyDescent="0.3">
      <c r="A298" s="748"/>
      <c r="B298" s="741"/>
      <c r="C298" s="741"/>
      <c r="D298" s="741"/>
      <c r="E298" s="741"/>
      <c r="F298" s="741"/>
      <c r="G298" s="741"/>
      <c r="H298" s="740"/>
      <c r="I298" s="740"/>
      <c r="J298" s="742"/>
      <c r="K298" s="749"/>
      <c r="L298" s="749"/>
      <c r="M298" s="749"/>
      <c r="N298" s="749"/>
      <c r="O298" s="749"/>
      <c r="P298" s="749"/>
      <c r="Q298" s="749"/>
      <c r="R298" s="749"/>
      <c r="S298" s="749"/>
      <c r="T298" s="749"/>
      <c r="U298" s="750"/>
      <c r="V298" s="741"/>
      <c r="W298" s="741"/>
      <c r="X298" s="741"/>
      <c r="Y298" s="746"/>
    </row>
    <row r="299" spans="1:25" s="751" customFormat="1" ht="22.5" customHeight="1" thickTop="1" thickBot="1" x14ac:dyDescent="0.3">
      <c r="A299" s="748"/>
      <c r="B299" s="741"/>
      <c r="C299" s="741"/>
      <c r="D299" s="741"/>
      <c r="E299" s="741"/>
      <c r="F299" s="741"/>
      <c r="G299" s="741"/>
      <c r="H299" s="740"/>
      <c r="I299" s="740"/>
      <c r="J299" s="742"/>
      <c r="K299" s="749"/>
      <c r="L299" s="749"/>
      <c r="M299" s="749"/>
      <c r="N299" s="749"/>
      <c r="O299" s="749"/>
      <c r="P299" s="749"/>
      <c r="Q299" s="749"/>
      <c r="R299" s="749"/>
      <c r="S299" s="749"/>
      <c r="T299" s="749"/>
      <c r="U299" s="750"/>
      <c r="V299" s="741"/>
      <c r="W299" s="752"/>
      <c r="X299" s="752"/>
      <c r="Y299" s="746"/>
    </row>
    <row r="300" spans="1:25" s="183" customFormat="1" ht="22.5" customHeight="1" thickTop="1" thickBot="1" x14ac:dyDescent="0.3">
      <c r="A300" s="615" t="s">
        <v>1374</v>
      </c>
      <c r="B300" s="616" t="s">
        <v>1391</v>
      </c>
      <c r="C300" s="616" t="s">
        <v>1471</v>
      </c>
      <c r="D300" s="616" t="s">
        <v>1415</v>
      </c>
      <c r="E300" s="616"/>
      <c r="F300" s="616"/>
      <c r="G300" s="616"/>
      <c r="H300" s="617"/>
      <c r="I300" s="617"/>
      <c r="J300" s="618" t="s">
        <v>1686</v>
      </c>
      <c r="K300" s="619"/>
      <c r="L300" s="619"/>
      <c r="M300" s="619"/>
      <c r="N300" s="619"/>
      <c r="O300" s="619"/>
      <c r="P300" s="619"/>
      <c r="Q300" s="619"/>
      <c r="R300" s="619"/>
      <c r="S300" s="619"/>
      <c r="T300" s="619"/>
      <c r="U300" s="620"/>
      <c r="V300" s="616"/>
      <c r="W300" s="616"/>
      <c r="X300" s="616"/>
      <c r="Y300" s="600" t="s">
        <v>1376</v>
      </c>
    </row>
    <row r="301" spans="1:25" s="183" customFormat="1" ht="22.5" customHeight="1" thickTop="1" thickBot="1" x14ac:dyDescent="0.3">
      <c r="A301" s="628" t="s">
        <v>1374</v>
      </c>
      <c r="B301" s="622" t="s">
        <v>1391</v>
      </c>
      <c r="C301" s="622" t="s">
        <v>1471</v>
      </c>
      <c r="D301" s="622" t="s">
        <v>1415</v>
      </c>
      <c r="E301" s="623" t="s">
        <v>1378</v>
      </c>
      <c r="F301" s="622"/>
      <c r="G301" s="622"/>
      <c r="H301" s="624"/>
      <c r="I301" s="624"/>
      <c r="J301" s="625" t="s">
        <v>1687</v>
      </c>
      <c r="K301" s="626"/>
      <c r="L301" s="626"/>
      <c r="M301" s="626"/>
      <c r="N301" s="626"/>
      <c r="O301" s="626"/>
      <c r="P301" s="626"/>
      <c r="Q301" s="626"/>
      <c r="R301" s="626"/>
      <c r="S301" s="626"/>
      <c r="T301" s="626"/>
      <c r="U301" s="627"/>
      <c r="V301" s="622"/>
      <c r="W301" s="629"/>
      <c r="X301" s="629"/>
      <c r="Y301" s="600" t="s">
        <v>1376</v>
      </c>
    </row>
    <row r="302" spans="1:25" ht="22.5" customHeight="1" thickTop="1" thickBot="1" x14ac:dyDescent="0.3">
      <c r="A302" s="634" t="s">
        <v>1374</v>
      </c>
      <c r="B302" s="624" t="s">
        <v>1391</v>
      </c>
      <c r="C302" s="624" t="s">
        <v>1471</v>
      </c>
      <c r="D302" s="624" t="s">
        <v>1415</v>
      </c>
      <c r="E302" s="630" t="s">
        <v>1378</v>
      </c>
      <c r="F302" s="622" t="s">
        <v>1378</v>
      </c>
      <c r="G302" s="624"/>
      <c r="H302" s="624"/>
      <c r="I302" s="624"/>
      <c r="J302" s="631" t="s">
        <v>1688</v>
      </c>
      <c r="K302" s="632"/>
      <c r="L302" s="632"/>
      <c r="M302" s="632"/>
      <c r="N302" s="626"/>
      <c r="O302" s="632"/>
      <c r="P302" s="632"/>
      <c r="Q302" s="632"/>
      <c r="R302" s="632"/>
      <c r="S302" s="626"/>
      <c r="T302" s="632"/>
      <c r="U302" s="633"/>
      <c r="V302" s="624"/>
      <c r="W302" s="635"/>
      <c r="X302" s="635"/>
      <c r="Y302" s="600" t="s">
        <v>1376</v>
      </c>
    </row>
    <row r="303" spans="1:25" s="183" customFormat="1" ht="22.5" customHeight="1" thickTop="1" thickBot="1" x14ac:dyDescent="0.3">
      <c r="A303" s="628" t="s">
        <v>1374</v>
      </c>
      <c r="B303" s="622" t="s">
        <v>1391</v>
      </c>
      <c r="C303" s="622" t="s">
        <v>1471</v>
      </c>
      <c r="D303" s="622" t="s">
        <v>1415</v>
      </c>
      <c r="E303" s="623" t="s">
        <v>1391</v>
      </c>
      <c r="F303" s="623"/>
      <c r="G303" s="622"/>
      <c r="H303" s="624"/>
      <c r="I303" s="624"/>
      <c r="J303" s="625" t="s">
        <v>1689</v>
      </c>
      <c r="K303" s="626"/>
      <c r="L303" s="626"/>
      <c r="M303" s="626"/>
      <c r="N303" s="626"/>
      <c r="O303" s="626"/>
      <c r="P303" s="626"/>
      <c r="Q303" s="626"/>
      <c r="R303" s="626"/>
      <c r="S303" s="626"/>
      <c r="T303" s="626"/>
      <c r="U303" s="627"/>
      <c r="V303" s="622"/>
      <c r="W303" s="629"/>
      <c r="X303" s="629"/>
      <c r="Y303" s="600" t="s">
        <v>1376</v>
      </c>
    </row>
    <row r="304" spans="1:25" s="183" customFormat="1" ht="22.5" customHeight="1" thickTop="1" thickBot="1" x14ac:dyDescent="0.3">
      <c r="A304" s="628" t="s">
        <v>1374</v>
      </c>
      <c r="B304" s="622" t="s">
        <v>1391</v>
      </c>
      <c r="C304" s="622" t="s">
        <v>1471</v>
      </c>
      <c r="D304" s="622" t="s">
        <v>1415</v>
      </c>
      <c r="E304" s="623" t="s">
        <v>1415</v>
      </c>
      <c r="F304" s="622"/>
      <c r="G304" s="622"/>
      <c r="H304" s="624"/>
      <c r="I304" s="624"/>
      <c r="J304" s="625" t="s">
        <v>1690</v>
      </c>
      <c r="K304" s="626"/>
      <c r="L304" s="626"/>
      <c r="M304" s="626"/>
      <c r="N304" s="626"/>
      <c r="O304" s="626"/>
      <c r="P304" s="626"/>
      <c r="Q304" s="626"/>
      <c r="R304" s="626"/>
      <c r="S304" s="626"/>
      <c r="T304" s="626"/>
      <c r="U304" s="627"/>
      <c r="V304" s="622"/>
      <c r="W304" s="629"/>
      <c r="X304" s="629"/>
      <c r="Y304" s="600" t="s">
        <v>1376</v>
      </c>
    </row>
    <row r="305" spans="1:25" ht="22.5" customHeight="1" thickTop="1" thickBot="1" x14ac:dyDescent="0.3">
      <c r="A305" s="634" t="s">
        <v>1374</v>
      </c>
      <c r="B305" s="624" t="s">
        <v>1391</v>
      </c>
      <c r="C305" s="624" t="s">
        <v>1471</v>
      </c>
      <c r="D305" s="624" t="s">
        <v>1415</v>
      </c>
      <c r="E305" s="630" t="s">
        <v>1415</v>
      </c>
      <c r="F305" s="622" t="s">
        <v>1378</v>
      </c>
      <c r="G305" s="624"/>
      <c r="H305" s="624"/>
      <c r="I305" s="624"/>
      <c r="J305" s="631" t="s">
        <v>1691</v>
      </c>
      <c r="K305" s="632"/>
      <c r="L305" s="632"/>
      <c r="M305" s="632"/>
      <c r="N305" s="626"/>
      <c r="O305" s="632"/>
      <c r="P305" s="632"/>
      <c r="Q305" s="632"/>
      <c r="R305" s="632"/>
      <c r="S305" s="626"/>
      <c r="T305" s="632"/>
      <c r="U305" s="633"/>
      <c r="V305" s="624"/>
      <c r="W305" s="635"/>
      <c r="X305" s="635"/>
      <c r="Y305" s="600" t="s">
        <v>1376</v>
      </c>
    </row>
    <row r="306" spans="1:25" ht="22.5" customHeight="1" thickTop="1" thickBot="1" x14ac:dyDescent="0.3">
      <c r="A306" s="634" t="s">
        <v>1374</v>
      </c>
      <c r="B306" s="624" t="s">
        <v>1391</v>
      </c>
      <c r="C306" s="624" t="s">
        <v>1471</v>
      </c>
      <c r="D306" s="624" t="s">
        <v>1415</v>
      </c>
      <c r="E306" s="630" t="s">
        <v>1415</v>
      </c>
      <c r="F306" s="622" t="s">
        <v>1391</v>
      </c>
      <c r="G306" s="624"/>
      <c r="H306" s="624"/>
      <c r="I306" s="624"/>
      <c r="J306" s="631" t="s">
        <v>1692</v>
      </c>
      <c r="K306" s="632"/>
      <c r="L306" s="632"/>
      <c r="M306" s="632"/>
      <c r="N306" s="626"/>
      <c r="O306" s="632"/>
      <c r="P306" s="632"/>
      <c r="Q306" s="632"/>
      <c r="R306" s="632"/>
      <c r="S306" s="626"/>
      <c r="T306" s="632"/>
      <c r="U306" s="633"/>
      <c r="V306" s="624"/>
      <c r="W306" s="635"/>
      <c r="X306" s="635"/>
      <c r="Y306" s="600" t="s">
        <v>1376</v>
      </c>
    </row>
    <row r="307" spans="1:25" ht="22.5" customHeight="1" thickTop="1" thickBot="1" x14ac:dyDescent="0.3">
      <c r="A307" s="634" t="s">
        <v>1374</v>
      </c>
      <c r="B307" s="624" t="s">
        <v>1391</v>
      </c>
      <c r="C307" s="624" t="s">
        <v>1471</v>
      </c>
      <c r="D307" s="624" t="s">
        <v>1415</v>
      </c>
      <c r="E307" s="630" t="s">
        <v>1415</v>
      </c>
      <c r="F307" s="622" t="s">
        <v>1415</v>
      </c>
      <c r="G307" s="624"/>
      <c r="H307" s="624"/>
      <c r="I307" s="624"/>
      <c r="J307" s="631" t="s">
        <v>1693</v>
      </c>
      <c r="K307" s="632"/>
      <c r="L307" s="632"/>
      <c r="M307" s="632"/>
      <c r="N307" s="626"/>
      <c r="O307" s="632"/>
      <c r="P307" s="632"/>
      <c r="Q307" s="632"/>
      <c r="R307" s="632"/>
      <c r="S307" s="626"/>
      <c r="T307" s="632"/>
      <c r="U307" s="633"/>
      <c r="V307" s="624"/>
      <c r="W307" s="635"/>
      <c r="X307" s="635"/>
      <c r="Y307" s="600" t="s">
        <v>1376</v>
      </c>
    </row>
    <row r="308" spans="1:25" ht="22.5" customHeight="1" thickTop="1" thickBot="1" x14ac:dyDescent="0.3">
      <c r="A308" s="634" t="s">
        <v>1374</v>
      </c>
      <c r="B308" s="624" t="s">
        <v>1391</v>
      </c>
      <c r="C308" s="624" t="s">
        <v>1471</v>
      </c>
      <c r="D308" s="624" t="s">
        <v>1415</v>
      </c>
      <c r="E308" s="630" t="s">
        <v>1415</v>
      </c>
      <c r="F308" s="622" t="s">
        <v>1419</v>
      </c>
      <c r="G308" s="624"/>
      <c r="H308" s="624"/>
      <c r="I308" s="624"/>
      <c r="J308" s="631" t="s">
        <v>1694</v>
      </c>
      <c r="K308" s="632"/>
      <c r="L308" s="632"/>
      <c r="M308" s="632"/>
      <c r="N308" s="626"/>
      <c r="O308" s="632"/>
      <c r="P308" s="632"/>
      <c r="Q308" s="632"/>
      <c r="R308" s="632"/>
      <c r="S308" s="626"/>
      <c r="T308" s="632"/>
      <c r="U308" s="633"/>
      <c r="V308" s="624"/>
      <c r="W308" s="635"/>
      <c r="X308" s="635"/>
      <c r="Y308" s="600" t="s">
        <v>1376</v>
      </c>
    </row>
    <row r="309" spans="1:25" ht="22.5" customHeight="1" thickTop="1" thickBot="1" x14ac:dyDescent="0.3">
      <c r="A309" s="634" t="s">
        <v>1374</v>
      </c>
      <c r="B309" s="624" t="s">
        <v>1391</v>
      </c>
      <c r="C309" s="624" t="s">
        <v>1471</v>
      </c>
      <c r="D309" s="624" t="s">
        <v>1415</v>
      </c>
      <c r="E309" s="630" t="s">
        <v>1415</v>
      </c>
      <c r="F309" s="622" t="s">
        <v>1444</v>
      </c>
      <c r="G309" s="624"/>
      <c r="H309" s="624"/>
      <c r="I309" s="624"/>
      <c r="J309" s="631" t="s">
        <v>1695</v>
      </c>
      <c r="K309" s="632"/>
      <c r="L309" s="632"/>
      <c r="M309" s="632"/>
      <c r="N309" s="626"/>
      <c r="O309" s="632"/>
      <c r="P309" s="632"/>
      <c r="Q309" s="632"/>
      <c r="R309" s="632"/>
      <c r="S309" s="626"/>
      <c r="T309" s="632"/>
      <c r="U309" s="633"/>
      <c r="V309" s="624"/>
      <c r="W309" s="635"/>
      <c r="X309" s="635"/>
      <c r="Y309" s="600" t="s">
        <v>1376</v>
      </c>
    </row>
    <row r="310" spans="1:25" s="183" customFormat="1" ht="22.5" customHeight="1" thickTop="1" thickBot="1" x14ac:dyDescent="0.3">
      <c r="A310" s="628" t="s">
        <v>1374</v>
      </c>
      <c r="B310" s="622" t="s">
        <v>1391</v>
      </c>
      <c r="C310" s="622" t="s">
        <v>1471</v>
      </c>
      <c r="D310" s="622" t="s">
        <v>1415</v>
      </c>
      <c r="E310" s="623" t="s">
        <v>1419</v>
      </c>
      <c r="F310" s="622"/>
      <c r="G310" s="622"/>
      <c r="H310" s="624"/>
      <c r="I310" s="624"/>
      <c r="J310" s="625" t="s">
        <v>1696</v>
      </c>
      <c r="K310" s="626"/>
      <c r="L310" s="626"/>
      <c r="M310" s="626"/>
      <c r="N310" s="626"/>
      <c r="O310" s="626"/>
      <c r="P310" s="626"/>
      <c r="Q310" s="626"/>
      <c r="R310" s="626"/>
      <c r="S310" s="626"/>
      <c r="T310" s="626"/>
      <c r="U310" s="627"/>
      <c r="V310" s="622"/>
      <c r="W310" s="629"/>
      <c r="X310" s="629"/>
      <c r="Y310" s="600" t="s">
        <v>1376</v>
      </c>
    </row>
    <row r="311" spans="1:25" s="183" customFormat="1" ht="22.5" customHeight="1" thickTop="1" thickBot="1" x14ac:dyDescent="0.3">
      <c r="A311" s="628" t="s">
        <v>1374</v>
      </c>
      <c r="B311" s="622" t="s">
        <v>1391</v>
      </c>
      <c r="C311" s="622" t="s">
        <v>1471</v>
      </c>
      <c r="D311" s="622" t="s">
        <v>1415</v>
      </c>
      <c r="E311" s="623" t="s">
        <v>1444</v>
      </c>
      <c r="F311" s="622"/>
      <c r="G311" s="622"/>
      <c r="H311" s="624"/>
      <c r="I311" s="624"/>
      <c r="J311" s="625" t="s">
        <v>1697</v>
      </c>
      <c r="K311" s="626"/>
      <c r="L311" s="626"/>
      <c r="M311" s="626"/>
      <c r="N311" s="626"/>
      <c r="O311" s="626"/>
      <c r="P311" s="626"/>
      <c r="Q311" s="626"/>
      <c r="R311" s="626"/>
      <c r="S311" s="626"/>
      <c r="T311" s="626"/>
      <c r="U311" s="627"/>
      <c r="V311" s="622"/>
      <c r="W311" s="629"/>
      <c r="X311" s="629"/>
      <c r="Y311" s="600" t="s">
        <v>1376</v>
      </c>
    </row>
    <row r="312" spans="1:25" ht="22.5" customHeight="1" thickTop="1" thickBot="1" x14ac:dyDescent="0.3">
      <c r="A312" s="628" t="s">
        <v>1374</v>
      </c>
      <c r="B312" s="622" t="s">
        <v>1391</v>
      </c>
      <c r="C312" s="622" t="s">
        <v>1471</v>
      </c>
      <c r="D312" s="622" t="s">
        <v>1415</v>
      </c>
      <c r="E312" s="623" t="s">
        <v>1467</v>
      </c>
      <c r="F312" s="624"/>
      <c r="G312" s="624"/>
      <c r="H312" s="624"/>
      <c r="I312" s="624"/>
      <c r="J312" s="625" t="s">
        <v>1698</v>
      </c>
      <c r="K312" s="626"/>
      <c r="L312" s="626"/>
      <c r="M312" s="626"/>
      <c r="N312" s="626"/>
      <c r="O312" s="626"/>
      <c r="P312" s="626"/>
      <c r="Q312" s="626"/>
      <c r="R312" s="626"/>
      <c r="S312" s="626"/>
      <c r="T312" s="626"/>
      <c r="U312" s="627"/>
      <c r="V312" s="622"/>
      <c r="W312" s="629"/>
      <c r="X312" s="629"/>
    </row>
    <row r="313" spans="1:25" ht="22.5" customHeight="1" thickTop="1" thickBot="1" x14ac:dyDescent="0.3">
      <c r="A313" s="628" t="s">
        <v>1374</v>
      </c>
      <c r="B313" s="622" t="s">
        <v>1391</v>
      </c>
      <c r="C313" s="622" t="s">
        <v>1471</v>
      </c>
      <c r="D313" s="622" t="s">
        <v>1415</v>
      </c>
      <c r="E313" s="623" t="s">
        <v>1471</v>
      </c>
      <c r="F313" s="624"/>
      <c r="G313" s="624"/>
      <c r="H313" s="624"/>
      <c r="I313" s="624"/>
      <c r="J313" s="625" t="s">
        <v>1699</v>
      </c>
      <c r="K313" s="626"/>
      <c r="L313" s="626"/>
      <c r="M313" s="626"/>
      <c r="N313" s="626"/>
      <c r="O313" s="626"/>
      <c r="P313" s="626"/>
      <c r="Q313" s="626"/>
      <c r="R313" s="626"/>
      <c r="S313" s="626"/>
      <c r="T313" s="626"/>
      <c r="U313" s="627"/>
      <c r="V313" s="622"/>
      <c r="W313" s="629"/>
      <c r="X313" s="629"/>
    </row>
    <row r="314" spans="1:25" ht="22.5" customHeight="1" thickTop="1" thickBot="1" x14ac:dyDescent="0.3">
      <c r="A314" s="628" t="s">
        <v>1374</v>
      </c>
      <c r="B314" s="622" t="s">
        <v>1391</v>
      </c>
      <c r="C314" s="622" t="s">
        <v>1471</v>
      </c>
      <c r="D314" s="622" t="s">
        <v>1415</v>
      </c>
      <c r="E314" s="623" t="s">
        <v>1475</v>
      </c>
      <c r="F314" s="624"/>
      <c r="G314" s="624"/>
      <c r="H314" s="624"/>
      <c r="I314" s="624"/>
      <c r="J314" s="637" t="s">
        <v>1700</v>
      </c>
      <c r="K314" s="626"/>
      <c r="L314" s="626"/>
      <c r="M314" s="626"/>
      <c r="N314" s="626"/>
      <c r="O314" s="626"/>
      <c r="P314" s="626"/>
      <c r="Q314" s="626"/>
      <c r="R314" s="626"/>
      <c r="S314" s="626"/>
      <c r="T314" s="626"/>
      <c r="U314" s="627"/>
      <c r="V314" s="622"/>
      <c r="W314" s="629"/>
      <c r="X314" s="629"/>
    </row>
    <row r="315" spans="1:25" ht="22.5" customHeight="1" thickTop="1" thickBot="1" x14ac:dyDescent="0.3">
      <c r="A315" s="634" t="s">
        <v>1374</v>
      </c>
      <c r="B315" s="624" t="s">
        <v>1391</v>
      </c>
      <c r="C315" s="624" t="s">
        <v>1471</v>
      </c>
      <c r="D315" s="624" t="s">
        <v>1415</v>
      </c>
      <c r="E315" s="630" t="s">
        <v>1475</v>
      </c>
      <c r="F315" s="622" t="s">
        <v>1378</v>
      </c>
      <c r="G315" s="624"/>
      <c r="H315" s="624"/>
      <c r="I315" s="624"/>
      <c r="J315" s="637" t="s">
        <v>1701</v>
      </c>
      <c r="K315" s="626"/>
      <c r="L315" s="626"/>
      <c r="M315" s="626"/>
      <c r="N315" s="626"/>
      <c r="O315" s="626"/>
      <c r="P315" s="626"/>
      <c r="Q315" s="626"/>
      <c r="R315" s="626"/>
      <c r="S315" s="626"/>
      <c r="T315" s="626"/>
      <c r="U315" s="627"/>
      <c r="V315" s="622"/>
      <c r="W315" s="629"/>
      <c r="X315" s="629"/>
    </row>
    <row r="316" spans="1:25" ht="22.5" customHeight="1" thickTop="1" thickBot="1" x14ac:dyDescent="0.3">
      <c r="A316" s="634" t="s">
        <v>1374</v>
      </c>
      <c r="B316" s="624" t="s">
        <v>1391</v>
      </c>
      <c r="C316" s="624" t="s">
        <v>1471</v>
      </c>
      <c r="D316" s="624" t="s">
        <v>1415</v>
      </c>
      <c r="E316" s="630" t="s">
        <v>1475</v>
      </c>
      <c r="F316" s="624" t="s">
        <v>1378</v>
      </c>
      <c r="G316" s="622" t="s">
        <v>1378</v>
      </c>
      <c r="H316" s="624"/>
      <c r="I316" s="624"/>
      <c r="J316" s="640" t="s">
        <v>1702</v>
      </c>
      <c r="K316" s="626"/>
      <c r="L316" s="626"/>
      <c r="M316" s="626"/>
      <c r="N316" s="626"/>
      <c r="O316" s="626"/>
      <c r="P316" s="626"/>
      <c r="Q316" s="626"/>
      <c r="R316" s="626"/>
      <c r="S316" s="626"/>
      <c r="T316" s="626"/>
      <c r="U316" s="627"/>
      <c r="V316" s="622"/>
      <c r="W316" s="629"/>
      <c r="X316" s="629"/>
    </row>
    <row r="317" spans="1:25" ht="22.5" customHeight="1" thickTop="1" thickBot="1" x14ac:dyDescent="0.3">
      <c r="A317" s="634" t="s">
        <v>1374</v>
      </c>
      <c r="B317" s="624" t="s">
        <v>1391</v>
      </c>
      <c r="C317" s="624" t="s">
        <v>1471</v>
      </c>
      <c r="D317" s="624" t="s">
        <v>1415</v>
      </c>
      <c r="E317" s="630" t="s">
        <v>1475</v>
      </c>
      <c r="F317" s="624" t="s">
        <v>1378</v>
      </c>
      <c r="G317" s="622" t="s">
        <v>1391</v>
      </c>
      <c r="H317" s="624"/>
      <c r="I317" s="624"/>
      <c r="J317" s="640" t="s">
        <v>1703</v>
      </c>
      <c r="K317" s="626"/>
      <c r="L317" s="626"/>
      <c r="M317" s="626"/>
      <c r="N317" s="626"/>
      <c r="O317" s="626"/>
      <c r="P317" s="626"/>
      <c r="Q317" s="626"/>
      <c r="R317" s="626"/>
      <c r="S317" s="626"/>
      <c r="T317" s="626"/>
      <c r="U317" s="627"/>
      <c r="V317" s="622"/>
      <c r="W317" s="629"/>
      <c r="X317" s="629"/>
    </row>
    <row r="318" spans="1:25" ht="22.5" customHeight="1" thickTop="1" thickBot="1" x14ac:dyDescent="0.3">
      <c r="A318" s="634" t="s">
        <v>1374</v>
      </c>
      <c r="B318" s="624" t="s">
        <v>1391</v>
      </c>
      <c r="C318" s="624" t="s">
        <v>1471</v>
      </c>
      <c r="D318" s="624" t="s">
        <v>1415</v>
      </c>
      <c r="E318" s="630" t="s">
        <v>1475</v>
      </c>
      <c r="F318" s="624" t="s">
        <v>1378</v>
      </c>
      <c r="G318" s="622" t="s">
        <v>1415</v>
      </c>
      <c r="H318" s="624"/>
      <c r="I318" s="624"/>
      <c r="J318" s="640" t="s">
        <v>1704</v>
      </c>
      <c r="K318" s="626"/>
      <c r="L318" s="626"/>
      <c r="M318" s="626"/>
      <c r="N318" s="626"/>
      <c r="O318" s="626"/>
      <c r="P318" s="626"/>
      <c r="Q318" s="626"/>
      <c r="R318" s="626"/>
      <c r="S318" s="626"/>
      <c r="T318" s="626"/>
      <c r="U318" s="627"/>
      <c r="V318" s="622"/>
      <c r="W318" s="629"/>
      <c r="X318" s="629"/>
    </row>
    <row r="319" spans="1:25" ht="22.5" customHeight="1" thickTop="1" thickBot="1" x14ac:dyDescent="0.3">
      <c r="A319" s="628" t="s">
        <v>1374</v>
      </c>
      <c r="B319" s="622" t="s">
        <v>1391</v>
      </c>
      <c r="C319" s="622" t="s">
        <v>1471</v>
      </c>
      <c r="D319" s="622" t="s">
        <v>1415</v>
      </c>
      <c r="E319" s="623" t="s">
        <v>1573</v>
      </c>
      <c r="F319" s="624"/>
      <c r="G319" s="624"/>
      <c r="H319" s="624"/>
      <c r="I319" s="624"/>
      <c r="J319" s="637" t="s">
        <v>1705</v>
      </c>
      <c r="K319" s="626"/>
      <c r="L319" s="626"/>
      <c r="M319" s="626"/>
      <c r="N319" s="626"/>
      <c r="O319" s="626"/>
      <c r="P319" s="626"/>
      <c r="Q319" s="626"/>
      <c r="R319" s="626"/>
      <c r="S319" s="626"/>
      <c r="T319" s="626"/>
      <c r="U319" s="627"/>
      <c r="V319" s="622"/>
      <c r="W319" s="629"/>
      <c r="X319" s="629"/>
    </row>
    <row r="320" spans="1:25" ht="22.5" customHeight="1" thickTop="1" thickBot="1" x14ac:dyDescent="0.3">
      <c r="A320" s="634" t="s">
        <v>1374</v>
      </c>
      <c r="B320" s="624" t="s">
        <v>1391</v>
      </c>
      <c r="C320" s="624" t="s">
        <v>1471</v>
      </c>
      <c r="D320" s="624" t="s">
        <v>1415</v>
      </c>
      <c r="E320" s="630" t="s">
        <v>1573</v>
      </c>
      <c r="F320" s="622" t="s">
        <v>1378</v>
      </c>
      <c r="G320" s="624"/>
      <c r="H320" s="624"/>
      <c r="I320" s="624"/>
      <c r="J320" s="640" t="s">
        <v>1706</v>
      </c>
      <c r="K320" s="626"/>
      <c r="L320" s="626"/>
      <c r="M320" s="626"/>
      <c r="N320" s="626"/>
      <c r="O320" s="626"/>
      <c r="P320" s="626"/>
      <c r="Q320" s="626"/>
      <c r="R320" s="626"/>
      <c r="S320" s="626"/>
      <c r="T320" s="626"/>
      <c r="U320" s="627"/>
      <c r="V320" s="622"/>
      <c r="W320" s="629"/>
      <c r="X320" s="629"/>
    </row>
    <row r="321" spans="1:22" ht="36" customHeight="1" thickTop="1" thickBot="1" x14ac:dyDescent="0.3"/>
    <row r="322" spans="1:22" ht="18.75" customHeight="1" thickTop="1" thickBot="1" x14ac:dyDescent="0.3">
      <c r="A322" s="635">
        <v>1</v>
      </c>
      <c r="B322" s="737" t="s">
        <v>1391</v>
      </c>
      <c r="C322" s="624"/>
      <c r="D322" s="624"/>
      <c r="E322" s="635"/>
      <c r="F322" s="624"/>
      <c r="G322" s="624"/>
      <c r="H322" s="624"/>
      <c r="I322" s="624"/>
      <c r="J322" s="753" t="s">
        <v>1957</v>
      </c>
      <c r="K322" s="626"/>
      <c r="L322" s="626"/>
      <c r="M322" s="626"/>
      <c r="N322" s="626"/>
      <c r="O322" s="626"/>
      <c r="P322" s="626"/>
      <c r="Q322" s="626"/>
      <c r="R322" s="626"/>
      <c r="S322" s="626"/>
      <c r="T322" s="626"/>
      <c r="U322" s="626"/>
      <c r="V322" s="626"/>
    </row>
    <row r="323" spans="1:22" ht="18.75" customHeight="1" thickTop="1" thickBot="1" x14ac:dyDescent="0.3">
      <c r="A323" s="635">
        <v>1</v>
      </c>
      <c r="B323" s="737" t="s">
        <v>1391</v>
      </c>
      <c r="C323" s="624" t="s">
        <v>1378</v>
      </c>
      <c r="D323" s="624"/>
      <c r="E323" s="635"/>
      <c r="F323" s="624"/>
      <c r="G323" s="624"/>
      <c r="H323" s="624"/>
      <c r="I323" s="624"/>
      <c r="J323" s="753" t="s">
        <v>1958</v>
      </c>
      <c r="K323" s="626"/>
      <c r="L323" s="626"/>
      <c r="M323" s="626"/>
      <c r="N323" s="626"/>
      <c r="O323" s="626"/>
      <c r="P323" s="626"/>
      <c r="Q323" s="626"/>
      <c r="R323" s="626"/>
      <c r="S323" s="626"/>
      <c r="T323" s="626"/>
      <c r="U323" s="626"/>
      <c r="V323" s="626"/>
    </row>
    <row r="324" spans="1:22" ht="18.75" customHeight="1" thickTop="1" thickBot="1" x14ac:dyDescent="0.3">
      <c r="A324" s="635">
        <v>1</v>
      </c>
      <c r="B324" s="737" t="s">
        <v>1391</v>
      </c>
      <c r="C324" s="624" t="s">
        <v>1378</v>
      </c>
      <c r="D324" s="624" t="s">
        <v>1378</v>
      </c>
      <c r="E324" s="624"/>
      <c r="F324" s="624"/>
      <c r="G324" s="624"/>
      <c r="H324" s="624"/>
      <c r="I324" s="624"/>
      <c r="J324" s="754" t="s">
        <v>1538</v>
      </c>
      <c r="K324" s="626"/>
      <c r="L324" s="626"/>
      <c r="M324" s="626"/>
      <c r="N324" s="626"/>
      <c r="O324" s="626"/>
      <c r="P324" s="626"/>
      <c r="Q324" s="626"/>
      <c r="R324" s="626"/>
      <c r="S324" s="626"/>
      <c r="T324" s="626"/>
      <c r="U324" s="626"/>
      <c r="V324" s="626"/>
    </row>
    <row r="325" spans="1:22" ht="18.75" customHeight="1" thickTop="1" thickBot="1" x14ac:dyDescent="0.3">
      <c r="A325" s="635">
        <v>1</v>
      </c>
      <c r="B325" s="737" t="s">
        <v>1391</v>
      </c>
      <c r="C325" s="624" t="s">
        <v>1378</v>
      </c>
      <c r="D325" s="624" t="s">
        <v>1391</v>
      </c>
      <c r="E325" s="624"/>
      <c r="F325" s="624"/>
      <c r="G325" s="624"/>
      <c r="H325" s="624"/>
      <c r="I325" s="624"/>
      <c r="J325" s="754" t="s">
        <v>1539</v>
      </c>
      <c r="K325" s="626"/>
      <c r="L325" s="626"/>
      <c r="M325" s="626"/>
      <c r="N325" s="626"/>
      <c r="O325" s="626"/>
      <c r="P325" s="626"/>
      <c r="Q325" s="626"/>
      <c r="R325" s="626"/>
      <c r="S325" s="626"/>
      <c r="T325" s="626"/>
      <c r="U325" s="626"/>
      <c r="V325" s="626"/>
    </row>
    <row r="326" spans="1:22" ht="18.75" customHeight="1" thickTop="1" thickBot="1" x14ac:dyDescent="0.3">
      <c r="A326" s="635">
        <v>1</v>
      </c>
      <c r="B326" s="737" t="s">
        <v>1391</v>
      </c>
      <c r="C326" s="624" t="s">
        <v>1378</v>
      </c>
      <c r="D326" s="624" t="s">
        <v>1415</v>
      </c>
      <c r="E326" s="624"/>
      <c r="F326" s="624"/>
      <c r="G326" s="624"/>
      <c r="H326" s="624"/>
      <c r="I326" s="624"/>
      <c r="J326" s="754" t="s">
        <v>1540</v>
      </c>
      <c r="K326" s="626"/>
      <c r="L326" s="626"/>
      <c r="M326" s="626"/>
      <c r="N326" s="626"/>
      <c r="O326" s="626"/>
      <c r="P326" s="626"/>
      <c r="Q326" s="626"/>
      <c r="R326" s="626"/>
      <c r="S326" s="626"/>
      <c r="T326" s="626"/>
      <c r="U326" s="626"/>
      <c r="V326" s="626"/>
    </row>
    <row r="327" spans="1:22" ht="18.75" customHeight="1" thickTop="1" thickBot="1" x14ac:dyDescent="0.3">
      <c r="A327" s="635">
        <v>1</v>
      </c>
      <c r="B327" s="737" t="s">
        <v>1391</v>
      </c>
      <c r="C327" s="624" t="s">
        <v>1391</v>
      </c>
      <c r="D327" s="624"/>
      <c r="E327" s="635"/>
      <c r="F327" s="624"/>
      <c r="G327" s="624"/>
      <c r="H327" s="624"/>
      <c r="I327" s="624"/>
      <c r="J327" s="753" t="s">
        <v>1959</v>
      </c>
      <c r="K327" s="626"/>
      <c r="L327" s="626"/>
      <c r="M327" s="626"/>
      <c r="N327" s="626"/>
      <c r="O327" s="626"/>
      <c r="P327" s="626"/>
      <c r="Q327" s="626"/>
      <c r="R327" s="626"/>
      <c r="S327" s="626"/>
      <c r="T327" s="626"/>
      <c r="U327" s="626"/>
      <c r="V327" s="626"/>
    </row>
    <row r="328" spans="1:22" ht="18.75" customHeight="1" thickTop="1" thickBot="1" x14ac:dyDescent="0.3">
      <c r="A328" s="635">
        <v>1</v>
      </c>
      <c r="B328" s="737" t="s">
        <v>1415</v>
      </c>
      <c r="C328" s="624"/>
      <c r="D328" s="624"/>
      <c r="E328" s="635"/>
      <c r="F328" s="624"/>
      <c r="G328" s="624"/>
      <c r="H328" s="624"/>
      <c r="I328" s="624"/>
      <c r="J328" s="753" t="s">
        <v>1860</v>
      </c>
      <c r="K328" s="626"/>
      <c r="L328" s="626"/>
      <c r="M328" s="626"/>
      <c r="N328" s="626"/>
      <c r="O328" s="626"/>
      <c r="P328" s="626"/>
      <c r="Q328" s="626"/>
      <c r="R328" s="626"/>
      <c r="S328" s="626"/>
      <c r="T328" s="626"/>
      <c r="U328" s="626"/>
      <c r="V328" s="626"/>
    </row>
    <row r="329" spans="1:22" ht="18.75" customHeight="1" thickTop="1" thickBot="1" x14ac:dyDescent="0.3">
      <c r="A329" s="635">
        <v>1</v>
      </c>
      <c r="B329" s="737" t="s">
        <v>1415</v>
      </c>
      <c r="C329" s="624" t="s">
        <v>1378</v>
      </c>
      <c r="D329" s="624"/>
      <c r="E329" s="635"/>
      <c r="F329" s="624"/>
      <c r="G329" s="624"/>
      <c r="H329" s="624"/>
      <c r="I329" s="624"/>
      <c r="J329" s="753" t="s">
        <v>1541</v>
      </c>
      <c r="K329" s="626"/>
      <c r="L329" s="626"/>
      <c r="M329" s="626"/>
      <c r="N329" s="626"/>
      <c r="O329" s="626"/>
      <c r="P329" s="626"/>
      <c r="Q329" s="626"/>
      <c r="R329" s="626"/>
      <c r="S329" s="626"/>
      <c r="T329" s="626"/>
      <c r="U329" s="626"/>
      <c r="V329" s="626"/>
    </row>
    <row r="330" spans="1:22" ht="18.75" customHeight="1" thickTop="1" thickBot="1" x14ac:dyDescent="0.3">
      <c r="A330" s="635">
        <v>1</v>
      </c>
      <c r="B330" s="738" t="s">
        <v>1415</v>
      </c>
      <c r="C330" s="624" t="s">
        <v>1378</v>
      </c>
      <c r="D330" s="624" t="s">
        <v>1378</v>
      </c>
      <c r="E330" s="624"/>
      <c r="F330" s="624"/>
      <c r="G330" s="624"/>
      <c r="H330" s="624"/>
      <c r="I330" s="624"/>
      <c r="J330" s="754" t="s">
        <v>1542</v>
      </c>
      <c r="K330" s="626"/>
      <c r="L330" s="626"/>
      <c r="M330" s="626"/>
      <c r="N330" s="626"/>
      <c r="O330" s="626"/>
      <c r="P330" s="626"/>
      <c r="Q330" s="626"/>
      <c r="R330" s="626"/>
      <c r="S330" s="626"/>
      <c r="T330" s="626"/>
      <c r="U330" s="626"/>
      <c r="V330" s="626"/>
    </row>
    <row r="331" spans="1:22" ht="18.75" customHeight="1" thickTop="1" thickBot="1" x14ac:dyDescent="0.3">
      <c r="A331" s="635">
        <v>1</v>
      </c>
      <c r="B331" s="738" t="s">
        <v>1415</v>
      </c>
      <c r="C331" s="624" t="s">
        <v>1378</v>
      </c>
      <c r="D331" s="624" t="s">
        <v>1391</v>
      </c>
      <c r="E331" s="624"/>
      <c r="F331" s="624"/>
      <c r="G331" s="624"/>
      <c r="H331" s="624"/>
      <c r="I331" s="624"/>
      <c r="J331" s="754" t="s">
        <v>1543</v>
      </c>
      <c r="K331" s="626"/>
      <c r="L331" s="626"/>
      <c r="M331" s="626"/>
      <c r="N331" s="626"/>
      <c r="O331" s="626"/>
      <c r="P331" s="626"/>
      <c r="Q331" s="626"/>
      <c r="R331" s="626"/>
      <c r="S331" s="626"/>
      <c r="T331" s="626"/>
      <c r="U331" s="626"/>
      <c r="V331" s="626"/>
    </row>
    <row r="332" spans="1:22" ht="18.75" customHeight="1" thickTop="1" thickBot="1" x14ac:dyDescent="0.3">
      <c r="A332" s="635">
        <v>1</v>
      </c>
      <c r="B332" s="738" t="s">
        <v>1415</v>
      </c>
      <c r="C332" s="624" t="s">
        <v>1378</v>
      </c>
      <c r="D332" s="624" t="s">
        <v>1415</v>
      </c>
      <c r="E332" s="624"/>
      <c r="F332" s="624"/>
      <c r="G332" s="624"/>
      <c r="H332" s="624"/>
      <c r="I332" s="624"/>
      <c r="J332" s="754" t="s">
        <v>1544</v>
      </c>
      <c r="K332" s="626"/>
      <c r="L332" s="626"/>
      <c r="M332" s="626"/>
      <c r="N332" s="626"/>
      <c r="O332" s="626"/>
      <c r="P332" s="626"/>
      <c r="Q332" s="626"/>
      <c r="R332" s="626"/>
      <c r="S332" s="626"/>
      <c r="T332" s="626"/>
      <c r="U332" s="626"/>
      <c r="V332" s="626"/>
    </row>
    <row r="333" spans="1:22" ht="18.75" customHeight="1" thickTop="1" thickBot="1" x14ac:dyDescent="0.3">
      <c r="A333" s="635">
        <v>1</v>
      </c>
      <c r="B333" s="738" t="s">
        <v>1415</v>
      </c>
      <c r="C333" s="624" t="s">
        <v>1391</v>
      </c>
      <c r="D333" s="624"/>
      <c r="E333" s="635"/>
      <c r="F333" s="624"/>
      <c r="G333" s="624"/>
      <c r="H333" s="624"/>
      <c r="I333" s="624"/>
      <c r="J333" s="753" t="s">
        <v>1545</v>
      </c>
      <c r="K333" s="626"/>
      <c r="L333" s="626"/>
      <c r="M333" s="626"/>
      <c r="N333" s="626"/>
      <c r="O333" s="626"/>
      <c r="P333" s="626"/>
      <c r="Q333" s="626"/>
      <c r="R333" s="626"/>
      <c r="S333" s="626"/>
      <c r="T333" s="626"/>
      <c r="U333" s="626"/>
      <c r="V333" s="626"/>
    </row>
    <row r="334" spans="1:22" ht="18.75" customHeight="1" thickTop="1" thickBot="1" x14ac:dyDescent="0.3">
      <c r="A334" s="635">
        <v>1</v>
      </c>
      <c r="B334" s="738" t="s">
        <v>1419</v>
      </c>
      <c r="C334" s="624"/>
      <c r="D334" s="624"/>
      <c r="E334" s="635"/>
      <c r="F334" s="624"/>
      <c r="G334" s="624"/>
      <c r="H334" s="624"/>
      <c r="I334" s="624"/>
      <c r="J334" s="753" t="s">
        <v>1546</v>
      </c>
      <c r="K334" s="626"/>
      <c r="L334" s="626"/>
      <c r="M334" s="626"/>
      <c r="N334" s="626"/>
      <c r="O334" s="626"/>
      <c r="P334" s="626"/>
      <c r="Q334" s="626"/>
      <c r="R334" s="626"/>
      <c r="S334" s="626"/>
      <c r="T334" s="626"/>
      <c r="U334" s="626"/>
      <c r="V334" s="626"/>
    </row>
    <row r="335" spans="1:22" ht="18.75" customHeight="1" thickTop="1" thickBot="1" x14ac:dyDescent="0.3">
      <c r="A335" s="635" t="s">
        <v>1374</v>
      </c>
      <c r="B335" s="737" t="s">
        <v>1444</v>
      </c>
      <c r="C335" s="624"/>
      <c r="D335" s="624"/>
      <c r="E335" s="635"/>
      <c r="F335" s="624"/>
      <c r="G335" s="624"/>
      <c r="H335" s="624"/>
      <c r="I335" s="624"/>
      <c r="J335" s="755" t="s">
        <v>1547</v>
      </c>
      <c r="K335" s="626"/>
      <c r="L335" s="626"/>
      <c r="M335" s="626"/>
      <c r="N335" s="626"/>
      <c r="O335" s="626"/>
      <c r="P335" s="626"/>
      <c r="Q335" s="626"/>
      <c r="R335" s="626"/>
      <c r="S335" s="626"/>
      <c r="T335" s="626"/>
      <c r="U335" s="626"/>
      <c r="V335" s="626"/>
    </row>
    <row r="336" spans="1:22" ht="18.75" customHeight="1" thickTop="1" thickBot="1" x14ac:dyDescent="0.3">
      <c r="A336" s="635" t="s">
        <v>1374</v>
      </c>
      <c r="B336" s="738" t="s">
        <v>1444</v>
      </c>
      <c r="C336" s="624" t="s">
        <v>1378</v>
      </c>
      <c r="D336" s="624"/>
      <c r="E336" s="635"/>
      <c r="F336" s="624"/>
      <c r="G336" s="624"/>
      <c r="H336" s="624"/>
      <c r="I336" s="624"/>
      <c r="J336" s="755" t="s">
        <v>1548</v>
      </c>
      <c r="K336" s="626"/>
      <c r="L336" s="626"/>
      <c r="M336" s="626"/>
      <c r="N336" s="626"/>
      <c r="O336" s="626"/>
      <c r="P336" s="626"/>
      <c r="Q336" s="626"/>
      <c r="R336" s="626"/>
      <c r="S336" s="626"/>
      <c r="T336" s="626"/>
      <c r="U336" s="626"/>
      <c r="V336" s="626"/>
    </row>
    <row r="337" spans="1:22" ht="18.75" customHeight="1" thickTop="1" thickBot="1" x14ac:dyDescent="0.3">
      <c r="A337" s="635" t="s">
        <v>1374</v>
      </c>
      <c r="B337" s="738" t="s">
        <v>1444</v>
      </c>
      <c r="C337" s="624" t="s">
        <v>1378</v>
      </c>
      <c r="D337" s="624" t="s">
        <v>1378</v>
      </c>
      <c r="E337" s="624"/>
      <c r="F337" s="624"/>
      <c r="G337" s="624"/>
      <c r="H337" s="624"/>
      <c r="I337" s="624"/>
      <c r="J337" s="754" t="s">
        <v>1960</v>
      </c>
      <c r="K337" s="626"/>
      <c r="L337" s="626"/>
      <c r="M337" s="626"/>
      <c r="N337" s="626"/>
      <c r="O337" s="626"/>
      <c r="P337" s="626"/>
      <c r="Q337" s="626"/>
      <c r="R337" s="626"/>
      <c r="S337" s="626"/>
      <c r="T337" s="626"/>
      <c r="U337" s="626"/>
      <c r="V337" s="626"/>
    </row>
    <row r="338" spans="1:22" ht="18.75" customHeight="1" thickTop="1" thickBot="1" x14ac:dyDescent="0.3">
      <c r="A338" s="635" t="s">
        <v>1374</v>
      </c>
      <c r="B338" s="738" t="s">
        <v>1444</v>
      </c>
      <c r="C338" s="624" t="s">
        <v>1378</v>
      </c>
      <c r="D338" s="624" t="s">
        <v>1391</v>
      </c>
      <c r="E338" s="624"/>
      <c r="F338" s="624"/>
      <c r="G338" s="624"/>
      <c r="H338" s="624"/>
      <c r="I338" s="624"/>
      <c r="J338" s="754" t="s">
        <v>1961</v>
      </c>
      <c r="K338" s="626"/>
      <c r="L338" s="626"/>
      <c r="M338" s="626"/>
      <c r="N338" s="626"/>
      <c r="O338" s="626"/>
      <c r="P338" s="626"/>
      <c r="Q338" s="626"/>
      <c r="R338" s="626"/>
      <c r="S338" s="626"/>
      <c r="T338" s="626"/>
      <c r="U338" s="626"/>
      <c r="V338" s="626"/>
    </row>
    <row r="339" spans="1:22" ht="18.75" customHeight="1" thickTop="1" thickBot="1" x14ac:dyDescent="0.3">
      <c r="A339" s="635" t="s">
        <v>1374</v>
      </c>
      <c r="B339" s="738" t="s">
        <v>1444</v>
      </c>
      <c r="C339" s="624" t="s">
        <v>1378</v>
      </c>
      <c r="D339" s="624" t="s">
        <v>1415</v>
      </c>
      <c r="E339" s="624"/>
      <c r="F339" s="624"/>
      <c r="G339" s="624"/>
      <c r="H339" s="624"/>
      <c r="I339" s="624"/>
      <c r="J339" s="754" t="s">
        <v>1962</v>
      </c>
      <c r="K339" s="626"/>
      <c r="L339" s="626"/>
      <c r="M339" s="626"/>
      <c r="N339" s="626"/>
      <c r="O339" s="626"/>
      <c r="P339" s="626"/>
      <c r="Q339" s="626"/>
      <c r="R339" s="626"/>
      <c r="S339" s="626"/>
      <c r="T339" s="626"/>
      <c r="U339" s="626"/>
      <c r="V339" s="626"/>
    </row>
    <row r="340" spans="1:22" ht="18.75" customHeight="1" thickTop="1" thickBot="1" x14ac:dyDescent="0.3">
      <c r="A340" s="635" t="s">
        <v>1374</v>
      </c>
      <c r="B340" s="738" t="s">
        <v>1444</v>
      </c>
      <c r="C340" s="624" t="s">
        <v>1391</v>
      </c>
      <c r="D340" s="624"/>
      <c r="E340" s="635"/>
      <c r="F340" s="624"/>
      <c r="G340" s="624"/>
      <c r="H340" s="624"/>
      <c r="I340" s="624"/>
      <c r="J340" s="756" t="s">
        <v>1549</v>
      </c>
      <c r="K340" s="626"/>
      <c r="L340" s="626"/>
      <c r="M340" s="626"/>
      <c r="N340" s="626"/>
      <c r="O340" s="626"/>
      <c r="P340" s="626"/>
      <c r="Q340" s="626"/>
      <c r="R340" s="626"/>
      <c r="S340" s="626"/>
      <c r="T340" s="626"/>
      <c r="U340" s="626"/>
      <c r="V340" s="626"/>
    </row>
    <row r="341" spans="1:22" ht="18.75" customHeight="1" thickTop="1" thickBot="1" x14ac:dyDescent="0.3">
      <c r="A341" s="635" t="s">
        <v>1374</v>
      </c>
      <c r="B341" s="738" t="s">
        <v>1444</v>
      </c>
      <c r="C341" s="624" t="s">
        <v>1415</v>
      </c>
      <c r="D341" s="624"/>
      <c r="E341" s="635"/>
      <c r="F341" s="624"/>
      <c r="G341" s="624"/>
      <c r="H341" s="624"/>
      <c r="I341" s="624"/>
      <c r="J341" s="756" t="s">
        <v>1550</v>
      </c>
      <c r="K341" s="626"/>
      <c r="L341" s="626"/>
      <c r="M341" s="626"/>
      <c r="N341" s="626"/>
      <c r="O341" s="626"/>
      <c r="P341" s="626"/>
      <c r="Q341" s="626"/>
      <c r="R341" s="626"/>
      <c r="S341" s="626"/>
      <c r="T341" s="626"/>
      <c r="U341" s="626"/>
      <c r="V341" s="626"/>
    </row>
    <row r="342" spans="1:22" ht="36" customHeight="1" thickTop="1" thickBot="1" x14ac:dyDescent="0.3">
      <c r="A342" s="635"/>
      <c r="B342" s="738"/>
    </row>
    <row r="343" spans="1:22" ht="36" customHeight="1" thickTop="1" x14ac:dyDescent="0.25"/>
  </sheetData>
  <mergeCells count="16">
    <mergeCell ref="U5:U6"/>
    <mergeCell ref="V5:V6"/>
    <mergeCell ref="W5:W6"/>
    <mergeCell ref="X5:X6"/>
    <mergeCell ref="A1:V1"/>
    <mergeCell ref="A2:V2"/>
    <mergeCell ref="A3:V3"/>
    <mergeCell ref="A4:V4"/>
    <mergeCell ref="A5:I5"/>
    <mergeCell ref="J5:J6"/>
    <mergeCell ref="K5:K6"/>
    <mergeCell ref="L5:M5"/>
    <mergeCell ref="N5:N6"/>
    <mergeCell ref="O5:R5"/>
    <mergeCell ref="S5:S6"/>
    <mergeCell ref="T5:T6"/>
  </mergeCells>
  <phoneticPr fontId="56" type="noConversion"/>
  <printOptions horizontalCentered="1" verticalCentered="1"/>
  <pageMargins left="0.78740157480314965" right="0.78740157480314965" top="0.98425196850393704" bottom="0.98425196850393704"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B19"/>
  <sheetViews>
    <sheetView workbookViewId="0">
      <selection activeCell="E8" sqref="E8"/>
    </sheetView>
  </sheetViews>
  <sheetFormatPr baseColWidth="10" defaultRowHeight="12.75" x14ac:dyDescent="0.25"/>
  <cols>
    <col min="1" max="1" width="34.140625" style="693" customWidth="1"/>
    <col min="2" max="2" width="70.5703125" style="693" customWidth="1"/>
    <col min="3" max="16384" width="11.42578125" style="693"/>
  </cols>
  <sheetData>
    <row r="1" spans="1:2" ht="13.5" thickBot="1" x14ac:dyDescent="0.3">
      <c r="A1" s="1711"/>
      <c r="B1" s="1711"/>
    </row>
    <row r="2" spans="1:2" ht="13.5" thickBot="1" x14ac:dyDescent="0.3">
      <c r="A2" s="1712" t="s">
        <v>1789</v>
      </c>
      <c r="B2" s="1713"/>
    </row>
    <row r="3" spans="1:2" ht="13.5" thickBot="1" x14ac:dyDescent="0.3">
      <c r="A3" s="1714" t="s">
        <v>1265</v>
      </c>
      <c r="B3" s="1715"/>
    </row>
    <row r="4" spans="1:2" ht="13.5" thickBot="1" x14ac:dyDescent="0.3">
      <c r="A4" s="694" t="s">
        <v>1790</v>
      </c>
      <c r="B4" s="694" t="s">
        <v>1267</v>
      </c>
    </row>
    <row r="5" spans="1:2" ht="26.25" thickBot="1" x14ac:dyDescent="0.3">
      <c r="A5" s="695" t="s">
        <v>1791</v>
      </c>
      <c r="B5" s="696" t="s">
        <v>1792</v>
      </c>
    </row>
    <row r="6" spans="1:2" ht="14.25" thickTop="1" thickBot="1" x14ac:dyDescent="0.3">
      <c r="A6" s="697" t="s">
        <v>1793</v>
      </c>
      <c r="B6" s="696" t="s">
        <v>1794</v>
      </c>
    </row>
    <row r="7" spans="1:2" ht="27" thickTop="1" thickBot="1" x14ac:dyDescent="0.3">
      <c r="A7" s="697" t="s">
        <v>1795</v>
      </c>
      <c r="B7" s="698" t="s">
        <v>1796</v>
      </c>
    </row>
    <row r="8" spans="1:2" ht="52.5" thickTop="1" thickBot="1" x14ac:dyDescent="0.3">
      <c r="A8" s="697" t="s">
        <v>1797</v>
      </c>
      <c r="B8" s="696" t="s">
        <v>1798</v>
      </c>
    </row>
    <row r="9" spans="1:2" ht="52.5" thickTop="1" thickBot="1" x14ac:dyDescent="0.3">
      <c r="A9" s="699" t="s">
        <v>1799</v>
      </c>
      <c r="B9" s="696" t="s">
        <v>1800</v>
      </c>
    </row>
    <row r="10" spans="1:2" ht="27" thickTop="1" thickBot="1" x14ac:dyDescent="0.3">
      <c r="A10" s="699" t="s">
        <v>1801</v>
      </c>
      <c r="B10" s="696" t="s">
        <v>1802</v>
      </c>
    </row>
    <row r="11" spans="1:2" ht="27" thickTop="1" thickBot="1" x14ac:dyDescent="0.3">
      <c r="A11" s="700" t="s">
        <v>1803</v>
      </c>
      <c r="B11" s="698" t="s">
        <v>1804</v>
      </c>
    </row>
    <row r="12" spans="1:2" ht="27" thickTop="1" thickBot="1" x14ac:dyDescent="0.3">
      <c r="A12" s="697" t="s">
        <v>1805</v>
      </c>
      <c r="B12" s="698" t="s">
        <v>1806</v>
      </c>
    </row>
    <row r="13" spans="1:2" ht="90.75" thickTop="1" thickBot="1" x14ac:dyDescent="0.3">
      <c r="A13" s="700" t="s">
        <v>1807</v>
      </c>
      <c r="B13" s="696" t="s">
        <v>1808</v>
      </c>
    </row>
    <row r="14" spans="1:2" ht="39.75" thickTop="1" thickBot="1" x14ac:dyDescent="0.3">
      <c r="A14" s="700" t="s">
        <v>1809</v>
      </c>
      <c r="B14" s="696" t="s">
        <v>1810</v>
      </c>
    </row>
    <row r="15" spans="1:2" ht="78" thickTop="1" thickBot="1" x14ac:dyDescent="0.3">
      <c r="A15" s="701" t="s">
        <v>1811</v>
      </c>
      <c r="B15" s="698" t="s">
        <v>1812</v>
      </c>
    </row>
    <row r="16" spans="1:2" ht="14.25" thickTop="1" thickBot="1" x14ac:dyDescent="0.3">
      <c r="A16" s="697" t="s">
        <v>1813</v>
      </c>
      <c r="B16" s="698" t="s">
        <v>1814</v>
      </c>
    </row>
    <row r="17" spans="1:2" ht="27" thickTop="1" thickBot="1" x14ac:dyDescent="0.3">
      <c r="A17" s="702" t="s">
        <v>1815</v>
      </c>
      <c r="B17" s="698" t="s">
        <v>1816</v>
      </c>
    </row>
    <row r="18" spans="1:2" ht="27" thickTop="1" thickBot="1" x14ac:dyDescent="0.3">
      <c r="A18" s="697" t="s">
        <v>1817</v>
      </c>
      <c r="B18" s="703" t="s">
        <v>1818</v>
      </c>
    </row>
    <row r="19" spans="1:2" ht="13.5" thickTop="1" x14ac:dyDescent="0.25"/>
  </sheetData>
  <mergeCells count="3">
    <mergeCell ref="A1:B1"/>
    <mergeCell ref="A2:B2"/>
    <mergeCell ref="A3:B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717"/>
  <sheetViews>
    <sheetView topLeftCell="K5" zoomScale="81" zoomScaleNormal="130" zoomScaleSheetLayoutView="100" workbookViewId="0">
      <pane xSplit="1" ySplit="2" topLeftCell="L7" activePane="bottomRight" state="frozen"/>
      <selection activeCell="K5" sqref="K5"/>
      <selection pane="topRight" activeCell="L5" sqref="L5"/>
      <selection pane="bottomLeft" activeCell="K8" sqref="K8"/>
      <selection pane="bottomRight" activeCell="S7" activeCellId="3" sqref="R23 P7 R7 S7"/>
    </sheetView>
  </sheetViews>
  <sheetFormatPr baseColWidth="10" defaultRowHeight="36" customHeight="1" x14ac:dyDescent="0.25"/>
  <cols>
    <col min="1" max="1" width="10" style="757" customWidth="1"/>
    <col min="2" max="2" width="14.7109375" style="757" customWidth="1"/>
    <col min="3" max="3" width="14.140625" style="757" customWidth="1"/>
    <col min="4" max="4" width="16.140625" style="757" customWidth="1"/>
    <col min="5" max="5" width="11.42578125" style="757"/>
    <col min="6" max="10" width="11.42578125" style="760"/>
    <col min="11" max="11" width="86.42578125" style="757" customWidth="1"/>
    <col min="12" max="12" width="18.7109375" style="757" customWidth="1"/>
    <col min="13" max="13" width="20" style="757" customWidth="1"/>
    <col min="14" max="14" width="17.28515625" style="757" customWidth="1"/>
    <col min="15" max="15" width="19.5703125" style="757" bestFit="1" customWidth="1"/>
    <col min="16" max="16" width="25.7109375" style="757" customWidth="1"/>
    <col min="17" max="19" width="18.85546875" style="757" customWidth="1"/>
    <col min="20" max="21" width="19.28515625" style="757" customWidth="1"/>
    <col min="22" max="22" width="19.5703125" style="757" bestFit="1" customWidth="1"/>
    <col min="23" max="23" width="16.85546875" style="757" bestFit="1" customWidth="1"/>
    <col min="24" max="24" width="26.85546875" style="757" customWidth="1"/>
    <col min="25" max="25" width="29.140625" style="757" customWidth="1"/>
    <col min="26" max="26" width="36.140625" style="757" customWidth="1"/>
    <col min="27" max="16384" width="11.42578125" style="757"/>
  </cols>
  <sheetData>
    <row r="1" spans="1:26" ht="109.5" customHeight="1" thickBot="1" x14ac:dyDescent="0.3">
      <c r="A1" s="1686"/>
      <c r="B1" s="1687"/>
      <c r="C1" s="1687"/>
      <c r="D1" s="1687"/>
      <c r="E1" s="1687"/>
      <c r="F1" s="1688"/>
      <c r="G1" s="1688"/>
      <c r="H1" s="1688"/>
      <c r="I1" s="1687"/>
      <c r="J1" s="1687"/>
      <c r="K1" s="1687"/>
      <c r="L1" s="1687"/>
      <c r="M1" s="1687"/>
      <c r="N1" s="1687"/>
      <c r="O1" s="1687"/>
      <c r="P1" s="1687"/>
      <c r="Q1" s="1687"/>
      <c r="R1" s="1687"/>
      <c r="S1" s="1687"/>
      <c r="T1" s="1687"/>
      <c r="U1" s="1687"/>
      <c r="V1" s="1687"/>
      <c r="W1" s="1687"/>
      <c r="X1" s="1689"/>
    </row>
    <row r="2" spans="1:26" ht="26.25" customHeight="1" x14ac:dyDescent="0.25">
      <c r="A2" s="1690" t="s">
        <v>1707</v>
      </c>
      <c r="B2" s="1691"/>
      <c r="C2" s="1691"/>
      <c r="D2" s="1691"/>
      <c r="E2" s="1691"/>
      <c r="F2" s="1716"/>
      <c r="G2" s="1716"/>
      <c r="H2" s="1716"/>
      <c r="I2" s="1691"/>
      <c r="J2" s="1691"/>
      <c r="K2" s="1691"/>
      <c r="L2" s="1691"/>
      <c r="M2" s="1691"/>
      <c r="N2" s="1691"/>
      <c r="O2" s="1691"/>
      <c r="P2" s="1691"/>
      <c r="Q2" s="1691"/>
      <c r="R2" s="1691"/>
      <c r="S2" s="1691"/>
      <c r="T2" s="1691"/>
      <c r="U2" s="1691"/>
      <c r="V2" s="1691"/>
      <c r="W2" s="1691"/>
      <c r="X2" s="1693"/>
    </row>
    <row r="3" spans="1:26" ht="26.25" customHeight="1" x14ac:dyDescent="0.25">
      <c r="A3" s="1694" t="s">
        <v>1348</v>
      </c>
      <c r="B3" s="1695"/>
      <c r="C3" s="1695"/>
      <c r="D3" s="1695"/>
      <c r="E3" s="1695"/>
      <c r="F3" s="1717"/>
      <c r="G3" s="1717"/>
      <c r="H3" s="1717"/>
      <c r="I3" s="1695"/>
      <c r="J3" s="1695"/>
      <c r="K3" s="1695"/>
      <c r="L3" s="1695"/>
      <c r="M3" s="1695"/>
      <c r="N3" s="1695"/>
      <c r="O3" s="1695"/>
      <c r="P3" s="1695"/>
      <c r="Q3" s="1695"/>
      <c r="R3" s="1695"/>
      <c r="S3" s="1695"/>
      <c r="T3" s="1695"/>
      <c r="U3" s="1695"/>
      <c r="V3" s="1695"/>
      <c r="W3" s="1695"/>
      <c r="X3" s="1697"/>
    </row>
    <row r="4" spans="1:26" ht="26.25" customHeight="1" thickBot="1" x14ac:dyDescent="0.3">
      <c r="A4" s="1698" t="s">
        <v>1293</v>
      </c>
      <c r="B4" s="1699"/>
      <c r="C4" s="1699"/>
      <c r="D4" s="1699"/>
      <c r="E4" s="1699"/>
      <c r="F4" s="1718"/>
      <c r="G4" s="1718"/>
      <c r="H4" s="1718"/>
      <c r="I4" s="1699"/>
      <c r="J4" s="1699"/>
      <c r="K4" s="1699"/>
      <c r="L4" s="1699"/>
      <c r="M4" s="1699"/>
      <c r="N4" s="1699"/>
      <c r="O4" s="1699"/>
      <c r="P4" s="1699"/>
      <c r="Q4" s="1699"/>
      <c r="R4" s="1699"/>
      <c r="S4" s="1699"/>
      <c r="T4" s="1699"/>
      <c r="U4" s="1699"/>
      <c r="V4" s="1699"/>
      <c r="W4" s="1699"/>
      <c r="X4" s="1701"/>
    </row>
    <row r="5" spans="1:26" ht="36" customHeight="1" thickBot="1" x14ac:dyDescent="0.3">
      <c r="A5" s="1702" t="s">
        <v>1349</v>
      </c>
      <c r="B5" s="1703"/>
      <c r="C5" s="1703"/>
      <c r="D5" s="1703"/>
      <c r="E5" s="1703"/>
      <c r="F5" s="1703"/>
      <c r="G5" s="1703"/>
      <c r="H5" s="1703"/>
      <c r="I5" s="1704"/>
      <c r="J5" s="1239"/>
      <c r="K5" s="1682" t="s">
        <v>1350</v>
      </c>
      <c r="L5" s="1682" t="s">
        <v>1351</v>
      </c>
      <c r="M5" s="1705" t="s">
        <v>1352</v>
      </c>
      <c r="N5" s="1705"/>
      <c r="O5" s="1682" t="s">
        <v>1353</v>
      </c>
      <c r="P5" s="1719" t="s">
        <v>1354</v>
      </c>
      <c r="Q5" s="1720"/>
      <c r="R5" s="1720"/>
      <c r="S5" s="1720"/>
      <c r="T5" s="1721"/>
      <c r="U5" s="1240"/>
    </row>
    <row r="6" spans="1:26" s="593" customFormat="1" ht="36" customHeight="1" thickTop="1" thickBot="1" x14ac:dyDescent="0.3">
      <c r="A6" s="587" t="s">
        <v>1361</v>
      </c>
      <c r="B6" s="587" t="s">
        <v>1294</v>
      </c>
      <c r="C6" s="588" t="s">
        <v>1362</v>
      </c>
      <c r="D6" s="587" t="s">
        <v>1298</v>
      </c>
      <c r="E6" s="587" t="s">
        <v>1363</v>
      </c>
      <c r="F6" s="587" t="s">
        <v>1364</v>
      </c>
      <c r="G6" s="587" t="s">
        <v>1365</v>
      </c>
      <c r="H6" s="587" t="s">
        <v>1366</v>
      </c>
      <c r="I6" s="759" t="s">
        <v>1367</v>
      </c>
      <c r="J6" s="759"/>
      <c r="K6" s="1683"/>
      <c r="L6" s="1683"/>
      <c r="M6" s="1238" t="s">
        <v>1368</v>
      </c>
      <c r="N6" s="591" t="s">
        <v>1369</v>
      </c>
      <c r="O6" s="1683"/>
      <c r="P6" s="592" t="s">
        <v>1370</v>
      </c>
      <c r="Q6" s="1238" t="s">
        <v>1371</v>
      </c>
      <c r="R6" s="592" t="s">
        <v>1372</v>
      </c>
      <c r="S6" s="1272" t="s">
        <v>3303</v>
      </c>
      <c r="T6" s="592" t="s">
        <v>1373</v>
      </c>
      <c r="U6" s="1240" t="s">
        <v>1355</v>
      </c>
      <c r="V6" s="1273" t="s">
        <v>1356</v>
      </c>
      <c r="W6" s="1273" t="s">
        <v>1357</v>
      </c>
      <c r="X6" s="1273" t="s">
        <v>1358</v>
      </c>
      <c r="Y6" s="1273" t="s">
        <v>1359</v>
      </c>
      <c r="Z6" s="1241" t="s">
        <v>1360</v>
      </c>
    </row>
    <row r="7" spans="1:26" s="183" customFormat="1" ht="22.5" customHeight="1" thickTop="1" thickBot="1" x14ac:dyDescent="0.3">
      <c r="A7" s="1274" t="s">
        <v>1374</v>
      </c>
      <c r="B7" s="1274"/>
      <c r="C7" s="1274"/>
      <c r="D7" s="1274"/>
      <c r="E7" s="1274"/>
      <c r="F7" s="1274"/>
      <c r="G7" s="1274"/>
      <c r="H7" s="1274"/>
      <c r="I7" s="1275"/>
      <c r="J7" s="1275"/>
      <c r="K7" s="597" t="s">
        <v>1375</v>
      </c>
      <c r="L7" s="1164">
        <f>+L8+L697+L703+L709+L710</f>
        <v>55191323750.169998</v>
      </c>
      <c r="M7" s="1164">
        <f>+M8+M697+M703+M709+M710</f>
        <v>10405716036</v>
      </c>
      <c r="N7" s="1164">
        <f>+N8+N697+N703+N709+N710</f>
        <v>0</v>
      </c>
      <c r="O7" s="1165">
        <f>L7+M7-N7</f>
        <v>65597039786.169998</v>
      </c>
      <c r="P7" s="1164">
        <f t="shared" ref="P7:V7" si="0">+P8+P697+P703+P709+P710</f>
        <v>9796877820</v>
      </c>
      <c r="Q7" s="1164">
        <f t="shared" si="0"/>
        <v>53609581266.169998</v>
      </c>
      <c r="R7" s="1164">
        <f t="shared" si="0"/>
        <v>1570377600</v>
      </c>
      <c r="S7" s="1164">
        <f t="shared" si="0"/>
        <v>620203100</v>
      </c>
      <c r="T7" s="1164">
        <f t="shared" si="0"/>
        <v>0</v>
      </c>
      <c r="U7" s="1164">
        <f t="shared" si="0"/>
        <v>73497835131.399994</v>
      </c>
      <c r="V7" s="1164">
        <f t="shared" si="0"/>
        <v>65178344251.610001</v>
      </c>
      <c r="W7" s="1431">
        <f>V7/U7</f>
        <v>0.88680631388779896</v>
      </c>
      <c r="X7" s="1432" t="s">
        <v>1978</v>
      </c>
      <c r="Y7" s="765"/>
    </row>
    <row r="8" spans="1:26" s="183" customFormat="1" ht="22.5" customHeight="1" thickTop="1" thickBot="1" x14ac:dyDescent="0.3">
      <c r="A8" s="1274" t="s">
        <v>1374</v>
      </c>
      <c r="B8" s="1274" t="s">
        <v>1378</v>
      </c>
      <c r="C8" s="1274"/>
      <c r="D8" s="1274"/>
      <c r="E8" s="1274"/>
      <c r="F8" s="1274"/>
      <c r="G8" s="1274"/>
      <c r="H8" s="1274"/>
      <c r="I8" s="1275"/>
      <c r="J8" s="1275"/>
      <c r="K8" s="597" t="s">
        <v>1950</v>
      </c>
      <c r="L8" s="1164">
        <f>+L9+L319</f>
        <v>15124566000</v>
      </c>
      <c r="M8" s="1164">
        <f>+M9+M319</f>
        <v>5106292000</v>
      </c>
      <c r="N8" s="1164">
        <f>+N9+N319</f>
        <v>0</v>
      </c>
      <c r="O8" s="1165">
        <f t="shared" ref="O8:O71" si="1">L8+M8-N8</f>
        <v>20230858000</v>
      </c>
      <c r="P8" s="1164">
        <f t="shared" ref="P8:V8" si="2">+P9+P319</f>
        <v>5272636100</v>
      </c>
      <c r="Q8" s="1164">
        <f t="shared" si="2"/>
        <v>12767641200</v>
      </c>
      <c r="R8" s="1164">
        <f t="shared" si="2"/>
        <v>1570377600</v>
      </c>
      <c r="S8" s="1164">
        <f t="shared" si="2"/>
        <v>620203100</v>
      </c>
      <c r="T8" s="1164">
        <f t="shared" si="2"/>
        <v>0</v>
      </c>
      <c r="U8" s="1164">
        <f t="shared" si="2"/>
        <v>28137728865.399998</v>
      </c>
      <c r="V8" s="1164">
        <f t="shared" si="2"/>
        <v>19818245985.610001</v>
      </c>
      <c r="W8" s="1431">
        <f t="shared" ref="W8:W71" si="3">V8/U8</f>
        <v>0.70432997916828388</v>
      </c>
      <c r="X8" s="1432"/>
      <c r="Y8" s="765"/>
    </row>
    <row r="9" spans="1:26" s="183" customFormat="1" ht="22.5" customHeight="1" thickTop="1" thickBot="1" x14ac:dyDescent="0.3">
      <c r="A9" s="1276">
        <v>1</v>
      </c>
      <c r="B9" s="1277" t="s">
        <v>1378</v>
      </c>
      <c r="C9" s="1277" t="s">
        <v>1378</v>
      </c>
      <c r="D9" s="1277"/>
      <c r="E9" s="1277"/>
      <c r="F9" s="1277"/>
      <c r="G9" s="1277"/>
      <c r="H9" s="1277"/>
      <c r="I9" s="1277"/>
      <c r="J9" s="1277"/>
      <c r="K9" s="1278" t="s">
        <v>1379</v>
      </c>
      <c r="L9" s="1166">
        <f>+L10+L37</f>
        <v>15124566000</v>
      </c>
      <c r="M9" s="1166">
        <f t="shared" ref="M9:V9" si="4">+M10+M37</f>
        <v>4106292000</v>
      </c>
      <c r="N9" s="1166">
        <f t="shared" si="4"/>
        <v>0</v>
      </c>
      <c r="O9" s="1165">
        <f t="shared" si="1"/>
        <v>19230858000</v>
      </c>
      <c r="P9" s="1166">
        <f t="shared" si="4"/>
        <v>5272636100</v>
      </c>
      <c r="Q9" s="1166">
        <f t="shared" si="4"/>
        <v>11767641200</v>
      </c>
      <c r="R9" s="1166">
        <f t="shared" si="4"/>
        <v>1570377600</v>
      </c>
      <c r="S9" s="1166">
        <f t="shared" si="4"/>
        <v>620203100</v>
      </c>
      <c r="T9" s="1166">
        <f t="shared" si="4"/>
        <v>0</v>
      </c>
      <c r="U9" s="1166">
        <f t="shared" si="4"/>
        <v>27137728865.399998</v>
      </c>
      <c r="V9" s="1166">
        <f t="shared" si="4"/>
        <v>18818245985.610001</v>
      </c>
      <c r="W9" s="1433">
        <f t="shared" si="3"/>
        <v>0.69343481464297652</v>
      </c>
      <c r="X9" s="1432" t="s">
        <v>1380</v>
      </c>
      <c r="Y9" s="765" t="s">
        <v>1977</v>
      </c>
    </row>
    <row r="10" spans="1:26" s="183" customFormat="1" ht="22.5" customHeight="1" thickTop="1" thickBot="1" x14ac:dyDescent="0.3">
      <c r="A10" s="1279">
        <v>1</v>
      </c>
      <c r="B10" s="1280" t="s">
        <v>1378</v>
      </c>
      <c r="C10" s="1280" t="s">
        <v>1378</v>
      </c>
      <c r="D10" s="1280" t="s">
        <v>1378</v>
      </c>
      <c r="E10" s="1280"/>
      <c r="F10" s="1280"/>
      <c r="G10" s="1280"/>
      <c r="H10" s="1280"/>
      <c r="I10" s="1280"/>
      <c r="J10" s="1280"/>
      <c r="K10" s="1281" t="s">
        <v>1381</v>
      </c>
      <c r="L10" s="1167">
        <f>+L11</f>
        <v>4469841000</v>
      </c>
      <c r="M10" s="1167">
        <f t="shared" ref="M10:V11" si="5">+M11</f>
        <v>892328000</v>
      </c>
      <c r="N10" s="1167">
        <f t="shared" si="5"/>
        <v>0</v>
      </c>
      <c r="O10" s="1165">
        <f t="shared" si="1"/>
        <v>5362169000</v>
      </c>
      <c r="P10" s="1167">
        <f t="shared" si="5"/>
        <v>2480958500</v>
      </c>
      <c r="Q10" s="1167">
        <f t="shared" si="5"/>
        <v>2892210500</v>
      </c>
      <c r="R10" s="1167">
        <f t="shared" si="5"/>
        <v>0</v>
      </c>
      <c r="S10" s="1167"/>
      <c r="T10" s="1167">
        <f t="shared" si="5"/>
        <v>0</v>
      </c>
      <c r="U10" s="1167">
        <f t="shared" si="5"/>
        <v>6006623904</v>
      </c>
      <c r="V10" s="1167">
        <f t="shared" si="5"/>
        <v>6006623904</v>
      </c>
      <c r="W10" s="1434">
        <f t="shared" si="3"/>
        <v>1</v>
      </c>
      <c r="X10" s="1432" t="s">
        <v>1382</v>
      </c>
      <c r="Y10" s="765" t="s">
        <v>1383</v>
      </c>
    </row>
    <row r="11" spans="1:26" s="183" customFormat="1" ht="22.5" customHeight="1" thickTop="1" thickBot="1" x14ac:dyDescent="0.3">
      <c r="A11" s="1282" t="s">
        <v>1374</v>
      </c>
      <c r="B11" s="1283" t="s">
        <v>1378</v>
      </c>
      <c r="C11" s="1283" t="s">
        <v>1378</v>
      </c>
      <c r="D11" s="1283" t="s">
        <v>1378</v>
      </c>
      <c r="E11" s="1283" t="s">
        <v>1378</v>
      </c>
      <c r="F11" s="1283"/>
      <c r="G11" s="1283"/>
      <c r="H11" s="1283"/>
      <c r="I11" s="1283"/>
      <c r="J11" s="1283"/>
      <c r="K11" s="1284" t="s">
        <v>1384</v>
      </c>
      <c r="L11" s="1168">
        <f>+L12</f>
        <v>4469841000</v>
      </c>
      <c r="M11" s="1168">
        <f t="shared" si="5"/>
        <v>892328000</v>
      </c>
      <c r="N11" s="1168">
        <f t="shared" si="5"/>
        <v>0</v>
      </c>
      <c r="O11" s="1165">
        <f t="shared" si="1"/>
        <v>5362169000</v>
      </c>
      <c r="P11" s="1168">
        <f t="shared" si="5"/>
        <v>2480958500</v>
      </c>
      <c r="Q11" s="1168">
        <f t="shared" si="5"/>
        <v>2892210500</v>
      </c>
      <c r="R11" s="1168">
        <f t="shared" si="5"/>
        <v>0</v>
      </c>
      <c r="S11" s="1168"/>
      <c r="T11" s="1168">
        <f t="shared" si="5"/>
        <v>0</v>
      </c>
      <c r="U11" s="1168">
        <f t="shared" si="5"/>
        <v>6006623904</v>
      </c>
      <c r="V11" s="1168">
        <f t="shared" si="5"/>
        <v>6006623904</v>
      </c>
      <c r="W11" s="1435">
        <f t="shared" si="3"/>
        <v>1</v>
      </c>
      <c r="X11" s="1432" t="s">
        <v>1385</v>
      </c>
      <c r="Y11" s="765" t="s">
        <v>1386</v>
      </c>
    </row>
    <row r="12" spans="1:26" s="183" customFormat="1" ht="22.5" customHeight="1" thickTop="1" thickBot="1" x14ac:dyDescent="0.3">
      <c r="A12" s="1285">
        <v>1</v>
      </c>
      <c r="B12" s="1286" t="s">
        <v>1378</v>
      </c>
      <c r="C12" s="1286" t="s">
        <v>1378</v>
      </c>
      <c r="D12" s="1286" t="s">
        <v>1378</v>
      </c>
      <c r="E12" s="1286" t="s">
        <v>1378</v>
      </c>
      <c r="F12" s="1286" t="s">
        <v>1378</v>
      </c>
      <c r="G12" s="1286"/>
      <c r="H12" s="1286"/>
      <c r="I12" s="1286"/>
      <c r="J12" s="1286"/>
      <c r="K12" s="753" t="s">
        <v>1963</v>
      </c>
      <c r="L12" s="1165">
        <f>+L13+L25</f>
        <v>4469841000</v>
      </c>
      <c r="M12" s="1165">
        <f t="shared" ref="M12:V12" si="6">+M13+M25</f>
        <v>892328000</v>
      </c>
      <c r="N12" s="1165">
        <f t="shared" si="6"/>
        <v>0</v>
      </c>
      <c r="O12" s="1165">
        <f t="shared" si="1"/>
        <v>5362169000</v>
      </c>
      <c r="P12" s="1165">
        <f t="shared" si="6"/>
        <v>2480958500</v>
      </c>
      <c r="Q12" s="1165">
        <f t="shared" si="6"/>
        <v>2892210500</v>
      </c>
      <c r="R12" s="1165">
        <f t="shared" si="6"/>
        <v>0</v>
      </c>
      <c r="S12" s="1165"/>
      <c r="T12" s="1165">
        <f t="shared" si="6"/>
        <v>0</v>
      </c>
      <c r="U12" s="1165">
        <f t="shared" si="6"/>
        <v>6006623904</v>
      </c>
      <c r="V12" s="1165">
        <f t="shared" si="6"/>
        <v>6006623904</v>
      </c>
      <c r="W12" s="1436">
        <f t="shared" si="3"/>
        <v>1</v>
      </c>
      <c r="X12" s="1432" t="s">
        <v>1973</v>
      </c>
      <c r="Y12" s="765" t="s">
        <v>1974</v>
      </c>
    </row>
    <row r="13" spans="1:26" ht="22.5" customHeight="1" thickTop="1" thickBot="1" x14ac:dyDescent="0.3">
      <c r="A13" s="1287">
        <v>1</v>
      </c>
      <c r="B13" s="1288" t="s">
        <v>1378</v>
      </c>
      <c r="C13" s="1288" t="s">
        <v>1378</v>
      </c>
      <c r="D13" s="1288" t="s">
        <v>1378</v>
      </c>
      <c r="E13" s="1288" t="s">
        <v>1378</v>
      </c>
      <c r="F13" s="1288" t="s">
        <v>1378</v>
      </c>
      <c r="G13" s="1289">
        <v>1</v>
      </c>
      <c r="H13" s="1288"/>
      <c r="I13" s="1288"/>
      <c r="J13" s="1288"/>
      <c r="K13" s="753" t="s">
        <v>1964</v>
      </c>
      <c r="L13" s="1165">
        <f>SUM(L14:L24)</f>
        <v>4469841000</v>
      </c>
      <c r="M13" s="1165">
        <f>SUM(M14:M24)</f>
        <v>892328000</v>
      </c>
      <c r="N13" s="1165">
        <f t="shared" ref="N13:V13" si="7">SUM(N14:N24)</f>
        <v>0</v>
      </c>
      <c r="O13" s="1165">
        <f t="shared" si="1"/>
        <v>5362169000</v>
      </c>
      <c r="P13" s="1437">
        <v>2480958500</v>
      </c>
      <c r="Q13" s="1437">
        <v>2892210500</v>
      </c>
      <c r="R13" s="1165">
        <f t="shared" si="7"/>
        <v>0</v>
      </c>
      <c r="S13" s="1165"/>
      <c r="T13" s="1165"/>
      <c r="U13" s="1165">
        <f t="shared" ref="U13" si="8">SUM(U14:U24)</f>
        <v>6006623904</v>
      </c>
      <c r="V13" s="1165">
        <f t="shared" si="7"/>
        <v>6006623904</v>
      </c>
      <c r="W13" s="1436">
        <f t="shared" si="3"/>
        <v>1</v>
      </c>
      <c r="X13" s="1432" t="s">
        <v>1975</v>
      </c>
      <c r="Y13" s="765" t="s">
        <v>1974</v>
      </c>
    </row>
    <row r="14" spans="1:26" ht="22.5" customHeight="1" thickTop="1" thickBot="1" x14ac:dyDescent="0.3">
      <c r="A14" s="1287"/>
      <c r="B14" s="1288"/>
      <c r="C14" s="1288" t="s">
        <v>1378</v>
      </c>
      <c r="D14" s="1288" t="s">
        <v>1378</v>
      </c>
      <c r="E14" s="1288" t="s">
        <v>1378</v>
      </c>
      <c r="F14" s="1288" t="s">
        <v>1378</v>
      </c>
      <c r="G14" s="1289">
        <v>1</v>
      </c>
      <c r="H14" s="1288" t="s">
        <v>1378</v>
      </c>
      <c r="I14" s="1288"/>
      <c r="J14" s="1288"/>
      <c r="K14" s="754" t="s">
        <v>2072</v>
      </c>
      <c r="L14" s="1170"/>
      <c r="M14" s="1170"/>
      <c r="N14" s="1170"/>
      <c r="O14" s="1165">
        <f t="shared" si="1"/>
        <v>0</v>
      </c>
      <c r="P14" s="1170"/>
      <c r="Q14" s="1170"/>
      <c r="R14" s="1170"/>
      <c r="S14" s="1170"/>
      <c r="T14" s="1170"/>
      <c r="U14" s="1170"/>
      <c r="V14" s="1170"/>
      <c r="W14" s="1438" t="e">
        <f t="shared" si="3"/>
        <v>#DIV/0!</v>
      </c>
      <c r="X14" s="1432"/>
      <c r="Y14" s="765"/>
    </row>
    <row r="15" spans="1:26" ht="22.5" customHeight="1" thickTop="1" thickBot="1" x14ac:dyDescent="0.3">
      <c r="A15" s="1287"/>
      <c r="B15" s="1288"/>
      <c r="C15" s="1288" t="s">
        <v>1378</v>
      </c>
      <c r="D15" s="1288" t="s">
        <v>1378</v>
      </c>
      <c r="E15" s="1288" t="s">
        <v>1378</v>
      </c>
      <c r="F15" s="1288" t="s">
        <v>1378</v>
      </c>
      <c r="G15" s="1289">
        <v>1</v>
      </c>
      <c r="H15" s="1288" t="s">
        <v>1391</v>
      </c>
      <c r="I15" s="1288"/>
      <c r="J15" s="1288"/>
      <c r="K15" s="754" t="s">
        <v>2098</v>
      </c>
      <c r="L15" s="1170">
        <v>4461841000</v>
      </c>
      <c r="M15" s="1170"/>
      <c r="N15" s="1170"/>
      <c r="O15" s="1165">
        <f t="shared" si="1"/>
        <v>4461841000</v>
      </c>
      <c r="P15" s="1170"/>
      <c r="Q15" s="1170"/>
      <c r="R15" s="1170"/>
      <c r="S15" s="1170"/>
      <c r="T15" s="1170"/>
      <c r="U15" s="1170">
        <v>5111881755</v>
      </c>
      <c r="V15" s="1170">
        <v>5111881755</v>
      </c>
      <c r="W15" s="1438">
        <f t="shared" si="3"/>
        <v>1</v>
      </c>
      <c r="X15" s="1432"/>
      <c r="Y15" s="765"/>
    </row>
    <row r="16" spans="1:26" ht="22.5" customHeight="1" thickTop="1" thickBot="1" x14ac:dyDescent="0.3">
      <c r="A16" s="1287"/>
      <c r="B16" s="1288"/>
      <c r="C16" s="1288" t="s">
        <v>1378</v>
      </c>
      <c r="D16" s="1288" t="s">
        <v>1378</v>
      </c>
      <c r="E16" s="1288" t="s">
        <v>1378</v>
      </c>
      <c r="F16" s="1288" t="s">
        <v>1378</v>
      </c>
      <c r="G16" s="1289">
        <v>1</v>
      </c>
      <c r="H16" s="1288" t="s">
        <v>1415</v>
      </c>
      <c r="I16" s="1288"/>
      <c r="J16" s="1288"/>
      <c r="K16" s="754" t="s">
        <v>2069</v>
      </c>
      <c r="L16" s="1170">
        <v>8000000</v>
      </c>
      <c r="M16" s="1170"/>
      <c r="N16" s="1170"/>
      <c r="O16" s="1165">
        <f t="shared" si="1"/>
        <v>8000000</v>
      </c>
      <c r="P16" s="1170"/>
      <c r="Q16" s="1170"/>
      <c r="R16" s="1170"/>
      <c r="S16" s="1170"/>
      <c r="T16" s="1170"/>
      <c r="U16" s="1170">
        <v>2414149</v>
      </c>
      <c r="V16" s="1170">
        <v>2414149</v>
      </c>
      <c r="W16" s="1438">
        <f t="shared" si="3"/>
        <v>1</v>
      </c>
      <c r="X16" s="1432"/>
      <c r="Y16" s="765"/>
    </row>
    <row r="17" spans="1:25" ht="22.5" customHeight="1" thickTop="1" thickBot="1" x14ac:dyDescent="0.3">
      <c r="A17" s="1287"/>
      <c r="B17" s="1288"/>
      <c r="C17" s="1288" t="s">
        <v>1378</v>
      </c>
      <c r="D17" s="1288" t="s">
        <v>1378</v>
      </c>
      <c r="E17" s="1288" t="s">
        <v>1378</v>
      </c>
      <c r="F17" s="1288" t="s">
        <v>1378</v>
      </c>
      <c r="G17" s="1289">
        <v>1</v>
      </c>
      <c r="H17" s="1288" t="s">
        <v>1419</v>
      </c>
      <c r="I17" s="1288"/>
      <c r="J17" s="1288"/>
      <c r="K17" s="754" t="s">
        <v>2070</v>
      </c>
      <c r="L17" s="1170"/>
      <c r="M17" s="1170"/>
      <c r="N17" s="1170"/>
      <c r="O17" s="1165">
        <f t="shared" si="1"/>
        <v>0</v>
      </c>
      <c r="P17" s="1170"/>
      <c r="Q17" s="1170"/>
      <c r="R17" s="1170"/>
      <c r="S17" s="1170"/>
      <c r="T17" s="1170"/>
      <c r="U17" s="1170"/>
      <c r="V17" s="1170"/>
      <c r="W17" s="1438" t="e">
        <f t="shared" si="3"/>
        <v>#DIV/0!</v>
      </c>
      <c r="X17" s="1432"/>
      <c r="Y17" s="765"/>
    </row>
    <row r="18" spans="1:25" ht="22.5" customHeight="1" thickTop="1" thickBot="1" x14ac:dyDescent="0.3">
      <c r="A18" s="1287"/>
      <c r="B18" s="1288"/>
      <c r="C18" s="1288" t="s">
        <v>1378</v>
      </c>
      <c r="D18" s="1288" t="s">
        <v>1378</v>
      </c>
      <c r="E18" s="1288" t="s">
        <v>1378</v>
      </c>
      <c r="F18" s="1288" t="s">
        <v>1378</v>
      </c>
      <c r="G18" s="1289">
        <v>1</v>
      </c>
      <c r="H18" s="1288" t="s">
        <v>1444</v>
      </c>
      <c r="I18" s="1288"/>
      <c r="J18" s="1288"/>
      <c r="K18" s="754" t="s">
        <v>2071</v>
      </c>
      <c r="L18" s="1170"/>
      <c r="M18" s="1170"/>
      <c r="N18" s="1170"/>
      <c r="O18" s="1165">
        <f t="shared" si="1"/>
        <v>0</v>
      </c>
      <c r="P18" s="1170"/>
      <c r="Q18" s="1170"/>
      <c r="R18" s="1170"/>
      <c r="S18" s="1170"/>
      <c r="T18" s="1170"/>
      <c r="U18" s="1170"/>
      <c r="V18" s="1170"/>
      <c r="W18" s="1438" t="e">
        <f t="shared" si="3"/>
        <v>#DIV/0!</v>
      </c>
      <c r="X18" s="1432"/>
      <c r="Y18" s="765"/>
    </row>
    <row r="19" spans="1:25" ht="22.5" customHeight="1" thickTop="1" thickBot="1" x14ac:dyDescent="0.3">
      <c r="A19" s="1287"/>
      <c r="B19" s="1288"/>
      <c r="C19" s="1288" t="s">
        <v>1378</v>
      </c>
      <c r="D19" s="1288" t="s">
        <v>1378</v>
      </c>
      <c r="E19" s="1288" t="s">
        <v>1378</v>
      </c>
      <c r="F19" s="1288" t="s">
        <v>1378</v>
      </c>
      <c r="G19" s="1289">
        <v>1</v>
      </c>
      <c r="H19" s="1288" t="s">
        <v>1467</v>
      </c>
      <c r="I19" s="1288"/>
      <c r="J19" s="1288"/>
      <c r="K19" s="754" t="s">
        <v>2075</v>
      </c>
      <c r="L19" s="1170"/>
      <c r="M19" s="1170"/>
      <c r="N19" s="1170"/>
      <c r="O19" s="1165">
        <f t="shared" si="1"/>
        <v>0</v>
      </c>
      <c r="P19" s="1170"/>
      <c r="Q19" s="1170"/>
      <c r="R19" s="1170"/>
      <c r="S19" s="1170"/>
      <c r="T19" s="1170"/>
      <c r="U19" s="1170"/>
      <c r="V19" s="1170"/>
      <c r="W19" s="1438" t="e">
        <f t="shared" si="3"/>
        <v>#DIV/0!</v>
      </c>
      <c r="X19" s="1432"/>
      <c r="Y19" s="765"/>
    </row>
    <row r="20" spans="1:25" ht="22.5" customHeight="1" thickTop="1" thickBot="1" x14ac:dyDescent="0.3">
      <c r="A20" s="1287"/>
      <c r="B20" s="1288"/>
      <c r="C20" s="1288" t="s">
        <v>1378</v>
      </c>
      <c r="D20" s="1288" t="s">
        <v>1378</v>
      </c>
      <c r="E20" s="1288" t="s">
        <v>1378</v>
      </c>
      <c r="F20" s="1288" t="s">
        <v>1378</v>
      </c>
      <c r="G20" s="1289">
        <v>1</v>
      </c>
      <c r="H20" s="1288" t="s">
        <v>1471</v>
      </c>
      <c r="I20" s="1288"/>
      <c r="J20" s="1288"/>
      <c r="K20" s="754" t="s">
        <v>2073</v>
      </c>
      <c r="L20" s="1170"/>
      <c r="M20" s="1170"/>
      <c r="N20" s="1170"/>
      <c r="O20" s="1165">
        <f t="shared" si="1"/>
        <v>0</v>
      </c>
      <c r="P20" s="1170"/>
      <c r="Q20" s="1170"/>
      <c r="R20" s="1170"/>
      <c r="S20" s="1170"/>
      <c r="T20" s="1170"/>
      <c r="U20" s="1170"/>
      <c r="V20" s="1170"/>
      <c r="W20" s="1438" t="e">
        <f t="shared" si="3"/>
        <v>#DIV/0!</v>
      </c>
      <c r="X20" s="1432"/>
      <c r="Y20" s="765"/>
    </row>
    <row r="21" spans="1:25" ht="22.5" customHeight="1" thickTop="1" thickBot="1" x14ac:dyDescent="0.3">
      <c r="A21" s="1287"/>
      <c r="B21" s="1288"/>
      <c r="C21" s="1288" t="s">
        <v>1378</v>
      </c>
      <c r="D21" s="1288" t="s">
        <v>1378</v>
      </c>
      <c r="E21" s="1288" t="s">
        <v>1378</v>
      </c>
      <c r="F21" s="1288" t="s">
        <v>1378</v>
      </c>
      <c r="G21" s="1289">
        <v>1</v>
      </c>
      <c r="H21" s="1288" t="s">
        <v>1475</v>
      </c>
      <c r="I21" s="1288"/>
      <c r="J21" s="1288"/>
      <c r="K21" s="754" t="s">
        <v>2074</v>
      </c>
      <c r="L21" s="1170"/>
      <c r="M21" s="1170">
        <v>892328000</v>
      </c>
      <c r="N21" s="1170"/>
      <c r="O21" s="1165">
        <f t="shared" si="1"/>
        <v>892328000</v>
      </c>
      <c r="P21" s="1170"/>
      <c r="Q21" s="1170"/>
      <c r="R21" s="1170"/>
      <c r="S21" s="1170"/>
      <c r="T21" s="1170"/>
      <c r="U21" s="1173">
        <v>892328000</v>
      </c>
      <c r="V21" s="1173">
        <v>892328000</v>
      </c>
      <c r="W21" s="1439">
        <f t="shared" si="3"/>
        <v>1</v>
      </c>
      <c r="X21" s="1432"/>
      <c r="Y21" s="765"/>
    </row>
    <row r="22" spans="1:25" ht="22.5" customHeight="1" thickTop="1" thickBot="1" x14ac:dyDescent="0.3">
      <c r="A22" s="1287"/>
      <c r="B22" s="1288"/>
      <c r="C22" s="1288" t="s">
        <v>1378</v>
      </c>
      <c r="D22" s="1288" t="s">
        <v>1378</v>
      </c>
      <c r="E22" s="1288" t="s">
        <v>1378</v>
      </c>
      <c r="F22" s="1288" t="s">
        <v>1378</v>
      </c>
      <c r="G22" s="1289">
        <v>1</v>
      </c>
      <c r="H22" s="1288" t="s">
        <v>1573</v>
      </c>
      <c r="I22" s="1288"/>
      <c r="J22" s="1288"/>
      <c r="K22" s="754" t="s">
        <v>2076</v>
      </c>
      <c r="L22" s="1170"/>
      <c r="M22" s="1170"/>
      <c r="N22" s="1170"/>
      <c r="O22" s="1165">
        <f t="shared" si="1"/>
        <v>0</v>
      </c>
      <c r="P22" s="1170"/>
      <c r="Q22" s="1170"/>
      <c r="R22" s="1170"/>
      <c r="S22" s="1170"/>
      <c r="T22" s="1170"/>
      <c r="U22" s="1170"/>
      <c r="V22" s="1170"/>
      <c r="W22" s="1438" t="e">
        <f t="shared" si="3"/>
        <v>#DIV/0!</v>
      </c>
      <c r="X22" s="1432"/>
      <c r="Y22" s="765"/>
    </row>
    <row r="23" spans="1:25" ht="22.5" customHeight="1" thickTop="1" thickBot="1" x14ac:dyDescent="0.3">
      <c r="A23" s="1287"/>
      <c r="B23" s="1288"/>
      <c r="C23" s="1288" t="s">
        <v>1378</v>
      </c>
      <c r="D23" s="1288" t="s">
        <v>1378</v>
      </c>
      <c r="E23" s="1288" t="s">
        <v>1378</v>
      </c>
      <c r="F23" s="1288" t="s">
        <v>1378</v>
      </c>
      <c r="G23" s="1289">
        <v>1</v>
      </c>
      <c r="H23" s="1288" t="s">
        <v>1574</v>
      </c>
      <c r="I23" s="1288"/>
      <c r="J23" s="1288"/>
      <c r="K23" s="754" t="s">
        <v>2077</v>
      </c>
      <c r="L23" s="1170"/>
      <c r="M23" s="1170"/>
      <c r="N23" s="1170"/>
      <c r="O23" s="1165">
        <f t="shared" si="1"/>
        <v>0</v>
      </c>
      <c r="P23" s="1170"/>
      <c r="Q23" s="1170"/>
      <c r="R23" s="1170"/>
      <c r="S23" s="1170"/>
      <c r="T23" s="1170"/>
      <c r="U23" s="1170"/>
      <c r="V23" s="1170"/>
      <c r="W23" s="1438" t="e">
        <f t="shared" si="3"/>
        <v>#DIV/0!</v>
      </c>
      <c r="X23" s="1432"/>
      <c r="Y23" s="765"/>
    </row>
    <row r="24" spans="1:25" ht="22.5" customHeight="1" thickTop="1" thickBot="1" x14ac:dyDescent="0.3">
      <c r="A24" s="1287"/>
      <c r="B24" s="1288"/>
      <c r="C24" s="1288" t="s">
        <v>1378</v>
      </c>
      <c r="D24" s="1288" t="s">
        <v>1378</v>
      </c>
      <c r="E24" s="1288" t="s">
        <v>1378</v>
      </c>
      <c r="F24" s="1288" t="s">
        <v>1378</v>
      </c>
      <c r="G24" s="1289">
        <v>1</v>
      </c>
      <c r="H24" s="1288" t="s">
        <v>1575</v>
      </c>
      <c r="I24" s="1288"/>
      <c r="J24" s="1288"/>
      <c r="K24" s="754" t="s">
        <v>2078</v>
      </c>
      <c r="L24" s="1170"/>
      <c r="M24" s="1170"/>
      <c r="N24" s="1170"/>
      <c r="O24" s="1165">
        <f t="shared" si="1"/>
        <v>0</v>
      </c>
      <c r="P24" s="1170"/>
      <c r="Q24" s="1170"/>
      <c r="R24" s="1170"/>
      <c r="S24" s="1170"/>
      <c r="T24" s="1170"/>
      <c r="U24" s="1170"/>
      <c r="V24" s="1170"/>
      <c r="W24" s="1438" t="e">
        <f t="shared" si="3"/>
        <v>#DIV/0!</v>
      </c>
      <c r="X24" s="1432"/>
      <c r="Y24" s="765"/>
    </row>
    <row r="25" spans="1:25" ht="22.5" customHeight="1" thickTop="1" thickBot="1" x14ac:dyDescent="0.3">
      <c r="A25" s="1287">
        <v>1</v>
      </c>
      <c r="B25" s="1288" t="s">
        <v>1378</v>
      </c>
      <c r="C25" s="1288" t="s">
        <v>1378</v>
      </c>
      <c r="D25" s="1288" t="s">
        <v>1378</v>
      </c>
      <c r="E25" s="1288" t="s">
        <v>1378</v>
      </c>
      <c r="F25" s="1288" t="s">
        <v>1378</v>
      </c>
      <c r="G25" s="1289">
        <v>2</v>
      </c>
      <c r="H25" s="1288"/>
      <c r="I25" s="1288"/>
      <c r="J25" s="1288"/>
      <c r="K25" s="753" t="s">
        <v>1965</v>
      </c>
      <c r="L25" s="1165">
        <f>SUM(L26:L36)</f>
        <v>0</v>
      </c>
      <c r="M25" s="1165">
        <f t="shared" ref="M25:V25" si="9">SUM(M26:M36)</f>
        <v>0</v>
      </c>
      <c r="N25" s="1165">
        <f t="shared" si="9"/>
        <v>0</v>
      </c>
      <c r="O25" s="1165">
        <f t="shared" si="1"/>
        <v>0</v>
      </c>
      <c r="P25" s="1165">
        <f t="shared" si="9"/>
        <v>0</v>
      </c>
      <c r="Q25" s="1165">
        <f t="shared" si="9"/>
        <v>0</v>
      </c>
      <c r="R25" s="1165">
        <f t="shared" si="9"/>
        <v>0</v>
      </c>
      <c r="S25" s="1165"/>
      <c r="T25" s="1165">
        <f t="shared" si="9"/>
        <v>0</v>
      </c>
      <c r="U25" s="1165">
        <f t="shared" si="9"/>
        <v>0</v>
      </c>
      <c r="V25" s="1165">
        <f t="shared" si="9"/>
        <v>0</v>
      </c>
      <c r="W25" s="1436" t="e">
        <f t="shared" si="3"/>
        <v>#DIV/0!</v>
      </c>
      <c r="X25" s="1432" t="s">
        <v>1976</v>
      </c>
      <c r="Y25" s="765" t="s">
        <v>1974</v>
      </c>
    </row>
    <row r="26" spans="1:25" ht="22.5" customHeight="1" thickTop="1" thickBot="1" x14ac:dyDescent="0.3">
      <c r="A26" s="1287"/>
      <c r="B26" s="1288"/>
      <c r="C26" s="1288" t="s">
        <v>1378</v>
      </c>
      <c r="D26" s="1288" t="s">
        <v>1378</v>
      </c>
      <c r="E26" s="1288" t="s">
        <v>1378</v>
      </c>
      <c r="F26" s="1288" t="s">
        <v>1378</v>
      </c>
      <c r="G26" s="1289">
        <v>2</v>
      </c>
      <c r="H26" s="1288" t="s">
        <v>1378</v>
      </c>
      <c r="I26" s="1288"/>
      <c r="J26" s="1288"/>
      <c r="K26" s="754" t="s">
        <v>2087</v>
      </c>
      <c r="L26" s="1170"/>
      <c r="M26" s="1170"/>
      <c r="N26" s="1170"/>
      <c r="O26" s="1165">
        <f t="shared" si="1"/>
        <v>0</v>
      </c>
      <c r="P26" s="1170"/>
      <c r="Q26" s="1170"/>
      <c r="R26" s="1170"/>
      <c r="S26" s="1170"/>
      <c r="T26" s="1170"/>
      <c r="U26" s="1170"/>
      <c r="V26" s="1170"/>
      <c r="W26" s="1438" t="e">
        <f t="shared" si="3"/>
        <v>#DIV/0!</v>
      </c>
      <c r="X26" s="1432"/>
      <c r="Y26" s="765"/>
    </row>
    <row r="27" spans="1:25" ht="22.5" customHeight="1" thickTop="1" thickBot="1" x14ac:dyDescent="0.3">
      <c r="A27" s="1287"/>
      <c r="B27" s="1288"/>
      <c r="C27" s="1288" t="s">
        <v>1378</v>
      </c>
      <c r="D27" s="1288" t="s">
        <v>1378</v>
      </c>
      <c r="E27" s="1288" t="s">
        <v>1378</v>
      </c>
      <c r="F27" s="1288" t="s">
        <v>1378</v>
      </c>
      <c r="G27" s="1289">
        <v>2</v>
      </c>
      <c r="H27" s="1288" t="s">
        <v>1391</v>
      </c>
      <c r="I27" s="1288"/>
      <c r="J27" s="1288"/>
      <c r="K27" s="754" t="s">
        <v>2088</v>
      </c>
      <c r="L27" s="1170"/>
      <c r="M27" s="1170"/>
      <c r="N27" s="1170"/>
      <c r="O27" s="1165">
        <f t="shared" si="1"/>
        <v>0</v>
      </c>
      <c r="P27" s="1170"/>
      <c r="Q27" s="1170"/>
      <c r="R27" s="1170"/>
      <c r="S27" s="1170"/>
      <c r="T27" s="1170"/>
      <c r="U27" s="1170"/>
      <c r="V27" s="1170"/>
      <c r="W27" s="1438" t="e">
        <f t="shared" si="3"/>
        <v>#DIV/0!</v>
      </c>
      <c r="X27" s="1432"/>
      <c r="Y27" s="765"/>
    </row>
    <row r="28" spans="1:25" ht="22.5" customHeight="1" thickTop="1" thickBot="1" x14ac:dyDescent="0.3">
      <c r="A28" s="1287"/>
      <c r="B28" s="1288"/>
      <c r="C28" s="1288" t="s">
        <v>1378</v>
      </c>
      <c r="D28" s="1288" t="s">
        <v>1378</v>
      </c>
      <c r="E28" s="1288" t="s">
        <v>1378</v>
      </c>
      <c r="F28" s="1288" t="s">
        <v>1378</v>
      </c>
      <c r="G28" s="1289">
        <v>2</v>
      </c>
      <c r="H28" s="1288" t="s">
        <v>1415</v>
      </c>
      <c r="I28" s="1288"/>
      <c r="J28" s="1288"/>
      <c r="K28" s="754" t="s">
        <v>2089</v>
      </c>
      <c r="L28" s="1170"/>
      <c r="M28" s="1170"/>
      <c r="N28" s="1170"/>
      <c r="O28" s="1165">
        <f t="shared" si="1"/>
        <v>0</v>
      </c>
      <c r="P28" s="1170"/>
      <c r="Q28" s="1170"/>
      <c r="R28" s="1170"/>
      <c r="S28" s="1170"/>
      <c r="T28" s="1170"/>
      <c r="U28" s="1170"/>
      <c r="V28" s="1170"/>
      <c r="W28" s="1438" t="e">
        <f t="shared" si="3"/>
        <v>#DIV/0!</v>
      </c>
      <c r="X28" s="1432"/>
      <c r="Y28" s="765"/>
    </row>
    <row r="29" spans="1:25" ht="22.5" customHeight="1" thickTop="1" thickBot="1" x14ac:dyDescent="0.3">
      <c r="A29" s="1287"/>
      <c r="B29" s="1288"/>
      <c r="C29" s="1288" t="s">
        <v>1378</v>
      </c>
      <c r="D29" s="1288" t="s">
        <v>1378</v>
      </c>
      <c r="E29" s="1288" t="s">
        <v>1378</v>
      </c>
      <c r="F29" s="1288" t="s">
        <v>1378</v>
      </c>
      <c r="G29" s="1289">
        <v>2</v>
      </c>
      <c r="H29" s="1288" t="s">
        <v>1419</v>
      </c>
      <c r="I29" s="1288"/>
      <c r="J29" s="1288"/>
      <c r="K29" s="754" t="s">
        <v>2090</v>
      </c>
      <c r="L29" s="1170"/>
      <c r="M29" s="1170"/>
      <c r="N29" s="1170"/>
      <c r="O29" s="1165">
        <f t="shared" si="1"/>
        <v>0</v>
      </c>
      <c r="P29" s="1170"/>
      <c r="Q29" s="1170"/>
      <c r="R29" s="1170"/>
      <c r="S29" s="1170"/>
      <c r="T29" s="1170"/>
      <c r="U29" s="1170"/>
      <c r="V29" s="1170"/>
      <c r="W29" s="1438" t="e">
        <f t="shared" si="3"/>
        <v>#DIV/0!</v>
      </c>
      <c r="X29" s="1432"/>
      <c r="Y29" s="765"/>
    </row>
    <row r="30" spans="1:25" ht="22.5" customHeight="1" thickTop="1" thickBot="1" x14ac:dyDescent="0.3">
      <c r="A30" s="1287"/>
      <c r="B30" s="1288"/>
      <c r="C30" s="1288" t="s">
        <v>1378</v>
      </c>
      <c r="D30" s="1288" t="s">
        <v>1378</v>
      </c>
      <c r="E30" s="1288" t="s">
        <v>1378</v>
      </c>
      <c r="F30" s="1288" t="s">
        <v>1378</v>
      </c>
      <c r="G30" s="1289">
        <v>2</v>
      </c>
      <c r="H30" s="1288" t="s">
        <v>1444</v>
      </c>
      <c r="I30" s="1288"/>
      <c r="J30" s="1288"/>
      <c r="K30" s="754" t="s">
        <v>2091</v>
      </c>
      <c r="L30" s="1170"/>
      <c r="M30" s="1170"/>
      <c r="N30" s="1170"/>
      <c r="O30" s="1165">
        <f t="shared" si="1"/>
        <v>0</v>
      </c>
      <c r="P30" s="1170"/>
      <c r="Q30" s="1170"/>
      <c r="R30" s="1170"/>
      <c r="S30" s="1170"/>
      <c r="T30" s="1170"/>
      <c r="U30" s="1170"/>
      <c r="V30" s="1170"/>
      <c r="W30" s="1438" t="e">
        <f t="shared" si="3"/>
        <v>#DIV/0!</v>
      </c>
      <c r="X30" s="1432"/>
      <c r="Y30" s="765"/>
    </row>
    <row r="31" spans="1:25" ht="22.5" customHeight="1" thickTop="1" thickBot="1" x14ac:dyDescent="0.3">
      <c r="A31" s="1287"/>
      <c r="B31" s="1288"/>
      <c r="C31" s="1288" t="s">
        <v>1378</v>
      </c>
      <c r="D31" s="1288" t="s">
        <v>1378</v>
      </c>
      <c r="E31" s="1288" t="s">
        <v>1378</v>
      </c>
      <c r="F31" s="1288" t="s">
        <v>1378</v>
      </c>
      <c r="G31" s="1289">
        <v>2</v>
      </c>
      <c r="H31" s="1288" t="s">
        <v>1467</v>
      </c>
      <c r="I31" s="1288"/>
      <c r="J31" s="1288"/>
      <c r="K31" s="754" t="s">
        <v>2092</v>
      </c>
      <c r="L31" s="1170"/>
      <c r="M31" s="1170"/>
      <c r="N31" s="1170"/>
      <c r="O31" s="1165">
        <f t="shared" si="1"/>
        <v>0</v>
      </c>
      <c r="P31" s="1170"/>
      <c r="Q31" s="1170"/>
      <c r="R31" s="1170"/>
      <c r="S31" s="1170"/>
      <c r="T31" s="1170"/>
      <c r="U31" s="1170"/>
      <c r="V31" s="1170"/>
      <c r="W31" s="1438" t="e">
        <f t="shared" si="3"/>
        <v>#DIV/0!</v>
      </c>
      <c r="X31" s="1432"/>
      <c r="Y31" s="765"/>
    </row>
    <row r="32" spans="1:25" ht="22.5" customHeight="1" thickTop="1" thickBot="1" x14ac:dyDescent="0.3">
      <c r="A32" s="1287"/>
      <c r="B32" s="1288"/>
      <c r="C32" s="1288" t="s">
        <v>1378</v>
      </c>
      <c r="D32" s="1288" t="s">
        <v>1378</v>
      </c>
      <c r="E32" s="1288" t="s">
        <v>1378</v>
      </c>
      <c r="F32" s="1288" t="s">
        <v>1378</v>
      </c>
      <c r="G32" s="1289">
        <v>2</v>
      </c>
      <c r="H32" s="1288" t="s">
        <v>1471</v>
      </c>
      <c r="I32" s="1288"/>
      <c r="J32" s="1288"/>
      <c r="K32" s="754" t="s">
        <v>2093</v>
      </c>
      <c r="L32" s="1170"/>
      <c r="M32" s="1170"/>
      <c r="N32" s="1170"/>
      <c r="O32" s="1165">
        <f t="shared" si="1"/>
        <v>0</v>
      </c>
      <c r="P32" s="1170"/>
      <c r="Q32" s="1170"/>
      <c r="R32" s="1170"/>
      <c r="S32" s="1170"/>
      <c r="T32" s="1170"/>
      <c r="U32" s="1170"/>
      <c r="V32" s="1170"/>
      <c r="W32" s="1438" t="e">
        <f t="shared" si="3"/>
        <v>#DIV/0!</v>
      </c>
      <c r="X32" s="1432"/>
      <c r="Y32" s="765"/>
    </row>
    <row r="33" spans="1:25" ht="22.5" customHeight="1" thickTop="1" thickBot="1" x14ac:dyDescent="0.3">
      <c r="A33" s="1287"/>
      <c r="B33" s="1288"/>
      <c r="C33" s="1288" t="s">
        <v>1378</v>
      </c>
      <c r="D33" s="1288" t="s">
        <v>1378</v>
      </c>
      <c r="E33" s="1288" t="s">
        <v>1378</v>
      </c>
      <c r="F33" s="1288" t="s">
        <v>1378</v>
      </c>
      <c r="G33" s="1289">
        <v>2</v>
      </c>
      <c r="H33" s="1288" t="s">
        <v>1475</v>
      </c>
      <c r="I33" s="1288"/>
      <c r="J33" s="1288"/>
      <c r="K33" s="754" t="s">
        <v>2094</v>
      </c>
      <c r="L33" s="1170"/>
      <c r="M33" s="1170"/>
      <c r="N33" s="1170"/>
      <c r="O33" s="1165">
        <f t="shared" si="1"/>
        <v>0</v>
      </c>
      <c r="P33" s="1170"/>
      <c r="Q33" s="1170"/>
      <c r="R33" s="1170"/>
      <c r="S33" s="1170"/>
      <c r="T33" s="1170"/>
      <c r="U33" s="1170"/>
      <c r="V33" s="1170"/>
      <c r="W33" s="1438" t="e">
        <f t="shared" si="3"/>
        <v>#DIV/0!</v>
      </c>
      <c r="X33" s="1432"/>
      <c r="Y33" s="765"/>
    </row>
    <row r="34" spans="1:25" ht="22.5" customHeight="1" thickTop="1" thickBot="1" x14ac:dyDescent="0.3">
      <c r="A34" s="1287"/>
      <c r="B34" s="1288"/>
      <c r="C34" s="1288" t="s">
        <v>1378</v>
      </c>
      <c r="D34" s="1288" t="s">
        <v>1378</v>
      </c>
      <c r="E34" s="1288" t="s">
        <v>1378</v>
      </c>
      <c r="F34" s="1288" t="s">
        <v>1378</v>
      </c>
      <c r="G34" s="1289">
        <v>2</v>
      </c>
      <c r="H34" s="1288" t="s">
        <v>1573</v>
      </c>
      <c r="I34" s="1288"/>
      <c r="J34" s="1288"/>
      <c r="K34" s="754" t="s">
        <v>2095</v>
      </c>
      <c r="L34" s="1170"/>
      <c r="M34" s="1170"/>
      <c r="N34" s="1170"/>
      <c r="O34" s="1165">
        <f t="shared" si="1"/>
        <v>0</v>
      </c>
      <c r="P34" s="1170"/>
      <c r="Q34" s="1170"/>
      <c r="R34" s="1170"/>
      <c r="S34" s="1170"/>
      <c r="T34" s="1170"/>
      <c r="U34" s="1170"/>
      <c r="V34" s="1170"/>
      <c r="W34" s="1438" t="e">
        <f t="shared" si="3"/>
        <v>#DIV/0!</v>
      </c>
      <c r="X34" s="1432"/>
      <c r="Y34" s="765"/>
    </row>
    <row r="35" spans="1:25" ht="22.5" customHeight="1" thickTop="1" thickBot="1" x14ac:dyDescent="0.3">
      <c r="A35" s="1287"/>
      <c r="B35" s="1288"/>
      <c r="C35" s="1288" t="s">
        <v>1378</v>
      </c>
      <c r="D35" s="1288" t="s">
        <v>1378</v>
      </c>
      <c r="E35" s="1288" t="s">
        <v>1378</v>
      </c>
      <c r="F35" s="1288" t="s">
        <v>1378</v>
      </c>
      <c r="G35" s="1289">
        <v>2</v>
      </c>
      <c r="H35" s="1288" t="s">
        <v>1574</v>
      </c>
      <c r="I35" s="1288"/>
      <c r="J35" s="1288"/>
      <c r="K35" s="754" t="s">
        <v>2096</v>
      </c>
      <c r="L35" s="1170"/>
      <c r="M35" s="1170"/>
      <c r="N35" s="1170"/>
      <c r="O35" s="1165">
        <f t="shared" si="1"/>
        <v>0</v>
      </c>
      <c r="P35" s="1170"/>
      <c r="Q35" s="1170"/>
      <c r="R35" s="1170"/>
      <c r="S35" s="1170"/>
      <c r="T35" s="1170"/>
      <c r="U35" s="1170"/>
      <c r="V35" s="1170"/>
      <c r="W35" s="1438" t="e">
        <f t="shared" si="3"/>
        <v>#DIV/0!</v>
      </c>
      <c r="X35" s="1432"/>
      <c r="Y35" s="765"/>
    </row>
    <row r="36" spans="1:25" ht="22.5" customHeight="1" thickTop="1" thickBot="1" x14ac:dyDescent="0.3">
      <c r="A36" s="1287"/>
      <c r="B36" s="1288"/>
      <c r="C36" s="1288" t="s">
        <v>1378</v>
      </c>
      <c r="D36" s="1288" t="s">
        <v>1378</v>
      </c>
      <c r="E36" s="1288" t="s">
        <v>1378</v>
      </c>
      <c r="F36" s="1288" t="s">
        <v>1378</v>
      </c>
      <c r="G36" s="1289">
        <v>2</v>
      </c>
      <c r="H36" s="1288" t="s">
        <v>1575</v>
      </c>
      <c r="I36" s="1288"/>
      <c r="J36" s="1288"/>
      <c r="K36" s="754" t="s">
        <v>2097</v>
      </c>
      <c r="L36" s="1170"/>
      <c r="M36" s="1170"/>
      <c r="N36" s="1170"/>
      <c r="O36" s="1165">
        <f t="shared" si="1"/>
        <v>0</v>
      </c>
      <c r="P36" s="1170"/>
      <c r="Q36" s="1170"/>
      <c r="R36" s="1170"/>
      <c r="S36" s="1170"/>
      <c r="T36" s="1170"/>
      <c r="U36" s="1170"/>
      <c r="V36" s="1170"/>
      <c r="W36" s="1438" t="e">
        <f t="shared" si="3"/>
        <v>#DIV/0!</v>
      </c>
      <c r="X36" s="1432"/>
      <c r="Y36" s="765"/>
    </row>
    <row r="37" spans="1:25" s="183" customFormat="1" ht="22.5" customHeight="1" thickTop="1" thickBot="1" x14ac:dyDescent="0.3">
      <c r="A37" s="1279">
        <v>1</v>
      </c>
      <c r="B37" s="1280" t="s">
        <v>1378</v>
      </c>
      <c r="C37" s="1280" t="s">
        <v>1378</v>
      </c>
      <c r="D37" s="1280" t="s">
        <v>1391</v>
      </c>
      <c r="E37" s="1280"/>
      <c r="F37" s="1280"/>
      <c r="G37" s="1280"/>
      <c r="H37" s="1280"/>
      <c r="I37" s="1280"/>
      <c r="J37" s="1280"/>
      <c r="K37" s="1281" t="s">
        <v>1966</v>
      </c>
      <c r="L37" s="1168">
        <f>+L38+L78+L213+L239+L291</f>
        <v>10654725000</v>
      </c>
      <c r="M37" s="1168">
        <f>+M38+M78+M213+M239+M291</f>
        <v>3213964000</v>
      </c>
      <c r="N37" s="1168">
        <f>+N38+N78+N213+N239+N291</f>
        <v>0</v>
      </c>
      <c r="O37" s="1165">
        <f t="shared" si="1"/>
        <v>13868689000</v>
      </c>
      <c r="P37" s="1168">
        <f t="shared" ref="P37:V37" si="10">+P38+P78+P213+P239+P291</f>
        <v>2791677600</v>
      </c>
      <c r="Q37" s="1168">
        <f t="shared" si="10"/>
        <v>8875430700</v>
      </c>
      <c r="R37" s="1168">
        <f t="shared" si="10"/>
        <v>1570377600</v>
      </c>
      <c r="S37" s="1168">
        <f t="shared" si="10"/>
        <v>620203100</v>
      </c>
      <c r="T37" s="1168">
        <f t="shared" si="10"/>
        <v>0</v>
      </c>
      <c r="U37" s="1168">
        <f t="shared" si="10"/>
        <v>21131104961.399998</v>
      </c>
      <c r="V37" s="1168">
        <f t="shared" si="10"/>
        <v>12811622081.610001</v>
      </c>
      <c r="W37" s="1435">
        <f t="shared" si="3"/>
        <v>0.60629210375003473</v>
      </c>
      <c r="X37" s="1432" t="s">
        <v>1399</v>
      </c>
      <c r="Y37" s="765" t="s">
        <v>1400</v>
      </c>
    </row>
    <row r="38" spans="1:25" s="183" customFormat="1" ht="22.5" customHeight="1" thickTop="1" thickBot="1" x14ac:dyDescent="0.3">
      <c r="A38" s="1282" t="s">
        <v>1374</v>
      </c>
      <c r="B38" s="1283" t="s">
        <v>1378</v>
      </c>
      <c r="C38" s="1283" t="s">
        <v>1378</v>
      </c>
      <c r="D38" s="1283" t="s">
        <v>1391</v>
      </c>
      <c r="E38" s="1283" t="s">
        <v>1378</v>
      </c>
      <c r="F38" s="1283"/>
      <c r="G38" s="1283"/>
      <c r="H38" s="1283"/>
      <c r="I38" s="1283"/>
      <c r="J38" s="1283"/>
      <c r="K38" s="1284" t="s">
        <v>1401</v>
      </c>
      <c r="L38" s="1168">
        <f>+L39</f>
        <v>3156002000</v>
      </c>
      <c r="M38" s="1168">
        <f t="shared" ref="M38:V39" si="11">+M39</f>
        <v>2223385000</v>
      </c>
      <c r="N38" s="1168">
        <f t="shared" si="11"/>
        <v>0</v>
      </c>
      <c r="O38" s="1165">
        <f t="shared" si="1"/>
        <v>5379387000</v>
      </c>
      <c r="P38" s="1168">
        <f t="shared" si="11"/>
        <v>437883200</v>
      </c>
      <c r="Q38" s="1168">
        <f t="shared" si="11"/>
        <v>3523717300</v>
      </c>
      <c r="R38" s="1168">
        <f t="shared" si="11"/>
        <v>806200400</v>
      </c>
      <c r="S38" s="1168">
        <f t="shared" si="11"/>
        <v>611586100</v>
      </c>
      <c r="T38" s="1168">
        <f t="shared" si="11"/>
        <v>0</v>
      </c>
      <c r="U38" s="1168">
        <f t="shared" si="11"/>
        <v>6059518177.6499996</v>
      </c>
      <c r="V38" s="1168">
        <f t="shared" si="11"/>
        <v>6059518177.6499996</v>
      </c>
      <c r="W38" s="1435">
        <f t="shared" si="3"/>
        <v>1</v>
      </c>
      <c r="X38" s="1432" t="s">
        <v>1402</v>
      </c>
      <c r="Y38" s="765" t="s">
        <v>1403</v>
      </c>
    </row>
    <row r="39" spans="1:25" s="183" customFormat="1" ht="22.5" customHeight="1" thickTop="1" thickBot="1" x14ac:dyDescent="0.3">
      <c r="A39" s="1285" t="s">
        <v>1374</v>
      </c>
      <c r="B39" s="1285" t="s">
        <v>1378</v>
      </c>
      <c r="C39" s="1286" t="s">
        <v>1378</v>
      </c>
      <c r="D39" s="1285" t="s">
        <v>1391</v>
      </c>
      <c r="E39" s="1286" t="s">
        <v>1378</v>
      </c>
      <c r="F39" s="1286" t="s">
        <v>1378</v>
      </c>
      <c r="G39" s="1286"/>
      <c r="H39" s="1286"/>
      <c r="I39" s="1286"/>
      <c r="J39" s="1286"/>
      <c r="K39" s="753" t="s">
        <v>1404</v>
      </c>
      <c r="L39" s="1174">
        <f>+L40</f>
        <v>3156002000</v>
      </c>
      <c r="M39" s="1174">
        <f t="shared" si="11"/>
        <v>2223385000</v>
      </c>
      <c r="N39" s="1174">
        <f t="shared" si="11"/>
        <v>0</v>
      </c>
      <c r="O39" s="1165">
        <f t="shared" si="1"/>
        <v>5379387000</v>
      </c>
      <c r="P39" s="1174">
        <f t="shared" si="11"/>
        <v>437883200</v>
      </c>
      <c r="Q39" s="1174">
        <f t="shared" si="11"/>
        <v>3523717300</v>
      </c>
      <c r="R39" s="1174">
        <f t="shared" si="11"/>
        <v>806200400</v>
      </c>
      <c r="S39" s="1174">
        <f t="shared" si="11"/>
        <v>611586100</v>
      </c>
      <c r="T39" s="1174">
        <f t="shared" si="11"/>
        <v>0</v>
      </c>
      <c r="U39" s="1174">
        <f t="shared" si="11"/>
        <v>6059518177.6499996</v>
      </c>
      <c r="V39" s="1174">
        <f t="shared" si="11"/>
        <v>6059518177.6499996</v>
      </c>
      <c r="W39" s="1440">
        <f t="shared" si="3"/>
        <v>1</v>
      </c>
      <c r="X39" s="1432" t="s">
        <v>1405</v>
      </c>
      <c r="Y39" s="765"/>
    </row>
    <row r="40" spans="1:25" ht="22.5" customHeight="1" thickTop="1" thickBot="1" x14ac:dyDescent="0.3">
      <c r="A40" s="1287" t="s">
        <v>1374</v>
      </c>
      <c r="B40" s="1287" t="s">
        <v>1378</v>
      </c>
      <c r="C40" s="1288" t="s">
        <v>1378</v>
      </c>
      <c r="D40" s="1287" t="s">
        <v>1391</v>
      </c>
      <c r="E40" s="1288" t="s">
        <v>1378</v>
      </c>
      <c r="F40" s="1288" t="s">
        <v>1378</v>
      </c>
      <c r="G40" s="1288" t="s">
        <v>1378</v>
      </c>
      <c r="H40" s="1288"/>
      <c r="I40" s="1288"/>
      <c r="J40" s="1288"/>
      <c r="K40" s="754" t="s">
        <v>1406</v>
      </c>
      <c r="L40" s="1173">
        <f>+L41+L66</f>
        <v>3156002000</v>
      </c>
      <c r="M40" s="1173">
        <f t="shared" ref="M40:V40" si="12">+M41+M66</f>
        <v>2223385000</v>
      </c>
      <c r="N40" s="1173">
        <f t="shared" si="12"/>
        <v>0</v>
      </c>
      <c r="O40" s="1165">
        <f t="shared" si="1"/>
        <v>5379387000</v>
      </c>
      <c r="P40" s="1170">
        <v>437883200</v>
      </c>
      <c r="Q40" s="1170">
        <v>3523717300</v>
      </c>
      <c r="R40" s="1170">
        <v>806200400</v>
      </c>
      <c r="S40" s="1170">
        <v>611586100</v>
      </c>
      <c r="T40" s="1170">
        <f t="shared" ref="M40:V41" si="13">+T53</f>
        <v>0</v>
      </c>
      <c r="U40" s="1173">
        <f t="shared" ref="U40" si="14">+U41+U66</f>
        <v>6059518177.6499996</v>
      </c>
      <c r="V40" s="1173">
        <f t="shared" si="12"/>
        <v>6059518177.6499996</v>
      </c>
      <c r="W40" s="1439">
        <f t="shared" si="3"/>
        <v>1</v>
      </c>
      <c r="X40" s="1432" t="s">
        <v>1969</v>
      </c>
      <c r="Y40" s="765" t="s">
        <v>1408</v>
      </c>
    </row>
    <row r="41" spans="1:25" s="758" customFormat="1" ht="22.5" customHeight="1" thickTop="1" thickBot="1" x14ac:dyDescent="0.3">
      <c r="A41" s="1287" t="s">
        <v>1374</v>
      </c>
      <c r="B41" s="1287" t="s">
        <v>1378</v>
      </c>
      <c r="C41" s="1288" t="s">
        <v>1378</v>
      </c>
      <c r="D41" s="1287" t="s">
        <v>1391</v>
      </c>
      <c r="E41" s="1288" t="s">
        <v>1378</v>
      </c>
      <c r="F41" s="1288" t="s">
        <v>1378</v>
      </c>
      <c r="G41" s="1288" t="s">
        <v>1378</v>
      </c>
      <c r="H41" s="1288" t="s">
        <v>1378</v>
      </c>
      <c r="I41" s="1288"/>
      <c r="J41" s="1288"/>
      <c r="K41" s="754" t="s">
        <v>1967</v>
      </c>
      <c r="L41" s="1170">
        <f>+L54</f>
        <v>3156002000</v>
      </c>
      <c r="M41" s="1170">
        <f t="shared" si="13"/>
        <v>2223385000</v>
      </c>
      <c r="N41" s="1170">
        <f t="shared" si="13"/>
        <v>0</v>
      </c>
      <c r="O41" s="1165">
        <f t="shared" si="1"/>
        <v>5379387000</v>
      </c>
      <c r="P41" s="1170"/>
      <c r="Q41" s="1170"/>
      <c r="R41" s="1170"/>
      <c r="S41" s="1170"/>
      <c r="T41" s="1170">
        <f t="shared" si="13"/>
        <v>0</v>
      </c>
      <c r="U41" s="1170">
        <f t="shared" si="13"/>
        <v>6059518177.6499996</v>
      </c>
      <c r="V41" s="1170">
        <f t="shared" si="13"/>
        <v>6059518177.6499996</v>
      </c>
      <c r="W41" s="1438">
        <f t="shared" si="3"/>
        <v>1</v>
      </c>
      <c r="X41" s="1432" t="s">
        <v>1970</v>
      </c>
      <c r="Y41" s="765" t="s">
        <v>1408</v>
      </c>
    </row>
    <row r="42" spans="1:25" s="758" customFormat="1" ht="22.5" customHeight="1" thickTop="1" thickBot="1" x14ac:dyDescent="0.3">
      <c r="A42" s="1287" t="s">
        <v>1374</v>
      </c>
      <c r="B42" s="1287" t="s">
        <v>1378</v>
      </c>
      <c r="C42" s="1288" t="s">
        <v>1378</v>
      </c>
      <c r="D42" s="1287" t="s">
        <v>1391</v>
      </c>
      <c r="E42" s="1288" t="s">
        <v>1378</v>
      </c>
      <c r="F42" s="1288" t="s">
        <v>1378</v>
      </c>
      <c r="G42" s="1288" t="s">
        <v>1378</v>
      </c>
      <c r="H42" s="1288" t="s">
        <v>1378</v>
      </c>
      <c r="I42" s="1288" t="s">
        <v>1378</v>
      </c>
      <c r="J42" s="1288"/>
      <c r="K42" s="754" t="s">
        <v>2067</v>
      </c>
      <c r="L42" s="1170"/>
      <c r="M42" s="1170"/>
      <c r="N42" s="1170"/>
      <c r="O42" s="1165">
        <f t="shared" si="1"/>
        <v>0</v>
      </c>
      <c r="P42" s="1170"/>
      <c r="Q42" s="1170"/>
      <c r="R42" s="1170"/>
      <c r="S42" s="1170"/>
      <c r="T42" s="1170"/>
      <c r="U42" s="1170"/>
      <c r="V42" s="1170"/>
      <c r="W42" s="1438" t="e">
        <f t="shared" si="3"/>
        <v>#DIV/0!</v>
      </c>
      <c r="X42" s="1432"/>
      <c r="Y42" s="765"/>
    </row>
    <row r="43" spans="1:25" s="758" customFormat="1" ht="22.5" customHeight="1" thickTop="1" thickBot="1" x14ac:dyDescent="0.3">
      <c r="A43" s="1287" t="s">
        <v>1374</v>
      </c>
      <c r="B43" s="1287" t="s">
        <v>1378</v>
      </c>
      <c r="C43" s="1288" t="s">
        <v>1378</v>
      </c>
      <c r="D43" s="1287" t="s">
        <v>1391</v>
      </c>
      <c r="E43" s="1288" t="s">
        <v>1378</v>
      </c>
      <c r="F43" s="1288" t="s">
        <v>1378</v>
      </c>
      <c r="G43" s="1288" t="s">
        <v>1378</v>
      </c>
      <c r="H43" s="1288" t="s">
        <v>1378</v>
      </c>
      <c r="I43" s="1288" t="s">
        <v>1378</v>
      </c>
      <c r="J43" s="1288" t="s">
        <v>1378</v>
      </c>
      <c r="K43" s="754" t="s">
        <v>2099</v>
      </c>
      <c r="L43" s="1170"/>
      <c r="M43" s="1170"/>
      <c r="N43" s="1170"/>
      <c r="O43" s="1165">
        <f t="shared" si="1"/>
        <v>0</v>
      </c>
      <c r="P43" s="1170"/>
      <c r="Q43" s="1170"/>
      <c r="R43" s="1170"/>
      <c r="S43" s="1170"/>
      <c r="T43" s="1170"/>
      <c r="U43" s="1170"/>
      <c r="V43" s="1170"/>
      <c r="W43" s="1438" t="e">
        <f t="shared" si="3"/>
        <v>#DIV/0!</v>
      </c>
      <c r="X43" s="1432"/>
      <c r="Y43" s="765"/>
    </row>
    <row r="44" spans="1:25" s="758" customFormat="1" ht="22.5" customHeight="1" thickTop="1" thickBot="1" x14ac:dyDescent="0.3">
      <c r="A44" s="1287" t="s">
        <v>1374</v>
      </c>
      <c r="B44" s="1287" t="s">
        <v>1378</v>
      </c>
      <c r="C44" s="1288" t="s">
        <v>1378</v>
      </c>
      <c r="D44" s="1287" t="s">
        <v>1391</v>
      </c>
      <c r="E44" s="1288" t="s">
        <v>1378</v>
      </c>
      <c r="F44" s="1288" t="s">
        <v>1378</v>
      </c>
      <c r="G44" s="1288" t="s">
        <v>1378</v>
      </c>
      <c r="H44" s="1288" t="s">
        <v>1378</v>
      </c>
      <c r="I44" s="1288" t="s">
        <v>1378</v>
      </c>
      <c r="J44" s="1288" t="s">
        <v>1391</v>
      </c>
      <c r="K44" s="754" t="s">
        <v>2100</v>
      </c>
      <c r="L44" s="1170"/>
      <c r="M44" s="1170"/>
      <c r="N44" s="1170"/>
      <c r="O44" s="1165">
        <f t="shared" si="1"/>
        <v>0</v>
      </c>
      <c r="P44" s="1170"/>
      <c r="Q44" s="1170"/>
      <c r="R44" s="1170"/>
      <c r="S44" s="1170"/>
      <c r="T44" s="1170"/>
      <c r="U44" s="1170"/>
      <c r="V44" s="1170"/>
      <c r="W44" s="1438" t="e">
        <f t="shared" si="3"/>
        <v>#DIV/0!</v>
      </c>
      <c r="X44" s="1432"/>
      <c r="Y44" s="765"/>
    </row>
    <row r="45" spans="1:25" s="758" customFormat="1" ht="22.5" customHeight="1" thickTop="1" thickBot="1" x14ac:dyDescent="0.3">
      <c r="A45" s="1287" t="s">
        <v>1374</v>
      </c>
      <c r="B45" s="1287" t="s">
        <v>1378</v>
      </c>
      <c r="C45" s="1288" t="s">
        <v>1378</v>
      </c>
      <c r="D45" s="1287" t="s">
        <v>1391</v>
      </c>
      <c r="E45" s="1288" t="s">
        <v>1378</v>
      </c>
      <c r="F45" s="1288" t="s">
        <v>1378</v>
      </c>
      <c r="G45" s="1288" t="s">
        <v>1378</v>
      </c>
      <c r="H45" s="1288" t="s">
        <v>1378</v>
      </c>
      <c r="I45" s="1288" t="s">
        <v>1378</v>
      </c>
      <c r="J45" s="1288" t="s">
        <v>1415</v>
      </c>
      <c r="K45" s="754" t="s">
        <v>2101</v>
      </c>
      <c r="L45" s="1170"/>
      <c r="M45" s="1170"/>
      <c r="N45" s="1170"/>
      <c r="O45" s="1165">
        <f t="shared" si="1"/>
        <v>0</v>
      </c>
      <c r="P45" s="1170"/>
      <c r="Q45" s="1170"/>
      <c r="R45" s="1170"/>
      <c r="S45" s="1170"/>
      <c r="T45" s="1170"/>
      <c r="U45" s="1170"/>
      <c r="V45" s="1170"/>
      <c r="W45" s="1438" t="e">
        <f t="shared" si="3"/>
        <v>#DIV/0!</v>
      </c>
      <c r="X45" s="1432"/>
      <c r="Y45" s="765"/>
    </row>
    <row r="46" spans="1:25" s="758" customFormat="1" ht="22.5" customHeight="1" thickTop="1" thickBot="1" x14ac:dyDescent="0.3">
      <c r="A46" s="1287" t="s">
        <v>1374</v>
      </c>
      <c r="B46" s="1287" t="s">
        <v>1378</v>
      </c>
      <c r="C46" s="1288" t="s">
        <v>1378</v>
      </c>
      <c r="D46" s="1287" t="s">
        <v>1391</v>
      </c>
      <c r="E46" s="1288" t="s">
        <v>1378</v>
      </c>
      <c r="F46" s="1288" t="s">
        <v>1378</v>
      </c>
      <c r="G46" s="1288" t="s">
        <v>1378</v>
      </c>
      <c r="H46" s="1288" t="s">
        <v>1378</v>
      </c>
      <c r="I46" s="1288" t="s">
        <v>1378</v>
      </c>
      <c r="J46" s="1288" t="s">
        <v>1419</v>
      </c>
      <c r="K46" s="754" t="s">
        <v>2102</v>
      </c>
      <c r="L46" s="1170"/>
      <c r="M46" s="1170"/>
      <c r="N46" s="1170"/>
      <c r="O46" s="1165">
        <f t="shared" si="1"/>
        <v>0</v>
      </c>
      <c r="P46" s="1170"/>
      <c r="Q46" s="1170"/>
      <c r="R46" s="1170"/>
      <c r="S46" s="1170"/>
      <c r="T46" s="1170"/>
      <c r="U46" s="1170"/>
      <c r="V46" s="1170"/>
      <c r="W46" s="1438" t="e">
        <f t="shared" si="3"/>
        <v>#DIV/0!</v>
      </c>
      <c r="X46" s="1432"/>
      <c r="Y46" s="765"/>
    </row>
    <row r="47" spans="1:25" s="758" customFormat="1" ht="22.5" customHeight="1" thickTop="1" thickBot="1" x14ac:dyDescent="0.3">
      <c r="A47" s="1287" t="s">
        <v>1374</v>
      </c>
      <c r="B47" s="1287" t="s">
        <v>1378</v>
      </c>
      <c r="C47" s="1288" t="s">
        <v>1378</v>
      </c>
      <c r="D47" s="1287" t="s">
        <v>1391</v>
      </c>
      <c r="E47" s="1288" t="s">
        <v>1378</v>
      </c>
      <c r="F47" s="1288" t="s">
        <v>1378</v>
      </c>
      <c r="G47" s="1288" t="s">
        <v>1378</v>
      </c>
      <c r="H47" s="1288" t="s">
        <v>1378</v>
      </c>
      <c r="I47" s="1288" t="s">
        <v>1378</v>
      </c>
      <c r="J47" s="1288" t="s">
        <v>1444</v>
      </c>
      <c r="K47" s="754" t="s">
        <v>2103</v>
      </c>
      <c r="L47" s="1170"/>
      <c r="M47" s="1170"/>
      <c r="N47" s="1170"/>
      <c r="O47" s="1165">
        <f t="shared" si="1"/>
        <v>0</v>
      </c>
      <c r="P47" s="1170"/>
      <c r="Q47" s="1170"/>
      <c r="R47" s="1170"/>
      <c r="S47" s="1170"/>
      <c r="T47" s="1170"/>
      <c r="U47" s="1170"/>
      <c r="V47" s="1170"/>
      <c r="W47" s="1438" t="e">
        <f t="shared" si="3"/>
        <v>#DIV/0!</v>
      </c>
      <c r="X47" s="1432"/>
      <c r="Y47" s="765"/>
    </row>
    <row r="48" spans="1:25" s="758" customFormat="1" ht="22.5" customHeight="1" thickTop="1" thickBot="1" x14ac:dyDescent="0.3">
      <c r="A48" s="1287" t="s">
        <v>1374</v>
      </c>
      <c r="B48" s="1287" t="s">
        <v>1378</v>
      </c>
      <c r="C48" s="1288" t="s">
        <v>1378</v>
      </c>
      <c r="D48" s="1287" t="s">
        <v>1391</v>
      </c>
      <c r="E48" s="1288" t="s">
        <v>1378</v>
      </c>
      <c r="F48" s="1288" t="s">
        <v>1378</v>
      </c>
      <c r="G48" s="1288" t="s">
        <v>1378</v>
      </c>
      <c r="H48" s="1288" t="s">
        <v>1378</v>
      </c>
      <c r="I48" s="1288" t="s">
        <v>1378</v>
      </c>
      <c r="J48" s="1288" t="s">
        <v>1467</v>
      </c>
      <c r="K48" s="754" t="s">
        <v>2104</v>
      </c>
      <c r="L48" s="1170"/>
      <c r="M48" s="1170"/>
      <c r="N48" s="1170"/>
      <c r="O48" s="1165">
        <f t="shared" si="1"/>
        <v>0</v>
      </c>
      <c r="P48" s="1170"/>
      <c r="Q48" s="1170"/>
      <c r="R48" s="1170"/>
      <c r="S48" s="1170"/>
      <c r="T48" s="1170"/>
      <c r="U48" s="1170"/>
      <c r="V48" s="1170"/>
      <c r="W48" s="1438" t="e">
        <f t="shared" si="3"/>
        <v>#DIV/0!</v>
      </c>
      <c r="X48" s="1432"/>
      <c r="Y48" s="765"/>
    </row>
    <row r="49" spans="1:25" s="758" customFormat="1" ht="22.5" customHeight="1" thickTop="1" thickBot="1" x14ac:dyDescent="0.3">
      <c r="A49" s="1287" t="s">
        <v>1374</v>
      </c>
      <c r="B49" s="1287" t="s">
        <v>1378</v>
      </c>
      <c r="C49" s="1288" t="s">
        <v>1378</v>
      </c>
      <c r="D49" s="1287" t="s">
        <v>1391</v>
      </c>
      <c r="E49" s="1288" t="s">
        <v>1378</v>
      </c>
      <c r="F49" s="1288" t="s">
        <v>1378</v>
      </c>
      <c r="G49" s="1288" t="s">
        <v>1378</v>
      </c>
      <c r="H49" s="1288" t="s">
        <v>1378</v>
      </c>
      <c r="I49" s="1288" t="s">
        <v>1378</v>
      </c>
      <c r="J49" s="1288" t="s">
        <v>1471</v>
      </c>
      <c r="K49" s="754" t="s">
        <v>2105</v>
      </c>
      <c r="L49" s="1170"/>
      <c r="M49" s="1170"/>
      <c r="N49" s="1170"/>
      <c r="O49" s="1165">
        <f t="shared" si="1"/>
        <v>0</v>
      </c>
      <c r="P49" s="1170"/>
      <c r="Q49" s="1170"/>
      <c r="R49" s="1170"/>
      <c r="S49" s="1170"/>
      <c r="T49" s="1170"/>
      <c r="U49" s="1170"/>
      <c r="V49" s="1170"/>
      <c r="W49" s="1438" t="e">
        <f t="shared" si="3"/>
        <v>#DIV/0!</v>
      </c>
      <c r="X49" s="1432"/>
      <c r="Y49" s="765"/>
    </row>
    <row r="50" spans="1:25" s="758" customFormat="1" ht="22.5" customHeight="1" thickTop="1" thickBot="1" x14ac:dyDescent="0.3">
      <c r="A50" s="1287" t="s">
        <v>1374</v>
      </c>
      <c r="B50" s="1287" t="s">
        <v>1378</v>
      </c>
      <c r="C50" s="1288" t="s">
        <v>1378</v>
      </c>
      <c r="D50" s="1287" t="s">
        <v>1391</v>
      </c>
      <c r="E50" s="1288" t="s">
        <v>1378</v>
      </c>
      <c r="F50" s="1288" t="s">
        <v>1378</v>
      </c>
      <c r="G50" s="1288" t="s">
        <v>1378</v>
      </c>
      <c r="H50" s="1288" t="s">
        <v>1378</v>
      </c>
      <c r="I50" s="1288" t="s">
        <v>1378</v>
      </c>
      <c r="J50" s="1288" t="s">
        <v>1475</v>
      </c>
      <c r="K50" s="754" t="s">
        <v>2106</v>
      </c>
      <c r="L50" s="1170"/>
      <c r="M50" s="1170"/>
      <c r="N50" s="1170"/>
      <c r="O50" s="1165">
        <f t="shared" si="1"/>
        <v>0</v>
      </c>
      <c r="P50" s="1170"/>
      <c r="Q50" s="1170"/>
      <c r="R50" s="1170"/>
      <c r="S50" s="1170"/>
      <c r="T50" s="1170"/>
      <c r="U50" s="1170"/>
      <c r="V50" s="1170"/>
      <c r="W50" s="1438" t="e">
        <f t="shared" si="3"/>
        <v>#DIV/0!</v>
      </c>
      <c r="X50" s="1432"/>
      <c r="Y50" s="765"/>
    </row>
    <row r="51" spans="1:25" s="758" customFormat="1" ht="22.5" customHeight="1" thickTop="1" thickBot="1" x14ac:dyDescent="0.3">
      <c r="A51" s="1287" t="s">
        <v>1374</v>
      </c>
      <c r="B51" s="1287" t="s">
        <v>1378</v>
      </c>
      <c r="C51" s="1288" t="s">
        <v>1378</v>
      </c>
      <c r="D51" s="1287" t="s">
        <v>1391</v>
      </c>
      <c r="E51" s="1288" t="s">
        <v>1378</v>
      </c>
      <c r="F51" s="1288" t="s">
        <v>1378</v>
      </c>
      <c r="G51" s="1288" t="s">
        <v>1378</v>
      </c>
      <c r="H51" s="1288" t="s">
        <v>1378</v>
      </c>
      <c r="I51" s="1288" t="s">
        <v>1378</v>
      </c>
      <c r="J51" s="1288" t="s">
        <v>1573</v>
      </c>
      <c r="K51" s="754" t="s">
        <v>2107</v>
      </c>
      <c r="L51" s="1170"/>
      <c r="M51" s="1170"/>
      <c r="N51" s="1170"/>
      <c r="O51" s="1165">
        <f t="shared" si="1"/>
        <v>0</v>
      </c>
      <c r="P51" s="1170"/>
      <c r="Q51" s="1170"/>
      <c r="R51" s="1170"/>
      <c r="S51" s="1170"/>
      <c r="T51" s="1170"/>
      <c r="U51" s="1170"/>
      <c r="V51" s="1170"/>
      <c r="W51" s="1438" t="e">
        <f t="shared" si="3"/>
        <v>#DIV/0!</v>
      </c>
      <c r="X51" s="1432"/>
      <c r="Y51" s="765"/>
    </row>
    <row r="52" spans="1:25" s="758" customFormat="1" ht="22.5" customHeight="1" thickTop="1" thickBot="1" x14ac:dyDescent="0.3">
      <c r="A52" s="1287" t="s">
        <v>1374</v>
      </c>
      <c r="B52" s="1287" t="s">
        <v>1378</v>
      </c>
      <c r="C52" s="1288" t="s">
        <v>1378</v>
      </c>
      <c r="D52" s="1287" t="s">
        <v>1391</v>
      </c>
      <c r="E52" s="1288" t="s">
        <v>1378</v>
      </c>
      <c r="F52" s="1288" t="s">
        <v>1378</v>
      </c>
      <c r="G52" s="1288" t="s">
        <v>1378</v>
      </c>
      <c r="H52" s="1288" t="s">
        <v>1378</v>
      </c>
      <c r="I52" s="1288" t="s">
        <v>1378</v>
      </c>
      <c r="J52" s="1288" t="s">
        <v>1574</v>
      </c>
      <c r="K52" s="754" t="s">
        <v>2108</v>
      </c>
      <c r="L52" s="1170"/>
      <c r="M52" s="1170"/>
      <c r="N52" s="1170"/>
      <c r="O52" s="1165">
        <f t="shared" si="1"/>
        <v>0</v>
      </c>
      <c r="P52" s="1170"/>
      <c r="Q52" s="1170"/>
      <c r="R52" s="1170"/>
      <c r="S52" s="1170"/>
      <c r="T52" s="1170"/>
      <c r="U52" s="1170"/>
      <c r="V52" s="1170"/>
      <c r="W52" s="1438" t="e">
        <f t="shared" si="3"/>
        <v>#DIV/0!</v>
      </c>
      <c r="X52" s="1432"/>
      <c r="Y52" s="765"/>
    </row>
    <row r="53" spans="1:25" s="758" customFormat="1" ht="22.5" customHeight="1" thickTop="1" thickBot="1" x14ac:dyDescent="0.3">
      <c r="A53" s="1287" t="s">
        <v>1374</v>
      </c>
      <c r="B53" s="1287" t="s">
        <v>1378</v>
      </c>
      <c r="C53" s="1288" t="s">
        <v>1378</v>
      </c>
      <c r="D53" s="1287" t="s">
        <v>1391</v>
      </c>
      <c r="E53" s="1288" t="s">
        <v>1378</v>
      </c>
      <c r="F53" s="1288" t="s">
        <v>1378</v>
      </c>
      <c r="G53" s="1288" t="s">
        <v>1378</v>
      </c>
      <c r="H53" s="1288" t="s">
        <v>1378</v>
      </c>
      <c r="I53" s="1288" t="s">
        <v>1378</v>
      </c>
      <c r="J53" s="1288" t="s">
        <v>1575</v>
      </c>
      <c r="K53" s="754" t="s">
        <v>2109</v>
      </c>
      <c r="L53" s="1170"/>
      <c r="M53" s="1170"/>
      <c r="N53" s="1170"/>
      <c r="O53" s="1165">
        <f t="shared" si="1"/>
        <v>0</v>
      </c>
      <c r="P53" s="1170"/>
      <c r="Q53" s="1170"/>
      <c r="R53" s="1170"/>
      <c r="S53" s="1170"/>
      <c r="T53" s="1170"/>
      <c r="U53" s="1170"/>
      <c r="V53" s="1170"/>
      <c r="W53" s="1438" t="e">
        <f t="shared" si="3"/>
        <v>#DIV/0!</v>
      </c>
      <c r="X53" s="1432"/>
      <c r="Y53" s="765"/>
    </row>
    <row r="54" spans="1:25" s="758" customFormat="1" ht="22.5" customHeight="1" thickTop="1" thickBot="1" x14ac:dyDescent="0.3">
      <c r="A54" s="1287" t="s">
        <v>1374</v>
      </c>
      <c r="B54" s="1287" t="s">
        <v>1378</v>
      </c>
      <c r="C54" s="1288" t="s">
        <v>1378</v>
      </c>
      <c r="D54" s="1287" t="s">
        <v>1391</v>
      </c>
      <c r="E54" s="1288" t="s">
        <v>1378</v>
      </c>
      <c r="F54" s="1288" t="s">
        <v>1378</v>
      </c>
      <c r="G54" s="1288" t="s">
        <v>1378</v>
      </c>
      <c r="H54" s="1288" t="s">
        <v>1378</v>
      </c>
      <c r="I54" s="1288" t="s">
        <v>1391</v>
      </c>
      <c r="J54" s="1288"/>
      <c r="K54" s="754" t="s">
        <v>2068</v>
      </c>
      <c r="L54" s="1170">
        <f>SUM(L55:L65)</f>
        <v>3156002000</v>
      </c>
      <c r="M54" s="1170">
        <f t="shared" ref="M54:V54" si="15">SUM(M55:M65)</f>
        <v>2223385000</v>
      </c>
      <c r="N54" s="1170">
        <f t="shared" si="15"/>
        <v>0</v>
      </c>
      <c r="O54" s="1165">
        <f t="shared" si="1"/>
        <v>5379387000</v>
      </c>
      <c r="P54" s="1170"/>
      <c r="Q54" s="1170"/>
      <c r="R54" s="1170"/>
      <c r="S54" s="1170"/>
      <c r="T54" s="1170">
        <f t="shared" si="15"/>
        <v>0</v>
      </c>
      <c r="U54" s="1170">
        <f t="shared" si="15"/>
        <v>6059518177.6499996</v>
      </c>
      <c r="V54" s="1170">
        <f t="shared" si="15"/>
        <v>6059518177.6499996</v>
      </c>
      <c r="W54" s="1438">
        <f t="shared" si="3"/>
        <v>1</v>
      </c>
      <c r="X54" s="1432"/>
      <c r="Y54" s="765"/>
    </row>
    <row r="55" spans="1:25" s="758" customFormat="1" ht="22.5" customHeight="1" thickTop="1" thickBot="1" x14ac:dyDescent="0.3">
      <c r="A55" s="1287" t="s">
        <v>1374</v>
      </c>
      <c r="B55" s="1287" t="s">
        <v>1378</v>
      </c>
      <c r="C55" s="1288" t="s">
        <v>1378</v>
      </c>
      <c r="D55" s="1287" t="s">
        <v>1391</v>
      </c>
      <c r="E55" s="1288" t="s">
        <v>1378</v>
      </c>
      <c r="F55" s="1288" t="s">
        <v>1378</v>
      </c>
      <c r="G55" s="1288" t="s">
        <v>1378</v>
      </c>
      <c r="H55" s="1288" t="s">
        <v>1378</v>
      </c>
      <c r="I55" s="1288" t="s">
        <v>1391</v>
      </c>
      <c r="J55" s="1288" t="s">
        <v>1378</v>
      </c>
      <c r="K55" s="754" t="s">
        <v>2110</v>
      </c>
      <c r="L55" s="1171">
        <v>3146002000</v>
      </c>
      <c r="M55" s="1170"/>
      <c r="N55" s="1170"/>
      <c r="O55" s="1165">
        <f t="shared" si="1"/>
        <v>3146002000</v>
      </c>
      <c r="P55" s="1170"/>
      <c r="Q55" s="1170"/>
      <c r="R55" s="1170"/>
      <c r="S55" s="1170"/>
      <c r="T55" s="1170"/>
      <c r="U55" s="1170">
        <v>3803871649</v>
      </c>
      <c r="V55" s="1170">
        <v>3803871649</v>
      </c>
      <c r="W55" s="1438">
        <f t="shared" si="3"/>
        <v>1</v>
      </c>
      <c r="X55" s="1432"/>
      <c r="Y55" s="765"/>
    </row>
    <row r="56" spans="1:25" s="758" customFormat="1" ht="22.5" customHeight="1" thickTop="1" thickBot="1" x14ac:dyDescent="0.3">
      <c r="A56" s="1287" t="s">
        <v>1374</v>
      </c>
      <c r="B56" s="1287" t="s">
        <v>1378</v>
      </c>
      <c r="C56" s="1288" t="s">
        <v>1378</v>
      </c>
      <c r="D56" s="1287" t="s">
        <v>1391</v>
      </c>
      <c r="E56" s="1288" t="s">
        <v>1378</v>
      </c>
      <c r="F56" s="1288" t="s">
        <v>1378</v>
      </c>
      <c r="G56" s="1288" t="s">
        <v>1378</v>
      </c>
      <c r="H56" s="1288" t="s">
        <v>1378</v>
      </c>
      <c r="I56" s="1288" t="s">
        <v>1391</v>
      </c>
      <c r="J56" s="1288" t="s">
        <v>1391</v>
      </c>
      <c r="K56" s="754" t="s">
        <v>2111</v>
      </c>
      <c r="L56" s="1170"/>
      <c r="M56" s="1170"/>
      <c r="N56" s="1170"/>
      <c r="O56" s="1165">
        <f t="shared" si="1"/>
        <v>0</v>
      </c>
      <c r="P56" s="1170"/>
      <c r="Q56" s="1170"/>
      <c r="R56" s="1170"/>
      <c r="S56" s="1170"/>
      <c r="T56" s="1170"/>
      <c r="U56" s="1170">
        <f>N56</f>
        <v>0</v>
      </c>
      <c r="V56" s="1170">
        <f>O56</f>
        <v>0</v>
      </c>
      <c r="W56" s="1438" t="e">
        <f t="shared" si="3"/>
        <v>#DIV/0!</v>
      </c>
      <c r="X56" s="1432"/>
      <c r="Y56" s="765"/>
    </row>
    <row r="57" spans="1:25" s="758" customFormat="1" ht="22.5" customHeight="1" thickTop="1" thickBot="1" x14ac:dyDescent="0.3">
      <c r="A57" s="1287" t="s">
        <v>1374</v>
      </c>
      <c r="B57" s="1287" t="s">
        <v>1378</v>
      </c>
      <c r="C57" s="1288" t="s">
        <v>1378</v>
      </c>
      <c r="D57" s="1287" t="s">
        <v>1391</v>
      </c>
      <c r="E57" s="1288" t="s">
        <v>1378</v>
      </c>
      <c r="F57" s="1288" t="s">
        <v>1378</v>
      </c>
      <c r="G57" s="1288" t="s">
        <v>1378</v>
      </c>
      <c r="H57" s="1288" t="s">
        <v>1378</v>
      </c>
      <c r="I57" s="1288" t="s">
        <v>1391</v>
      </c>
      <c r="J57" s="1288" t="s">
        <v>1415</v>
      </c>
      <c r="K57" s="754" t="s">
        <v>2112</v>
      </c>
      <c r="L57" s="1171">
        <v>10000000</v>
      </c>
      <c r="M57" s="1170"/>
      <c r="N57" s="1170"/>
      <c r="O57" s="1165">
        <f t="shared" si="1"/>
        <v>10000000</v>
      </c>
      <c r="P57" s="1170"/>
      <c r="Q57" s="1170"/>
      <c r="R57" s="1170"/>
      <c r="S57" s="1170"/>
      <c r="T57" s="1170"/>
      <c r="U57" s="1173">
        <v>32261528.649999999</v>
      </c>
      <c r="V57" s="1173">
        <v>32261528.649999999</v>
      </c>
      <c r="W57" s="1439">
        <f t="shared" si="3"/>
        <v>1</v>
      </c>
      <c r="X57" s="1432"/>
      <c r="Y57" s="765"/>
    </row>
    <row r="58" spans="1:25" s="758" customFormat="1" ht="22.5" customHeight="1" thickTop="1" thickBot="1" x14ac:dyDescent="0.3">
      <c r="A58" s="1287" t="s">
        <v>1374</v>
      </c>
      <c r="B58" s="1287" t="s">
        <v>1378</v>
      </c>
      <c r="C58" s="1288" t="s">
        <v>1378</v>
      </c>
      <c r="D58" s="1287" t="s">
        <v>1391</v>
      </c>
      <c r="E58" s="1288" t="s">
        <v>1378</v>
      </c>
      <c r="F58" s="1288" t="s">
        <v>1378</v>
      </c>
      <c r="G58" s="1288" t="s">
        <v>1378</v>
      </c>
      <c r="H58" s="1288" t="s">
        <v>1378</v>
      </c>
      <c r="I58" s="1288" t="s">
        <v>1391</v>
      </c>
      <c r="J58" s="1288" t="s">
        <v>1419</v>
      </c>
      <c r="K58" s="754" t="s">
        <v>2113</v>
      </c>
      <c r="L58" s="1170"/>
      <c r="M58" s="1170"/>
      <c r="N58" s="1170"/>
      <c r="O58" s="1165">
        <f t="shared" si="1"/>
        <v>0</v>
      </c>
      <c r="P58" s="1170"/>
      <c r="Q58" s="1170"/>
      <c r="R58" s="1170"/>
      <c r="S58" s="1170"/>
      <c r="T58" s="1170"/>
      <c r="U58" s="1170"/>
      <c r="V58" s="1170"/>
      <c r="W58" s="1438" t="e">
        <f t="shared" si="3"/>
        <v>#DIV/0!</v>
      </c>
      <c r="X58" s="1432"/>
      <c r="Y58" s="765"/>
    </row>
    <row r="59" spans="1:25" s="758" customFormat="1" ht="22.5" customHeight="1" thickTop="1" thickBot="1" x14ac:dyDescent="0.3">
      <c r="A59" s="1287" t="s">
        <v>1374</v>
      </c>
      <c r="B59" s="1287" t="s">
        <v>1378</v>
      </c>
      <c r="C59" s="1288" t="s">
        <v>1378</v>
      </c>
      <c r="D59" s="1287" t="s">
        <v>1391</v>
      </c>
      <c r="E59" s="1288" t="s">
        <v>1378</v>
      </c>
      <c r="F59" s="1288" t="s">
        <v>1378</v>
      </c>
      <c r="G59" s="1288" t="s">
        <v>1378</v>
      </c>
      <c r="H59" s="1288" t="s">
        <v>1378</v>
      </c>
      <c r="I59" s="1288" t="s">
        <v>1391</v>
      </c>
      <c r="J59" s="1288" t="s">
        <v>1444</v>
      </c>
      <c r="K59" s="754" t="s">
        <v>2114</v>
      </c>
      <c r="L59" s="1170"/>
      <c r="M59" s="1170"/>
      <c r="N59" s="1170"/>
      <c r="O59" s="1165">
        <f t="shared" si="1"/>
        <v>0</v>
      </c>
      <c r="P59" s="1170"/>
      <c r="Q59" s="1170"/>
      <c r="R59" s="1170"/>
      <c r="S59" s="1170"/>
      <c r="T59" s="1170"/>
      <c r="U59" s="1170"/>
      <c r="V59" s="1170"/>
      <c r="W59" s="1438" t="e">
        <f t="shared" si="3"/>
        <v>#DIV/0!</v>
      </c>
      <c r="X59" s="1432"/>
      <c r="Y59" s="765"/>
    </row>
    <row r="60" spans="1:25" s="758" customFormat="1" ht="22.5" customHeight="1" thickTop="1" thickBot="1" x14ac:dyDescent="0.3">
      <c r="A60" s="1287" t="s">
        <v>1374</v>
      </c>
      <c r="B60" s="1287" t="s">
        <v>1378</v>
      </c>
      <c r="C60" s="1288" t="s">
        <v>1378</v>
      </c>
      <c r="D60" s="1287" t="s">
        <v>1391</v>
      </c>
      <c r="E60" s="1288" t="s">
        <v>1378</v>
      </c>
      <c r="F60" s="1288" t="s">
        <v>1378</v>
      </c>
      <c r="G60" s="1288" t="s">
        <v>1378</v>
      </c>
      <c r="H60" s="1288" t="s">
        <v>1378</v>
      </c>
      <c r="I60" s="1288" t="s">
        <v>1391</v>
      </c>
      <c r="J60" s="1288" t="s">
        <v>1467</v>
      </c>
      <c r="K60" s="754" t="s">
        <v>2115</v>
      </c>
      <c r="L60" s="1170"/>
      <c r="M60" s="1170"/>
      <c r="N60" s="1170"/>
      <c r="O60" s="1165">
        <f t="shared" si="1"/>
        <v>0</v>
      </c>
      <c r="P60" s="1170"/>
      <c r="Q60" s="1170"/>
      <c r="R60" s="1170"/>
      <c r="S60" s="1170"/>
      <c r="T60" s="1170"/>
      <c r="U60" s="1170"/>
      <c r="V60" s="1170"/>
      <c r="W60" s="1438" t="e">
        <f t="shared" si="3"/>
        <v>#DIV/0!</v>
      </c>
      <c r="X60" s="1432"/>
      <c r="Y60" s="765"/>
    </row>
    <row r="61" spans="1:25" s="758" customFormat="1" ht="22.5" customHeight="1" thickTop="1" thickBot="1" x14ac:dyDescent="0.3">
      <c r="A61" s="1287" t="s">
        <v>1374</v>
      </c>
      <c r="B61" s="1287" t="s">
        <v>1378</v>
      </c>
      <c r="C61" s="1288" t="s">
        <v>1378</v>
      </c>
      <c r="D61" s="1287" t="s">
        <v>1391</v>
      </c>
      <c r="E61" s="1288" t="s">
        <v>1378</v>
      </c>
      <c r="F61" s="1288" t="s">
        <v>1378</v>
      </c>
      <c r="G61" s="1288" t="s">
        <v>1378</v>
      </c>
      <c r="H61" s="1288" t="s">
        <v>1378</v>
      </c>
      <c r="I61" s="1288" t="s">
        <v>1391</v>
      </c>
      <c r="J61" s="1288" t="s">
        <v>1471</v>
      </c>
      <c r="K61" s="754" t="s">
        <v>2116</v>
      </c>
      <c r="L61" s="1170"/>
      <c r="M61" s="1170"/>
      <c r="N61" s="1170"/>
      <c r="O61" s="1165">
        <f t="shared" si="1"/>
        <v>0</v>
      </c>
      <c r="P61" s="1170"/>
      <c r="Q61" s="1170"/>
      <c r="R61" s="1170"/>
      <c r="S61" s="1170"/>
      <c r="T61" s="1170"/>
      <c r="U61" s="1170"/>
      <c r="V61" s="1170"/>
      <c r="W61" s="1438" t="e">
        <f t="shared" si="3"/>
        <v>#DIV/0!</v>
      </c>
      <c r="X61" s="1432"/>
      <c r="Y61" s="765"/>
    </row>
    <row r="62" spans="1:25" s="758" customFormat="1" ht="22.5" customHeight="1" thickTop="1" thickBot="1" x14ac:dyDescent="0.3">
      <c r="A62" s="1287" t="s">
        <v>1374</v>
      </c>
      <c r="B62" s="1287" t="s">
        <v>1378</v>
      </c>
      <c r="C62" s="1288" t="s">
        <v>1378</v>
      </c>
      <c r="D62" s="1287" t="s">
        <v>1391</v>
      </c>
      <c r="E62" s="1288" t="s">
        <v>1378</v>
      </c>
      <c r="F62" s="1288" t="s">
        <v>1378</v>
      </c>
      <c r="G62" s="1288" t="s">
        <v>1378</v>
      </c>
      <c r="H62" s="1288" t="s">
        <v>1378</v>
      </c>
      <c r="I62" s="1288" t="s">
        <v>1391</v>
      </c>
      <c r="J62" s="1288" t="s">
        <v>1475</v>
      </c>
      <c r="K62" s="754" t="s">
        <v>2117</v>
      </c>
      <c r="L62" s="1172"/>
      <c r="M62" s="1171">
        <v>2223385000</v>
      </c>
      <c r="N62" s="1170"/>
      <c r="O62" s="1165">
        <f t="shared" si="1"/>
        <v>2223385000</v>
      </c>
      <c r="P62" s="1170"/>
      <c r="Q62" s="1170"/>
      <c r="R62" s="1170"/>
      <c r="S62" s="1170"/>
      <c r="T62" s="1170"/>
      <c r="U62" s="1173">
        <v>2223385000</v>
      </c>
      <c r="V62" s="1173">
        <v>2223385000</v>
      </c>
      <c r="W62" s="1439">
        <f t="shared" si="3"/>
        <v>1</v>
      </c>
      <c r="X62" s="1432"/>
      <c r="Y62" s="765"/>
    </row>
    <row r="63" spans="1:25" s="758" customFormat="1" ht="22.5" customHeight="1" thickTop="1" thickBot="1" x14ac:dyDescent="0.3">
      <c r="A63" s="1287" t="s">
        <v>1374</v>
      </c>
      <c r="B63" s="1287" t="s">
        <v>1378</v>
      </c>
      <c r="C63" s="1288" t="s">
        <v>1378</v>
      </c>
      <c r="D63" s="1287" t="s">
        <v>1391</v>
      </c>
      <c r="E63" s="1288" t="s">
        <v>1378</v>
      </c>
      <c r="F63" s="1288" t="s">
        <v>1378</v>
      </c>
      <c r="G63" s="1288" t="s">
        <v>1378</v>
      </c>
      <c r="H63" s="1288" t="s">
        <v>1378</v>
      </c>
      <c r="I63" s="1288" t="s">
        <v>1391</v>
      </c>
      <c r="J63" s="1288" t="s">
        <v>1573</v>
      </c>
      <c r="K63" s="754" t="s">
        <v>2118</v>
      </c>
      <c r="L63" s="1170"/>
      <c r="M63" s="1170"/>
      <c r="N63" s="1170"/>
      <c r="O63" s="1165">
        <f t="shared" si="1"/>
        <v>0</v>
      </c>
      <c r="P63" s="1170"/>
      <c r="Q63" s="1170"/>
      <c r="R63" s="1170"/>
      <c r="S63" s="1170"/>
      <c r="T63" s="1170"/>
      <c r="U63" s="1170"/>
      <c r="V63" s="1170"/>
      <c r="W63" s="1438" t="e">
        <f t="shared" si="3"/>
        <v>#DIV/0!</v>
      </c>
      <c r="X63" s="1432"/>
      <c r="Y63" s="765"/>
    </row>
    <row r="64" spans="1:25" s="758" customFormat="1" ht="22.5" customHeight="1" thickTop="1" thickBot="1" x14ac:dyDescent="0.3">
      <c r="A64" s="1287" t="s">
        <v>1374</v>
      </c>
      <c r="B64" s="1287" t="s">
        <v>1378</v>
      </c>
      <c r="C64" s="1288" t="s">
        <v>1378</v>
      </c>
      <c r="D64" s="1287" t="s">
        <v>1391</v>
      </c>
      <c r="E64" s="1288" t="s">
        <v>1378</v>
      </c>
      <c r="F64" s="1288" t="s">
        <v>1378</v>
      </c>
      <c r="G64" s="1288" t="s">
        <v>1378</v>
      </c>
      <c r="H64" s="1288" t="s">
        <v>1378</v>
      </c>
      <c r="I64" s="1288" t="s">
        <v>1391</v>
      </c>
      <c r="J64" s="1288" t="s">
        <v>1574</v>
      </c>
      <c r="K64" s="754" t="s">
        <v>2119</v>
      </c>
      <c r="L64" s="1170"/>
      <c r="M64" s="1170"/>
      <c r="N64" s="1170"/>
      <c r="O64" s="1165">
        <f t="shared" si="1"/>
        <v>0</v>
      </c>
      <c r="P64" s="1170"/>
      <c r="Q64" s="1170"/>
      <c r="R64" s="1170"/>
      <c r="S64" s="1170"/>
      <c r="T64" s="1170"/>
      <c r="U64" s="1170"/>
      <c r="V64" s="1170"/>
      <c r="W64" s="1438" t="e">
        <f t="shared" si="3"/>
        <v>#DIV/0!</v>
      </c>
      <c r="X64" s="1432"/>
      <c r="Y64" s="765"/>
    </row>
    <row r="65" spans="1:25" s="758" customFormat="1" ht="22.5" customHeight="1" thickTop="1" thickBot="1" x14ac:dyDescent="0.3">
      <c r="A65" s="1287" t="s">
        <v>1374</v>
      </c>
      <c r="B65" s="1287" t="s">
        <v>1378</v>
      </c>
      <c r="C65" s="1288" t="s">
        <v>1378</v>
      </c>
      <c r="D65" s="1287" t="s">
        <v>1391</v>
      </c>
      <c r="E65" s="1288" t="s">
        <v>1378</v>
      </c>
      <c r="F65" s="1288" t="s">
        <v>1378</v>
      </c>
      <c r="G65" s="1288" t="s">
        <v>1378</v>
      </c>
      <c r="H65" s="1288" t="s">
        <v>1378</v>
      </c>
      <c r="I65" s="1288" t="s">
        <v>1391</v>
      </c>
      <c r="J65" s="1288" t="s">
        <v>1575</v>
      </c>
      <c r="K65" s="754" t="s">
        <v>2120</v>
      </c>
      <c r="L65" s="1170"/>
      <c r="M65" s="1170"/>
      <c r="N65" s="1170"/>
      <c r="O65" s="1165">
        <f t="shared" si="1"/>
        <v>0</v>
      </c>
      <c r="P65" s="1170"/>
      <c r="Q65" s="1170"/>
      <c r="R65" s="1170"/>
      <c r="S65" s="1170"/>
      <c r="T65" s="1170"/>
      <c r="U65" s="1170"/>
      <c r="V65" s="1170"/>
      <c r="W65" s="1438" t="e">
        <f t="shared" si="3"/>
        <v>#DIV/0!</v>
      </c>
      <c r="X65" s="1432"/>
      <c r="Y65" s="765"/>
    </row>
    <row r="66" spans="1:25" s="758" customFormat="1" ht="22.5" customHeight="1" thickTop="1" thickBot="1" x14ac:dyDescent="0.3">
      <c r="A66" s="1287" t="s">
        <v>1374</v>
      </c>
      <c r="B66" s="1287" t="s">
        <v>1378</v>
      </c>
      <c r="C66" s="1288" t="s">
        <v>1378</v>
      </c>
      <c r="D66" s="1287" t="s">
        <v>1391</v>
      </c>
      <c r="E66" s="1288" t="s">
        <v>1378</v>
      </c>
      <c r="F66" s="1288" t="s">
        <v>1378</v>
      </c>
      <c r="G66" s="1288" t="s">
        <v>1378</v>
      </c>
      <c r="H66" s="1288" t="s">
        <v>1391</v>
      </c>
      <c r="I66" s="1288"/>
      <c r="J66" s="1288"/>
      <c r="K66" s="753" t="s">
        <v>1968</v>
      </c>
      <c r="L66" s="1165">
        <f>SUM(L67:L77)</f>
        <v>0</v>
      </c>
      <c r="M66" s="1165">
        <f t="shared" ref="M66:V66" si="16">SUM(M67:M77)</f>
        <v>0</v>
      </c>
      <c r="N66" s="1165">
        <f t="shared" si="16"/>
        <v>0</v>
      </c>
      <c r="O66" s="1165">
        <f t="shared" si="1"/>
        <v>0</v>
      </c>
      <c r="P66" s="1165">
        <f t="shared" si="16"/>
        <v>0</v>
      </c>
      <c r="Q66" s="1165">
        <f t="shared" si="16"/>
        <v>0</v>
      </c>
      <c r="R66" s="1165">
        <f t="shared" si="16"/>
        <v>0</v>
      </c>
      <c r="S66" s="1165"/>
      <c r="T66" s="1165">
        <f t="shared" si="16"/>
        <v>0</v>
      </c>
      <c r="U66" s="1165">
        <f t="shared" si="16"/>
        <v>0</v>
      </c>
      <c r="V66" s="1165">
        <f t="shared" si="16"/>
        <v>0</v>
      </c>
      <c r="W66" s="1436" t="e">
        <f t="shared" si="3"/>
        <v>#DIV/0!</v>
      </c>
      <c r="X66" s="1432" t="s">
        <v>1971</v>
      </c>
      <c r="Y66" s="765" t="s">
        <v>1972</v>
      </c>
    </row>
    <row r="67" spans="1:25" s="758" customFormat="1" ht="22.5" customHeight="1" thickTop="1" thickBot="1" x14ac:dyDescent="0.3">
      <c r="A67" s="1287" t="s">
        <v>1374</v>
      </c>
      <c r="B67" s="1287" t="s">
        <v>1378</v>
      </c>
      <c r="C67" s="1288" t="s">
        <v>1378</v>
      </c>
      <c r="D67" s="1287" t="s">
        <v>1391</v>
      </c>
      <c r="E67" s="1288" t="s">
        <v>1378</v>
      </c>
      <c r="F67" s="1288" t="s">
        <v>1378</v>
      </c>
      <c r="G67" s="1288" t="s">
        <v>1378</v>
      </c>
      <c r="H67" s="1288" t="s">
        <v>1391</v>
      </c>
      <c r="I67" s="1288" t="s">
        <v>1378</v>
      </c>
      <c r="J67" s="1288"/>
      <c r="K67" s="754" t="s">
        <v>2121</v>
      </c>
      <c r="L67" s="1170"/>
      <c r="M67" s="1170"/>
      <c r="N67" s="1170"/>
      <c r="O67" s="1165">
        <f t="shared" si="1"/>
        <v>0</v>
      </c>
      <c r="P67" s="1170"/>
      <c r="Q67" s="1170"/>
      <c r="R67" s="1170"/>
      <c r="S67" s="1170"/>
      <c r="T67" s="1170"/>
      <c r="U67" s="1170"/>
      <c r="V67" s="1170"/>
      <c r="W67" s="1438" t="e">
        <f t="shared" si="3"/>
        <v>#DIV/0!</v>
      </c>
      <c r="X67" s="1432"/>
      <c r="Y67" s="765"/>
    </row>
    <row r="68" spans="1:25" s="758" customFormat="1" ht="22.5" customHeight="1" thickTop="1" thickBot="1" x14ac:dyDescent="0.3">
      <c r="A68" s="1287" t="s">
        <v>1374</v>
      </c>
      <c r="B68" s="1287" t="s">
        <v>1378</v>
      </c>
      <c r="C68" s="1288" t="s">
        <v>1378</v>
      </c>
      <c r="D68" s="1287" t="s">
        <v>1391</v>
      </c>
      <c r="E68" s="1288" t="s">
        <v>1378</v>
      </c>
      <c r="F68" s="1288" t="s">
        <v>1378</v>
      </c>
      <c r="G68" s="1288" t="s">
        <v>1378</v>
      </c>
      <c r="H68" s="1288" t="s">
        <v>1391</v>
      </c>
      <c r="I68" s="1288" t="s">
        <v>1391</v>
      </c>
      <c r="J68" s="1288"/>
      <c r="K68" s="754" t="s">
        <v>2122</v>
      </c>
      <c r="L68" s="1170"/>
      <c r="M68" s="1170"/>
      <c r="N68" s="1170"/>
      <c r="O68" s="1165">
        <f t="shared" si="1"/>
        <v>0</v>
      </c>
      <c r="P68" s="1170"/>
      <c r="Q68" s="1170"/>
      <c r="R68" s="1170"/>
      <c r="S68" s="1170"/>
      <c r="T68" s="1170"/>
      <c r="U68" s="1170"/>
      <c r="V68" s="1170"/>
      <c r="W68" s="1438" t="e">
        <f t="shared" si="3"/>
        <v>#DIV/0!</v>
      </c>
      <c r="X68" s="1432"/>
      <c r="Y68" s="765"/>
    </row>
    <row r="69" spans="1:25" s="758" customFormat="1" ht="22.5" customHeight="1" thickTop="1" thickBot="1" x14ac:dyDescent="0.3">
      <c r="A69" s="1287" t="s">
        <v>1374</v>
      </c>
      <c r="B69" s="1287" t="s">
        <v>1378</v>
      </c>
      <c r="C69" s="1288" t="s">
        <v>1378</v>
      </c>
      <c r="D69" s="1287" t="s">
        <v>1391</v>
      </c>
      <c r="E69" s="1288" t="s">
        <v>1378</v>
      </c>
      <c r="F69" s="1288" t="s">
        <v>1378</v>
      </c>
      <c r="G69" s="1288" t="s">
        <v>1378</v>
      </c>
      <c r="H69" s="1288" t="s">
        <v>1391</v>
      </c>
      <c r="I69" s="1288" t="s">
        <v>1415</v>
      </c>
      <c r="J69" s="1288"/>
      <c r="K69" s="754" t="s">
        <v>2123</v>
      </c>
      <c r="L69" s="1170"/>
      <c r="M69" s="1170"/>
      <c r="N69" s="1170"/>
      <c r="O69" s="1165">
        <f t="shared" si="1"/>
        <v>0</v>
      </c>
      <c r="P69" s="1170"/>
      <c r="Q69" s="1170"/>
      <c r="R69" s="1170"/>
      <c r="S69" s="1170"/>
      <c r="T69" s="1170"/>
      <c r="U69" s="1170"/>
      <c r="V69" s="1170"/>
      <c r="W69" s="1438" t="e">
        <f t="shared" si="3"/>
        <v>#DIV/0!</v>
      </c>
      <c r="X69" s="1432"/>
      <c r="Y69" s="765"/>
    </row>
    <row r="70" spans="1:25" s="758" customFormat="1" ht="22.5" customHeight="1" thickTop="1" thickBot="1" x14ac:dyDescent="0.3">
      <c r="A70" s="1287" t="s">
        <v>1374</v>
      </c>
      <c r="B70" s="1287" t="s">
        <v>1378</v>
      </c>
      <c r="C70" s="1288" t="s">
        <v>1378</v>
      </c>
      <c r="D70" s="1287" t="s">
        <v>1391</v>
      </c>
      <c r="E70" s="1288" t="s">
        <v>1378</v>
      </c>
      <c r="F70" s="1288" t="s">
        <v>1378</v>
      </c>
      <c r="G70" s="1288" t="s">
        <v>1378</v>
      </c>
      <c r="H70" s="1288" t="s">
        <v>1391</v>
      </c>
      <c r="I70" s="1288" t="s">
        <v>1419</v>
      </c>
      <c r="J70" s="1288"/>
      <c r="K70" s="754" t="s">
        <v>2124</v>
      </c>
      <c r="L70" s="1170"/>
      <c r="M70" s="1170"/>
      <c r="N70" s="1170"/>
      <c r="O70" s="1165">
        <f t="shared" si="1"/>
        <v>0</v>
      </c>
      <c r="P70" s="1170"/>
      <c r="Q70" s="1170"/>
      <c r="R70" s="1170"/>
      <c r="S70" s="1170"/>
      <c r="T70" s="1170"/>
      <c r="U70" s="1170"/>
      <c r="V70" s="1170"/>
      <c r="W70" s="1438" t="e">
        <f t="shared" si="3"/>
        <v>#DIV/0!</v>
      </c>
      <c r="X70" s="1432"/>
      <c r="Y70" s="765"/>
    </row>
    <row r="71" spans="1:25" s="758" customFormat="1" ht="22.5" customHeight="1" thickTop="1" thickBot="1" x14ac:dyDescent="0.3">
      <c r="A71" s="1287" t="s">
        <v>1374</v>
      </c>
      <c r="B71" s="1287" t="s">
        <v>1378</v>
      </c>
      <c r="C71" s="1288" t="s">
        <v>1378</v>
      </c>
      <c r="D71" s="1287" t="s">
        <v>1391</v>
      </c>
      <c r="E71" s="1288" t="s">
        <v>1378</v>
      </c>
      <c r="F71" s="1288" t="s">
        <v>1378</v>
      </c>
      <c r="G71" s="1288" t="s">
        <v>1378</v>
      </c>
      <c r="H71" s="1288" t="s">
        <v>1391</v>
      </c>
      <c r="I71" s="1288" t="s">
        <v>1444</v>
      </c>
      <c r="J71" s="1288"/>
      <c r="K71" s="754" t="s">
        <v>2125</v>
      </c>
      <c r="L71" s="1170"/>
      <c r="M71" s="1170"/>
      <c r="N71" s="1170"/>
      <c r="O71" s="1165">
        <f t="shared" si="1"/>
        <v>0</v>
      </c>
      <c r="P71" s="1170"/>
      <c r="Q71" s="1170"/>
      <c r="R71" s="1170"/>
      <c r="S71" s="1170"/>
      <c r="T71" s="1170"/>
      <c r="U71" s="1170"/>
      <c r="V71" s="1170"/>
      <c r="W71" s="1438" t="e">
        <f t="shared" si="3"/>
        <v>#DIV/0!</v>
      </c>
      <c r="X71" s="1432"/>
      <c r="Y71" s="765"/>
    </row>
    <row r="72" spans="1:25" s="758" customFormat="1" ht="22.5" customHeight="1" thickTop="1" thickBot="1" x14ac:dyDescent="0.3">
      <c r="A72" s="1287" t="s">
        <v>1374</v>
      </c>
      <c r="B72" s="1287" t="s">
        <v>1378</v>
      </c>
      <c r="C72" s="1288" t="s">
        <v>1378</v>
      </c>
      <c r="D72" s="1287" t="s">
        <v>1391</v>
      </c>
      <c r="E72" s="1288" t="s">
        <v>1378</v>
      </c>
      <c r="F72" s="1288" t="s">
        <v>1378</v>
      </c>
      <c r="G72" s="1288" t="s">
        <v>1378</v>
      </c>
      <c r="H72" s="1288" t="s">
        <v>1391</v>
      </c>
      <c r="I72" s="1288" t="s">
        <v>1467</v>
      </c>
      <c r="J72" s="1288"/>
      <c r="K72" s="754" t="s">
        <v>2126</v>
      </c>
      <c r="L72" s="1170"/>
      <c r="M72" s="1170"/>
      <c r="N72" s="1170"/>
      <c r="O72" s="1165">
        <f t="shared" ref="O72:O135" si="17">L72+M72-N72</f>
        <v>0</v>
      </c>
      <c r="P72" s="1170"/>
      <c r="Q72" s="1170"/>
      <c r="R72" s="1170"/>
      <c r="S72" s="1170"/>
      <c r="T72" s="1170"/>
      <c r="U72" s="1170"/>
      <c r="V72" s="1170"/>
      <c r="W72" s="1438" t="e">
        <f t="shared" ref="W72:W135" si="18">V72/U72</f>
        <v>#DIV/0!</v>
      </c>
      <c r="X72" s="1432"/>
      <c r="Y72" s="765"/>
    </row>
    <row r="73" spans="1:25" s="758" customFormat="1" ht="22.5" customHeight="1" thickTop="1" thickBot="1" x14ac:dyDescent="0.3">
      <c r="A73" s="1287" t="s">
        <v>1374</v>
      </c>
      <c r="B73" s="1287" t="s">
        <v>1378</v>
      </c>
      <c r="C73" s="1288" t="s">
        <v>1378</v>
      </c>
      <c r="D73" s="1287" t="s">
        <v>1391</v>
      </c>
      <c r="E73" s="1288" t="s">
        <v>1378</v>
      </c>
      <c r="F73" s="1288" t="s">
        <v>1378</v>
      </c>
      <c r="G73" s="1288" t="s">
        <v>1378</v>
      </c>
      <c r="H73" s="1288" t="s">
        <v>1391</v>
      </c>
      <c r="I73" s="1288" t="s">
        <v>1471</v>
      </c>
      <c r="J73" s="1288"/>
      <c r="K73" s="754" t="s">
        <v>2127</v>
      </c>
      <c r="L73" s="1170"/>
      <c r="M73" s="1170"/>
      <c r="N73" s="1170"/>
      <c r="O73" s="1165">
        <f t="shared" si="17"/>
        <v>0</v>
      </c>
      <c r="P73" s="1170"/>
      <c r="Q73" s="1170"/>
      <c r="R73" s="1170"/>
      <c r="S73" s="1170"/>
      <c r="T73" s="1170"/>
      <c r="U73" s="1170"/>
      <c r="V73" s="1170"/>
      <c r="W73" s="1438" t="e">
        <f t="shared" si="18"/>
        <v>#DIV/0!</v>
      </c>
      <c r="X73" s="1432"/>
      <c r="Y73" s="765"/>
    </row>
    <row r="74" spans="1:25" s="758" customFormat="1" ht="22.5" customHeight="1" thickTop="1" thickBot="1" x14ac:dyDescent="0.3">
      <c r="A74" s="1287" t="s">
        <v>1374</v>
      </c>
      <c r="B74" s="1287" t="s">
        <v>1378</v>
      </c>
      <c r="C74" s="1288" t="s">
        <v>1378</v>
      </c>
      <c r="D74" s="1287" t="s">
        <v>1391</v>
      </c>
      <c r="E74" s="1288" t="s">
        <v>1378</v>
      </c>
      <c r="F74" s="1288" t="s">
        <v>1378</v>
      </c>
      <c r="G74" s="1288" t="s">
        <v>1378</v>
      </c>
      <c r="H74" s="1288" t="s">
        <v>1391</v>
      </c>
      <c r="I74" s="1288" t="s">
        <v>1475</v>
      </c>
      <c r="J74" s="1288"/>
      <c r="K74" s="754" t="s">
        <v>2128</v>
      </c>
      <c r="L74" s="1170"/>
      <c r="M74" s="1170"/>
      <c r="N74" s="1170"/>
      <c r="O74" s="1165">
        <f t="shared" si="17"/>
        <v>0</v>
      </c>
      <c r="P74" s="1170"/>
      <c r="Q74" s="1170"/>
      <c r="R74" s="1170"/>
      <c r="S74" s="1170"/>
      <c r="T74" s="1170"/>
      <c r="U74" s="1170"/>
      <c r="V74" s="1170"/>
      <c r="W74" s="1438" t="e">
        <f t="shared" si="18"/>
        <v>#DIV/0!</v>
      </c>
      <c r="X74" s="1432"/>
      <c r="Y74" s="765"/>
    </row>
    <row r="75" spans="1:25" s="758" customFormat="1" ht="22.5" customHeight="1" thickTop="1" thickBot="1" x14ac:dyDescent="0.3">
      <c r="A75" s="1287" t="s">
        <v>1374</v>
      </c>
      <c r="B75" s="1287" t="s">
        <v>1378</v>
      </c>
      <c r="C75" s="1288" t="s">
        <v>1378</v>
      </c>
      <c r="D75" s="1287" t="s">
        <v>1391</v>
      </c>
      <c r="E75" s="1288" t="s">
        <v>1378</v>
      </c>
      <c r="F75" s="1288" t="s">
        <v>1378</v>
      </c>
      <c r="G75" s="1288" t="s">
        <v>1378</v>
      </c>
      <c r="H75" s="1288" t="s">
        <v>1391</v>
      </c>
      <c r="I75" s="1288" t="s">
        <v>1573</v>
      </c>
      <c r="J75" s="1288"/>
      <c r="K75" s="754" t="s">
        <v>2129</v>
      </c>
      <c r="L75" s="1170"/>
      <c r="M75" s="1170"/>
      <c r="N75" s="1170"/>
      <c r="O75" s="1165">
        <f t="shared" si="17"/>
        <v>0</v>
      </c>
      <c r="P75" s="1170"/>
      <c r="Q75" s="1170"/>
      <c r="R75" s="1170"/>
      <c r="S75" s="1170"/>
      <c r="T75" s="1170"/>
      <c r="U75" s="1170"/>
      <c r="V75" s="1170"/>
      <c r="W75" s="1438" t="e">
        <f t="shared" si="18"/>
        <v>#DIV/0!</v>
      </c>
      <c r="X75" s="1432"/>
      <c r="Y75" s="765"/>
    </row>
    <row r="76" spans="1:25" s="758" customFormat="1" ht="22.5" customHeight="1" thickTop="1" thickBot="1" x14ac:dyDescent="0.3">
      <c r="A76" s="1287" t="s">
        <v>1374</v>
      </c>
      <c r="B76" s="1287" t="s">
        <v>1378</v>
      </c>
      <c r="C76" s="1288" t="s">
        <v>1378</v>
      </c>
      <c r="D76" s="1287" t="s">
        <v>1391</v>
      </c>
      <c r="E76" s="1288" t="s">
        <v>1378</v>
      </c>
      <c r="F76" s="1288" t="s">
        <v>1378</v>
      </c>
      <c r="G76" s="1288" t="s">
        <v>1378</v>
      </c>
      <c r="H76" s="1288" t="s">
        <v>1391</v>
      </c>
      <c r="I76" s="1288" t="s">
        <v>1574</v>
      </c>
      <c r="J76" s="1288"/>
      <c r="K76" s="754" t="s">
        <v>2130</v>
      </c>
      <c r="L76" s="1170"/>
      <c r="M76" s="1170"/>
      <c r="N76" s="1170"/>
      <c r="O76" s="1165">
        <f t="shared" si="17"/>
        <v>0</v>
      </c>
      <c r="P76" s="1170"/>
      <c r="Q76" s="1170"/>
      <c r="R76" s="1170"/>
      <c r="S76" s="1170"/>
      <c r="T76" s="1170"/>
      <c r="U76" s="1170"/>
      <c r="V76" s="1170"/>
      <c r="W76" s="1438" t="e">
        <f t="shared" si="18"/>
        <v>#DIV/0!</v>
      </c>
      <c r="X76" s="1432"/>
      <c r="Y76" s="765"/>
    </row>
    <row r="77" spans="1:25" s="758" customFormat="1" ht="22.5" customHeight="1" thickTop="1" thickBot="1" x14ac:dyDescent="0.3">
      <c r="A77" s="1287" t="s">
        <v>1374</v>
      </c>
      <c r="B77" s="1287" t="s">
        <v>1378</v>
      </c>
      <c r="C77" s="1288" t="s">
        <v>1378</v>
      </c>
      <c r="D77" s="1287" t="s">
        <v>1391</v>
      </c>
      <c r="E77" s="1288" t="s">
        <v>1378</v>
      </c>
      <c r="F77" s="1288" t="s">
        <v>1378</v>
      </c>
      <c r="G77" s="1288" t="s">
        <v>1378</v>
      </c>
      <c r="H77" s="1288" t="s">
        <v>1391</v>
      </c>
      <c r="I77" s="1288" t="s">
        <v>1575</v>
      </c>
      <c r="J77" s="1288"/>
      <c r="K77" s="754" t="s">
        <v>2131</v>
      </c>
      <c r="L77" s="1170"/>
      <c r="M77" s="1170"/>
      <c r="N77" s="1170"/>
      <c r="O77" s="1165">
        <f t="shared" si="17"/>
        <v>0</v>
      </c>
      <c r="P77" s="1170"/>
      <c r="Q77" s="1170"/>
      <c r="R77" s="1170"/>
      <c r="S77" s="1170"/>
      <c r="T77" s="1170"/>
      <c r="U77" s="1170"/>
      <c r="V77" s="1170"/>
      <c r="W77" s="1438" t="e">
        <f t="shared" si="18"/>
        <v>#DIV/0!</v>
      </c>
      <c r="X77" s="1432"/>
      <c r="Y77" s="765"/>
    </row>
    <row r="78" spans="1:25" s="183" customFormat="1" ht="22.5" customHeight="1" thickTop="1" thickBot="1" x14ac:dyDescent="0.3">
      <c r="A78" s="1282" t="s">
        <v>1374</v>
      </c>
      <c r="B78" s="1283" t="s">
        <v>1378</v>
      </c>
      <c r="C78" s="1283" t="s">
        <v>1378</v>
      </c>
      <c r="D78" s="1283" t="s">
        <v>1391</v>
      </c>
      <c r="E78" s="1283" t="s">
        <v>1391</v>
      </c>
      <c r="F78" s="1283"/>
      <c r="G78" s="1283"/>
      <c r="H78" s="1283"/>
      <c r="I78" s="1283"/>
      <c r="J78" s="1283"/>
      <c r="K78" s="1284" t="s">
        <v>1740</v>
      </c>
      <c r="L78" s="1168">
        <f>+L79+L164</f>
        <v>6350482000</v>
      </c>
      <c r="M78" s="1168">
        <f t="shared" ref="M78:V78" si="19">+M79+M164</f>
        <v>990579000</v>
      </c>
      <c r="N78" s="1168">
        <f t="shared" si="19"/>
        <v>0</v>
      </c>
      <c r="O78" s="1165">
        <f t="shared" si="17"/>
        <v>7341061000</v>
      </c>
      <c r="P78" s="1168">
        <f t="shared" si="19"/>
        <v>1320377500</v>
      </c>
      <c r="Q78" s="1168">
        <f t="shared" si="19"/>
        <v>5351713400</v>
      </c>
      <c r="R78" s="1168">
        <f t="shared" si="19"/>
        <v>649353100</v>
      </c>
      <c r="S78" s="1168">
        <f t="shared" si="19"/>
        <v>8617000</v>
      </c>
      <c r="T78" s="1168">
        <f t="shared" si="19"/>
        <v>0</v>
      </c>
      <c r="U78" s="1168">
        <f t="shared" si="19"/>
        <v>15050823461.729998</v>
      </c>
      <c r="V78" s="1168">
        <f t="shared" si="19"/>
        <v>6731340581.9399996</v>
      </c>
      <c r="W78" s="1435">
        <f t="shared" si="18"/>
        <v>0.44724068414302393</v>
      </c>
      <c r="X78" s="1432" t="s">
        <v>1979</v>
      </c>
      <c r="Y78" s="765" t="s">
        <v>1980</v>
      </c>
    </row>
    <row r="79" spans="1:25" s="183" customFormat="1" ht="22.5" customHeight="1" thickTop="1" thickBot="1" x14ac:dyDescent="0.3">
      <c r="A79" s="1282">
        <v>1</v>
      </c>
      <c r="B79" s="1283" t="s">
        <v>1378</v>
      </c>
      <c r="C79" s="1283" t="s">
        <v>1378</v>
      </c>
      <c r="D79" s="1283" t="s">
        <v>1391</v>
      </c>
      <c r="E79" s="1283" t="s">
        <v>1391</v>
      </c>
      <c r="F79" s="1283" t="s">
        <v>1378</v>
      </c>
      <c r="G79" s="1283"/>
      <c r="H79" s="1283"/>
      <c r="I79" s="1283"/>
      <c r="J79" s="1283"/>
      <c r="K79" s="1284" t="s">
        <v>1994</v>
      </c>
      <c r="L79" s="1168">
        <f>+L80+L92+L104+L116+L128+L140+L152</f>
        <v>5059086000</v>
      </c>
      <c r="M79" s="1168">
        <f t="shared" ref="M79:V79" si="20">+M80+M92+M104+M116+M128+M140+M152</f>
        <v>867753000</v>
      </c>
      <c r="N79" s="1168">
        <f t="shared" si="20"/>
        <v>0</v>
      </c>
      <c r="O79" s="1165">
        <f t="shared" si="17"/>
        <v>5926839000</v>
      </c>
      <c r="P79" s="1168">
        <f t="shared" si="20"/>
        <v>33000000</v>
      </c>
      <c r="Q79" s="1168">
        <f t="shared" si="20"/>
        <v>5351713400</v>
      </c>
      <c r="R79" s="1168">
        <f t="shared" si="20"/>
        <v>522508600</v>
      </c>
      <c r="S79" s="1168">
        <f t="shared" si="20"/>
        <v>8617000</v>
      </c>
      <c r="T79" s="1168">
        <f t="shared" si="20"/>
        <v>0</v>
      </c>
      <c r="U79" s="1168">
        <f t="shared" si="20"/>
        <v>13285567897.599998</v>
      </c>
      <c r="V79" s="1168">
        <f t="shared" si="20"/>
        <v>5975491918.8099995</v>
      </c>
      <c r="W79" s="1435">
        <f t="shared" si="18"/>
        <v>0.44977316475040979</v>
      </c>
      <c r="X79" s="1432"/>
      <c r="Y79" s="765"/>
    </row>
    <row r="80" spans="1:25" s="183" customFormat="1" ht="22.5" customHeight="1" thickTop="1" thickBot="1" x14ac:dyDescent="0.3">
      <c r="A80" s="1287">
        <v>1</v>
      </c>
      <c r="B80" s="1288" t="s">
        <v>1378</v>
      </c>
      <c r="C80" s="1288" t="s">
        <v>1378</v>
      </c>
      <c r="D80" s="1288" t="s">
        <v>1391</v>
      </c>
      <c r="E80" s="1288" t="s">
        <v>1391</v>
      </c>
      <c r="F80" s="1288" t="s">
        <v>1378</v>
      </c>
      <c r="G80" s="1288" t="s">
        <v>1378</v>
      </c>
      <c r="H80" s="1288"/>
      <c r="I80" s="1288"/>
      <c r="J80" s="1288"/>
      <c r="K80" s="754" t="s">
        <v>1431</v>
      </c>
      <c r="L80" s="1174">
        <f>SUM(L81:L91)</f>
        <v>636479000</v>
      </c>
      <c r="M80" s="1174">
        <f t="shared" ref="M80:V80" si="21">SUM(M81:M91)</f>
        <v>10217000</v>
      </c>
      <c r="N80" s="1174">
        <f t="shared" si="21"/>
        <v>0</v>
      </c>
      <c r="O80" s="1165">
        <f t="shared" si="17"/>
        <v>646696000</v>
      </c>
      <c r="P80" s="1174">
        <v>4000000</v>
      </c>
      <c r="Q80" s="1174">
        <v>569831100</v>
      </c>
      <c r="R80" s="1174">
        <v>64247900</v>
      </c>
      <c r="S80" s="1174">
        <v>8617000</v>
      </c>
      <c r="T80" s="1174">
        <f t="shared" si="21"/>
        <v>0</v>
      </c>
      <c r="U80" s="1174">
        <f t="shared" si="21"/>
        <v>2315022381.79</v>
      </c>
      <c r="V80" s="1174">
        <f t="shared" si="21"/>
        <v>323218646.79000002</v>
      </c>
      <c r="W80" s="1440">
        <f t="shared" si="18"/>
        <v>0.13961793602189018</v>
      </c>
      <c r="X80" s="1432" t="s">
        <v>1432</v>
      </c>
      <c r="Y80" s="765" t="s">
        <v>1433</v>
      </c>
    </row>
    <row r="81" spans="1:25" s="183" customFormat="1" ht="22.5" customHeight="1" thickTop="1" thickBot="1" x14ac:dyDescent="0.3">
      <c r="A81" s="1287">
        <v>1</v>
      </c>
      <c r="B81" s="1288" t="s">
        <v>1378</v>
      </c>
      <c r="C81" s="1288" t="s">
        <v>1378</v>
      </c>
      <c r="D81" s="1288" t="s">
        <v>1391</v>
      </c>
      <c r="E81" s="1288" t="s">
        <v>1391</v>
      </c>
      <c r="F81" s="1288" t="s">
        <v>1378</v>
      </c>
      <c r="G81" s="1288" t="s">
        <v>1378</v>
      </c>
      <c r="H81" s="1288" t="s">
        <v>1378</v>
      </c>
      <c r="I81" s="1288"/>
      <c r="J81" s="1288"/>
      <c r="K81" s="754" t="s">
        <v>1434</v>
      </c>
      <c r="L81" s="1170">
        <v>400981770</v>
      </c>
      <c r="M81" s="1165"/>
      <c r="N81" s="1165"/>
      <c r="O81" s="1165">
        <f t="shared" si="17"/>
        <v>400981770</v>
      </c>
      <c r="P81" s="1165"/>
      <c r="Q81" s="1165"/>
      <c r="R81" s="1165"/>
      <c r="S81" s="1165"/>
      <c r="T81" s="1165"/>
      <c r="U81" s="1170">
        <f>189601058+202099368</f>
        <v>391700426</v>
      </c>
      <c r="V81" s="1170">
        <v>202099368</v>
      </c>
      <c r="W81" s="1438">
        <f t="shared" si="18"/>
        <v>0.51595391422934012</v>
      </c>
      <c r="X81" s="1432"/>
      <c r="Y81" s="765"/>
    </row>
    <row r="82" spans="1:25" s="183" customFormat="1" ht="22.5" customHeight="1" thickTop="1" thickBot="1" x14ac:dyDescent="0.3">
      <c r="A82" s="1287">
        <v>1</v>
      </c>
      <c r="B82" s="1288" t="s">
        <v>1378</v>
      </c>
      <c r="C82" s="1288" t="s">
        <v>1378</v>
      </c>
      <c r="D82" s="1288" t="s">
        <v>1391</v>
      </c>
      <c r="E82" s="1288" t="s">
        <v>1391</v>
      </c>
      <c r="F82" s="1288" t="s">
        <v>1378</v>
      </c>
      <c r="G82" s="1288" t="s">
        <v>1378</v>
      </c>
      <c r="H82" s="1288" t="s">
        <v>1391</v>
      </c>
      <c r="I82" s="1288"/>
      <c r="J82" s="1288"/>
      <c r="K82" s="754" t="s">
        <v>1435</v>
      </c>
      <c r="L82" s="1170">
        <v>230497230</v>
      </c>
      <c r="M82" s="1165"/>
      <c r="N82" s="1165"/>
      <c r="O82" s="1165">
        <f t="shared" si="17"/>
        <v>230497230</v>
      </c>
      <c r="P82" s="1165"/>
      <c r="Q82" s="1165"/>
      <c r="R82" s="1165"/>
      <c r="S82" s="1165"/>
      <c r="T82" s="1165"/>
      <c r="U82" s="1170">
        <f>1802202677+67990757</f>
        <v>1870193434</v>
      </c>
      <c r="V82" s="1170">
        <v>67990757</v>
      </c>
      <c r="W82" s="1438">
        <f t="shared" si="18"/>
        <v>3.6354933005288262E-2</v>
      </c>
      <c r="X82" s="1432"/>
      <c r="Y82" s="765"/>
    </row>
    <row r="83" spans="1:25" s="183" customFormat="1" ht="22.5" customHeight="1" thickTop="1" thickBot="1" x14ac:dyDescent="0.3">
      <c r="A83" s="1287">
        <v>1</v>
      </c>
      <c r="B83" s="1288" t="s">
        <v>1378</v>
      </c>
      <c r="C83" s="1288" t="s">
        <v>1378</v>
      </c>
      <c r="D83" s="1288" t="s">
        <v>1391</v>
      </c>
      <c r="E83" s="1288" t="s">
        <v>1391</v>
      </c>
      <c r="F83" s="1288" t="s">
        <v>1378</v>
      </c>
      <c r="G83" s="1288" t="s">
        <v>1378</v>
      </c>
      <c r="H83" s="1288" t="s">
        <v>1415</v>
      </c>
      <c r="I83" s="1288"/>
      <c r="J83" s="1288"/>
      <c r="K83" s="754" t="s">
        <v>1885</v>
      </c>
      <c r="L83" s="1170">
        <v>1000000</v>
      </c>
      <c r="M83" s="1165"/>
      <c r="N83" s="1165"/>
      <c r="O83" s="1165">
        <f t="shared" si="17"/>
        <v>1000000</v>
      </c>
      <c r="P83" s="1165"/>
      <c r="Q83" s="1165"/>
      <c r="R83" s="1165"/>
      <c r="S83" s="1165"/>
      <c r="T83" s="1165"/>
      <c r="U83" s="1170">
        <v>3682004.79</v>
      </c>
      <c r="V83" s="1170">
        <v>3682004.79</v>
      </c>
      <c r="W83" s="1438">
        <f t="shared" si="18"/>
        <v>1</v>
      </c>
      <c r="X83" s="1432"/>
      <c r="Y83" s="765"/>
    </row>
    <row r="84" spans="1:25" s="183" customFormat="1" ht="22.5" customHeight="1" thickTop="1" thickBot="1" x14ac:dyDescent="0.3">
      <c r="A84" s="1287">
        <v>1</v>
      </c>
      <c r="B84" s="1288" t="s">
        <v>1378</v>
      </c>
      <c r="C84" s="1288" t="s">
        <v>1378</v>
      </c>
      <c r="D84" s="1288" t="s">
        <v>1391</v>
      </c>
      <c r="E84" s="1288" t="s">
        <v>1391</v>
      </c>
      <c r="F84" s="1288" t="s">
        <v>1378</v>
      </c>
      <c r="G84" s="1288" t="s">
        <v>1378</v>
      </c>
      <c r="H84" s="1288" t="s">
        <v>1419</v>
      </c>
      <c r="I84" s="1288"/>
      <c r="J84" s="1288"/>
      <c r="K84" s="754" t="s">
        <v>2617</v>
      </c>
      <c r="L84" s="1170">
        <v>4000000</v>
      </c>
      <c r="M84" s="1165"/>
      <c r="N84" s="1165"/>
      <c r="O84" s="1165">
        <f t="shared" si="17"/>
        <v>4000000</v>
      </c>
      <c r="P84" s="1165"/>
      <c r="Q84" s="1165"/>
      <c r="R84" s="1165"/>
      <c r="S84" s="1165"/>
      <c r="T84" s="1165"/>
      <c r="U84" s="1170">
        <v>39229517</v>
      </c>
      <c r="V84" s="1170">
        <v>39229517</v>
      </c>
      <c r="W84" s="1438">
        <f t="shared" si="18"/>
        <v>1</v>
      </c>
      <c r="X84" s="1432"/>
      <c r="Y84" s="765"/>
    </row>
    <row r="85" spans="1:25" s="183" customFormat="1" ht="22.5" customHeight="1" thickTop="1" thickBot="1" x14ac:dyDescent="0.3">
      <c r="A85" s="1287">
        <v>1</v>
      </c>
      <c r="B85" s="1288" t="s">
        <v>1378</v>
      </c>
      <c r="C85" s="1288" t="s">
        <v>1378</v>
      </c>
      <c r="D85" s="1288" t="s">
        <v>1391</v>
      </c>
      <c r="E85" s="1288" t="s">
        <v>1391</v>
      </c>
      <c r="F85" s="1288" t="s">
        <v>1378</v>
      </c>
      <c r="G85" s="1288" t="s">
        <v>1378</v>
      </c>
      <c r="H85" s="1288" t="s">
        <v>1444</v>
      </c>
      <c r="I85" s="1288"/>
      <c r="J85" s="1288"/>
      <c r="K85" s="754" t="s">
        <v>2618</v>
      </c>
      <c r="L85" s="1165"/>
      <c r="M85" s="1165"/>
      <c r="N85" s="1165"/>
      <c r="O85" s="1165">
        <f t="shared" si="17"/>
        <v>0</v>
      </c>
      <c r="P85" s="1165"/>
      <c r="Q85" s="1165"/>
      <c r="R85" s="1165"/>
      <c r="S85" s="1165"/>
      <c r="T85" s="1165"/>
      <c r="U85" s="1165"/>
      <c r="V85" s="1165"/>
      <c r="W85" s="1436" t="e">
        <f t="shared" si="18"/>
        <v>#DIV/0!</v>
      </c>
      <c r="X85" s="1432"/>
      <c r="Y85" s="765"/>
    </row>
    <row r="86" spans="1:25" s="183" customFormat="1" ht="22.5" customHeight="1" thickTop="1" thickBot="1" x14ac:dyDescent="0.3">
      <c r="A86" s="1287">
        <v>1</v>
      </c>
      <c r="B86" s="1288" t="s">
        <v>1378</v>
      </c>
      <c r="C86" s="1288" t="s">
        <v>1378</v>
      </c>
      <c r="D86" s="1288" t="s">
        <v>1391</v>
      </c>
      <c r="E86" s="1288" t="s">
        <v>1391</v>
      </c>
      <c r="F86" s="1288" t="s">
        <v>1378</v>
      </c>
      <c r="G86" s="1288" t="s">
        <v>1378</v>
      </c>
      <c r="H86" s="1288" t="s">
        <v>1467</v>
      </c>
      <c r="I86" s="1288"/>
      <c r="J86" s="1288"/>
      <c r="K86" s="754" t="s">
        <v>2619</v>
      </c>
      <c r="L86" s="1165"/>
      <c r="M86" s="1165"/>
      <c r="N86" s="1165"/>
      <c r="O86" s="1165">
        <f t="shared" si="17"/>
        <v>0</v>
      </c>
      <c r="P86" s="1165"/>
      <c r="Q86" s="1165"/>
      <c r="R86" s="1165"/>
      <c r="S86" s="1165"/>
      <c r="T86" s="1165"/>
      <c r="U86" s="1165"/>
      <c r="V86" s="1165"/>
      <c r="W86" s="1436" t="e">
        <f t="shared" si="18"/>
        <v>#DIV/0!</v>
      </c>
      <c r="X86" s="1432"/>
      <c r="Y86" s="765"/>
    </row>
    <row r="87" spans="1:25" s="183" customFormat="1" ht="22.5" customHeight="1" thickTop="1" thickBot="1" x14ac:dyDescent="0.3">
      <c r="A87" s="1287">
        <v>1</v>
      </c>
      <c r="B87" s="1288" t="s">
        <v>1378</v>
      </c>
      <c r="C87" s="1288" t="s">
        <v>1378</v>
      </c>
      <c r="D87" s="1288" t="s">
        <v>1391</v>
      </c>
      <c r="E87" s="1288" t="s">
        <v>1391</v>
      </c>
      <c r="F87" s="1288" t="s">
        <v>1378</v>
      </c>
      <c r="G87" s="1288" t="s">
        <v>1378</v>
      </c>
      <c r="H87" s="1288" t="s">
        <v>1471</v>
      </c>
      <c r="I87" s="1288"/>
      <c r="J87" s="1288"/>
      <c r="K87" s="754" t="s">
        <v>2620</v>
      </c>
      <c r="L87" s="1165"/>
      <c r="M87" s="1165"/>
      <c r="N87" s="1165"/>
      <c r="O87" s="1165">
        <f t="shared" si="17"/>
        <v>0</v>
      </c>
      <c r="P87" s="1165"/>
      <c r="Q87" s="1165"/>
      <c r="R87" s="1165"/>
      <c r="S87" s="1165"/>
      <c r="T87" s="1165"/>
      <c r="U87" s="1165"/>
      <c r="V87" s="1165"/>
      <c r="W87" s="1436" t="e">
        <f t="shared" si="18"/>
        <v>#DIV/0!</v>
      </c>
      <c r="X87" s="1432"/>
      <c r="Y87" s="765"/>
    </row>
    <row r="88" spans="1:25" s="183" customFormat="1" ht="22.5" customHeight="1" thickTop="1" thickBot="1" x14ac:dyDescent="0.3">
      <c r="A88" s="1287">
        <v>1</v>
      </c>
      <c r="B88" s="1288" t="s">
        <v>1378</v>
      </c>
      <c r="C88" s="1288" t="s">
        <v>1378</v>
      </c>
      <c r="D88" s="1288" t="s">
        <v>1391</v>
      </c>
      <c r="E88" s="1288" t="s">
        <v>1391</v>
      </c>
      <c r="F88" s="1288" t="s">
        <v>1378</v>
      </c>
      <c r="G88" s="1288" t="s">
        <v>1378</v>
      </c>
      <c r="H88" s="1288" t="s">
        <v>1475</v>
      </c>
      <c r="I88" s="1288"/>
      <c r="J88" s="1288"/>
      <c r="K88" s="754" t="s">
        <v>2621</v>
      </c>
      <c r="L88" s="1170"/>
      <c r="M88" s="1170">
        <v>10217000</v>
      </c>
      <c r="N88" s="1165"/>
      <c r="O88" s="1165">
        <f t="shared" si="17"/>
        <v>10217000</v>
      </c>
      <c r="P88" s="1165"/>
      <c r="Q88" s="1165"/>
      <c r="R88" s="1165"/>
      <c r="S88" s="1165"/>
      <c r="T88" s="1165"/>
      <c r="U88" s="1170">
        <v>10217000</v>
      </c>
      <c r="V88" s="1170">
        <v>10217000</v>
      </c>
      <c r="W88" s="1438">
        <f t="shared" si="18"/>
        <v>1</v>
      </c>
      <c r="X88" s="1432"/>
      <c r="Y88" s="765"/>
    </row>
    <row r="89" spans="1:25" s="183" customFormat="1" ht="22.5" customHeight="1" thickTop="1" thickBot="1" x14ac:dyDescent="0.3">
      <c r="A89" s="1287">
        <v>1</v>
      </c>
      <c r="B89" s="1288" t="s">
        <v>1378</v>
      </c>
      <c r="C89" s="1288" t="s">
        <v>1378</v>
      </c>
      <c r="D89" s="1288" t="s">
        <v>1391</v>
      </c>
      <c r="E89" s="1288" t="s">
        <v>1391</v>
      </c>
      <c r="F89" s="1288" t="s">
        <v>1378</v>
      </c>
      <c r="G89" s="1288" t="s">
        <v>1378</v>
      </c>
      <c r="H89" s="1288" t="s">
        <v>1573</v>
      </c>
      <c r="I89" s="1288"/>
      <c r="J89" s="1288"/>
      <c r="K89" s="754" t="s">
        <v>2622</v>
      </c>
      <c r="L89" s="1174"/>
      <c r="M89" s="1174"/>
      <c r="N89" s="1174"/>
      <c r="O89" s="1165">
        <f t="shared" si="17"/>
        <v>0</v>
      </c>
      <c r="P89" s="1174"/>
      <c r="Q89" s="1174"/>
      <c r="R89" s="1174"/>
      <c r="S89" s="1174"/>
      <c r="T89" s="1174"/>
      <c r="U89" s="1174"/>
      <c r="V89" s="1174"/>
      <c r="W89" s="1440" t="e">
        <f t="shared" si="18"/>
        <v>#DIV/0!</v>
      </c>
      <c r="X89" s="1432"/>
      <c r="Y89" s="765"/>
    </row>
    <row r="90" spans="1:25" s="183" customFormat="1" ht="22.5" customHeight="1" thickTop="1" thickBot="1" x14ac:dyDescent="0.3">
      <c r="A90" s="1287">
        <v>1</v>
      </c>
      <c r="B90" s="1288" t="s">
        <v>1378</v>
      </c>
      <c r="C90" s="1288" t="s">
        <v>1378</v>
      </c>
      <c r="D90" s="1288" t="s">
        <v>1391</v>
      </c>
      <c r="E90" s="1288" t="s">
        <v>1391</v>
      </c>
      <c r="F90" s="1288" t="s">
        <v>1378</v>
      </c>
      <c r="G90" s="1288" t="s">
        <v>1378</v>
      </c>
      <c r="H90" s="1288" t="s">
        <v>1574</v>
      </c>
      <c r="I90" s="1288"/>
      <c r="J90" s="1288"/>
      <c r="K90" s="754" t="s">
        <v>2623</v>
      </c>
      <c r="L90" s="1174"/>
      <c r="M90" s="1174"/>
      <c r="N90" s="1174"/>
      <c r="O90" s="1165">
        <f t="shared" si="17"/>
        <v>0</v>
      </c>
      <c r="P90" s="1174"/>
      <c r="Q90" s="1174"/>
      <c r="R90" s="1174"/>
      <c r="S90" s="1174"/>
      <c r="T90" s="1174"/>
      <c r="U90" s="1174"/>
      <c r="V90" s="1174"/>
      <c r="W90" s="1440" t="e">
        <f t="shared" si="18"/>
        <v>#DIV/0!</v>
      </c>
      <c r="X90" s="1432"/>
      <c r="Y90" s="765"/>
    </row>
    <row r="91" spans="1:25" s="183" customFormat="1" ht="22.5" customHeight="1" thickTop="1" thickBot="1" x14ac:dyDescent="0.3">
      <c r="A91" s="1287">
        <v>1</v>
      </c>
      <c r="B91" s="1288" t="s">
        <v>1378</v>
      </c>
      <c r="C91" s="1288" t="s">
        <v>1378</v>
      </c>
      <c r="D91" s="1288" t="s">
        <v>1391</v>
      </c>
      <c r="E91" s="1288" t="s">
        <v>1391</v>
      </c>
      <c r="F91" s="1288" t="s">
        <v>1378</v>
      </c>
      <c r="G91" s="1288" t="s">
        <v>1378</v>
      </c>
      <c r="H91" s="1288" t="s">
        <v>1575</v>
      </c>
      <c r="I91" s="1288"/>
      <c r="J91" s="1288"/>
      <c r="K91" s="754" t="s">
        <v>2624</v>
      </c>
      <c r="L91" s="1174"/>
      <c r="M91" s="1174"/>
      <c r="N91" s="1174"/>
      <c r="O91" s="1165">
        <f t="shared" si="17"/>
        <v>0</v>
      </c>
      <c r="P91" s="1174"/>
      <c r="Q91" s="1174"/>
      <c r="R91" s="1174"/>
      <c r="S91" s="1174"/>
      <c r="T91" s="1174"/>
      <c r="U91" s="1174"/>
      <c r="V91" s="1174"/>
      <c r="W91" s="1440" t="e">
        <f t="shared" si="18"/>
        <v>#DIV/0!</v>
      </c>
      <c r="X91" s="1432"/>
      <c r="Y91" s="765"/>
    </row>
    <row r="92" spans="1:25" s="760" customFormat="1" ht="22.5" customHeight="1" thickTop="1" thickBot="1" x14ac:dyDescent="0.3">
      <c r="A92" s="1287">
        <v>1</v>
      </c>
      <c r="B92" s="1288" t="s">
        <v>1378</v>
      </c>
      <c r="C92" s="1288" t="s">
        <v>1378</v>
      </c>
      <c r="D92" s="1288" t="s">
        <v>1391</v>
      </c>
      <c r="E92" s="1288" t="s">
        <v>1391</v>
      </c>
      <c r="F92" s="1288" t="s">
        <v>1378</v>
      </c>
      <c r="G92" s="1288" t="s">
        <v>1391</v>
      </c>
      <c r="H92" s="1288"/>
      <c r="I92" s="1288"/>
      <c r="J92" s="1288"/>
      <c r="K92" s="754" t="s">
        <v>1426</v>
      </c>
      <c r="L92" s="1173">
        <f>SUM(L93:L103)</f>
        <v>1261068000</v>
      </c>
      <c r="M92" s="1173">
        <f t="shared" ref="M92:V92" si="22">SUM(M93:M103)</f>
        <v>352988000</v>
      </c>
      <c r="N92" s="1173">
        <f t="shared" si="22"/>
        <v>0</v>
      </c>
      <c r="O92" s="1165">
        <f t="shared" si="17"/>
        <v>1614056000</v>
      </c>
      <c r="P92" s="1174">
        <v>9000000</v>
      </c>
      <c r="Q92" s="1174">
        <v>1471949200</v>
      </c>
      <c r="R92" s="1174">
        <v>133106800</v>
      </c>
      <c r="S92" s="1173"/>
      <c r="T92" s="1173">
        <f>SUM(T93:T103)</f>
        <v>0</v>
      </c>
      <c r="U92" s="1173">
        <f t="shared" ref="U92" si="23">SUM(U93:U103)</f>
        <v>6371336778.6499996</v>
      </c>
      <c r="V92" s="1173">
        <f t="shared" si="22"/>
        <v>1053064534.86</v>
      </c>
      <c r="W92" s="1439">
        <f t="shared" si="18"/>
        <v>0.16528156828701343</v>
      </c>
      <c r="X92" s="1432" t="s">
        <v>1981</v>
      </c>
      <c r="Y92" s="765" t="s">
        <v>1982</v>
      </c>
    </row>
    <row r="93" spans="1:25" s="760" customFormat="1" ht="22.5" customHeight="1" thickTop="1" thickBot="1" x14ac:dyDescent="0.3">
      <c r="A93" s="1287">
        <v>1</v>
      </c>
      <c r="B93" s="1288" t="s">
        <v>1378</v>
      </c>
      <c r="C93" s="1288" t="s">
        <v>1378</v>
      </c>
      <c r="D93" s="1288" t="s">
        <v>1391</v>
      </c>
      <c r="E93" s="1288" t="s">
        <v>1391</v>
      </c>
      <c r="F93" s="1288" t="s">
        <v>1378</v>
      </c>
      <c r="G93" s="1288" t="s">
        <v>1391</v>
      </c>
      <c r="H93" s="1288" t="s">
        <v>1378</v>
      </c>
      <c r="I93" s="1288"/>
      <c r="J93" s="1288"/>
      <c r="K93" s="754" t="s">
        <v>1429</v>
      </c>
      <c r="L93" s="1170">
        <v>517037880</v>
      </c>
      <c r="M93" s="1170"/>
      <c r="N93" s="1170"/>
      <c r="O93" s="1165">
        <f t="shared" si="17"/>
        <v>517037880</v>
      </c>
      <c r="P93" s="1170"/>
      <c r="Q93" s="1170"/>
      <c r="R93" s="1170"/>
      <c r="S93" s="1170"/>
      <c r="T93" s="1170"/>
      <c r="U93" s="1170">
        <f>662812772.31+193254900.69</f>
        <v>856067673</v>
      </c>
      <c r="V93" s="1170">
        <v>193254900.69</v>
      </c>
      <c r="W93" s="1438">
        <f t="shared" si="18"/>
        <v>0.22574722394639471</v>
      </c>
      <c r="X93" s="1432"/>
      <c r="Y93" s="765"/>
    </row>
    <row r="94" spans="1:25" s="760" customFormat="1" ht="22.5" customHeight="1" thickTop="1" thickBot="1" x14ac:dyDescent="0.3">
      <c r="A94" s="1287">
        <v>1</v>
      </c>
      <c r="B94" s="1288" t="s">
        <v>1378</v>
      </c>
      <c r="C94" s="1288" t="s">
        <v>1378</v>
      </c>
      <c r="D94" s="1288" t="s">
        <v>1391</v>
      </c>
      <c r="E94" s="1288" t="s">
        <v>1391</v>
      </c>
      <c r="F94" s="1288" t="s">
        <v>1378</v>
      </c>
      <c r="G94" s="1288" t="s">
        <v>1391</v>
      </c>
      <c r="H94" s="1288" t="s">
        <v>1391</v>
      </c>
      <c r="I94" s="1288"/>
      <c r="J94" s="1288"/>
      <c r="K94" s="754" t="s">
        <v>1430</v>
      </c>
      <c r="L94" s="1170">
        <v>734030120</v>
      </c>
      <c r="M94" s="1170"/>
      <c r="N94" s="1170"/>
      <c r="O94" s="1165">
        <f t="shared" si="17"/>
        <v>734030120</v>
      </c>
      <c r="P94" s="1170"/>
      <c r="Q94" s="1170"/>
      <c r="R94" s="1170"/>
      <c r="S94" s="1170"/>
      <c r="T94" s="1170"/>
      <c r="U94" s="1170">
        <f>4655459471.48+417551339</f>
        <v>5073010810.4799995</v>
      </c>
      <c r="V94" s="1170">
        <v>417551339</v>
      </c>
      <c r="W94" s="1438">
        <f t="shared" si="18"/>
        <v>8.2308387385536044E-2</v>
      </c>
      <c r="X94" s="1432"/>
      <c r="Y94" s="765"/>
    </row>
    <row r="95" spans="1:25" s="760" customFormat="1" ht="22.5" customHeight="1" thickTop="1" thickBot="1" x14ac:dyDescent="0.3">
      <c r="A95" s="1287">
        <v>1</v>
      </c>
      <c r="B95" s="1288" t="s">
        <v>1378</v>
      </c>
      <c r="C95" s="1288" t="s">
        <v>1378</v>
      </c>
      <c r="D95" s="1288" t="s">
        <v>1391</v>
      </c>
      <c r="E95" s="1288" t="s">
        <v>1391</v>
      </c>
      <c r="F95" s="1288" t="s">
        <v>1378</v>
      </c>
      <c r="G95" s="1288" t="s">
        <v>1391</v>
      </c>
      <c r="H95" s="1288" t="s">
        <v>1415</v>
      </c>
      <c r="I95" s="1288"/>
      <c r="J95" s="1288"/>
      <c r="K95" s="754" t="s">
        <v>1880</v>
      </c>
      <c r="L95" s="1170">
        <v>1000000</v>
      </c>
      <c r="M95" s="1170"/>
      <c r="N95" s="1170"/>
      <c r="O95" s="1165">
        <f t="shared" si="17"/>
        <v>1000000</v>
      </c>
      <c r="P95" s="1170"/>
      <c r="Q95" s="1170"/>
      <c r="R95" s="1170"/>
      <c r="S95" s="1170"/>
      <c r="T95" s="1170"/>
      <c r="U95" s="1170">
        <v>2175050.17</v>
      </c>
      <c r="V95" s="1170">
        <v>2175050.17</v>
      </c>
      <c r="W95" s="1438">
        <f t="shared" si="18"/>
        <v>1</v>
      </c>
      <c r="X95" s="1432"/>
      <c r="Y95" s="765"/>
    </row>
    <row r="96" spans="1:25" s="760" customFormat="1" ht="22.5" customHeight="1" thickTop="1" thickBot="1" x14ac:dyDescent="0.3">
      <c r="A96" s="1287">
        <v>1</v>
      </c>
      <c r="B96" s="1288" t="s">
        <v>1378</v>
      </c>
      <c r="C96" s="1288" t="s">
        <v>1378</v>
      </c>
      <c r="D96" s="1288" t="s">
        <v>1391</v>
      </c>
      <c r="E96" s="1288" t="s">
        <v>1391</v>
      </c>
      <c r="F96" s="1288" t="s">
        <v>1378</v>
      </c>
      <c r="G96" s="1288" t="s">
        <v>1391</v>
      </c>
      <c r="H96" s="1288" t="s">
        <v>1419</v>
      </c>
      <c r="I96" s="1288"/>
      <c r="J96" s="1288"/>
      <c r="K96" s="754" t="s">
        <v>2132</v>
      </c>
      <c r="L96" s="1170">
        <v>9000000</v>
      </c>
      <c r="M96" s="1170"/>
      <c r="N96" s="1170"/>
      <c r="O96" s="1165">
        <f t="shared" si="17"/>
        <v>9000000</v>
      </c>
      <c r="P96" s="1170"/>
      <c r="Q96" s="1170"/>
      <c r="R96" s="1170"/>
      <c r="S96" s="1170"/>
      <c r="T96" s="1170"/>
      <c r="U96" s="1170">
        <v>87095245</v>
      </c>
      <c r="V96" s="1170">
        <v>87095245</v>
      </c>
      <c r="W96" s="1438">
        <f t="shared" si="18"/>
        <v>1</v>
      </c>
      <c r="X96" s="1432"/>
      <c r="Y96" s="765"/>
    </row>
    <row r="97" spans="1:25" s="760" customFormat="1" ht="22.5" customHeight="1" thickTop="1" thickBot="1" x14ac:dyDescent="0.3">
      <c r="A97" s="1287">
        <v>1</v>
      </c>
      <c r="B97" s="1288" t="s">
        <v>1378</v>
      </c>
      <c r="C97" s="1288" t="s">
        <v>1378</v>
      </c>
      <c r="D97" s="1288" t="s">
        <v>1391</v>
      </c>
      <c r="E97" s="1288" t="s">
        <v>1391</v>
      </c>
      <c r="F97" s="1288" t="s">
        <v>1378</v>
      </c>
      <c r="G97" s="1288" t="s">
        <v>1391</v>
      </c>
      <c r="H97" s="1288" t="s">
        <v>1444</v>
      </c>
      <c r="I97" s="1288"/>
      <c r="J97" s="1288"/>
      <c r="K97" s="754" t="s">
        <v>2133</v>
      </c>
      <c r="L97" s="1170"/>
      <c r="M97" s="1170"/>
      <c r="N97" s="1170"/>
      <c r="O97" s="1165">
        <f t="shared" si="17"/>
        <v>0</v>
      </c>
      <c r="P97" s="1173"/>
      <c r="Q97" s="1173"/>
      <c r="R97" s="1173"/>
      <c r="S97" s="1173"/>
      <c r="T97" s="1173"/>
      <c r="U97" s="1173"/>
      <c r="V97" s="1173"/>
      <c r="W97" s="1439" t="e">
        <f t="shared" si="18"/>
        <v>#DIV/0!</v>
      </c>
      <c r="X97" s="1432"/>
      <c r="Y97" s="765"/>
    </row>
    <row r="98" spans="1:25" s="760" customFormat="1" ht="22.5" customHeight="1" thickTop="1" thickBot="1" x14ac:dyDescent="0.3">
      <c r="A98" s="1287">
        <v>1</v>
      </c>
      <c r="B98" s="1288" t="s">
        <v>1378</v>
      </c>
      <c r="C98" s="1288" t="s">
        <v>1378</v>
      </c>
      <c r="D98" s="1288" t="s">
        <v>1391</v>
      </c>
      <c r="E98" s="1288" t="s">
        <v>1391</v>
      </c>
      <c r="F98" s="1288" t="s">
        <v>1378</v>
      </c>
      <c r="G98" s="1288" t="s">
        <v>1391</v>
      </c>
      <c r="H98" s="1288" t="s">
        <v>1467</v>
      </c>
      <c r="I98" s="1288"/>
      <c r="J98" s="1288"/>
      <c r="K98" s="754" t="s">
        <v>2134</v>
      </c>
      <c r="L98" s="1170"/>
      <c r="M98" s="1170"/>
      <c r="N98" s="1170"/>
      <c r="O98" s="1165">
        <f t="shared" si="17"/>
        <v>0</v>
      </c>
      <c r="P98" s="1173"/>
      <c r="Q98" s="1173"/>
      <c r="R98" s="1173"/>
      <c r="S98" s="1173"/>
      <c r="T98" s="1173"/>
      <c r="U98" s="1173"/>
      <c r="V98" s="1173"/>
      <c r="W98" s="1439" t="e">
        <f t="shared" si="18"/>
        <v>#DIV/0!</v>
      </c>
      <c r="X98" s="1432"/>
      <c r="Y98" s="765"/>
    </row>
    <row r="99" spans="1:25" s="760" customFormat="1" ht="22.5" customHeight="1" thickTop="1" thickBot="1" x14ac:dyDescent="0.3">
      <c r="A99" s="1287">
        <v>1</v>
      </c>
      <c r="B99" s="1288" t="s">
        <v>1378</v>
      </c>
      <c r="C99" s="1288" t="s">
        <v>1378</v>
      </c>
      <c r="D99" s="1288" t="s">
        <v>1391</v>
      </c>
      <c r="E99" s="1288" t="s">
        <v>1391</v>
      </c>
      <c r="F99" s="1288" t="s">
        <v>1378</v>
      </c>
      <c r="G99" s="1288" t="s">
        <v>1391</v>
      </c>
      <c r="H99" s="1288" t="s">
        <v>1471</v>
      </c>
      <c r="I99" s="1288"/>
      <c r="J99" s="1288"/>
      <c r="K99" s="754" t="s">
        <v>2135</v>
      </c>
      <c r="L99" s="1170"/>
      <c r="M99" s="1170"/>
      <c r="N99" s="1170"/>
      <c r="O99" s="1165">
        <f t="shared" si="17"/>
        <v>0</v>
      </c>
      <c r="P99" s="1173"/>
      <c r="Q99" s="1173"/>
      <c r="R99" s="1173"/>
      <c r="S99" s="1173"/>
      <c r="T99" s="1173"/>
      <c r="U99" s="1173"/>
      <c r="V99" s="1173"/>
      <c r="W99" s="1439" t="e">
        <f t="shared" si="18"/>
        <v>#DIV/0!</v>
      </c>
      <c r="X99" s="1432"/>
      <c r="Y99" s="765"/>
    </row>
    <row r="100" spans="1:25" s="760" customFormat="1" ht="22.5" customHeight="1" thickTop="1" thickBot="1" x14ac:dyDescent="0.3">
      <c r="A100" s="1287">
        <v>1</v>
      </c>
      <c r="B100" s="1288" t="s">
        <v>1378</v>
      </c>
      <c r="C100" s="1288" t="s">
        <v>1378</v>
      </c>
      <c r="D100" s="1288" t="s">
        <v>1391</v>
      </c>
      <c r="E100" s="1288" t="s">
        <v>1391</v>
      </c>
      <c r="F100" s="1288" t="s">
        <v>1378</v>
      </c>
      <c r="G100" s="1288" t="s">
        <v>1391</v>
      </c>
      <c r="H100" s="1288" t="s">
        <v>1475</v>
      </c>
      <c r="I100" s="1288"/>
      <c r="J100" s="1288"/>
      <c r="K100" s="754" t="s">
        <v>2136</v>
      </c>
      <c r="L100" s="1170"/>
      <c r="M100" s="1170">
        <v>352988000</v>
      </c>
      <c r="N100" s="1170"/>
      <c r="O100" s="1165">
        <f t="shared" si="17"/>
        <v>352988000</v>
      </c>
      <c r="P100" s="1173"/>
      <c r="Q100" s="1173"/>
      <c r="R100" s="1173"/>
      <c r="S100" s="1173"/>
      <c r="T100" s="1173"/>
      <c r="U100" s="1173">
        <v>352988000</v>
      </c>
      <c r="V100" s="1173">
        <v>352988000</v>
      </c>
      <c r="W100" s="1439">
        <f t="shared" si="18"/>
        <v>1</v>
      </c>
      <c r="X100" s="1432"/>
      <c r="Y100" s="765"/>
    </row>
    <row r="101" spans="1:25" s="760" customFormat="1" ht="22.5" customHeight="1" thickTop="1" thickBot="1" x14ac:dyDescent="0.3">
      <c r="A101" s="1287">
        <v>1</v>
      </c>
      <c r="B101" s="1288" t="s">
        <v>1378</v>
      </c>
      <c r="C101" s="1288" t="s">
        <v>1378</v>
      </c>
      <c r="D101" s="1288" t="s">
        <v>1391</v>
      </c>
      <c r="E101" s="1288" t="s">
        <v>1391</v>
      </c>
      <c r="F101" s="1288" t="s">
        <v>1378</v>
      </c>
      <c r="G101" s="1288" t="s">
        <v>1391</v>
      </c>
      <c r="H101" s="1288" t="s">
        <v>1573</v>
      </c>
      <c r="I101" s="1288"/>
      <c r="J101" s="1288"/>
      <c r="K101" s="754" t="s">
        <v>2137</v>
      </c>
      <c r="L101" s="1173"/>
      <c r="M101" s="1173"/>
      <c r="N101" s="1173"/>
      <c r="O101" s="1165">
        <f t="shared" si="17"/>
        <v>0</v>
      </c>
      <c r="P101" s="1173"/>
      <c r="Q101" s="1173"/>
      <c r="R101" s="1173"/>
      <c r="S101" s="1173"/>
      <c r="T101" s="1173"/>
      <c r="U101" s="1173"/>
      <c r="V101" s="1173"/>
      <c r="W101" s="1439" t="e">
        <f t="shared" si="18"/>
        <v>#DIV/0!</v>
      </c>
      <c r="X101" s="1432"/>
      <c r="Y101" s="765"/>
    </row>
    <row r="102" spans="1:25" s="760" customFormat="1" ht="22.5" customHeight="1" thickTop="1" thickBot="1" x14ac:dyDescent="0.3">
      <c r="A102" s="1287">
        <v>1</v>
      </c>
      <c r="B102" s="1288" t="s">
        <v>1378</v>
      </c>
      <c r="C102" s="1288" t="s">
        <v>1378</v>
      </c>
      <c r="D102" s="1288" t="s">
        <v>1391</v>
      </c>
      <c r="E102" s="1288" t="s">
        <v>1391</v>
      </c>
      <c r="F102" s="1288" t="s">
        <v>1378</v>
      </c>
      <c r="G102" s="1288" t="s">
        <v>1391</v>
      </c>
      <c r="H102" s="1288" t="s">
        <v>1574</v>
      </c>
      <c r="I102" s="1288"/>
      <c r="J102" s="1288"/>
      <c r="K102" s="754" t="s">
        <v>2138</v>
      </c>
      <c r="L102" s="1173"/>
      <c r="M102" s="1173"/>
      <c r="N102" s="1173"/>
      <c r="O102" s="1165">
        <f t="shared" si="17"/>
        <v>0</v>
      </c>
      <c r="P102" s="1173"/>
      <c r="Q102" s="1173"/>
      <c r="R102" s="1173"/>
      <c r="S102" s="1173"/>
      <c r="T102" s="1173"/>
      <c r="U102" s="1173"/>
      <c r="V102" s="1173"/>
      <c r="W102" s="1439" t="e">
        <f t="shared" si="18"/>
        <v>#DIV/0!</v>
      </c>
      <c r="X102" s="1432"/>
      <c r="Y102" s="765"/>
    </row>
    <row r="103" spans="1:25" s="760" customFormat="1" ht="22.5" customHeight="1" thickTop="1" thickBot="1" x14ac:dyDescent="0.3">
      <c r="A103" s="1287">
        <v>1</v>
      </c>
      <c r="B103" s="1288" t="s">
        <v>1378</v>
      </c>
      <c r="C103" s="1288" t="s">
        <v>1378</v>
      </c>
      <c r="D103" s="1288" t="s">
        <v>1391</v>
      </c>
      <c r="E103" s="1288" t="s">
        <v>1391</v>
      </c>
      <c r="F103" s="1288" t="s">
        <v>1378</v>
      </c>
      <c r="G103" s="1288" t="s">
        <v>1391</v>
      </c>
      <c r="H103" s="1288" t="s">
        <v>1575</v>
      </c>
      <c r="I103" s="1288"/>
      <c r="J103" s="1288"/>
      <c r="K103" s="754" t="s">
        <v>2139</v>
      </c>
      <c r="L103" s="1173"/>
      <c r="M103" s="1173"/>
      <c r="N103" s="1173"/>
      <c r="O103" s="1165">
        <f t="shared" si="17"/>
        <v>0</v>
      </c>
      <c r="P103" s="1173"/>
      <c r="Q103" s="1173"/>
      <c r="R103" s="1173"/>
      <c r="S103" s="1173"/>
      <c r="T103" s="1173"/>
      <c r="U103" s="1173"/>
      <c r="V103" s="1173"/>
      <c r="W103" s="1439" t="e">
        <f t="shared" si="18"/>
        <v>#DIV/0!</v>
      </c>
      <c r="X103" s="1432"/>
      <c r="Y103" s="765"/>
    </row>
    <row r="104" spans="1:25" s="760" customFormat="1" ht="22.5" customHeight="1" thickTop="1" thickBot="1" x14ac:dyDescent="0.3">
      <c r="A104" s="1287">
        <v>1</v>
      </c>
      <c r="B104" s="1288" t="s">
        <v>1378</v>
      </c>
      <c r="C104" s="1288" t="s">
        <v>1378</v>
      </c>
      <c r="D104" s="1288" t="s">
        <v>1391</v>
      </c>
      <c r="E104" s="1288" t="s">
        <v>1391</v>
      </c>
      <c r="F104" s="1288" t="s">
        <v>1378</v>
      </c>
      <c r="G104" s="1288" t="s">
        <v>1415</v>
      </c>
      <c r="H104" s="1288"/>
      <c r="I104" s="1288"/>
      <c r="J104" s="1288"/>
      <c r="K104" s="754" t="s">
        <v>1987</v>
      </c>
      <c r="L104" s="1173">
        <f>SUM(L105:L115)</f>
        <v>3161539000</v>
      </c>
      <c r="M104" s="1173">
        <f t="shared" ref="M104:V104" si="24">SUM(M105:M115)</f>
        <v>504548000</v>
      </c>
      <c r="N104" s="1173">
        <f t="shared" si="24"/>
        <v>0</v>
      </c>
      <c r="O104" s="1165">
        <f t="shared" si="17"/>
        <v>3666087000</v>
      </c>
      <c r="P104" s="1169">
        <v>20000000</v>
      </c>
      <c r="Q104" s="1169">
        <v>3309933100</v>
      </c>
      <c r="R104" s="1169">
        <v>325153900</v>
      </c>
      <c r="S104" s="1173"/>
      <c r="T104" s="1173">
        <f t="shared" si="24"/>
        <v>0</v>
      </c>
      <c r="U104" s="1173">
        <f t="shared" si="24"/>
        <v>4599208737.1599998</v>
      </c>
      <c r="V104" s="1173">
        <f t="shared" si="24"/>
        <v>4599208737.1599998</v>
      </c>
      <c r="W104" s="1439">
        <f t="shared" si="18"/>
        <v>1</v>
      </c>
      <c r="X104" s="1432" t="s">
        <v>1983</v>
      </c>
      <c r="Y104" s="765" t="s">
        <v>1984</v>
      </c>
    </row>
    <row r="105" spans="1:25" s="760" customFormat="1" ht="22.5" customHeight="1" thickTop="1" thickBot="1" x14ac:dyDescent="0.3">
      <c r="A105" s="1287">
        <v>1</v>
      </c>
      <c r="B105" s="1288" t="s">
        <v>1378</v>
      </c>
      <c r="C105" s="1288" t="s">
        <v>1378</v>
      </c>
      <c r="D105" s="1288" t="s">
        <v>1391</v>
      </c>
      <c r="E105" s="1288" t="s">
        <v>1391</v>
      </c>
      <c r="F105" s="1288" t="s">
        <v>1378</v>
      </c>
      <c r="G105" s="1288" t="s">
        <v>1415</v>
      </c>
      <c r="H105" s="1288" t="s">
        <v>1378</v>
      </c>
      <c r="I105" s="1288"/>
      <c r="J105" s="1288"/>
      <c r="K105" s="754" t="s">
        <v>2140</v>
      </c>
      <c r="L105" s="1170">
        <v>3151539000</v>
      </c>
      <c r="M105" s="1173"/>
      <c r="N105" s="1173"/>
      <c r="O105" s="1165">
        <f t="shared" si="17"/>
        <v>3151539000</v>
      </c>
      <c r="P105" s="1173"/>
      <c r="Q105" s="1173"/>
      <c r="R105" s="1173"/>
      <c r="S105" s="1173"/>
      <c r="T105" s="1173"/>
      <c r="U105" s="1173">
        <v>4091131039</v>
      </c>
      <c r="V105" s="1173">
        <v>4091131039</v>
      </c>
      <c r="W105" s="1439">
        <f t="shared" si="18"/>
        <v>1</v>
      </c>
      <c r="X105" s="1432"/>
      <c r="Y105" s="765"/>
    </row>
    <row r="106" spans="1:25" s="760" customFormat="1" ht="22.5" customHeight="1" thickTop="1" thickBot="1" x14ac:dyDescent="0.3">
      <c r="A106" s="1287">
        <v>1</v>
      </c>
      <c r="B106" s="1288" t="s">
        <v>1378</v>
      </c>
      <c r="C106" s="1288" t="s">
        <v>1378</v>
      </c>
      <c r="D106" s="1288" t="s">
        <v>1391</v>
      </c>
      <c r="E106" s="1288" t="s">
        <v>1391</v>
      </c>
      <c r="F106" s="1288" t="s">
        <v>1378</v>
      </c>
      <c r="G106" s="1288" t="s">
        <v>1415</v>
      </c>
      <c r="H106" s="1288" t="s">
        <v>1391</v>
      </c>
      <c r="I106" s="1288"/>
      <c r="J106" s="1288"/>
      <c r="K106" s="754" t="s">
        <v>2141</v>
      </c>
      <c r="L106" s="1170"/>
      <c r="M106" s="1173"/>
      <c r="N106" s="1173"/>
      <c r="O106" s="1165">
        <f t="shared" si="17"/>
        <v>0</v>
      </c>
      <c r="P106" s="1173"/>
      <c r="Q106" s="1173"/>
      <c r="R106" s="1173"/>
      <c r="S106" s="1173"/>
      <c r="T106" s="1173"/>
      <c r="U106" s="1173"/>
      <c r="V106" s="1173"/>
      <c r="W106" s="1439" t="e">
        <f t="shared" si="18"/>
        <v>#DIV/0!</v>
      </c>
      <c r="X106" s="1432"/>
      <c r="Y106" s="765"/>
    </row>
    <row r="107" spans="1:25" s="760" customFormat="1" ht="22.5" customHeight="1" thickTop="1" thickBot="1" x14ac:dyDescent="0.3">
      <c r="A107" s="1287">
        <v>1</v>
      </c>
      <c r="B107" s="1288" t="s">
        <v>1378</v>
      </c>
      <c r="C107" s="1288" t="s">
        <v>1378</v>
      </c>
      <c r="D107" s="1288" t="s">
        <v>1391</v>
      </c>
      <c r="E107" s="1288" t="s">
        <v>1391</v>
      </c>
      <c r="F107" s="1288" t="s">
        <v>1378</v>
      </c>
      <c r="G107" s="1288" t="s">
        <v>1415</v>
      </c>
      <c r="H107" s="1288" t="s">
        <v>1415</v>
      </c>
      <c r="I107" s="1288"/>
      <c r="J107" s="1288"/>
      <c r="K107" s="754" t="s">
        <v>1890</v>
      </c>
      <c r="L107" s="1170">
        <v>10000000</v>
      </c>
      <c r="M107" s="1173"/>
      <c r="N107" s="1173"/>
      <c r="O107" s="1165">
        <f t="shared" si="17"/>
        <v>10000000</v>
      </c>
      <c r="P107" s="1173"/>
      <c r="Q107" s="1173"/>
      <c r="R107" s="1173"/>
      <c r="S107" s="1173"/>
      <c r="T107" s="1173"/>
      <c r="U107" s="1173">
        <v>3529698.16</v>
      </c>
      <c r="V107" s="1173">
        <v>3529698.16</v>
      </c>
      <c r="W107" s="1439">
        <f t="shared" si="18"/>
        <v>1</v>
      </c>
      <c r="X107" s="1432"/>
      <c r="Y107" s="765"/>
    </row>
    <row r="108" spans="1:25" s="760" customFormat="1" ht="22.5" customHeight="1" thickTop="1" thickBot="1" x14ac:dyDescent="0.3">
      <c r="A108" s="1287">
        <v>1</v>
      </c>
      <c r="B108" s="1288" t="s">
        <v>1378</v>
      </c>
      <c r="C108" s="1288" t="s">
        <v>1378</v>
      </c>
      <c r="D108" s="1288" t="s">
        <v>1391</v>
      </c>
      <c r="E108" s="1288" t="s">
        <v>1391</v>
      </c>
      <c r="F108" s="1288" t="s">
        <v>1378</v>
      </c>
      <c r="G108" s="1288" t="s">
        <v>1415</v>
      </c>
      <c r="H108" s="1288" t="s">
        <v>1419</v>
      </c>
      <c r="I108" s="1288"/>
      <c r="J108" s="1288"/>
      <c r="K108" s="754" t="s">
        <v>2142</v>
      </c>
      <c r="L108" s="1173"/>
      <c r="M108" s="1173"/>
      <c r="N108" s="1173"/>
      <c r="O108" s="1165">
        <f t="shared" si="17"/>
        <v>0</v>
      </c>
      <c r="P108" s="1173"/>
      <c r="Q108" s="1173"/>
      <c r="R108" s="1173"/>
      <c r="S108" s="1173"/>
      <c r="T108" s="1173"/>
      <c r="U108" s="1173"/>
      <c r="V108" s="1173"/>
      <c r="W108" s="1439" t="e">
        <f t="shared" si="18"/>
        <v>#DIV/0!</v>
      </c>
      <c r="X108" s="1432"/>
      <c r="Y108" s="765"/>
    </row>
    <row r="109" spans="1:25" s="760" customFormat="1" ht="22.5" customHeight="1" thickTop="1" thickBot="1" x14ac:dyDescent="0.3">
      <c r="A109" s="1287">
        <v>1</v>
      </c>
      <c r="B109" s="1288" t="s">
        <v>1378</v>
      </c>
      <c r="C109" s="1288" t="s">
        <v>1378</v>
      </c>
      <c r="D109" s="1288" t="s">
        <v>1391</v>
      </c>
      <c r="E109" s="1288" t="s">
        <v>1391</v>
      </c>
      <c r="F109" s="1288" t="s">
        <v>1378</v>
      </c>
      <c r="G109" s="1288" t="s">
        <v>1415</v>
      </c>
      <c r="H109" s="1288" t="s">
        <v>1444</v>
      </c>
      <c r="I109" s="1288"/>
      <c r="J109" s="1288"/>
      <c r="K109" s="754" t="s">
        <v>2143</v>
      </c>
      <c r="L109" s="1173"/>
      <c r="M109" s="1173"/>
      <c r="N109" s="1173"/>
      <c r="O109" s="1165">
        <f t="shared" si="17"/>
        <v>0</v>
      </c>
      <c r="P109" s="1173"/>
      <c r="Q109" s="1173"/>
      <c r="R109" s="1173"/>
      <c r="S109" s="1173"/>
      <c r="T109" s="1173"/>
      <c r="U109" s="1173"/>
      <c r="V109" s="1173"/>
      <c r="W109" s="1439" t="e">
        <f t="shared" si="18"/>
        <v>#DIV/0!</v>
      </c>
      <c r="X109" s="1432"/>
      <c r="Y109" s="765"/>
    </row>
    <row r="110" spans="1:25" s="760" customFormat="1" ht="22.5" customHeight="1" thickTop="1" thickBot="1" x14ac:dyDescent="0.3">
      <c r="A110" s="1287">
        <v>1</v>
      </c>
      <c r="B110" s="1288" t="s">
        <v>1378</v>
      </c>
      <c r="C110" s="1288" t="s">
        <v>1378</v>
      </c>
      <c r="D110" s="1288" t="s">
        <v>1391</v>
      </c>
      <c r="E110" s="1288" t="s">
        <v>1391</v>
      </c>
      <c r="F110" s="1288" t="s">
        <v>1378</v>
      </c>
      <c r="G110" s="1288" t="s">
        <v>1415</v>
      </c>
      <c r="H110" s="1288" t="s">
        <v>1467</v>
      </c>
      <c r="I110" s="1288"/>
      <c r="J110" s="1288"/>
      <c r="K110" s="754" t="s">
        <v>2144</v>
      </c>
      <c r="L110" s="1173"/>
      <c r="M110" s="1173"/>
      <c r="N110" s="1173"/>
      <c r="O110" s="1165">
        <f t="shared" si="17"/>
        <v>0</v>
      </c>
      <c r="P110" s="1173"/>
      <c r="Q110" s="1173"/>
      <c r="R110" s="1173"/>
      <c r="S110" s="1173"/>
      <c r="T110" s="1173"/>
      <c r="U110" s="1173"/>
      <c r="V110" s="1173"/>
      <c r="W110" s="1439" t="e">
        <f t="shared" si="18"/>
        <v>#DIV/0!</v>
      </c>
      <c r="X110" s="1432"/>
      <c r="Y110" s="765"/>
    </row>
    <row r="111" spans="1:25" s="760" customFormat="1" ht="22.5" customHeight="1" thickTop="1" thickBot="1" x14ac:dyDescent="0.3">
      <c r="A111" s="1287">
        <v>1</v>
      </c>
      <c r="B111" s="1288" t="s">
        <v>1378</v>
      </c>
      <c r="C111" s="1288" t="s">
        <v>1378</v>
      </c>
      <c r="D111" s="1288" t="s">
        <v>1391</v>
      </c>
      <c r="E111" s="1288" t="s">
        <v>1391</v>
      </c>
      <c r="F111" s="1288" t="s">
        <v>1378</v>
      </c>
      <c r="G111" s="1288" t="s">
        <v>1415</v>
      </c>
      <c r="H111" s="1288" t="s">
        <v>1471</v>
      </c>
      <c r="I111" s="1288"/>
      <c r="J111" s="1288"/>
      <c r="K111" s="754" t="s">
        <v>2145</v>
      </c>
      <c r="L111" s="1173"/>
      <c r="M111" s="1173"/>
      <c r="N111" s="1173"/>
      <c r="O111" s="1165">
        <f t="shared" si="17"/>
        <v>0</v>
      </c>
      <c r="P111" s="1173"/>
      <c r="Q111" s="1173"/>
      <c r="R111" s="1173"/>
      <c r="S111" s="1173"/>
      <c r="T111" s="1173"/>
      <c r="U111" s="1173"/>
      <c r="V111" s="1173"/>
      <c r="W111" s="1439" t="e">
        <f t="shared" si="18"/>
        <v>#DIV/0!</v>
      </c>
      <c r="X111" s="1432"/>
      <c r="Y111" s="765"/>
    </row>
    <row r="112" spans="1:25" s="760" customFormat="1" ht="22.5" customHeight="1" thickTop="1" thickBot="1" x14ac:dyDescent="0.3">
      <c r="A112" s="1287">
        <v>1</v>
      </c>
      <c r="B112" s="1288" t="s">
        <v>1378</v>
      </c>
      <c r="C112" s="1288" t="s">
        <v>1378</v>
      </c>
      <c r="D112" s="1288" t="s">
        <v>1391</v>
      </c>
      <c r="E112" s="1288" t="s">
        <v>1391</v>
      </c>
      <c r="F112" s="1288" t="s">
        <v>1378</v>
      </c>
      <c r="G112" s="1288" t="s">
        <v>1415</v>
      </c>
      <c r="H112" s="1288" t="s">
        <v>1475</v>
      </c>
      <c r="I112" s="1288"/>
      <c r="J112" s="1288"/>
      <c r="K112" s="754" t="s">
        <v>2146</v>
      </c>
      <c r="L112" s="1170"/>
      <c r="M112" s="1170">
        <v>504548000</v>
      </c>
      <c r="N112" s="1173"/>
      <c r="O112" s="1165">
        <f t="shared" si="17"/>
        <v>504548000</v>
      </c>
      <c r="P112" s="1173"/>
      <c r="Q112" s="1173"/>
      <c r="R112" s="1173"/>
      <c r="S112" s="1173"/>
      <c r="T112" s="1173"/>
      <c r="U112" s="1173">
        <v>504548000</v>
      </c>
      <c r="V112" s="1173">
        <v>504548000</v>
      </c>
      <c r="W112" s="1439">
        <f t="shared" si="18"/>
        <v>1</v>
      </c>
      <c r="X112" s="1432"/>
      <c r="Y112" s="765"/>
    </row>
    <row r="113" spans="1:25" s="760" customFormat="1" ht="22.5" customHeight="1" thickTop="1" thickBot="1" x14ac:dyDescent="0.3">
      <c r="A113" s="1287">
        <v>1</v>
      </c>
      <c r="B113" s="1288" t="s">
        <v>1378</v>
      </c>
      <c r="C113" s="1288" t="s">
        <v>1378</v>
      </c>
      <c r="D113" s="1288" t="s">
        <v>1391</v>
      </c>
      <c r="E113" s="1288" t="s">
        <v>1391</v>
      </c>
      <c r="F113" s="1288" t="s">
        <v>1378</v>
      </c>
      <c r="G113" s="1288" t="s">
        <v>1415</v>
      </c>
      <c r="H113" s="1288" t="s">
        <v>1573</v>
      </c>
      <c r="I113" s="1288"/>
      <c r="J113" s="1288"/>
      <c r="K113" s="754" t="s">
        <v>2147</v>
      </c>
      <c r="L113" s="1173"/>
      <c r="M113" s="1173"/>
      <c r="N113" s="1173"/>
      <c r="O113" s="1165">
        <f t="shared" si="17"/>
        <v>0</v>
      </c>
      <c r="P113" s="1173"/>
      <c r="Q113" s="1173"/>
      <c r="R113" s="1173"/>
      <c r="S113" s="1173"/>
      <c r="T113" s="1173"/>
      <c r="U113" s="1173"/>
      <c r="V113" s="1173"/>
      <c r="W113" s="1439" t="e">
        <f t="shared" si="18"/>
        <v>#DIV/0!</v>
      </c>
      <c r="X113" s="1432"/>
      <c r="Y113" s="765"/>
    </row>
    <row r="114" spans="1:25" s="760" customFormat="1" ht="22.5" customHeight="1" thickTop="1" thickBot="1" x14ac:dyDescent="0.3">
      <c r="A114" s="1287">
        <v>1</v>
      </c>
      <c r="B114" s="1288" t="s">
        <v>1378</v>
      </c>
      <c r="C114" s="1288" t="s">
        <v>1378</v>
      </c>
      <c r="D114" s="1288" t="s">
        <v>1391</v>
      </c>
      <c r="E114" s="1288" t="s">
        <v>1391</v>
      </c>
      <c r="F114" s="1288" t="s">
        <v>1378</v>
      </c>
      <c r="G114" s="1288" t="s">
        <v>1415</v>
      </c>
      <c r="H114" s="1288" t="s">
        <v>1574</v>
      </c>
      <c r="I114" s="1288"/>
      <c r="J114" s="1288"/>
      <c r="K114" s="754" t="s">
        <v>2148</v>
      </c>
      <c r="L114" s="1173"/>
      <c r="M114" s="1173"/>
      <c r="N114" s="1173"/>
      <c r="O114" s="1165">
        <f t="shared" si="17"/>
        <v>0</v>
      </c>
      <c r="P114" s="1173"/>
      <c r="Q114" s="1173"/>
      <c r="R114" s="1173"/>
      <c r="S114" s="1173"/>
      <c r="T114" s="1173"/>
      <c r="U114" s="1173"/>
      <c r="V114" s="1173"/>
      <c r="W114" s="1439" t="e">
        <f t="shared" si="18"/>
        <v>#DIV/0!</v>
      </c>
      <c r="X114" s="1432"/>
      <c r="Y114" s="765"/>
    </row>
    <row r="115" spans="1:25" s="760" customFormat="1" ht="22.5" customHeight="1" thickTop="1" thickBot="1" x14ac:dyDescent="0.3">
      <c r="A115" s="1287">
        <v>1</v>
      </c>
      <c r="B115" s="1288" t="s">
        <v>1378</v>
      </c>
      <c r="C115" s="1288" t="s">
        <v>1378</v>
      </c>
      <c r="D115" s="1288" t="s">
        <v>1391</v>
      </c>
      <c r="E115" s="1288" t="s">
        <v>1391</v>
      </c>
      <c r="F115" s="1288" t="s">
        <v>1378</v>
      </c>
      <c r="G115" s="1288" t="s">
        <v>1415</v>
      </c>
      <c r="H115" s="1288" t="s">
        <v>1575</v>
      </c>
      <c r="I115" s="1288"/>
      <c r="J115" s="1288"/>
      <c r="K115" s="754" t="s">
        <v>2149</v>
      </c>
      <c r="L115" s="1173"/>
      <c r="M115" s="1173"/>
      <c r="N115" s="1173"/>
      <c r="O115" s="1165">
        <f t="shared" si="17"/>
        <v>0</v>
      </c>
      <c r="P115" s="1173"/>
      <c r="Q115" s="1173"/>
      <c r="R115" s="1173"/>
      <c r="S115" s="1173"/>
      <c r="T115" s="1173"/>
      <c r="U115" s="1173"/>
      <c r="V115" s="1173"/>
      <c r="W115" s="1439" t="e">
        <f t="shared" si="18"/>
        <v>#DIV/0!</v>
      </c>
      <c r="X115" s="1432"/>
      <c r="Y115" s="765"/>
    </row>
    <row r="116" spans="1:25" s="760" customFormat="1" ht="22.5" customHeight="1" thickTop="1" thickBot="1" x14ac:dyDescent="0.3">
      <c r="A116" s="1287">
        <v>1</v>
      </c>
      <c r="B116" s="1288" t="s">
        <v>1378</v>
      </c>
      <c r="C116" s="1288" t="s">
        <v>1378</v>
      </c>
      <c r="D116" s="1288" t="s">
        <v>1391</v>
      </c>
      <c r="E116" s="1288" t="s">
        <v>1391</v>
      </c>
      <c r="F116" s="1288" t="s">
        <v>1378</v>
      </c>
      <c r="G116" s="1288" t="s">
        <v>1419</v>
      </c>
      <c r="H116" s="1288"/>
      <c r="I116" s="1288"/>
      <c r="J116" s="1288"/>
      <c r="K116" s="754" t="s">
        <v>1988</v>
      </c>
      <c r="L116" s="1173">
        <f>SUM(L117:L127)</f>
        <v>0</v>
      </c>
      <c r="M116" s="1173">
        <f t="shared" ref="M116:V116" si="25">SUM(M117:M127)</f>
        <v>0</v>
      </c>
      <c r="N116" s="1173">
        <f t="shared" si="25"/>
        <v>0</v>
      </c>
      <c r="O116" s="1165">
        <f t="shared" si="17"/>
        <v>0</v>
      </c>
      <c r="P116" s="1173">
        <f t="shared" si="25"/>
        <v>0</v>
      </c>
      <c r="Q116" s="1173">
        <f t="shared" si="25"/>
        <v>0</v>
      </c>
      <c r="R116" s="1173">
        <f t="shared" si="25"/>
        <v>0</v>
      </c>
      <c r="S116" s="1173"/>
      <c r="T116" s="1173">
        <f t="shared" si="25"/>
        <v>0</v>
      </c>
      <c r="U116" s="1173">
        <f t="shared" si="25"/>
        <v>0</v>
      </c>
      <c r="V116" s="1173">
        <f t="shared" si="25"/>
        <v>0</v>
      </c>
      <c r="W116" s="1439" t="e">
        <f t="shared" si="18"/>
        <v>#DIV/0!</v>
      </c>
      <c r="X116" s="1432" t="s">
        <v>1985</v>
      </c>
      <c r="Y116" s="765" t="s">
        <v>1986</v>
      </c>
    </row>
    <row r="117" spans="1:25" s="760" customFormat="1" ht="22.5" customHeight="1" thickTop="1" thickBot="1" x14ac:dyDescent="0.3">
      <c r="A117" s="1287">
        <v>1</v>
      </c>
      <c r="B117" s="1288" t="s">
        <v>1378</v>
      </c>
      <c r="C117" s="1288" t="s">
        <v>1378</v>
      </c>
      <c r="D117" s="1288" t="s">
        <v>1391</v>
      </c>
      <c r="E117" s="1288" t="s">
        <v>1391</v>
      </c>
      <c r="F117" s="1288" t="s">
        <v>1378</v>
      </c>
      <c r="G117" s="1288" t="s">
        <v>1419</v>
      </c>
      <c r="H117" s="1288" t="s">
        <v>1378</v>
      </c>
      <c r="I117" s="1288"/>
      <c r="J117" s="1288"/>
      <c r="K117" s="754" t="s">
        <v>2150</v>
      </c>
      <c r="L117" s="1173"/>
      <c r="M117" s="1173"/>
      <c r="N117" s="1173"/>
      <c r="O117" s="1165">
        <f t="shared" si="17"/>
        <v>0</v>
      </c>
      <c r="P117" s="1173"/>
      <c r="Q117" s="1173"/>
      <c r="R117" s="1173"/>
      <c r="S117" s="1173"/>
      <c r="T117" s="1173"/>
      <c r="U117" s="1173"/>
      <c r="V117" s="1173"/>
      <c r="W117" s="1439" t="e">
        <f t="shared" si="18"/>
        <v>#DIV/0!</v>
      </c>
      <c r="X117" s="1432"/>
      <c r="Y117" s="765"/>
    </row>
    <row r="118" spans="1:25" s="760" customFormat="1" ht="22.5" customHeight="1" thickTop="1" thickBot="1" x14ac:dyDescent="0.3">
      <c r="A118" s="1287">
        <v>1</v>
      </c>
      <c r="B118" s="1288" t="s">
        <v>1378</v>
      </c>
      <c r="C118" s="1288" t="s">
        <v>1378</v>
      </c>
      <c r="D118" s="1288" t="s">
        <v>1391</v>
      </c>
      <c r="E118" s="1288" t="s">
        <v>1391</v>
      </c>
      <c r="F118" s="1288" t="s">
        <v>1378</v>
      </c>
      <c r="G118" s="1288" t="s">
        <v>1419</v>
      </c>
      <c r="H118" s="1288" t="s">
        <v>1391</v>
      </c>
      <c r="I118" s="1288"/>
      <c r="J118" s="1288"/>
      <c r="K118" s="754" t="s">
        <v>2151</v>
      </c>
      <c r="L118" s="1173"/>
      <c r="M118" s="1173"/>
      <c r="N118" s="1173"/>
      <c r="O118" s="1165">
        <f t="shared" si="17"/>
        <v>0</v>
      </c>
      <c r="P118" s="1173"/>
      <c r="Q118" s="1173"/>
      <c r="R118" s="1173"/>
      <c r="S118" s="1173"/>
      <c r="T118" s="1173"/>
      <c r="U118" s="1173"/>
      <c r="V118" s="1173"/>
      <c r="W118" s="1439" t="e">
        <f t="shared" si="18"/>
        <v>#DIV/0!</v>
      </c>
      <c r="X118" s="1432"/>
      <c r="Y118" s="765"/>
    </row>
    <row r="119" spans="1:25" s="760" customFormat="1" ht="22.5" customHeight="1" thickTop="1" thickBot="1" x14ac:dyDescent="0.3">
      <c r="A119" s="1287">
        <v>1</v>
      </c>
      <c r="B119" s="1288" t="s">
        <v>1378</v>
      </c>
      <c r="C119" s="1288" t="s">
        <v>1378</v>
      </c>
      <c r="D119" s="1288" t="s">
        <v>1391</v>
      </c>
      <c r="E119" s="1288" t="s">
        <v>1391</v>
      </c>
      <c r="F119" s="1288" t="s">
        <v>1378</v>
      </c>
      <c r="G119" s="1288" t="s">
        <v>1419</v>
      </c>
      <c r="H119" s="1288" t="s">
        <v>1415</v>
      </c>
      <c r="I119" s="1288"/>
      <c r="J119" s="1288"/>
      <c r="K119" s="754" t="s">
        <v>2152</v>
      </c>
      <c r="L119" s="1173"/>
      <c r="M119" s="1173"/>
      <c r="N119" s="1173"/>
      <c r="O119" s="1165">
        <f t="shared" si="17"/>
        <v>0</v>
      </c>
      <c r="P119" s="1173"/>
      <c r="Q119" s="1173"/>
      <c r="R119" s="1173"/>
      <c r="S119" s="1173"/>
      <c r="T119" s="1173"/>
      <c r="U119" s="1173"/>
      <c r="V119" s="1173"/>
      <c r="W119" s="1439" t="e">
        <f t="shared" si="18"/>
        <v>#DIV/0!</v>
      </c>
      <c r="X119" s="1432"/>
      <c r="Y119" s="765"/>
    </row>
    <row r="120" spans="1:25" s="760" customFormat="1" ht="22.5" customHeight="1" thickTop="1" thickBot="1" x14ac:dyDescent="0.3">
      <c r="A120" s="1287">
        <v>1</v>
      </c>
      <c r="B120" s="1288" t="s">
        <v>1378</v>
      </c>
      <c r="C120" s="1288" t="s">
        <v>1378</v>
      </c>
      <c r="D120" s="1288" t="s">
        <v>1391</v>
      </c>
      <c r="E120" s="1288" t="s">
        <v>1391</v>
      </c>
      <c r="F120" s="1288" t="s">
        <v>1378</v>
      </c>
      <c r="G120" s="1288" t="s">
        <v>1419</v>
      </c>
      <c r="H120" s="1288" t="s">
        <v>1419</v>
      </c>
      <c r="I120" s="1288"/>
      <c r="J120" s="1288"/>
      <c r="K120" s="754" t="s">
        <v>2153</v>
      </c>
      <c r="L120" s="1173"/>
      <c r="M120" s="1173"/>
      <c r="N120" s="1173"/>
      <c r="O120" s="1165">
        <f t="shared" si="17"/>
        <v>0</v>
      </c>
      <c r="P120" s="1173"/>
      <c r="Q120" s="1173"/>
      <c r="R120" s="1173"/>
      <c r="S120" s="1173"/>
      <c r="T120" s="1173"/>
      <c r="U120" s="1173"/>
      <c r="V120" s="1173"/>
      <c r="W120" s="1439" t="e">
        <f t="shared" si="18"/>
        <v>#DIV/0!</v>
      </c>
      <c r="X120" s="1432"/>
      <c r="Y120" s="765"/>
    </row>
    <row r="121" spans="1:25" s="760" customFormat="1" ht="22.5" customHeight="1" thickTop="1" thickBot="1" x14ac:dyDescent="0.3">
      <c r="A121" s="1287">
        <v>1</v>
      </c>
      <c r="B121" s="1288" t="s">
        <v>1378</v>
      </c>
      <c r="C121" s="1288" t="s">
        <v>1378</v>
      </c>
      <c r="D121" s="1288" t="s">
        <v>1391</v>
      </c>
      <c r="E121" s="1288" t="s">
        <v>1391</v>
      </c>
      <c r="F121" s="1288" t="s">
        <v>1378</v>
      </c>
      <c r="G121" s="1288" t="s">
        <v>1419</v>
      </c>
      <c r="H121" s="1288" t="s">
        <v>1444</v>
      </c>
      <c r="I121" s="1288"/>
      <c r="J121" s="1288"/>
      <c r="K121" s="754" t="s">
        <v>2154</v>
      </c>
      <c r="L121" s="1173"/>
      <c r="M121" s="1173"/>
      <c r="N121" s="1173"/>
      <c r="O121" s="1165">
        <f t="shared" si="17"/>
        <v>0</v>
      </c>
      <c r="P121" s="1173"/>
      <c r="Q121" s="1173"/>
      <c r="R121" s="1173"/>
      <c r="S121" s="1173"/>
      <c r="T121" s="1173"/>
      <c r="U121" s="1173"/>
      <c r="V121" s="1173"/>
      <c r="W121" s="1439" t="e">
        <f t="shared" si="18"/>
        <v>#DIV/0!</v>
      </c>
      <c r="X121" s="1432"/>
      <c r="Y121" s="765"/>
    </row>
    <row r="122" spans="1:25" s="760" customFormat="1" ht="22.5" customHeight="1" thickTop="1" thickBot="1" x14ac:dyDescent="0.3">
      <c r="A122" s="1287">
        <v>1</v>
      </c>
      <c r="B122" s="1288" t="s">
        <v>1378</v>
      </c>
      <c r="C122" s="1288" t="s">
        <v>1378</v>
      </c>
      <c r="D122" s="1288" t="s">
        <v>1391</v>
      </c>
      <c r="E122" s="1288" t="s">
        <v>1391</v>
      </c>
      <c r="F122" s="1288" t="s">
        <v>1378</v>
      </c>
      <c r="G122" s="1288" t="s">
        <v>1419</v>
      </c>
      <c r="H122" s="1288" t="s">
        <v>1467</v>
      </c>
      <c r="I122" s="1288"/>
      <c r="J122" s="1288"/>
      <c r="K122" s="754" t="s">
        <v>2155</v>
      </c>
      <c r="L122" s="1173"/>
      <c r="M122" s="1173"/>
      <c r="N122" s="1173"/>
      <c r="O122" s="1165">
        <f t="shared" si="17"/>
        <v>0</v>
      </c>
      <c r="P122" s="1173"/>
      <c r="Q122" s="1173"/>
      <c r="R122" s="1173"/>
      <c r="S122" s="1173"/>
      <c r="T122" s="1173"/>
      <c r="U122" s="1173"/>
      <c r="V122" s="1173"/>
      <c r="W122" s="1439" t="e">
        <f t="shared" si="18"/>
        <v>#DIV/0!</v>
      </c>
      <c r="X122" s="1432"/>
      <c r="Y122" s="765"/>
    </row>
    <row r="123" spans="1:25" s="760" customFormat="1" ht="22.5" customHeight="1" thickTop="1" thickBot="1" x14ac:dyDescent="0.3">
      <c r="A123" s="1287">
        <v>1</v>
      </c>
      <c r="B123" s="1288" t="s">
        <v>1378</v>
      </c>
      <c r="C123" s="1288" t="s">
        <v>1378</v>
      </c>
      <c r="D123" s="1288" t="s">
        <v>1391</v>
      </c>
      <c r="E123" s="1288" t="s">
        <v>1391</v>
      </c>
      <c r="F123" s="1288" t="s">
        <v>1378</v>
      </c>
      <c r="G123" s="1288" t="s">
        <v>1419</v>
      </c>
      <c r="H123" s="1288" t="s">
        <v>1471</v>
      </c>
      <c r="I123" s="1288"/>
      <c r="J123" s="1288"/>
      <c r="K123" s="754" t="s">
        <v>2156</v>
      </c>
      <c r="L123" s="1173"/>
      <c r="M123" s="1173"/>
      <c r="N123" s="1173"/>
      <c r="O123" s="1165">
        <f t="shared" si="17"/>
        <v>0</v>
      </c>
      <c r="P123" s="1173"/>
      <c r="Q123" s="1173"/>
      <c r="R123" s="1173"/>
      <c r="S123" s="1173"/>
      <c r="T123" s="1173"/>
      <c r="U123" s="1173"/>
      <c r="V123" s="1173"/>
      <c r="W123" s="1439" t="e">
        <f t="shared" si="18"/>
        <v>#DIV/0!</v>
      </c>
      <c r="X123" s="1432"/>
      <c r="Y123" s="765"/>
    </row>
    <row r="124" spans="1:25" s="760" customFormat="1" ht="22.5" customHeight="1" thickTop="1" thickBot="1" x14ac:dyDescent="0.3">
      <c r="A124" s="1287">
        <v>1</v>
      </c>
      <c r="B124" s="1288" t="s">
        <v>1378</v>
      </c>
      <c r="C124" s="1288" t="s">
        <v>1378</v>
      </c>
      <c r="D124" s="1288" t="s">
        <v>1391</v>
      </c>
      <c r="E124" s="1288" t="s">
        <v>1391</v>
      </c>
      <c r="F124" s="1288" t="s">
        <v>1378</v>
      </c>
      <c r="G124" s="1288" t="s">
        <v>1419</v>
      </c>
      <c r="H124" s="1288" t="s">
        <v>1475</v>
      </c>
      <c r="I124" s="1288"/>
      <c r="J124" s="1288"/>
      <c r="K124" s="754" t="s">
        <v>2157</v>
      </c>
      <c r="L124" s="1173"/>
      <c r="M124" s="1173"/>
      <c r="N124" s="1173"/>
      <c r="O124" s="1165">
        <f t="shared" si="17"/>
        <v>0</v>
      </c>
      <c r="P124" s="1173"/>
      <c r="Q124" s="1173"/>
      <c r="R124" s="1173"/>
      <c r="S124" s="1173"/>
      <c r="T124" s="1173"/>
      <c r="U124" s="1173"/>
      <c r="V124" s="1173"/>
      <c r="W124" s="1439" t="e">
        <f t="shared" si="18"/>
        <v>#DIV/0!</v>
      </c>
      <c r="X124" s="1432"/>
      <c r="Y124" s="765"/>
    </row>
    <row r="125" spans="1:25" s="760" customFormat="1" ht="22.5" customHeight="1" thickTop="1" thickBot="1" x14ac:dyDescent="0.3">
      <c r="A125" s="1287">
        <v>1</v>
      </c>
      <c r="B125" s="1288" t="s">
        <v>1378</v>
      </c>
      <c r="C125" s="1288" t="s">
        <v>1378</v>
      </c>
      <c r="D125" s="1288" t="s">
        <v>1391</v>
      </c>
      <c r="E125" s="1288" t="s">
        <v>1391</v>
      </c>
      <c r="F125" s="1288" t="s">
        <v>1378</v>
      </c>
      <c r="G125" s="1288" t="s">
        <v>1419</v>
      </c>
      <c r="H125" s="1288" t="s">
        <v>1573</v>
      </c>
      <c r="I125" s="1288"/>
      <c r="J125" s="1288"/>
      <c r="K125" s="754" t="s">
        <v>2158</v>
      </c>
      <c r="L125" s="1173"/>
      <c r="M125" s="1173"/>
      <c r="N125" s="1173"/>
      <c r="O125" s="1165">
        <f t="shared" si="17"/>
        <v>0</v>
      </c>
      <c r="P125" s="1173"/>
      <c r="Q125" s="1173"/>
      <c r="R125" s="1173"/>
      <c r="S125" s="1173"/>
      <c r="T125" s="1173"/>
      <c r="U125" s="1173"/>
      <c r="V125" s="1173"/>
      <c r="W125" s="1439" t="e">
        <f t="shared" si="18"/>
        <v>#DIV/0!</v>
      </c>
      <c r="X125" s="1432"/>
      <c r="Y125" s="765"/>
    </row>
    <row r="126" spans="1:25" s="760" customFormat="1" ht="22.5" customHeight="1" thickTop="1" thickBot="1" x14ac:dyDescent="0.3">
      <c r="A126" s="1287">
        <v>1</v>
      </c>
      <c r="B126" s="1288" t="s">
        <v>1378</v>
      </c>
      <c r="C126" s="1288" t="s">
        <v>1378</v>
      </c>
      <c r="D126" s="1288" t="s">
        <v>1391</v>
      </c>
      <c r="E126" s="1288" t="s">
        <v>1391</v>
      </c>
      <c r="F126" s="1288" t="s">
        <v>1378</v>
      </c>
      <c r="G126" s="1288" t="s">
        <v>1419</v>
      </c>
      <c r="H126" s="1288" t="s">
        <v>1574</v>
      </c>
      <c r="I126" s="1288"/>
      <c r="J126" s="1288"/>
      <c r="K126" s="754" t="s">
        <v>2159</v>
      </c>
      <c r="L126" s="1173"/>
      <c r="M126" s="1173"/>
      <c r="N126" s="1173"/>
      <c r="O126" s="1165">
        <f t="shared" si="17"/>
        <v>0</v>
      </c>
      <c r="P126" s="1173"/>
      <c r="Q126" s="1173"/>
      <c r="R126" s="1173"/>
      <c r="S126" s="1173"/>
      <c r="T126" s="1173"/>
      <c r="U126" s="1173"/>
      <c r="V126" s="1173"/>
      <c r="W126" s="1439" t="e">
        <f t="shared" si="18"/>
        <v>#DIV/0!</v>
      </c>
      <c r="X126" s="1432"/>
      <c r="Y126" s="765"/>
    </row>
    <row r="127" spans="1:25" s="760" customFormat="1" ht="22.5" customHeight="1" thickTop="1" thickBot="1" x14ac:dyDescent="0.3">
      <c r="A127" s="1287">
        <v>1</v>
      </c>
      <c r="B127" s="1288" t="s">
        <v>1378</v>
      </c>
      <c r="C127" s="1288" t="s">
        <v>1378</v>
      </c>
      <c r="D127" s="1288" t="s">
        <v>1391</v>
      </c>
      <c r="E127" s="1288" t="s">
        <v>1391</v>
      </c>
      <c r="F127" s="1288" t="s">
        <v>1378</v>
      </c>
      <c r="G127" s="1288" t="s">
        <v>1419</v>
      </c>
      <c r="H127" s="1288" t="s">
        <v>1575</v>
      </c>
      <c r="I127" s="1288"/>
      <c r="J127" s="1288"/>
      <c r="K127" s="754" t="s">
        <v>2160</v>
      </c>
      <c r="L127" s="1173"/>
      <c r="M127" s="1173"/>
      <c r="N127" s="1173"/>
      <c r="O127" s="1165">
        <f t="shared" si="17"/>
        <v>0</v>
      </c>
      <c r="P127" s="1173"/>
      <c r="Q127" s="1173"/>
      <c r="R127" s="1173"/>
      <c r="S127" s="1173"/>
      <c r="T127" s="1173"/>
      <c r="U127" s="1173"/>
      <c r="V127" s="1173"/>
      <c r="W127" s="1439" t="e">
        <f t="shared" si="18"/>
        <v>#DIV/0!</v>
      </c>
      <c r="X127" s="1432"/>
      <c r="Y127" s="765"/>
    </row>
    <row r="128" spans="1:25" s="760" customFormat="1" ht="22.5" customHeight="1" thickTop="1" thickBot="1" x14ac:dyDescent="0.3">
      <c r="A128" s="1287">
        <v>1</v>
      </c>
      <c r="B128" s="1288" t="s">
        <v>1378</v>
      </c>
      <c r="C128" s="1288" t="s">
        <v>1378</v>
      </c>
      <c r="D128" s="1288" t="s">
        <v>1391</v>
      </c>
      <c r="E128" s="1288" t="s">
        <v>1391</v>
      </c>
      <c r="F128" s="1288" t="s">
        <v>1378</v>
      </c>
      <c r="G128" s="1288" t="s">
        <v>1444</v>
      </c>
      <c r="H128" s="1288"/>
      <c r="I128" s="1288"/>
      <c r="J128" s="1288"/>
      <c r="K128" s="754" t="s">
        <v>1387</v>
      </c>
      <c r="L128" s="1173">
        <f>SUM(L129:L139)</f>
        <v>0</v>
      </c>
      <c r="M128" s="1173">
        <f t="shared" ref="M128:V128" si="26">SUM(M129:M139)</f>
        <v>0</v>
      </c>
      <c r="N128" s="1173">
        <f t="shared" si="26"/>
        <v>0</v>
      </c>
      <c r="O128" s="1165">
        <f t="shared" si="17"/>
        <v>0</v>
      </c>
      <c r="P128" s="1173">
        <f t="shared" si="26"/>
        <v>0</v>
      </c>
      <c r="Q128" s="1173">
        <f t="shared" si="26"/>
        <v>0</v>
      </c>
      <c r="R128" s="1173">
        <f t="shared" si="26"/>
        <v>0</v>
      </c>
      <c r="S128" s="1173"/>
      <c r="T128" s="1173">
        <f t="shared" si="26"/>
        <v>0</v>
      </c>
      <c r="U128" s="1173">
        <f t="shared" si="26"/>
        <v>0</v>
      </c>
      <c r="V128" s="1173">
        <f t="shared" si="26"/>
        <v>0</v>
      </c>
      <c r="W128" s="1439" t="e">
        <f t="shared" si="18"/>
        <v>#DIV/0!</v>
      </c>
      <c r="X128" s="1432" t="s">
        <v>1388</v>
      </c>
      <c r="Y128" s="765" t="s">
        <v>1989</v>
      </c>
    </row>
    <row r="129" spans="1:25" s="760" customFormat="1" ht="22.5" customHeight="1" thickTop="1" thickBot="1" x14ac:dyDescent="0.3">
      <c r="A129" s="1287">
        <v>1</v>
      </c>
      <c r="B129" s="1288" t="s">
        <v>1378</v>
      </c>
      <c r="C129" s="1288" t="s">
        <v>1378</v>
      </c>
      <c r="D129" s="1288" t="s">
        <v>1391</v>
      </c>
      <c r="E129" s="1288" t="s">
        <v>1391</v>
      </c>
      <c r="F129" s="1288" t="s">
        <v>1378</v>
      </c>
      <c r="G129" s="1288" t="s">
        <v>1444</v>
      </c>
      <c r="H129" s="1288" t="s">
        <v>1378</v>
      </c>
      <c r="I129" s="1288"/>
      <c r="J129" s="1288"/>
      <c r="K129" s="754" t="s">
        <v>1390</v>
      </c>
      <c r="L129" s="1173"/>
      <c r="M129" s="1173"/>
      <c r="N129" s="1173"/>
      <c r="O129" s="1165">
        <f t="shared" si="17"/>
        <v>0</v>
      </c>
      <c r="P129" s="1173"/>
      <c r="Q129" s="1173"/>
      <c r="R129" s="1173"/>
      <c r="S129" s="1173"/>
      <c r="T129" s="1173"/>
      <c r="U129" s="1173"/>
      <c r="V129" s="1173"/>
      <c r="W129" s="1439" t="e">
        <f t="shared" si="18"/>
        <v>#DIV/0!</v>
      </c>
      <c r="X129" s="1432"/>
      <c r="Y129" s="765"/>
    </row>
    <row r="130" spans="1:25" s="760" customFormat="1" ht="22.5" customHeight="1" thickTop="1" thickBot="1" x14ac:dyDescent="0.3">
      <c r="A130" s="1287">
        <v>1</v>
      </c>
      <c r="B130" s="1288" t="s">
        <v>1378</v>
      </c>
      <c r="C130" s="1288" t="s">
        <v>1378</v>
      </c>
      <c r="D130" s="1288" t="s">
        <v>1391</v>
      </c>
      <c r="E130" s="1288" t="s">
        <v>1391</v>
      </c>
      <c r="F130" s="1288" t="s">
        <v>1378</v>
      </c>
      <c r="G130" s="1288" t="s">
        <v>1444</v>
      </c>
      <c r="H130" s="1288" t="s">
        <v>1391</v>
      </c>
      <c r="I130" s="1288"/>
      <c r="J130" s="1288"/>
      <c r="K130" s="754" t="s">
        <v>1392</v>
      </c>
      <c r="L130" s="1173"/>
      <c r="M130" s="1173"/>
      <c r="N130" s="1173"/>
      <c r="O130" s="1165">
        <f t="shared" si="17"/>
        <v>0</v>
      </c>
      <c r="P130" s="1173"/>
      <c r="Q130" s="1173"/>
      <c r="R130" s="1173"/>
      <c r="S130" s="1173"/>
      <c r="T130" s="1173"/>
      <c r="U130" s="1173"/>
      <c r="V130" s="1173"/>
      <c r="W130" s="1439" t="e">
        <f t="shared" si="18"/>
        <v>#DIV/0!</v>
      </c>
      <c r="X130" s="1432"/>
      <c r="Y130" s="765"/>
    </row>
    <row r="131" spans="1:25" s="760" customFormat="1" ht="22.5" customHeight="1" thickTop="1" thickBot="1" x14ac:dyDescent="0.3">
      <c r="A131" s="1287">
        <v>1</v>
      </c>
      <c r="B131" s="1288" t="s">
        <v>1378</v>
      </c>
      <c r="C131" s="1288" t="s">
        <v>1378</v>
      </c>
      <c r="D131" s="1288" t="s">
        <v>1391</v>
      </c>
      <c r="E131" s="1288" t="s">
        <v>1391</v>
      </c>
      <c r="F131" s="1288" t="s">
        <v>1378</v>
      </c>
      <c r="G131" s="1288" t="s">
        <v>1444</v>
      </c>
      <c r="H131" s="1288" t="s">
        <v>1415</v>
      </c>
      <c r="I131" s="1288"/>
      <c r="J131" s="1288"/>
      <c r="K131" s="754" t="s">
        <v>1945</v>
      </c>
      <c r="L131" s="1173"/>
      <c r="M131" s="1173"/>
      <c r="N131" s="1173"/>
      <c r="O131" s="1165">
        <f t="shared" si="17"/>
        <v>0</v>
      </c>
      <c r="P131" s="1173"/>
      <c r="Q131" s="1173"/>
      <c r="R131" s="1173"/>
      <c r="S131" s="1173"/>
      <c r="T131" s="1173"/>
      <c r="U131" s="1173"/>
      <c r="V131" s="1173"/>
      <c r="W131" s="1439" t="e">
        <f t="shared" si="18"/>
        <v>#DIV/0!</v>
      </c>
      <c r="X131" s="1432"/>
      <c r="Y131" s="765"/>
    </row>
    <row r="132" spans="1:25" s="760" customFormat="1" ht="22.5" customHeight="1" thickTop="1" thickBot="1" x14ac:dyDescent="0.3">
      <c r="A132" s="1287">
        <v>1</v>
      </c>
      <c r="B132" s="1288" t="s">
        <v>1378</v>
      </c>
      <c r="C132" s="1288" t="s">
        <v>1378</v>
      </c>
      <c r="D132" s="1288" t="s">
        <v>1391</v>
      </c>
      <c r="E132" s="1288" t="s">
        <v>1391</v>
      </c>
      <c r="F132" s="1288" t="s">
        <v>1378</v>
      </c>
      <c r="G132" s="1288" t="s">
        <v>1444</v>
      </c>
      <c r="H132" s="1288" t="s">
        <v>1419</v>
      </c>
      <c r="I132" s="1288"/>
      <c r="J132" s="1288"/>
      <c r="K132" s="754" t="s">
        <v>2161</v>
      </c>
      <c r="L132" s="1173"/>
      <c r="M132" s="1173"/>
      <c r="N132" s="1173"/>
      <c r="O132" s="1165">
        <f t="shared" si="17"/>
        <v>0</v>
      </c>
      <c r="P132" s="1173"/>
      <c r="Q132" s="1173"/>
      <c r="R132" s="1173"/>
      <c r="S132" s="1173"/>
      <c r="T132" s="1173"/>
      <c r="U132" s="1173"/>
      <c r="V132" s="1173"/>
      <c r="W132" s="1439" t="e">
        <f t="shared" si="18"/>
        <v>#DIV/0!</v>
      </c>
      <c r="X132" s="1432"/>
      <c r="Y132" s="765"/>
    </row>
    <row r="133" spans="1:25" s="760" customFormat="1" ht="22.5" customHeight="1" thickTop="1" thickBot="1" x14ac:dyDescent="0.3">
      <c r="A133" s="1287">
        <v>1</v>
      </c>
      <c r="B133" s="1288" t="s">
        <v>1378</v>
      </c>
      <c r="C133" s="1288" t="s">
        <v>1378</v>
      </c>
      <c r="D133" s="1288" t="s">
        <v>1391</v>
      </c>
      <c r="E133" s="1288" t="s">
        <v>1391</v>
      </c>
      <c r="F133" s="1288" t="s">
        <v>1378</v>
      </c>
      <c r="G133" s="1288" t="s">
        <v>1444</v>
      </c>
      <c r="H133" s="1288" t="s">
        <v>1444</v>
      </c>
      <c r="I133" s="1288"/>
      <c r="J133" s="1288"/>
      <c r="K133" s="754" t="s">
        <v>2162</v>
      </c>
      <c r="L133" s="1173"/>
      <c r="M133" s="1173"/>
      <c r="N133" s="1173"/>
      <c r="O133" s="1165">
        <f t="shared" si="17"/>
        <v>0</v>
      </c>
      <c r="P133" s="1173"/>
      <c r="Q133" s="1173"/>
      <c r="R133" s="1173"/>
      <c r="S133" s="1173"/>
      <c r="T133" s="1173"/>
      <c r="U133" s="1173"/>
      <c r="V133" s="1173"/>
      <c r="W133" s="1439" t="e">
        <f t="shared" si="18"/>
        <v>#DIV/0!</v>
      </c>
      <c r="X133" s="1432"/>
      <c r="Y133" s="765"/>
    </row>
    <row r="134" spans="1:25" s="760" customFormat="1" ht="22.5" customHeight="1" thickTop="1" thickBot="1" x14ac:dyDescent="0.3">
      <c r="A134" s="1287">
        <v>1</v>
      </c>
      <c r="B134" s="1288" t="s">
        <v>1378</v>
      </c>
      <c r="C134" s="1288" t="s">
        <v>1378</v>
      </c>
      <c r="D134" s="1288" t="s">
        <v>1391</v>
      </c>
      <c r="E134" s="1288" t="s">
        <v>1391</v>
      </c>
      <c r="F134" s="1288" t="s">
        <v>1378</v>
      </c>
      <c r="G134" s="1288" t="s">
        <v>1444</v>
      </c>
      <c r="H134" s="1288" t="s">
        <v>1467</v>
      </c>
      <c r="I134" s="1288"/>
      <c r="J134" s="1288"/>
      <c r="K134" s="754" t="s">
        <v>2163</v>
      </c>
      <c r="L134" s="1173"/>
      <c r="M134" s="1173"/>
      <c r="N134" s="1173"/>
      <c r="O134" s="1165">
        <f t="shared" si="17"/>
        <v>0</v>
      </c>
      <c r="P134" s="1173"/>
      <c r="Q134" s="1173"/>
      <c r="R134" s="1173"/>
      <c r="S134" s="1173"/>
      <c r="T134" s="1173"/>
      <c r="U134" s="1173"/>
      <c r="V134" s="1173"/>
      <c r="W134" s="1439" t="e">
        <f t="shared" si="18"/>
        <v>#DIV/0!</v>
      </c>
      <c r="X134" s="1432"/>
      <c r="Y134" s="765"/>
    </row>
    <row r="135" spans="1:25" s="760" customFormat="1" ht="22.5" customHeight="1" thickTop="1" thickBot="1" x14ac:dyDescent="0.3">
      <c r="A135" s="1287">
        <v>1</v>
      </c>
      <c r="B135" s="1288" t="s">
        <v>1378</v>
      </c>
      <c r="C135" s="1288" t="s">
        <v>1378</v>
      </c>
      <c r="D135" s="1288" t="s">
        <v>1391</v>
      </c>
      <c r="E135" s="1288" t="s">
        <v>1391</v>
      </c>
      <c r="F135" s="1288" t="s">
        <v>1378</v>
      </c>
      <c r="G135" s="1288" t="s">
        <v>1444</v>
      </c>
      <c r="H135" s="1288" t="s">
        <v>1471</v>
      </c>
      <c r="I135" s="1288"/>
      <c r="J135" s="1288"/>
      <c r="K135" s="754" t="s">
        <v>2164</v>
      </c>
      <c r="L135" s="1173"/>
      <c r="M135" s="1173"/>
      <c r="N135" s="1173"/>
      <c r="O135" s="1165">
        <f t="shared" si="17"/>
        <v>0</v>
      </c>
      <c r="P135" s="1173"/>
      <c r="Q135" s="1173"/>
      <c r="R135" s="1173"/>
      <c r="S135" s="1173"/>
      <c r="T135" s="1173"/>
      <c r="U135" s="1173"/>
      <c r="V135" s="1173"/>
      <c r="W135" s="1439" t="e">
        <f t="shared" si="18"/>
        <v>#DIV/0!</v>
      </c>
      <c r="X135" s="1432"/>
      <c r="Y135" s="765"/>
    </row>
    <row r="136" spans="1:25" s="760" customFormat="1" ht="22.5" customHeight="1" thickTop="1" thickBot="1" x14ac:dyDescent="0.3">
      <c r="A136" s="1287">
        <v>1</v>
      </c>
      <c r="B136" s="1288" t="s">
        <v>1378</v>
      </c>
      <c r="C136" s="1288" t="s">
        <v>1378</v>
      </c>
      <c r="D136" s="1288" t="s">
        <v>1391</v>
      </c>
      <c r="E136" s="1288" t="s">
        <v>1391</v>
      </c>
      <c r="F136" s="1288" t="s">
        <v>1378</v>
      </c>
      <c r="G136" s="1288" t="s">
        <v>1444</v>
      </c>
      <c r="H136" s="1288" t="s">
        <v>1475</v>
      </c>
      <c r="I136" s="1288"/>
      <c r="J136" s="1288"/>
      <c r="K136" s="754" t="s">
        <v>2165</v>
      </c>
      <c r="L136" s="1173"/>
      <c r="M136" s="1173"/>
      <c r="N136" s="1173"/>
      <c r="O136" s="1165">
        <f t="shared" ref="O136:O199" si="27">L136+M136-N136</f>
        <v>0</v>
      </c>
      <c r="P136" s="1173"/>
      <c r="Q136" s="1173"/>
      <c r="R136" s="1173"/>
      <c r="S136" s="1173"/>
      <c r="T136" s="1173"/>
      <c r="U136" s="1173"/>
      <c r="V136" s="1173"/>
      <c r="W136" s="1439" t="e">
        <f t="shared" ref="W136:W199" si="28">V136/U136</f>
        <v>#DIV/0!</v>
      </c>
      <c r="X136" s="1432"/>
      <c r="Y136" s="765"/>
    </row>
    <row r="137" spans="1:25" s="760" customFormat="1" ht="22.5" customHeight="1" thickTop="1" thickBot="1" x14ac:dyDescent="0.3">
      <c r="A137" s="1287">
        <v>1</v>
      </c>
      <c r="B137" s="1288" t="s">
        <v>1378</v>
      </c>
      <c r="C137" s="1288" t="s">
        <v>1378</v>
      </c>
      <c r="D137" s="1288" t="s">
        <v>1391</v>
      </c>
      <c r="E137" s="1288" t="s">
        <v>1391</v>
      </c>
      <c r="F137" s="1288" t="s">
        <v>1378</v>
      </c>
      <c r="G137" s="1288" t="s">
        <v>1444</v>
      </c>
      <c r="H137" s="1288" t="s">
        <v>1573</v>
      </c>
      <c r="I137" s="1288"/>
      <c r="J137" s="1288"/>
      <c r="K137" s="754" t="s">
        <v>2166</v>
      </c>
      <c r="L137" s="1173"/>
      <c r="M137" s="1173"/>
      <c r="N137" s="1173"/>
      <c r="O137" s="1165">
        <f t="shared" si="27"/>
        <v>0</v>
      </c>
      <c r="P137" s="1173"/>
      <c r="Q137" s="1173"/>
      <c r="R137" s="1173"/>
      <c r="S137" s="1173"/>
      <c r="T137" s="1173"/>
      <c r="U137" s="1173"/>
      <c r="V137" s="1173"/>
      <c r="W137" s="1439" t="e">
        <f t="shared" si="28"/>
        <v>#DIV/0!</v>
      </c>
      <c r="X137" s="1432"/>
      <c r="Y137" s="765"/>
    </row>
    <row r="138" spans="1:25" s="760" customFormat="1" ht="22.5" customHeight="1" thickTop="1" thickBot="1" x14ac:dyDescent="0.3">
      <c r="A138" s="1287">
        <v>1</v>
      </c>
      <c r="B138" s="1288" t="s">
        <v>1378</v>
      </c>
      <c r="C138" s="1288" t="s">
        <v>1378</v>
      </c>
      <c r="D138" s="1288" t="s">
        <v>1391</v>
      </c>
      <c r="E138" s="1288" t="s">
        <v>1391</v>
      </c>
      <c r="F138" s="1288" t="s">
        <v>1378</v>
      </c>
      <c r="G138" s="1288" t="s">
        <v>1444</v>
      </c>
      <c r="H138" s="1288" t="s">
        <v>1574</v>
      </c>
      <c r="I138" s="1288"/>
      <c r="J138" s="1288"/>
      <c r="K138" s="754" t="s">
        <v>2167</v>
      </c>
      <c r="L138" s="1173"/>
      <c r="M138" s="1173"/>
      <c r="N138" s="1173"/>
      <c r="O138" s="1165">
        <f t="shared" si="27"/>
        <v>0</v>
      </c>
      <c r="P138" s="1173"/>
      <c r="Q138" s="1173"/>
      <c r="R138" s="1173"/>
      <c r="S138" s="1173"/>
      <c r="T138" s="1173"/>
      <c r="U138" s="1173"/>
      <c r="V138" s="1173"/>
      <c r="W138" s="1439" t="e">
        <f t="shared" si="28"/>
        <v>#DIV/0!</v>
      </c>
      <c r="X138" s="1432"/>
      <c r="Y138" s="765"/>
    </row>
    <row r="139" spans="1:25" s="760" customFormat="1" ht="22.5" customHeight="1" thickTop="1" thickBot="1" x14ac:dyDescent="0.3">
      <c r="A139" s="1287">
        <v>1</v>
      </c>
      <c r="B139" s="1288" t="s">
        <v>1378</v>
      </c>
      <c r="C139" s="1288" t="s">
        <v>1378</v>
      </c>
      <c r="D139" s="1288" t="s">
        <v>1391</v>
      </c>
      <c r="E139" s="1288" t="s">
        <v>1391</v>
      </c>
      <c r="F139" s="1288" t="s">
        <v>1378</v>
      </c>
      <c r="G139" s="1288" t="s">
        <v>1444</v>
      </c>
      <c r="H139" s="1288" t="s">
        <v>1575</v>
      </c>
      <c r="I139" s="1288"/>
      <c r="J139" s="1288"/>
      <c r="K139" s="754" t="s">
        <v>2168</v>
      </c>
      <c r="L139" s="1173"/>
      <c r="M139" s="1173"/>
      <c r="N139" s="1173"/>
      <c r="O139" s="1165">
        <f t="shared" si="27"/>
        <v>0</v>
      </c>
      <c r="P139" s="1173"/>
      <c r="Q139" s="1173"/>
      <c r="R139" s="1173"/>
      <c r="S139" s="1173"/>
      <c r="T139" s="1173"/>
      <c r="U139" s="1173"/>
      <c r="V139" s="1173"/>
      <c r="W139" s="1439" t="e">
        <f t="shared" si="28"/>
        <v>#DIV/0!</v>
      </c>
      <c r="X139" s="1432"/>
      <c r="Y139" s="765"/>
    </row>
    <row r="140" spans="1:25" s="760" customFormat="1" ht="22.5" customHeight="1" thickTop="1" thickBot="1" x14ac:dyDescent="0.3">
      <c r="A140" s="1287">
        <v>1</v>
      </c>
      <c r="B140" s="1288" t="s">
        <v>1378</v>
      </c>
      <c r="C140" s="1288" t="s">
        <v>1378</v>
      </c>
      <c r="D140" s="1288" t="s">
        <v>1391</v>
      </c>
      <c r="E140" s="1288" t="s">
        <v>1391</v>
      </c>
      <c r="F140" s="1288" t="s">
        <v>1378</v>
      </c>
      <c r="G140" s="1288" t="s">
        <v>1467</v>
      </c>
      <c r="H140" s="1288"/>
      <c r="I140" s="1288"/>
      <c r="J140" s="1288"/>
      <c r="K140" s="754" t="s">
        <v>1990</v>
      </c>
      <c r="L140" s="1173">
        <f>SUM(L141:L151)</f>
        <v>0</v>
      </c>
      <c r="M140" s="1173">
        <f t="shared" ref="M140:V140" si="29">SUM(M141:M151)</f>
        <v>0</v>
      </c>
      <c r="N140" s="1173">
        <f t="shared" si="29"/>
        <v>0</v>
      </c>
      <c r="O140" s="1165">
        <f t="shared" si="27"/>
        <v>0</v>
      </c>
      <c r="P140" s="1173">
        <f t="shared" si="29"/>
        <v>0</v>
      </c>
      <c r="Q140" s="1173">
        <f t="shared" si="29"/>
        <v>0</v>
      </c>
      <c r="R140" s="1173">
        <f t="shared" si="29"/>
        <v>0</v>
      </c>
      <c r="S140" s="1173"/>
      <c r="T140" s="1173">
        <f t="shared" si="29"/>
        <v>0</v>
      </c>
      <c r="U140" s="1173">
        <f t="shared" si="29"/>
        <v>0</v>
      </c>
      <c r="V140" s="1173">
        <f t="shared" si="29"/>
        <v>0</v>
      </c>
      <c r="W140" s="1439" t="e">
        <f t="shared" si="28"/>
        <v>#DIV/0!</v>
      </c>
      <c r="X140" s="1432" t="s">
        <v>1991</v>
      </c>
      <c r="Y140" s="765" t="s">
        <v>1992</v>
      </c>
    </row>
    <row r="141" spans="1:25" s="760" customFormat="1" ht="22.5" customHeight="1" thickTop="1" thickBot="1" x14ac:dyDescent="0.3">
      <c r="A141" s="1287">
        <v>1</v>
      </c>
      <c r="B141" s="1288" t="s">
        <v>1378</v>
      </c>
      <c r="C141" s="1288" t="s">
        <v>1378</v>
      </c>
      <c r="D141" s="1288" t="s">
        <v>1391</v>
      </c>
      <c r="E141" s="1288" t="s">
        <v>1391</v>
      </c>
      <c r="F141" s="1288" t="s">
        <v>1378</v>
      </c>
      <c r="G141" s="1288" t="s">
        <v>1467</v>
      </c>
      <c r="H141" s="1288" t="s">
        <v>1378</v>
      </c>
      <c r="I141" s="1288"/>
      <c r="J141" s="1288"/>
      <c r="K141" s="754" t="s">
        <v>2169</v>
      </c>
      <c r="L141" s="1173"/>
      <c r="M141" s="1173"/>
      <c r="N141" s="1173"/>
      <c r="O141" s="1165">
        <f t="shared" si="27"/>
        <v>0</v>
      </c>
      <c r="P141" s="1173"/>
      <c r="Q141" s="1173"/>
      <c r="R141" s="1173"/>
      <c r="S141" s="1173"/>
      <c r="T141" s="1173"/>
      <c r="U141" s="1173"/>
      <c r="V141" s="1173"/>
      <c r="W141" s="1439" t="e">
        <f t="shared" si="28"/>
        <v>#DIV/0!</v>
      </c>
      <c r="X141" s="1432"/>
      <c r="Y141" s="765"/>
    </row>
    <row r="142" spans="1:25" s="760" customFormat="1" ht="22.5" customHeight="1" thickTop="1" thickBot="1" x14ac:dyDescent="0.3">
      <c r="A142" s="1287">
        <v>1</v>
      </c>
      <c r="B142" s="1288" t="s">
        <v>1378</v>
      </c>
      <c r="C142" s="1288" t="s">
        <v>1378</v>
      </c>
      <c r="D142" s="1288" t="s">
        <v>1391</v>
      </c>
      <c r="E142" s="1288" t="s">
        <v>1391</v>
      </c>
      <c r="F142" s="1288" t="s">
        <v>1378</v>
      </c>
      <c r="G142" s="1288" t="s">
        <v>1467</v>
      </c>
      <c r="H142" s="1288" t="s">
        <v>1391</v>
      </c>
      <c r="I142" s="1288"/>
      <c r="J142" s="1288"/>
      <c r="K142" s="754" t="s">
        <v>2170</v>
      </c>
      <c r="L142" s="1173"/>
      <c r="M142" s="1173"/>
      <c r="N142" s="1173"/>
      <c r="O142" s="1165">
        <f t="shared" si="27"/>
        <v>0</v>
      </c>
      <c r="P142" s="1173"/>
      <c r="Q142" s="1173"/>
      <c r="R142" s="1173"/>
      <c r="S142" s="1173"/>
      <c r="T142" s="1173"/>
      <c r="U142" s="1173"/>
      <c r="V142" s="1173"/>
      <c r="W142" s="1439" t="e">
        <f t="shared" si="28"/>
        <v>#DIV/0!</v>
      </c>
      <c r="X142" s="1432"/>
      <c r="Y142" s="765"/>
    </row>
    <row r="143" spans="1:25" s="760" customFormat="1" ht="22.5" customHeight="1" thickTop="1" thickBot="1" x14ac:dyDescent="0.3">
      <c r="A143" s="1287">
        <v>1</v>
      </c>
      <c r="B143" s="1288" t="s">
        <v>1378</v>
      </c>
      <c r="C143" s="1288" t="s">
        <v>1378</v>
      </c>
      <c r="D143" s="1288" t="s">
        <v>1391</v>
      </c>
      <c r="E143" s="1288" t="s">
        <v>1391</v>
      </c>
      <c r="F143" s="1288" t="s">
        <v>1378</v>
      </c>
      <c r="G143" s="1288" t="s">
        <v>1467</v>
      </c>
      <c r="H143" s="1288" t="s">
        <v>1415</v>
      </c>
      <c r="I143" s="1288"/>
      <c r="J143" s="1288"/>
      <c r="K143" s="754" t="s">
        <v>2171</v>
      </c>
      <c r="L143" s="1173"/>
      <c r="M143" s="1173"/>
      <c r="N143" s="1173"/>
      <c r="O143" s="1165">
        <f t="shared" si="27"/>
        <v>0</v>
      </c>
      <c r="P143" s="1173"/>
      <c r="Q143" s="1173"/>
      <c r="R143" s="1173"/>
      <c r="S143" s="1173"/>
      <c r="T143" s="1173"/>
      <c r="U143" s="1173"/>
      <c r="V143" s="1173"/>
      <c r="W143" s="1439" t="e">
        <f t="shared" si="28"/>
        <v>#DIV/0!</v>
      </c>
      <c r="X143" s="1432"/>
      <c r="Y143" s="765"/>
    </row>
    <row r="144" spans="1:25" s="760" customFormat="1" ht="22.5" customHeight="1" thickTop="1" thickBot="1" x14ac:dyDescent="0.3">
      <c r="A144" s="1287">
        <v>1</v>
      </c>
      <c r="B144" s="1288" t="s">
        <v>1378</v>
      </c>
      <c r="C144" s="1288" t="s">
        <v>1378</v>
      </c>
      <c r="D144" s="1288" t="s">
        <v>1391</v>
      </c>
      <c r="E144" s="1288" t="s">
        <v>1391</v>
      </c>
      <c r="F144" s="1288" t="s">
        <v>1378</v>
      </c>
      <c r="G144" s="1288" t="s">
        <v>1467</v>
      </c>
      <c r="H144" s="1288" t="s">
        <v>1419</v>
      </c>
      <c r="I144" s="1288"/>
      <c r="J144" s="1288"/>
      <c r="K144" s="754" t="s">
        <v>2172</v>
      </c>
      <c r="L144" s="1173"/>
      <c r="M144" s="1173"/>
      <c r="N144" s="1173"/>
      <c r="O144" s="1165">
        <f t="shared" si="27"/>
        <v>0</v>
      </c>
      <c r="P144" s="1173"/>
      <c r="Q144" s="1173"/>
      <c r="R144" s="1173"/>
      <c r="S144" s="1173"/>
      <c r="T144" s="1173"/>
      <c r="U144" s="1173"/>
      <c r="V144" s="1173"/>
      <c r="W144" s="1439" t="e">
        <f t="shared" si="28"/>
        <v>#DIV/0!</v>
      </c>
      <c r="X144" s="1432"/>
      <c r="Y144" s="765"/>
    </row>
    <row r="145" spans="1:25" s="760" customFormat="1" ht="22.5" customHeight="1" thickTop="1" thickBot="1" x14ac:dyDescent="0.3">
      <c r="A145" s="1287">
        <v>1</v>
      </c>
      <c r="B145" s="1288" t="s">
        <v>1378</v>
      </c>
      <c r="C145" s="1288" t="s">
        <v>1378</v>
      </c>
      <c r="D145" s="1288" t="s">
        <v>1391</v>
      </c>
      <c r="E145" s="1288" t="s">
        <v>1391</v>
      </c>
      <c r="F145" s="1288" t="s">
        <v>1378</v>
      </c>
      <c r="G145" s="1288" t="s">
        <v>1467</v>
      </c>
      <c r="H145" s="1288" t="s">
        <v>1444</v>
      </c>
      <c r="I145" s="1288"/>
      <c r="J145" s="1288"/>
      <c r="K145" s="754" t="s">
        <v>2173</v>
      </c>
      <c r="L145" s="1173"/>
      <c r="M145" s="1173"/>
      <c r="N145" s="1173"/>
      <c r="O145" s="1165">
        <f t="shared" si="27"/>
        <v>0</v>
      </c>
      <c r="P145" s="1173"/>
      <c r="Q145" s="1173"/>
      <c r="R145" s="1173"/>
      <c r="S145" s="1173"/>
      <c r="T145" s="1173"/>
      <c r="U145" s="1173"/>
      <c r="V145" s="1173"/>
      <c r="W145" s="1439" t="e">
        <f t="shared" si="28"/>
        <v>#DIV/0!</v>
      </c>
      <c r="X145" s="1432"/>
      <c r="Y145" s="765"/>
    </row>
    <row r="146" spans="1:25" s="760" customFormat="1" ht="22.5" customHeight="1" thickTop="1" thickBot="1" x14ac:dyDescent="0.3">
      <c r="A146" s="1287">
        <v>1</v>
      </c>
      <c r="B146" s="1288" t="s">
        <v>1378</v>
      </c>
      <c r="C146" s="1288" t="s">
        <v>1378</v>
      </c>
      <c r="D146" s="1288" t="s">
        <v>1391</v>
      </c>
      <c r="E146" s="1288" t="s">
        <v>1391</v>
      </c>
      <c r="F146" s="1288" t="s">
        <v>1378</v>
      </c>
      <c r="G146" s="1288" t="s">
        <v>1467</v>
      </c>
      <c r="H146" s="1288" t="s">
        <v>1467</v>
      </c>
      <c r="I146" s="1288"/>
      <c r="J146" s="1288"/>
      <c r="K146" s="754" t="s">
        <v>2174</v>
      </c>
      <c r="L146" s="1173"/>
      <c r="M146" s="1173"/>
      <c r="N146" s="1173"/>
      <c r="O146" s="1165">
        <f t="shared" si="27"/>
        <v>0</v>
      </c>
      <c r="P146" s="1173"/>
      <c r="Q146" s="1173"/>
      <c r="R146" s="1173"/>
      <c r="S146" s="1173"/>
      <c r="T146" s="1173"/>
      <c r="U146" s="1173"/>
      <c r="V146" s="1173"/>
      <c r="W146" s="1439" t="e">
        <f t="shared" si="28"/>
        <v>#DIV/0!</v>
      </c>
      <c r="X146" s="1432"/>
      <c r="Y146" s="765"/>
    </row>
    <row r="147" spans="1:25" s="760" customFormat="1" ht="22.5" customHeight="1" thickTop="1" thickBot="1" x14ac:dyDescent="0.3">
      <c r="A147" s="1287">
        <v>1</v>
      </c>
      <c r="B147" s="1288" t="s">
        <v>1378</v>
      </c>
      <c r="C147" s="1288" t="s">
        <v>1378</v>
      </c>
      <c r="D147" s="1288" t="s">
        <v>1391</v>
      </c>
      <c r="E147" s="1288" t="s">
        <v>1391</v>
      </c>
      <c r="F147" s="1288" t="s">
        <v>1378</v>
      </c>
      <c r="G147" s="1288" t="s">
        <v>1467</v>
      </c>
      <c r="H147" s="1288" t="s">
        <v>1471</v>
      </c>
      <c r="I147" s="1288"/>
      <c r="J147" s="1288"/>
      <c r="K147" s="754" t="s">
        <v>2175</v>
      </c>
      <c r="L147" s="1173"/>
      <c r="M147" s="1173"/>
      <c r="N147" s="1173"/>
      <c r="O147" s="1165">
        <f t="shared" si="27"/>
        <v>0</v>
      </c>
      <c r="P147" s="1173"/>
      <c r="Q147" s="1173"/>
      <c r="R147" s="1173"/>
      <c r="S147" s="1173"/>
      <c r="T147" s="1173"/>
      <c r="U147" s="1173"/>
      <c r="V147" s="1173"/>
      <c r="W147" s="1439" t="e">
        <f t="shared" si="28"/>
        <v>#DIV/0!</v>
      </c>
      <c r="X147" s="1432"/>
      <c r="Y147" s="765"/>
    </row>
    <row r="148" spans="1:25" s="760" customFormat="1" ht="22.5" customHeight="1" thickTop="1" thickBot="1" x14ac:dyDescent="0.3">
      <c r="A148" s="1287">
        <v>1</v>
      </c>
      <c r="B148" s="1288" t="s">
        <v>1378</v>
      </c>
      <c r="C148" s="1288" t="s">
        <v>1378</v>
      </c>
      <c r="D148" s="1288" t="s">
        <v>1391</v>
      </c>
      <c r="E148" s="1288" t="s">
        <v>1391</v>
      </c>
      <c r="F148" s="1288" t="s">
        <v>1378</v>
      </c>
      <c r="G148" s="1288" t="s">
        <v>1467</v>
      </c>
      <c r="H148" s="1288" t="s">
        <v>1475</v>
      </c>
      <c r="I148" s="1288"/>
      <c r="J148" s="1288"/>
      <c r="K148" s="754" t="s">
        <v>2176</v>
      </c>
      <c r="L148" s="1173"/>
      <c r="M148" s="1173"/>
      <c r="N148" s="1173"/>
      <c r="O148" s="1165">
        <f t="shared" si="27"/>
        <v>0</v>
      </c>
      <c r="P148" s="1173"/>
      <c r="Q148" s="1173"/>
      <c r="R148" s="1173"/>
      <c r="S148" s="1173"/>
      <c r="T148" s="1173"/>
      <c r="U148" s="1173"/>
      <c r="V148" s="1173"/>
      <c r="W148" s="1439" t="e">
        <f t="shared" si="28"/>
        <v>#DIV/0!</v>
      </c>
      <c r="X148" s="1432"/>
      <c r="Y148" s="765"/>
    </row>
    <row r="149" spans="1:25" s="760" customFormat="1" ht="22.5" customHeight="1" thickTop="1" thickBot="1" x14ac:dyDescent="0.3">
      <c r="A149" s="1287">
        <v>1</v>
      </c>
      <c r="B149" s="1288" t="s">
        <v>1378</v>
      </c>
      <c r="C149" s="1288" t="s">
        <v>1378</v>
      </c>
      <c r="D149" s="1288" t="s">
        <v>1391</v>
      </c>
      <c r="E149" s="1288" t="s">
        <v>1391</v>
      </c>
      <c r="F149" s="1288" t="s">
        <v>1378</v>
      </c>
      <c r="G149" s="1288" t="s">
        <v>1467</v>
      </c>
      <c r="H149" s="1288" t="s">
        <v>1573</v>
      </c>
      <c r="I149" s="1288"/>
      <c r="J149" s="1288"/>
      <c r="K149" s="754" t="s">
        <v>2177</v>
      </c>
      <c r="L149" s="1173"/>
      <c r="M149" s="1173"/>
      <c r="N149" s="1173"/>
      <c r="O149" s="1165">
        <f t="shared" si="27"/>
        <v>0</v>
      </c>
      <c r="P149" s="1173"/>
      <c r="Q149" s="1173"/>
      <c r="R149" s="1173"/>
      <c r="S149" s="1173"/>
      <c r="T149" s="1173"/>
      <c r="U149" s="1173"/>
      <c r="V149" s="1173"/>
      <c r="W149" s="1439" t="e">
        <f t="shared" si="28"/>
        <v>#DIV/0!</v>
      </c>
      <c r="X149" s="1432"/>
      <c r="Y149" s="765"/>
    </row>
    <row r="150" spans="1:25" s="760" customFormat="1" ht="22.5" customHeight="1" thickTop="1" thickBot="1" x14ac:dyDescent="0.3">
      <c r="A150" s="1287">
        <v>1</v>
      </c>
      <c r="B150" s="1288" t="s">
        <v>1378</v>
      </c>
      <c r="C150" s="1288" t="s">
        <v>1378</v>
      </c>
      <c r="D150" s="1288" t="s">
        <v>1391</v>
      </c>
      <c r="E150" s="1288" t="s">
        <v>1391</v>
      </c>
      <c r="F150" s="1288" t="s">
        <v>1378</v>
      </c>
      <c r="G150" s="1288" t="s">
        <v>1467</v>
      </c>
      <c r="H150" s="1288" t="s">
        <v>1574</v>
      </c>
      <c r="I150" s="1288"/>
      <c r="J150" s="1288"/>
      <c r="K150" s="754" t="s">
        <v>2178</v>
      </c>
      <c r="L150" s="1173"/>
      <c r="M150" s="1173"/>
      <c r="N150" s="1173"/>
      <c r="O150" s="1165">
        <f t="shared" si="27"/>
        <v>0</v>
      </c>
      <c r="P150" s="1173"/>
      <c r="Q150" s="1173"/>
      <c r="R150" s="1173"/>
      <c r="S150" s="1173"/>
      <c r="T150" s="1173"/>
      <c r="U150" s="1173"/>
      <c r="V150" s="1173"/>
      <c r="W150" s="1439" t="e">
        <f t="shared" si="28"/>
        <v>#DIV/0!</v>
      </c>
      <c r="X150" s="1432"/>
      <c r="Y150" s="765"/>
    </row>
    <row r="151" spans="1:25" s="760" customFormat="1" ht="22.5" customHeight="1" thickTop="1" thickBot="1" x14ac:dyDescent="0.3">
      <c r="A151" s="1287">
        <v>1</v>
      </c>
      <c r="B151" s="1288" t="s">
        <v>1378</v>
      </c>
      <c r="C151" s="1288" t="s">
        <v>1378</v>
      </c>
      <c r="D151" s="1288" t="s">
        <v>1391</v>
      </c>
      <c r="E151" s="1288" t="s">
        <v>1391</v>
      </c>
      <c r="F151" s="1288" t="s">
        <v>1378</v>
      </c>
      <c r="G151" s="1288" t="s">
        <v>1467</v>
      </c>
      <c r="H151" s="1288" t="s">
        <v>1575</v>
      </c>
      <c r="I151" s="1288"/>
      <c r="J151" s="1288"/>
      <c r="K151" s="754" t="s">
        <v>2179</v>
      </c>
      <c r="L151" s="1173"/>
      <c r="M151" s="1173"/>
      <c r="N151" s="1173"/>
      <c r="O151" s="1165">
        <f t="shared" si="27"/>
        <v>0</v>
      </c>
      <c r="P151" s="1173"/>
      <c r="Q151" s="1173"/>
      <c r="R151" s="1173"/>
      <c r="S151" s="1173"/>
      <c r="T151" s="1173"/>
      <c r="U151" s="1173"/>
      <c r="V151" s="1173"/>
      <c r="W151" s="1439" t="e">
        <f t="shared" si="28"/>
        <v>#DIV/0!</v>
      </c>
      <c r="X151" s="1432"/>
      <c r="Y151" s="765"/>
    </row>
    <row r="152" spans="1:25" s="760" customFormat="1" ht="22.5" customHeight="1" thickTop="1" thickBot="1" x14ac:dyDescent="0.3">
      <c r="A152" s="1287">
        <v>1</v>
      </c>
      <c r="B152" s="1288" t="s">
        <v>1378</v>
      </c>
      <c r="C152" s="1288" t="s">
        <v>1378</v>
      </c>
      <c r="D152" s="1288" t="s">
        <v>1391</v>
      </c>
      <c r="E152" s="1288" t="s">
        <v>1391</v>
      </c>
      <c r="F152" s="1288" t="s">
        <v>1378</v>
      </c>
      <c r="G152" s="1288" t="s">
        <v>1471</v>
      </c>
      <c r="H152" s="1288"/>
      <c r="I152" s="1288"/>
      <c r="J152" s="1288"/>
      <c r="K152" s="754" t="s">
        <v>1445</v>
      </c>
      <c r="L152" s="1173">
        <f>SUM(L153:L163)</f>
        <v>0</v>
      </c>
      <c r="M152" s="1173">
        <f t="shared" ref="M152:V152" si="30">SUM(M153:M163)</f>
        <v>0</v>
      </c>
      <c r="N152" s="1173">
        <f t="shared" si="30"/>
        <v>0</v>
      </c>
      <c r="O152" s="1165">
        <f t="shared" si="27"/>
        <v>0</v>
      </c>
      <c r="P152" s="1173">
        <f t="shared" si="30"/>
        <v>0</v>
      </c>
      <c r="Q152" s="1173">
        <f t="shared" si="30"/>
        <v>0</v>
      </c>
      <c r="R152" s="1173">
        <f t="shared" si="30"/>
        <v>0</v>
      </c>
      <c r="S152" s="1173"/>
      <c r="T152" s="1173">
        <f t="shared" si="30"/>
        <v>0</v>
      </c>
      <c r="U152" s="1173">
        <f t="shared" si="30"/>
        <v>0</v>
      </c>
      <c r="V152" s="1173">
        <f t="shared" si="30"/>
        <v>0</v>
      </c>
      <c r="W152" s="1439" t="e">
        <f t="shared" si="28"/>
        <v>#DIV/0!</v>
      </c>
      <c r="X152" s="1432"/>
      <c r="Y152" s="765"/>
    </row>
    <row r="153" spans="1:25" s="760" customFormat="1" ht="22.5" customHeight="1" thickTop="1" thickBot="1" x14ac:dyDescent="0.3">
      <c r="A153" s="1287">
        <v>1</v>
      </c>
      <c r="B153" s="1288" t="s">
        <v>1378</v>
      </c>
      <c r="C153" s="1288" t="s">
        <v>1378</v>
      </c>
      <c r="D153" s="1288" t="s">
        <v>1391</v>
      </c>
      <c r="E153" s="1288" t="s">
        <v>1391</v>
      </c>
      <c r="F153" s="1288" t="s">
        <v>1378</v>
      </c>
      <c r="G153" s="1288" t="s">
        <v>1471</v>
      </c>
      <c r="H153" s="1288" t="s">
        <v>1378</v>
      </c>
      <c r="I153" s="1288"/>
      <c r="J153" s="1288"/>
      <c r="K153" s="754" t="s">
        <v>1446</v>
      </c>
      <c r="L153" s="1173"/>
      <c r="M153" s="1173"/>
      <c r="N153" s="1173"/>
      <c r="O153" s="1165">
        <f t="shared" si="27"/>
        <v>0</v>
      </c>
      <c r="P153" s="1173"/>
      <c r="Q153" s="1173"/>
      <c r="R153" s="1173"/>
      <c r="S153" s="1173"/>
      <c r="T153" s="1173"/>
      <c r="U153" s="1173"/>
      <c r="V153" s="1173"/>
      <c r="W153" s="1439" t="e">
        <f t="shared" si="28"/>
        <v>#DIV/0!</v>
      </c>
      <c r="X153" s="1432"/>
      <c r="Y153" s="765"/>
    </row>
    <row r="154" spans="1:25" s="760" customFormat="1" ht="22.5" customHeight="1" thickTop="1" thickBot="1" x14ac:dyDescent="0.3">
      <c r="A154" s="1287">
        <v>1</v>
      </c>
      <c r="B154" s="1288" t="s">
        <v>1378</v>
      </c>
      <c r="C154" s="1288" t="s">
        <v>1378</v>
      </c>
      <c r="D154" s="1288" t="s">
        <v>1391</v>
      </c>
      <c r="E154" s="1288" t="s">
        <v>1391</v>
      </c>
      <c r="F154" s="1288" t="s">
        <v>1378</v>
      </c>
      <c r="G154" s="1288" t="s">
        <v>1471</v>
      </c>
      <c r="H154" s="1288" t="s">
        <v>1391</v>
      </c>
      <c r="I154" s="1288"/>
      <c r="J154" s="1288"/>
      <c r="K154" s="754" t="s">
        <v>1447</v>
      </c>
      <c r="L154" s="1173"/>
      <c r="M154" s="1173"/>
      <c r="N154" s="1173"/>
      <c r="O154" s="1165">
        <f t="shared" si="27"/>
        <v>0</v>
      </c>
      <c r="P154" s="1173"/>
      <c r="Q154" s="1173"/>
      <c r="R154" s="1173"/>
      <c r="S154" s="1173"/>
      <c r="T154" s="1173"/>
      <c r="U154" s="1173"/>
      <c r="V154" s="1173"/>
      <c r="W154" s="1439" t="e">
        <f t="shared" si="28"/>
        <v>#DIV/0!</v>
      </c>
      <c r="X154" s="1432"/>
      <c r="Y154" s="765"/>
    </row>
    <row r="155" spans="1:25" s="760" customFormat="1" ht="22.5" customHeight="1" thickTop="1" thickBot="1" x14ac:dyDescent="0.3">
      <c r="A155" s="1287">
        <v>1</v>
      </c>
      <c r="B155" s="1288" t="s">
        <v>1378</v>
      </c>
      <c r="C155" s="1288" t="s">
        <v>1378</v>
      </c>
      <c r="D155" s="1288" t="s">
        <v>1391</v>
      </c>
      <c r="E155" s="1288" t="s">
        <v>1391</v>
      </c>
      <c r="F155" s="1288" t="s">
        <v>1378</v>
      </c>
      <c r="G155" s="1288" t="s">
        <v>1471</v>
      </c>
      <c r="H155" s="1288" t="s">
        <v>1415</v>
      </c>
      <c r="I155" s="1288"/>
      <c r="J155" s="1288"/>
      <c r="K155" s="754" t="s">
        <v>2180</v>
      </c>
      <c r="L155" s="1173"/>
      <c r="M155" s="1173"/>
      <c r="N155" s="1173"/>
      <c r="O155" s="1165">
        <f t="shared" si="27"/>
        <v>0</v>
      </c>
      <c r="P155" s="1173"/>
      <c r="Q155" s="1173"/>
      <c r="R155" s="1173"/>
      <c r="S155" s="1173"/>
      <c r="T155" s="1173"/>
      <c r="U155" s="1173"/>
      <c r="V155" s="1173"/>
      <c r="W155" s="1439" t="e">
        <f t="shared" si="28"/>
        <v>#DIV/0!</v>
      </c>
      <c r="X155" s="1432"/>
      <c r="Y155" s="765"/>
    </row>
    <row r="156" spans="1:25" s="760" customFormat="1" ht="22.5" customHeight="1" thickTop="1" thickBot="1" x14ac:dyDescent="0.3">
      <c r="A156" s="1287">
        <v>1</v>
      </c>
      <c r="B156" s="1288" t="s">
        <v>1378</v>
      </c>
      <c r="C156" s="1288" t="s">
        <v>1378</v>
      </c>
      <c r="D156" s="1288" t="s">
        <v>1391</v>
      </c>
      <c r="E156" s="1288" t="s">
        <v>1391</v>
      </c>
      <c r="F156" s="1288" t="s">
        <v>1378</v>
      </c>
      <c r="G156" s="1288" t="s">
        <v>1471</v>
      </c>
      <c r="H156" s="1288" t="s">
        <v>1419</v>
      </c>
      <c r="I156" s="1288"/>
      <c r="J156" s="1288"/>
      <c r="K156" s="754" t="s">
        <v>2181</v>
      </c>
      <c r="L156" s="1173"/>
      <c r="M156" s="1173"/>
      <c r="N156" s="1173"/>
      <c r="O156" s="1165">
        <f t="shared" si="27"/>
        <v>0</v>
      </c>
      <c r="P156" s="1173"/>
      <c r="Q156" s="1173"/>
      <c r="R156" s="1173"/>
      <c r="S156" s="1173"/>
      <c r="T156" s="1173"/>
      <c r="U156" s="1173"/>
      <c r="V156" s="1173"/>
      <c r="W156" s="1439" t="e">
        <f t="shared" si="28"/>
        <v>#DIV/0!</v>
      </c>
      <c r="X156" s="1432"/>
      <c r="Y156" s="765"/>
    </row>
    <row r="157" spans="1:25" s="760" customFormat="1" ht="22.5" customHeight="1" thickTop="1" thickBot="1" x14ac:dyDescent="0.3">
      <c r="A157" s="1287">
        <v>1</v>
      </c>
      <c r="B157" s="1288" t="s">
        <v>1378</v>
      </c>
      <c r="C157" s="1288" t="s">
        <v>1378</v>
      </c>
      <c r="D157" s="1288" t="s">
        <v>1391</v>
      </c>
      <c r="E157" s="1288" t="s">
        <v>1391</v>
      </c>
      <c r="F157" s="1288" t="s">
        <v>1378</v>
      </c>
      <c r="G157" s="1288" t="s">
        <v>1471</v>
      </c>
      <c r="H157" s="1288" t="s">
        <v>1444</v>
      </c>
      <c r="I157" s="1288"/>
      <c r="J157" s="1288"/>
      <c r="K157" s="754" t="s">
        <v>2182</v>
      </c>
      <c r="L157" s="1173"/>
      <c r="M157" s="1173"/>
      <c r="N157" s="1173"/>
      <c r="O157" s="1165">
        <f t="shared" si="27"/>
        <v>0</v>
      </c>
      <c r="P157" s="1173"/>
      <c r="Q157" s="1173"/>
      <c r="R157" s="1173"/>
      <c r="S157" s="1173"/>
      <c r="T157" s="1173"/>
      <c r="U157" s="1173"/>
      <c r="V157" s="1173"/>
      <c r="W157" s="1439" t="e">
        <f t="shared" si="28"/>
        <v>#DIV/0!</v>
      </c>
      <c r="X157" s="1432"/>
      <c r="Y157" s="765"/>
    </row>
    <row r="158" spans="1:25" s="760" customFormat="1" ht="22.5" customHeight="1" thickTop="1" thickBot="1" x14ac:dyDescent="0.3">
      <c r="A158" s="1287">
        <v>1</v>
      </c>
      <c r="B158" s="1288" t="s">
        <v>1378</v>
      </c>
      <c r="C158" s="1288" t="s">
        <v>1378</v>
      </c>
      <c r="D158" s="1288" t="s">
        <v>1391</v>
      </c>
      <c r="E158" s="1288" t="s">
        <v>1391</v>
      </c>
      <c r="F158" s="1288" t="s">
        <v>1378</v>
      </c>
      <c r="G158" s="1288" t="s">
        <v>1471</v>
      </c>
      <c r="H158" s="1288" t="s">
        <v>1467</v>
      </c>
      <c r="I158" s="1288"/>
      <c r="J158" s="1288"/>
      <c r="K158" s="754" t="s">
        <v>2183</v>
      </c>
      <c r="L158" s="1173"/>
      <c r="M158" s="1173"/>
      <c r="N158" s="1173"/>
      <c r="O158" s="1165">
        <f t="shared" si="27"/>
        <v>0</v>
      </c>
      <c r="P158" s="1173"/>
      <c r="Q158" s="1173"/>
      <c r="R158" s="1173"/>
      <c r="S158" s="1173"/>
      <c r="T158" s="1173"/>
      <c r="U158" s="1173"/>
      <c r="V158" s="1173"/>
      <c r="W158" s="1439" t="e">
        <f t="shared" si="28"/>
        <v>#DIV/0!</v>
      </c>
      <c r="X158" s="1432"/>
      <c r="Y158" s="765"/>
    </row>
    <row r="159" spans="1:25" s="760" customFormat="1" ht="22.5" customHeight="1" thickTop="1" thickBot="1" x14ac:dyDescent="0.3">
      <c r="A159" s="1287">
        <v>1</v>
      </c>
      <c r="B159" s="1288" t="s">
        <v>1378</v>
      </c>
      <c r="C159" s="1288" t="s">
        <v>1378</v>
      </c>
      <c r="D159" s="1288" t="s">
        <v>1391</v>
      </c>
      <c r="E159" s="1288" t="s">
        <v>1391</v>
      </c>
      <c r="F159" s="1288" t="s">
        <v>1378</v>
      </c>
      <c r="G159" s="1288" t="s">
        <v>1471</v>
      </c>
      <c r="H159" s="1288" t="s">
        <v>1471</v>
      </c>
      <c r="I159" s="1288"/>
      <c r="J159" s="1288"/>
      <c r="K159" s="754" t="s">
        <v>2184</v>
      </c>
      <c r="L159" s="1173"/>
      <c r="M159" s="1173"/>
      <c r="N159" s="1173"/>
      <c r="O159" s="1165">
        <f t="shared" si="27"/>
        <v>0</v>
      </c>
      <c r="P159" s="1173"/>
      <c r="Q159" s="1173"/>
      <c r="R159" s="1173"/>
      <c r="S159" s="1173"/>
      <c r="T159" s="1173"/>
      <c r="U159" s="1173"/>
      <c r="V159" s="1173"/>
      <c r="W159" s="1439" t="e">
        <f t="shared" si="28"/>
        <v>#DIV/0!</v>
      </c>
      <c r="X159" s="1432"/>
      <c r="Y159" s="765"/>
    </row>
    <row r="160" spans="1:25" s="760" customFormat="1" ht="22.5" customHeight="1" thickTop="1" thickBot="1" x14ac:dyDescent="0.3">
      <c r="A160" s="1287">
        <v>1</v>
      </c>
      <c r="B160" s="1288" t="s">
        <v>1378</v>
      </c>
      <c r="C160" s="1288" t="s">
        <v>1378</v>
      </c>
      <c r="D160" s="1288" t="s">
        <v>1391</v>
      </c>
      <c r="E160" s="1288" t="s">
        <v>1391</v>
      </c>
      <c r="F160" s="1288" t="s">
        <v>1378</v>
      </c>
      <c r="G160" s="1288" t="s">
        <v>1471</v>
      </c>
      <c r="H160" s="1288" t="s">
        <v>1475</v>
      </c>
      <c r="I160" s="1288"/>
      <c r="J160" s="1288"/>
      <c r="K160" s="754" t="s">
        <v>2185</v>
      </c>
      <c r="L160" s="1173"/>
      <c r="M160" s="1173"/>
      <c r="N160" s="1173"/>
      <c r="O160" s="1165">
        <f t="shared" si="27"/>
        <v>0</v>
      </c>
      <c r="P160" s="1173"/>
      <c r="Q160" s="1173"/>
      <c r="R160" s="1173"/>
      <c r="S160" s="1173"/>
      <c r="T160" s="1173"/>
      <c r="U160" s="1173"/>
      <c r="V160" s="1173"/>
      <c r="W160" s="1439" t="e">
        <f t="shared" si="28"/>
        <v>#DIV/0!</v>
      </c>
      <c r="X160" s="1432"/>
      <c r="Y160" s="765"/>
    </row>
    <row r="161" spans="1:25" s="760" customFormat="1" ht="22.5" customHeight="1" thickTop="1" thickBot="1" x14ac:dyDescent="0.3">
      <c r="A161" s="1287">
        <v>1</v>
      </c>
      <c r="B161" s="1288" t="s">
        <v>1378</v>
      </c>
      <c r="C161" s="1288" t="s">
        <v>1378</v>
      </c>
      <c r="D161" s="1288" t="s">
        <v>1391</v>
      </c>
      <c r="E161" s="1288" t="s">
        <v>1391</v>
      </c>
      <c r="F161" s="1288" t="s">
        <v>1378</v>
      </c>
      <c r="G161" s="1288" t="s">
        <v>1471</v>
      </c>
      <c r="H161" s="1288" t="s">
        <v>1573</v>
      </c>
      <c r="I161" s="1288"/>
      <c r="J161" s="1288"/>
      <c r="K161" s="754" t="s">
        <v>2186</v>
      </c>
      <c r="L161" s="1173"/>
      <c r="M161" s="1173"/>
      <c r="N161" s="1173"/>
      <c r="O161" s="1165">
        <f t="shared" si="27"/>
        <v>0</v>
      </c>
      <c r="P161" s="1173"/>
      <c r="Q161" s="1173"/>
      <c r="R161" s="1173"/>
      <c r="S161" s="1173"/>
      <c r="T161" s="1173"/>
      <c r="U161" s="1173"/>
      <c r="V161" s="1173"/>
      <c r="W161" s="1439" t="e">
        <f t="shared" si="28"/>
        <v>#DIV/0!</v>
      </c>
      <c r="X161" s="1432"/>
      <c r="Y161" s="765"/>
    </row>
    <row r="162" spans="1:25" s="760" customFormat="1" ht="22.5" customHeight="1" thickTop="1" thickBot="1" x14ac:dyDescent="0.3">
      <c r="A162" s="1287">
        <v>1</v>
      </c>
      <c r="B162" s="1288" t="s">
        <v>1378</v>
      </c>
      <c r="C162" s="1288" t="s">
        <v>1378</v>
      </c>
      <c r="D162" s="1288" t="s">
        <v>1391</v>
      </c>
      <c r="E162" s="1288" t="s">
        <v>1391</v>
      </c>
      <c r="F162" s="1288" t="s">
        <v>1378</v>
      </c>
      <c r="G162" s="1288" t="s">
        <v>1471</v>
      </c>
      <c r="H162" s="1288" t="s">
        <v>1574</v>
      </c>
      <c r="I162" s="1288"/>
      <c r="J162" s="1288"/>
      <c r="K162" s="754" t="s">
        <v>2187</v>
      </c>
      <c r="L162" s="1173"/>
      <c r="M162" s="1173"/>
      <c r="N162" s="1173"/>
      <c r="O162" s="1165">
        <f t="shared" si="27"/>
        <v>0</v>
      </c>
      <c r="P162" s="1173"/>
      <c r="Q162" s="1173"/>
      <c r="R162" s="1173"/>
      <c r="S162" s="1173"/>
      <c r="T162" s="1173"/>
      <c r="U162" s="1173"/>
      <c r="V162" s="1173"/>
      <c r="W162" s="1439" t="e">
        <f t="shared" si="28"/>
        <v>#DIV/0!</v>
      </c>
      <c r="X162" s="1432"/>
      <c r="Y162" s="765"/>
    </row>
    <row r="163" spans="1:25" s="760" customFormat="1" ht="22.5" customHeight="1" thickTop="1" thickBot="1" x14ac:dyDescent="0.3">
      <c r="A163" s="1287">
        <v>1</v>
      </c>
      <c r="B163" s="1288" t="s">
        <v>1378</v>
      </c>
      <c r="C163" s="1288" t="s">
        <v>1378</v>
      </c>
      <c r="D163" s="1288" t="s">
        <v>1391</v>
      </c>
      <c r="E163" s="1288" t="s">
        <v>1391</v>
      </c>
      <c r="F163" s="1288" t="s">
        <v>1378</v>
      </c>
      <c r="G163" s="1288" t="s">
        <v>1471</v>
      </c>
      <c r="H163" s="1288" t="s">
        <v>1575</v>
      </c>
      <c r="I163" s="1288"/>
      <c r="J163" s="1288"/>
      <c r="K163" s="754" t="s">
        <v>2188</v>
      </c>
      <c r="L163" s="1173"/>
      <c r="M163" s="1173"/>
      <c r="N163" s="1173"/>
      <c r="O163" s="1165">
        <f t="shared" si="27"/>
        <v>0</v>
      </c>
      <c r="P163" s="1173"/>
      <c r="Q163" s="1173"/>
      <c r="R163" s="1173"/>
      <c r="S163" s="1173"/>
      <c r="T163" s="1173"/>
      <c r="U163" s="1173"/>
      <c r="V163" s="1173"/>
      <c r="W163" s="1439" t="e">
        <f t="shared" si="28"/>
        <v>#DIV/0!</v>
      </c>
      <c r="X163" s="1432"/>
      <c r="Y163" s="765"/>
    </row>
    <row r="164" spans="1:25" s="760" customFormat="1" ht="22.5" customHeight="1" thickTop="1" thickBot="1" x14ac:dyDescent="0.3">
      <c r="A164" s="1282">
        <v>1</v>
      </c>
      <c r="B164" s="1283" t="s">
        <v>1378</v>
      </c>
      <c r="C164" s="1283" t="s">
        <v>1378</v>
      </c>
      <c r="D164" s="1283" t="s">
        <v>1391</v>
      </c>
      <c r="E164" s="1283" t="s">
        <v>1391</v>
      </c>
      <c r="F164" s="1283" t="s">
        <v>1391</v>
      </c>
      <c r="G164" s="1290"/>
      <c r="H164" s="1290"/>
      <c r="I164" s="1290"/>
      <c r="J164" s="1290"/>
      <c r="K164" s="1278" t="s">
        <v>1993</v>
      </c>
      <c r="L164" s="1175">
        <f>+L165+L177+L189+L201</f>
        <v>1291396000</v>
      </c>
      <c r="M164" s="1175">
        <f>+M165+M177+M189+M201</f>
        <v>122826000</v>
      </c>
      <c r="N164" s="1175">
        <f>+N165+N177+N189+N201</f>
        <v>0</v>
      </c>
      <c r="O164" s="1165">
        <f t="shared" si="27"/>
        <v>1414222000</v>
      </c>
      <c r="P164" s="1175">
        <f t="shared" ref="P164:V164" si="31">+P165+P177+P189+P201</f>
        <v>1287377500</v>
      </c>
      <c r="Q164" s="1175">
        <f t="shared" si="31"/>
        <v>0</v>
      </c>
      <c r="R164" s="1175">
        <f t="shared" si="31"/>
        <v>126844500</v>
      </c>
      <c r="S164" s="1175"/>
      <c r="T164" s="1175">
        <f t="shared" si="31"/>
        <v>0</v>
      </c>
      <c r="U164" s="1175">
        <f t="shared" si="31"/>
        <v>1765255564.1299999</v>
      </c>
      <c r="V164" s="1175">
        <f t="shared" si="31"/>
        <v>755848663.13</v>
      </c>
      <c r="W164" s="1441">
        <f t="shared" si="28"/>
        <v>0.42818086994815246</v>
      </c>
      <c r="X164" s="1432"/>
      <c r="Y164" s="765"/>
    </row>
    <row r="165" spans="1:25" s="760" customFormat="1" ht="22.5" customHeight="1" thickTop="1" thickBot="1" x14ac:dyDescent="0.3">
      <c r="A165" s="1287">
        <v>1</v>
      </c>
      <c r="B165" s="1288" t="s">
        <v>1378</v>
      </c>
      <c r="C165" s="1288" t="s">
        <v>1378</v>
      </c>
      <c r="D165" s="1288" t="s">
        <v>1391</v>
      </c>
      <c r="E165" s="1288" t="s">
        <v>1391</v>
      </c>
      <c r="F165" s="1288" t="s">
        <v>1391</v>
      </c>
      <c r="G165" s="1288" t="s">
        <v>1378</v>
      </c>
      <c r="H165" s="1288"/>
      <c r="I165" s="1288"/>
      <c r="J165" s="1288"/>
      <c r="K165" s="754" t="s">
        <v>2060</v>
      </c>
      <c r="L165" s="1173">
        <f>SUM(L166:L176)</f>
        <v>834000000</v>
      </c>
      <c r="M165" s="1173">
        <f t="shared" ref="M165:V165" si="32">SUM(M166:M176)</f>
        <v>0</v>
      </c>
      <c r="N165" s="1173">
        <f t="shared" si="32"/>
        <v>0</v>
      </c>
      <c r="O165" s="1165">
        <f t="shared" si="27"/>
        <v>834000000</v>
      </c>
      <c r="P165" s="1173">
        <v>750600000</v>
      </c>
      <c r="Q165" s="1173">
        <f t="shared" si="32"/>
        <v>0</v>
      </c>
      <c r="R165" s="1173">
        <v>83400000</v>
      </c>
      <c r="S165" s="1165"/>
      <c r="T165" s="1173">
        <f t="shared" si="32"/>
        <v>0</v>
      </c>
      <c r="U165" s="1173">
        <f t="shared" si="32"/>
        <v>172958869</v>
      </c>
      <c r="V165" s="1173">
        <f t="shared" si="32"/>
        <v>172958869</v>
      </c>
      <c r="W165" s="1439">
        <f t="shared" si="28"/>
        <v>1</v>
      </c>
      <c r="X165" s="1432" t="s">
        <v>2062</v>
      </c>
      <c r="Y165" s="765" t="s">
        <v>2063</v>
      </c>
    </row>
    <row r="166" spans="1:25" s="760" customFormat="1" ht="22.5" customHeight="1" thickTop="1" thickBot="1" x14ac:dyDescent="0.3">
      <c r="A166" s="1287">
        <v>1</v>
      </c>
      <c r="B166" s="1287" t="s">
        <v>1378</v>
      </c>
      <c r="C166" s="1288" t="s">
        <v>1378</v>
      </c>
      <c r="D166" s="1288" t="s">
        <v>1391</v>
      </c>
      <c r="E166" s="1288" t="s">
        <v>1391</v>
      </c>
      <c r="F166" s="1288" t="s">
        <v>1391</v>
      </c>
      <c r="G166" s="1288" t="s">
        <v>1378</v>
      </c>
      <c r="H166" s="1288" t="s">
        <v>1378</v>
      </c>
      <c r="I166" s="1288"/>
      <c r="J166" s="1288"/>
      <c r="K166" s="754" t="s">
        <v>2189</v>
      </c>
      <c r="L166" s="1173"/>
      <c r="M166" s="1173"/>
      <c r="N166" s="1173"/>
      <c r="O166" s="1165">
        <f t="shared" si="27"/>
        <v>0</v>
      </c>
      <c r="P166" s="1173"/>
      <c r="Q166" s="1173"/>
      <c r="R166" s="1173"/>
      <c r="S166" s="1173"/>
      <c r="T166" s="1173"/>
      <c r="U166" s="1173"/>
      <c r="V166" s="1173"/>
      <c r="W166" s="1439" t="e">
        <f t="shared" si="28"/>
        <v>#DIV/0!</v>
      </c>
      <c r="X166" s="1432"/>
      <c r="Y166" s="765"/>
    </row>
    <row r="167" spans="1:25" s="760" customFormat="1" ht="22.5" customHeight="1" thickTop="1" thickBot="1" x14ac:dyDescent="0.3">
      <c r="A167" s="1287">
        <v>1</v>
      </c>
      <c r="B167" s="1288" t="s">
        <v>1378</v>
      </c>
      <c r="C167" s="1288" t="s">
        <v>1378</v>
      </c>
      <c r="D167" s="1288" t="s">
        <v>1391</v>
      </c>
      <c r="E167" s="1288" t="s">
        <v>1391</v>
      </c>
      <c r="F167" s="1288" t="s">
        <v>1391</v>
      </c>
      <c r="G167" s="1288" t="s">
        <v>1378</v>
      </c>
      <c r="H167" s="1288" t="s">
        <v>1391</v>
      </c>
      <c r="I167" s="1288"/>
      <c r="J167" s="1288"/>
      <c r="K167" s="754" t="s">
        <v>2190</v>
      </c>
      <c r="L167" s="641">
        <v>834000000</v>
      </c>
      <c r="M167" s="1173"/>
      <c r="N167" s="1173"/>
      <c r="O167" s="1165">
        <f t="shared" si="27"/>
        <v>834000000</v>
      </c>
      <c r="P167" s="1173"/>
      <c r="Q167" s="1173"/>
      <c r="R167" s="1173"/>
      <c r="S167" s="1173"/>
      <c r="T167" s="1173"/>
      <c r="U167" s="1173">
        <v>172958869</v>
      </c>
      <c r="V167" s="1173">
        <v>172958869</v>
      </c>
      <c r="W167" s="1439">
        <f t="shared" si="28"/>
        <v>1</v>
      </c>
      <c r="X167" s="1432"/>
      <c r="Y167" s="765"/>
    </row>
    <row r="168" spans="1:25" s="760" customFormat="1" ht="22.5" customHeight="1" thickTop="1" thickBot="1" x14ac:dyDescent="0.3">
      <c r="A168" s="1287">
        <v>1</v>
      </c>
      <c r="B168" s="1287" t="s">
        <v>1378</v>
      </c>
      <c r="C168" s="1288" t="s">
        <v>1378</v>
      </c>
      <c r="D168" s="1288" t="s">
        <v>1391</v>
      </c>
      <c r="E168" s="1288" t="s">
        <v>1391</v>
      </c>
      <c r="F168" s="1288" t="s">
        <v>1391</v>
      </c>
      <c r="G168" s="1288" t="s">
        <v>1378</v>
      </c>
      <c r="H168" s="1288" t="s">
        <v>1415</v>
      </c>
      <c r="I168" s="1288"/>
      <c r="J168" s="1288"/>
      <c r="K168" s="754" t="s">
        <v>2191</v>
      </c>
      <c r="L168" s="1173"/>
      <c r="M168" s="1173"/>
      <c r="N168" s="1173"/>
      <c r="O168" s="1165">
        <f t="shared" si="27"/>
        <v>0</v>
      </c>
      <c r="P168" s="1173"/>
      <c r="Q168" s="1173"/>
      <c r="R168" s="1173"/>
      <c r="S168" s="1173"/>
      <c r="T168" s="1173"/>
      <c r="U168" s="1173"/>
      <c r="V168" s="1173"/>
      <c r="W168" s="1439" t="e">
        <f t="shared" si="28"/>
        <v>#DIV/0!</v>
      </c>
      <c r="X168" s="1432"/>
      <c r="Y168" s="765"/>
    </row>
    <row r="169" spans="1:25" s="760" customFormat="1" ht="22.5" customHeight="1" thickTop="1" thickBot="1" x14ac:dyDescent="0.3">
      <c r="A169" s="1287">
        <v>1</v>
      </c>
      <c r="B169" s="1288" t="s">
        <v>1378</v>
      </c>
      <c r="C169" s="1288" t="s">
        <v>1378</v>
      </c>
      <c r="D169" s="1288" t="s">
        <v>1391</v>
      </c>
      <c r="E169" s="1288" t="s">
        <v>1391</v>
      </c>
      <c r="F169" s="1288" t="s">
        <v>1391</v>
      </c>
      <c r="G169" s="1288" t="s">
        <v>1378</v>
      </c>
      <c r="H169" s="1288" t="s">
        <v>1419</v>
      </c>
      <c r="I169" s="1288"/>
      <c r="J169" s="1288"/>
      <c r="K169" s="754" t="s">
        <v>2192</v>
      </c>
      <c r="L169" s="1173"/>
      <c r="M169" s="1173"/>
      <c r="N169" s="1173"/>
      <c r="O169" s="1165">
        <f t="shared" si="27"/>
        <v>0</v>
      </c>
      <c r="P169" s="1173"/>
      <c r="Q169" s="1173"/>
      <c r="R169" s="1173"/>
      <c r="S169" s="1173"/>
      <c r="T169" s="1173"/>
      <c r="U169" s="1173"/>
      <c r="V169" s="1173"/>
      <c r="W169" s="1439" t="e">
        <f t="shared" si="28"/>
        <v>#DIV/0!</v>
      </c>
      <c r="X169" s="1432"/>
      <c r="Y169" s="765"/>
    </row>
    <row r="170" spans="1:25" s="760" customFormat="1" ht="22.5" customHeight="1" thickTop="1" thickBot="1" x14ac:dyDescent="0.3">
      <c r="A170" s="1287">
        <v>1</v>
      </c>
      <c r="B170" s="1287" t="s">
        <v>1378</v>
      </c>
      <c r="C170" s="1288" t="s">
        <v>1378</v>
      </c>
      <c r="D170" s="1288" t="s">
        <v>1391</v>
      </c>
      <c r="E170" s="1288" t="s">
        <v>1391</v>
      </c>
      <c r="F170" s="1288" t="s">
        <v>1391</v>
      </c>
      <c r="G170" s="1288" t="s">
        <v>1378</v>
      </c>
      <c r="H170" s="1288" t="s">
        <v>1444</v>
      </c>
      <c r="I170" s="1288"/>
      <c r="J170" s="1288"/>
      <c r="K170" s="754" t="s">
        <v>2193</v>
      </c>
      <c r="L170" s="1173"/>
      <c r="M170" s="1173"/>
      <c r="N170" s="1173"/>
      <c r="O170" s="1165">
        <f t="shared" si="27"/>
        <v>0</v>
      </c>
      <c r="P170" s="1173"/>
      <c r="Q170" s="1173"/>
      <c r="R170" s="1173"/>
      <c r="S170" s="1173"/>
      <c r="T170" s="1173"/>
      <c r="U170" s="1173"/>
      <c r="V170" s="1173"/>
      <c r="W170" s="1439" t="e">
        <f t="shared" si="28"/>
        <v>#DIV/0!</v>
      </c>
      <c r="X170" s="1432"/>
      <c r="Y170" s="765"/>
    </row>
    <row r="171" spans="1:25" s="760" customFormat="1" ht="22.5" customHeight="1" thickTop="1" thickBot="1" x14ac:dyDescent="0.3">
      <c r="A171" s="1287">
        <v>1</v>
      </c>
      <c r="B171" s="1288" t="s">
        <v>1378</v>
      </c>
      <c r="C171" s="1288" t="s">
        <v>1378</v>
      </c>
      <c r="D171" s="1288" t="s">
        <v>1391</v>
      </c>
      <c r="E171" s="1288" t="s">
        <v>1391</v>
      </c>
      <c r="F171" s="1288" t="s">
        <v>1391</v>
      </c>
      <c r="G171" s="1288" t="s">
        <v>1378</v>
      </c>
      <c r="H171" s="1288" t="s">
        <v>1467</v>
      </c>
      <c r="I171" s="1288"/>
      <c r="J171" s="1288"/>
      <c r="K171" s="754" t="s">
        <v>2194</v>
      </c>
      <c r="L171" s="1173"/>
      <c r="M171" s="1173"/>
      <c r="N171" s="1173"/>
      <c r="O171" s="1165">
        <f t="shared" si="27"/>
        <v>0</v>
      </c>
      <c r="P171" s="1173"/>
      <c r="Q171" s="1173"/>
      <c r="R171" s="1173"/>
      <c r="S171" s="1173"/>
      <c r="T171" s="1173"/>
      <c r="U171" s="1173"/>
      <c r="V171" s="1173"/>
      <c r="W171" s="1439" t="e">
        <f t="shared" si="28"/>
        <v>#DIV/0!</v>
      </c>
      <c r="X171" s="1432"/>
      <c r="Y171" s="765"/>
    </row>
    <row r="172" spans="1:25" s="760" customFormat="1" ht="22.5" customHeight="1" thickTop="1" thickBot="1" x14ac:dyDescent="0.3">
      <c r="A172" s="1287">
        <v>1</v>
      </c>
      <c r="B172" s="1287" t="s">
        <v>1378</v>
      </c>
      <c r="C172" s="1288" t="s">
        <v>1378</v>
      </c>
      <c r="D172" s="1288" t="s">
        <v>1391</v>
      </c>
      <c r="E172" s="1288" t="s">
        <v>1391</v>
      </c>
      <c r="F172" s="1288" t="s">
        <v>1391</v>
      </c>
      <c r="G172" s="1288" t="s">
        <v>1378</v>
      </c>
      <c r="H172" s="1288" t="s">
        <v>1471</v>
      </c>
      <c r="I172" s="1288"/>
      <c r="J172" s="1288"/>
      <c r="K172" s="754" t="s">
        <v>2195</v>
      </c>
      <c r="L172" s="1173"/>
      <c r="M172" s="1173"/>
      <c r="N172" s="1173"/>
      <c r="O172" s="1165">
        <f t="shared" si="27"/>
        <v>0</v>
      </c>
      <c r="P172" s="1173"/>
      <c r="Q172" s="1173"/>
      <c r="R172" s="1173"/>
      <c r="S172" s="1173"/>
      <c r="T172" s="1173"/>
      <c r="U172" s="1173"/>
      <c r="V172" s="1173"/>
      <c r="W172" s="1439" t="e">
        <f t="shared" si="28"/>
        <v>#DIV/0!</v>
      </c>
      <c r="X172" s="1432"/>
      <c r="Y172" s="765"/>
    </row>
    <row r="173" spans="1:25" s="760" customFormat="1" ht="22.5" customHeight="1" thickTop="1" thickBot="1" x14ac:dyDescent="0.3">
      <c r="A173" s="1287">
        <v>1</v>
      </c>
      <c r="B173" s="1288" t="s">
        <v>1378</v>
      </c>
      <c r="C173" s="1288" t="s">
        <v>1378</v>
      </c>
      <c r="D173" s="1288" t="s">
        <v>1391</v>
      </c>
      <c r="E173" s="1288" t="s">
        <v>1391</v>
      </c>
      <c r="F173" s="1288" t="s">
        <v>1391</v>
      </c>
      <c r="G173" s="1288" t="s">
        <v>1378</v>
      </c>
      <c r="H173" s="1288" t="s">
        <v>1475</v>
      </c>
      <c r="I173" s="1288"/>
      <c r="J173" s="1288"/>
      <c r="K173" s="754" t="s">
        <v>2196</v>
      </c>
      <c r="L173" s="1173"/>
      <c r="M173" s="1173"/>
      <c r="N173" s="1173"/>
      <c r="O173" s="1165">
        <f t="shared" si="27"/>
        <v>0</v>
      </c>
      <c r="P173" s="1173"/>
      <c r="Q173" s="1173"/>
      <c r="R173" s="1173"/>
      <c r="S173" s="1173"/>
      <c r="T173" s="1173"/>
      <c r="U173" s="1173"/>
      <c r="V173" s="1173"/>
      <c r="W173" s="1439" t="e">
        <f t="shared" si="28"/>
        <v>#DIV/0!</v>
      </c>
      <c r="X173" s="1432"/>
      <c r="Y173" s="765"/>
    </row>
    <row r="174" spans="1:25" s="760" customFormat="1" ht="22.5" customHeight="1" thickTop="1" thickBot="1" x14ac:dyDescent="0.3">
      <c r="A174" s="1287">
        <v>1</v>
      </c>
      <c r="B174" s="1287" t="s">
        <v>1378</v>
      </c>
      <c r="C174" s="1288" t="s">
        <v>1378</v>
      </c>
      <c r="D174" s="1288" t="s">
        <v>1391</v>
      </c>
      <c r="E174" s="1288" t="s">
        <v>1391</v>
      </c>
      <c r="F174" s="1288" t="s">
        <v>1391</v>
      </c>
      <c r="G174" s="1288" t="s">
        <v>1378</v>
      </c>
      <c r="H174" s="1288" t="s">
        <v>1573</v>
      </c>
      <c r="I174" s="1288"/>
      <c r="J174" s="1288"/>
      <c r="K174" s="754" t="s">
        <v>2197</v>
      </c>
      <c r="L174" s="1173"/>
      <c r="M174" s="1173"/>
      <c r="N174" s="1173"/>
      <c r="O174" s="1165">
        <f t="shared" si="27"/>
        <v>0</v>
      </c>
      <c r="P174" s="1173"/>
      <c r="Q174" s="1173"/>
      <c r="R174" s="1173"/>
      <c r="S174" s="1173"/>
      <c r="T174" s="1173"/>
      <c r="U174" s="1173"/>
      <c r="V174" s="1173"/>
      <c r="W174" s="1439" t="e">
        <f t="shared" si="28"/>
        <v>#DIV/0!</v>
      </c>
      <c r="X174" s="1432"/>
      <c r="Y174" s="765"/>
    </row>
    <row r="175" spans="1:25" s="760" customFormat="1" ht="22.5" customHeight="1" thickTop="1" thickBot="1" x14ac:dyDescent="0.3">
      <c r="A175" s="1287">
        <v>1</v>
      </c>
      <c r="B175" s="1288" t="s">
        <v>1378</v>
      </c>
      <c r="C175" s="1288" t="s">
        <v>1378</v>
      </c>
      <c r="D175" s="1288" t="s">
        <v>1391</v>
      </c>
      <c r="E175" s="1288" t="s">
        <v>1391</v>
      </c>
      <c r="F175" s="1288" t="s">
        <v>1391</v>
      </c>
      <c r="G175" s="1288" t="s">
        <v>1378</v>
      </c>
      <c r="H175" s="1288" t="s">
        <v>1574</v>
      </c>
      <c r="I175" s="1288"/>
      <c r="J175" s="1288"/>
      <c r="K175" s="754" t="s">
        <v>2198</v>
      </c>
      <c r="L175" s="1173"/>
      <c r="M175" s="1173"/>
      <c r="N175" s="1173"/>
      <c r="O175" s="1165">
        <f t="shared" si="27"/>
        <v>0</v>
      </c>
      <c r="P175" s="1173"/>
      <c r="Q175" s="1173"/>
      <c r="R175" s="1173"/>
      <c r="S175" s="1173"/>
      <c r="T175" s="1173"/>
      <c r="U175" s="1173"/>
      <c r="V175" s="1173"/>
      <c r="W175" s="1439" t="e">
        <f t="shared" si="28"/>
        <v>#DIV/0!</v>
      </c>
      <c r="X175" s="1432"/>
      <c r="Y175" s="765"/>
    </row>
    <row r="176" spans="1:25" s="760" customFormat="1" ht="22.5" customHeight="1" thickTop="1" thickBot="1" x14ac:dyDescent="0.3">
      <c r="A176" s="1287">
        <v>1</v>
      </c>
      <c r="B176" s="1287" t="s">
        <v>1378</v>
      </c>
      <c r="C176" s="1288" t="s">
        <v>1378</v>
      </c>
      <c r="D176" s="1288" t="s">
        <v>1391</v>
      </c>
      <c r="E176" s="1288" t="s">
        <v>1391</v>
      </c>
      <c r="F176" s="1288" t="s">
        <v>1391</v>
      </c>
      <c r="G176" s="1288" t="s">
        <v>1378</v>
      </c>
      <c r="H176" s="1288" t="s">
        <v>1575</v>
      </c>
      <c r="I176" s="1288"/>
      <c r="J176" s="1288"/>
      <c r="K176" s="754" t="s">
        <v>2199</v>
      </c>
      <c r="L176" s="1173"/>
      <c r="M176" s="1173"/>
      <c r="N176" s="1173"/>
      <c r="O176" s="1165">
        <f t="shared" si="27"/>
        <v>0</v>
      </c>
      <c r="P176" s="1173"/>
      <c r="Q176" s="1173"/>
      <c r="R176" s="1173"/>
      <c r="S176" s="1173"/>
      <c r="T176" s="1173"/>
      <c r="U176" s="1173"/>
      <c r="V176" s="1173"/>
      <c r="W176" s="1439" t="e">
        <f t="shared" si="28"/>
        <v>#DIV/0!</v>
      </c>
      <c r="X176" s="1432"/>
      <c r="Y176" s="765"/>
    </row>
    <row r="177" spans="1:25" s="760" customFormat="1" ht="22.5" customHeight="1" thickTop="1" thickBot="1" x14ac:dyDescent="0.3">
      <c r="A177" s="1287">
        <v>1</v>
      </c>
      <c r="B177" s="1288" t="s">
        <v>1378</v>
      </c>
      <c r="C177" s="1288" t="s">
        <v>1378</v>
      </c>
      <c r="D177" s="1288" t="s">
        <v>1391</v>
      </c>
      <c r="E177" s="1288" t="s">
        <v>1391</v>
      </c>
      <c r="F177" s="1288" t="s">
        <v>1391</v>
      </c>
      <c r="G177" s="1288" t="s">
        <v>1391</v>
      </c>
      <c r="H177" s="1288"/>
      <c r="I177" s="1288"/>
      <c r="J177" s="1288"/>
      <c r="K177" s="754" t="s">
        <v>2061</v>
      </c>
      <c r="L177" s="1173">
        <f>SUM(L178:L188)</f>
        <v>418445000</v>
      </c>
      <c r="M177" s="1173">
        <f t="shared" ref="M177:V177" si="33">SUM(M178:M188)</f>
        <v>16200000</v>
      </c>
      <c r="N177" s="1173">
        <f t="shared" si="33"/>
        <v>0</v>
      </c>
      <c r="O177" s="1165">
        <f t="shared" si="27"/>
        <v>434645000</v>
      </c>
      <c r="P177" s="1173">
        <v>392800500</v>
      </c>
      <c r="Q177" s="1173"/>
      <c r="R177" s="1173">
        <v>41844500</v>
      </c>
      <c r="S177" s="1173"/>
      <c r="T177" s="1173">
        <f t="shared" si="33"/>
        <v>0</v>
      </c>
      <c r="U177" s="1173">
        <f t="shared" si="33"/>
        <v>1485157216.1299999</v>
      </c>
      <c r="V177" s="1173">
        <f t="shared" si="33"/>
        <v>475750315.13</v>
      </c>
      <c r="W177" s="1439">
        <f t="shared" si="28"/>
        <v>0.32033666871289423</v>
      </c>
      <c r="X177" s="1432" t="s">
        <v>2064</v>
      </c>
      <c r="Y177" s="765" t="s">
        <v>2065</v>
      </c>
    </row>
    <row r="178" spans="1:25" s="760" customFormat="1" ht="22.5" customHeight="1" thickTop="1" thickBot="1" x14ac:dyDescent="0.3">
      <c r="A178" s="1287">
        <v>1</v>
      </c>
      <c r="B178" s="1287" t="s">
        <v>1378</v>
      </c>
      <c r="C178" s="1288" t="s">
        <v>1378</v>
      </c>
      <c r="D178" s="1288" t="s">
        <v>1391</v>
      </c>
      <c r="E178" s="1288" t="s">
        <v>1391</v>
      </c>
      <c r="F178" s="1288" t="s">
        <v>1391</v>
      </c>
      <c r="G178" s="1288" t="s">
        <v>1391</v>
      </c>
      <c r="H178" s="1288" t="s">
        <v>1378</v>
      </c>
      <c r="I178" s="1288"/>
      <c r="J178" s="1288"/>
      <c r="K178" s="754" t="s">
        <v>2200</v>
      </c>
      <c r="L178" s="1170">
        <v>213445000</v>
      </c>
      <c r="M178" s="1170"/>
      <c r="N178" s="1170"/>
      <c r="O178" s="1165">
        <f t="shared" si="27"/>
        <v>213445000</v>
      </c>
      <c r="P178" s="1170"/>
      <c r="Q178" s="1170"/>
      <c r="R178" s="1170"/>
      <c r="S178" s="1170"/>
      <c r="T178" s="1170"/>
      <c r="U178" s="1170">
        <f>361344170.54+419238053.56</f>
        <v>780582224.10000002</v>
      </c>
      <c r="V178" s="1170">
        <v>419238053.56</v>
      </c>
      <c r="W178" s="1438">
        <f t="shared" si="28"/>
        <v>0.53708378261287637</v>
      </c>
      <c r="X178" s="1432"/>
      <c r="Y178" s="765"/>
    </row>
    <row r="179" spans="1:25" s="760" customFormat="1" ht="22.5" customHeight="1" thickTop="1" thickBot="1" x14ac:dyDescent="0.3">
      <c r="A179" s="1287">
        <v>1</v>
      </c>
      <c r="B179" s="1288" t="s">
        <v>1378</v>
      </c>
      <c r="C179" s="1288" t="s">
        <v>1378</v>
      </c>
      <c r="D179" s="1288" t="s">
        <v>1391</v>
      </c>
      <c r="E179" s="1288" t="s">
        <v>1391</v>
      </c>
      <c r="F179" s="1288" t="s">
        <v>1391</v>
      </c>
      <c r="G179" s="1288" t="s">
        <v>1391</v>
      </c>
      <c r="H179" s="1288" t="s">
        <v>1391</v>
      </c>
      <c r="I179" s="1288"/>
      <c r="J179" s="1288"/>
      <c r="K179" s="754" t="s">
        <v>2201</v>
      </c>
      <c r="L179" s="1170">
        <v>200000000</v>
      </c>
      <c r="M179" s="1170"/>
      <c r="N179" s="1170"/>
      <c r="O179" s="1165">
        <f t="shared" si="27"/>
        <v>200000000</v>
      </c>
      <c r="P179" s="1170"/>
      <c r="Q179" s="1170"/>
      <c r="R179" s="1170"/>
      <c r="S179" s="1170"/>
      <c r="T179" s="1170"/>
      <c r="U179" s="1170">
        <f>648062730.46+33588657.54</f>
        <v>681651388</v>
      </c>
      <c r="V179" s="1170">
        <v>33588657.539999999</v>
      </c>
      <c r="W179" s="1438">
        <f t="shared" si="28"/>
        <v>4.9275418683662975E-2</v>
      </c>
      <c r="X179" s="1432"/>
      <c r="Y179" s="765"/>
    </row>
    <row r="180" spans="1:25" s="760" customFormat="1" ht="22.5" customHeight="1" thickTop="1" thickBot="1" x14ac:dyDescent="0.3">
      <c r="A180" s="1287">
        <v>1</v>
      </c>
      <c r="B180" s="1287" t="s">
        <v>1378</v>
      </c>
      <c r="C180" s="1288" t="s">
        <v>1378</v>
      </c>
      <c r="D180" s="1288" t="s">
        <v>1391</v>
      </c>
      <c r="E180" s="1288" t="s">
        <v>1391</v>
      </c>
      <c r="F180" s="1288" t="s">
        <v>1391</v>
      </c>
      <c r="G180" s="1288" t="s">
        <v>1391</v>
      </c>
      <c r="H180" s="1288" t="s">
        <v>1415</v>
      </c>
      <c r="I180" s="1288"/>
      <c r="J180" s="1288"/>
      <c r="K180" s="754" t="s">
        <v>2202</v>
      </c>
      <c r="L180" s="1170"/>
      <c r="M180" s="1170"/>
      <c r="N180" s="1170"/>
      <c r="O180" s="1165">
        <f t="shared" si="27"/>
        <v>0</v>
      </c>
      <c r="P180" s="1170"/>
      <c r="Q180" s="1170"/>
      <c r="R180" s="1170"/>
      <c r="S180" s="1170"/>
      <c r="T180" s="1170"/>
      <c r="U180" s="1170"/>
      <c r="V180" s="1170"/>
      <c r="W180" s="1438" t="e">
        <f t="shared" si="28"/>
        <v>#DIV/0!</v>
      </c>
      <c r="X180" s="1432"/>
      <c r="Y180" s="765"/>
    </row>
    <row r="181" spans="1:25" s="760" customFormat="1" ht="22.5" customHeight="1" thickTop="1" thickBot="1" x14ac:dyDescent="0.3">
      <c r="A181" s="1287">
        <v>1</v>
      </c>
      <c r="B181" s="1288" t="s">
        <v>1378</v>
      </c>
      <c r="C181" s="1288" t="s">
        <v>1378</v>
      </c>
      <c r="D181" s="1288" t="s">
        <v>1391</v>
      </c>
      <c r="E181" s="1288" t="s">
        <v>1391</v>
      </c>
      <c r="F181" s="1288" t="s">
        <v>1391</v>
      </c>
      <c r="G181" s="1288" t="s">
        <v>1391</v>
      </c>
      <c r="H181" s="1288" t="s">
        <v>1419</v>
      </c>
      <c r="I181" s="1288"/>
      <c r="J181" s="1288"/>
      <c r="K181" s="754" t="s">
        <v>2203</v>
      </c>
      <c r="L181" s="1170">
        <v>5000000</v>
      </c>
      <c r="M181" s="1170"/>
      <c r="N181" s="1170"/>
      <c r="O181" s="1165">
        <f t="shared" si="27"/>
        <v>5000000</v>
      </c>
      <c r="P181" s="1170"/>
      <c r="Q181" s="1170"/>
      <c r="R181" s="1170"/>
      <c r="S181" s="1170"/>
      <c r="T181" s="1170"/>
      <c r="U181" s="1170">
        <v>6723604.0300000003</v>
      </c>
      <c r="V181" s="1170">
        <v>6723604.0300000003</v>
      </c>
      <c r="W181" s="1438">
        <f t="shared" si="28"/>
        <v>1</v>
      </c>
      <c r="X181" s="1432"/>
      <c r="Y181" s="765"/>
    </row>
    <row r="182" spans="1:25" s="760" customFormat="1" ht="22.5" customHeight="1" thickTop="1" thickBot="1" x14ac:dyDescent="0.3">
      <c r="A182" s="1287">
        <v>1</v>
      </c>
      <c r="B182" s="1287" t="s">
        <v>1378</v>
      </c>
      <c r="C182" s="1288" t="s">
        <v>1378</v>
      </c>
      <c r="D182" s="1288" t="s">
        <v>1391</v>
      </c>
      <c r="E182" s="1288" t="s">
        <v>1391</v>
      </c>
      <c r="F182" s="1288" t="s">
        <v>1391</v>
      </c>
      <c r="G182" s="1288" t="s">
        <v>1391</v>
      </c>
      <c r="H182" s="1288" t="s">
        <v>1444</v>
      </c>
      <c r="I182" s="1288"/>
      <c r="J182" s="1288"/>
      <c r="K182" s="754" t="s">
        <v>2204</v>
      </c>
      <c r="L182" s="1170"/>
      <c r="M182" s="1170"/>
      <c r="N182" s="1170"/>
      <c r="O182" s="1165">
        <f t="shared" si="27"/>
        <v>0</v>
      </c>
      <c r="P182" s="1170"/>
      <c r="Q182" s="1170"/>
      <c r="R182" s="1170"/>
      <c r="S182" s="1170"/>
      <c r="T182" s="1170"/>
      <c r="U182" s="1170"/>
      <c r="V182" s="1170"/>
      <c r="W182" s="1438" t="e">
        <f t="shared" si="28"/>
        <v>#DIV/0!</v>
      </c>
      <c r="X182" s="1432"/>
      <c r="Y182" s="765"/>
    </row>
    <row r="183" spans="1:25" s="760" customFormat="1" ht="22.5" customHeight="1" thickTop="1" thickBot="1" x14ac:dyDescent="0.3">
      <c r="A183" s="1287">
        <v>1</v>
      </c>
      <c r="B183" s="1288" t="s">
        <v>1378</v>
      </c>
      <c r="C183" s="1288" t="s">
        <v>1378</v>
      </c>
      <c r="D183" s="1288" t="s">
        <v>1391</v>
      </c>
      <c r="E183" s="1288" t="s">
        <v>1391</v>
      </c>
      <c r="F183" s="1288" t="s">
        <v>1391</v>
      </c>
      <c r="G183" s="1288" t="s">
        <v>1391</v>
      </c>
      <c r="H183" s="1288" t="s">
        <v>1467</v>
      </c>
      <c r="I183" s="1288"/>
      <c r="J183" s="1288"/>
      <c r="K183" s="754" t="s">
        <v>2205</v>
      </c>
      <c r="L183" s="1170"/>
      <c r="M183" s="1170"/>
      <c r="N183" s="1170"/>
      <c r="O183" s="1165">
        <f t="shared" si="27"/>
        <v>0</v>
      </c>
      <c r="P183" s="1170"/>
      <c r="Q183" s="1170"/>
      <c r="R183" s="1170"/>
      <c r="S183" s="1170"/>
      <c r="T183" s="1170"/>
      <c r="U183" s="1170"/>
      <c r="V183" s="1170"/>
      <c r="W183" s="1438" t="e">
        <f t="shared" si="28"/>
        <v>#DIV/0!</v>
      </c>
      <c r="X183" s="1432"/>
      <c r="Y183" s="765"/>
    </row>
    <row r="184" spans="1:25" s="760" customFormat="1" ht="22.5" customHeight="1" thickTop="1" thickBot="1" x14ac:dyDescent="0.3">
      <c r="A184" s="1287">
        <v>1</v>
      </c>
      <c r="B184" s="1287" t="s">
        <v>1378</v>
      </c>
      <c r="C184" s="1288" t="s">
        <v>1378</v>
      </c>
      <c r="D184" s="1288" t="s">
        <v>1391</v>
      </c>
      <c r="E184" s="1288" t="s">
        <v>1391</v>
      </c>
      <c r="F184" s="1288" t="s">
        <v>1391</v>
      </c>
      <c r="G184" s="1288" t="s">
        <v>1391</v>
      </c>
      <c r="H184" s="1288" t="s">
        <v>1471</v>
      </c>
      <c r="I184" s="1288"/>
      <c r="J184" s="1288"/>
      <c r="K184" s="754" t="s">
        <v>2206</v>
      </c>
      <c r="L184" s="1170"/>
      <c r="M184" s="1170"/>
      <c r="N184" s="1170"/>
      <c r="O184" s="1165">
        <f t="shared" si="27"/>
        <v>0</v>
      </c>
      <c r="P184" s="1170"/>
      <c r="Q184" s="1170"/>
      <c r="R184" s="1170"/>
      <c r="S184" s="1170"/>
      <c r="T184" s="1170"/>
      <c r="U184" s="1170"/>
      <c r="V184" s="1170"/>
      <c r="W184" s="1438" t="e">
        <f t="shared" si="28"/>
        <v>#DIV/0!</v>
      </c>
      <c r="X184" s="1432"/>
      <c r="Y184" s="765"/>
    </row>
    <row r="185" spans="1:25" s="760" customFormat="1" ht="22.5" customHeight="1" thickTop="1" thickBot="1" x14ac:dyDescent="0.3">
      <c r="A185" s="1287">
        <v>1</v>
      </c>
      <c r="B185" s="1288" t="s">
        <v>1378</v>
      </c>
      <c r="C185" s="1288" t="s">
        <v>1378</v>
      </c>
      <c r="D185" s="1288" t="s">
        <v>1391</v>
      </c>
      <c r="E185" s="1288" t="s">
        <v>1391</v>
      </c>
      <c r="F185" s="1288" t="s">
        <v>1391</v>
      </c>
      <c r="G185" s="1288" t="s">
        <v>1391</v>
      </c>
      <c r="H185" s="1288" t="s">
        <v>1475</v>
      </c>
      <c r="I185" s="1288"/>
      <c r="J185" s="1288"/>
      <c r="K185" s="754" t="s">
        <v>2207</v>
      </c>
      <c r="L185" s="1170"/>
      <c r="M185" s="1170">
        <v>16200000</v>
      </c>
      <c r="N185" s="1170"/>
      <c r="O185" s="1165">
        <f t="shared" si="27"/>
        <v>16200000</v>
      </c>
      <c r="P185" s="1170"/>
      <c r="Q185" s="1170"/>
      <c r="R185" s="1170"/>
      <c r="S185" s="1170"/>
      <c r="T185" s="1170"/>
      <c r="U185" s="1170">
        <v>16200000</v>
      </c>
      <c r="V185" s="1170">
        <v>16200000</v>
      </c>
      <c r="W185" s="1438">
        <f t="shared" si="28"/>
        <v>1</v>
      </c>
      <c r="X185" s="1432"/>
      <c r="Y185" s="765"/>
    </row>
    <row r="186" spans="1:25" s="760" customFormat="1" ht="22.5" customHeight="1" thickTop="1" thickBot="1" x14ac:dyDescent="0.3">
      <c r="A186" s="1287">
        <v>1</v>
      </c>
      <c r="B186" s="1287" t="s">
        <v>1378</v>
      </c>
      <c r="C186" s="1288" t="s">
        <v>1378</v>
      </c>
      <c r="D186" s="1288" t="s">
        <v>1391</v>
      </c>
      <c r="E186" s="1288" t="s">
        <v>1391</v>
      </c>
      <c r="F186" s="1288" t="s">
        <v>1391</v>
      </c>
      <c r="G186" s="1288" t="s">
        <v>1391</v>
      </c>
      <c r="H186" s="1288" t="s">
        <v>1573</v>
      </c>
      <c r="I186" s="1288"/>
      <c r="J186" s="1288"/>
      <c r="K186" s="754" t="s">
        <v>2208</v>
      </c>
      <c r="L186" s="1173"/>
      <c r="M186" s="1173"/>
      <c r="N186" s="1173"/>
      <c r="O186" s="1165">
        <f t="shared" si="27"/>
        <v>0</v>
      </c>
      <c r="P186" s="1173"/>
      <c r="Q186" s="1173"/>
      <c r="R186" s="1173"/>
      <c r="S186" s="1173"/>
      <c r="T186" s="1173"/>
      <c r="U186" s="1173"/>
      <c r="V186" s="1173"/>
      <c r="W186" s="1439" t="e">
        <f t="shared" si="28"/>
        <v>#DIV/0!</v>
      </c>
      <c r="X186" s="1432"/>
      <c r="Y186" s="765"/>
    </row>
    <row r="187" spans="1:25" s="760" customFormat="1" ht="22.5" customHeight="1" thickTop="1" thickBot="1" x14ac:dyDescent="0.3">
      <c r="A187" s="1287">
        <v>1</v>
      </c>
      <c r="B187" s="1288" t="s">
        <v>1378</v>
      </c>
      <c r="C187" s="1288" t="s">
        <v>1378</v>
      </c>
      <c r="D187" s="1288" t="s">
        <v>1391</v>
      </c>
      <c r="E187" s="1288" t="s">
        <v>1391</v>
      </c>
      <c r="F187" s="1288" t="s">
        <v>1391</v>
      </c>
      <c r="G187" s="1288" t="s">
        <v>1391</v>
      </c>
      <c r="H187" s="1288" t="s">
        <v>1574</v>
      </c>
      <c r="I187" s="1288"/>
      <c r="J187" s="1288"/>
      <c r="K187" s="754" t="s">
        <v>2209</v>
      </c>
      <c r="L187" s="1173"/>
      <c r="M187" s="1173"/>
      <c r="N187" s="1173"/>
      <c r="O187" s="1165">
        <f t="shared" si="27"/>
        <v>0</v>
      </c>
      <c r="P187" s="1173"/>
      <c r="Q187" s="1173"/>
      <c r="R187" s="1173"/>
      <c r="S187" s="1173"/>
      <c r="T187" s="1173"/>
      <c r="U187" s="1173"/>
      <c r="V187" s="1173"/>
      <c r="W187" s="1439" t="e">
        <f t="shared" si="28"/>
        <v>#DIV/0!</v>
      </c>
      <c r="X187" s="1432"/>
      <c r="Y187" s="765"/>
    </row>
    <row r="188" spans="1:25" s="760" customFormat="1" ht="22.5" customHeight="1" thickTop="1" thickBot="1" x14ac:dyDescent="0.3">
      <c r="A188" s="1287">
        <v>1</v>
      </c>
      <c r="B188" s="1287" t="s">
        <v>1378</v>
      </c>
      <c r="C188" s="1288" t="s">
        <v>1378</v>
      </c>
      <c r="D188" s="1288" t="s">
        <v>1391</v>
      </c>
      <c r="E188" s="1288" t="s">
        <v>1391</v>
      </c>
      <c r="F188" s="1288" t="s">
        <v>1391</v>
      </c>
      <c r="G188" s="1288" t="s">
        <v>1391</v>
      </c>
      <c r="H188" s="1288" t="s">
        <v>1575</v>
      </c>
      <c r="I188" s="1288"/>
      <c r="J188" s="1288"/>
      <c r="K188" s="754" t="s">
        <v>2210</v>
      </c>
      <c r="L188" s="1173"/>
      <c r="M188" s="1173"/>
      <c r="N188" s="1173"/>
      <c r="O188" s="1165">
        <f t="shared" si="27"/>
        <v>0</v>
      </c>
      <c r="P188" s="1173"/>
      <c r="Q188" s="1173"/>
      <c r="R188" s="1173"/>
      <c r="S188" s="1173"/>
      <c r="T188" s="1173"/>
      <c r="U188" s="1173"/>
      <c r="V188" s="1173"/>
      <c r="W188" s="1439" t="e">
        <f t="shared" si="28"/>
        <v>#DIV/0!</v>
      </c>
      <c r="X188" s="1432"/>
      <c r="Y188" s="765"/>
    </row>
    <row r="189" spans="1:25" s="760" customFormat="1" ht="22.5" customHeight="1" thickTop="1" thickBot="1" x14ac:dyDescent="0.3">
      <c r="A189" s="1287">
        <v>1</v>
      </c>
      <c r="B189" s="1288" t="s">
        <v>1378</v>
      </c>
      <c r="C189" s="1288" t="s">
        <v>1378</v>
      </c>
      <c r="D189" s="1288" t="s">
        <v>1391</v>
      </c>
      <c r="E189" s="1288" t="s">
        <v>1391</v>
      </c>
      <c r="F189" s="1288" t="s">
        <v>1391</v>
      </c>
      <c r="G189" s="1288" t="s">
        <v>1415</v>
      </c>
      <c r="H189" s="1288"/>
      <c r="I189" s="1288"/>
      <c r="J189" s="1288"/>
      <c r="K189" s="754" t="s">
        <v>1995</v>
      </c>
      <c r="L189" s="1173">
        <f>SUM(L190:L200)</f>
        <v>16000000</v>
      </c>
      <c r="M189" s="1173">
        <f t="shared" ref="M189:V189" si="34">SUM(M190:M200)</f>
        <v>0</v>
      </c>
      <c r="N189" s="1173">
        <f t="shared" si="34"/>
        <v>0</v>
      </c>
      <c r="O189" s="1165">
        <f t="shared" si="27"/>
        <v>16000000</v>
      </c>
      <c r="P189" s="1173">
        <f t="shared" si="34"/>
        <v>14400000</v>
      </c>
      <c r="Q189" s="1173">
        <f t="shared" si="34"/>
        <v>0</v>
      </c>
      <c r="R189" s="1173">
        <f t="shared" si="34"/>
        <v>1600000</v>
      </c>
      <c r="S189" s="1173"/>
      <c r="T189" s="1173">
        <f t="shared" si="34"/>
        <v>0</v>
      </c>
      <c r="U189" s="1173">
        <f t="shared" si="34"/>
        <v>260390</v>
      </c>
      <c r="V189" s="1173">
        <f t="shared" si="34"/>
        <v>260390</v>
      </c>
      <c r="W189" s="1439">
        <f t="shared" si="28"/>
        <v>1</v>
      </c>
      <c r="X189" s="1432" t="s">
        <v>1996</v>
      </c>
      <c r="Y189" s="765" t="s">
        <v>1997</v>
      </c>
    </row>
    <row r="190" spans="1:25" s="760" customFormat="1" ht="22.5" customHeight="1" thickTop="1" thickBot="1" x14ac:dyDescent="0.3">
      <c r="A190" s="1287">
        <v>1</v>
      </c>
      <c r="B190" s="1287" t="s">
        <v>1378</v>
      </c>
      <c r="C190" s="1288" t="s">
        <v>1378</v>
      </c>
      <c r="D190" s="1288" t="s">
        <v>1391</v>
      </c>
      <c r="E190" s="1288" t="s">
        <v>1391</v>
      </c>
      <c r="F190" s="1288" t="s">
        <v>1391</v>
      </c>
      <c r="G190" s="1288" t="s">
        <v>1415</v>
      </c>
      <c r="H190" s="1288" t="s">
        <v>1378</v>
      </c>
      <c r="I190" s="1288"/>
      <c r="J190" s="1288"/>
      <c r="K190" s="754" t="s">
        <v>2211</v>
      </c>
      <c r="L190" s="1170">
        <v>16000000</v>
      </c>
      <c r="M190" s="1173"/>
      <c r="N190" s="1173"/>
      <c r="O190" s="1165">
        <f t="shared" si="27"/>
        <v>16000000</v>
      </c>
      <c r="P190" s="1173">
        <v>14400000</v>
      </c>
      <c r="Q190" s="1173"/>
      <c r="R190" s="1173">
        <f>+O190*0.1</f>
        <v>1600000</v>
      </c>
      <c r="S190" s="1173"/>
      <c r="T190" s="1173">
        <v>0</v>
      </c>
      <c r="U190" s="1173">
        <v>260390</v>
      </c>
      <c r="V190" s="1173">
        <v>260390</v>
      </c>
      <c r="W190" s="1439">
        <f t="shared" si="28"/>
        <v>1</v>
      </c>
      <c r="X190" s="1432"/>
      <c r="Y190" s="765"/>
    </row>
    <row r="191" spans="1:25" s="760" customFormat="1" ht="22.5" customHeight="1" thickTop="1" thickBot="1" x14ac:dyDescent="0.3">
      <c r="A191" s="1287">
        <v>1</v>
      </c>
      <c r="B191" s="1288" t="s">
        <v>1378</v>
      </c>
      <c r="C191" s="1288" t="s">
        <v>1378</v>
      </c>
      <c r="D191" s="1288" t="s">
        <v>1391</v>
      </c>
      <c r="E191" s="1288" t="s">
        <v>1391</v>
      </c>
      <c r="F191" s="1288" t="s">
        <v>1391</v>
      </c>
      <c r="G191" s="1288" t="s">
        <v>1415</v>
      </c>
      <c r="H191" s="1288" t="s">
        <v>1391</v>
      </c>
      <c r="I191" s="1288"/>
      <c r="J191" s="1288"/>
      <c r="K191" s="754" t="s">
        <v>2212</v>
      </c>
      <c r="L191" s="1173"/>
      <c r="M191" s="1173"/>
      <c r="N191" s="1173"/>
      <c r="O191" s="1165">
        <f t="shared" si="27"/>
        <v>0</v>
      </c>
      <c r="P191" s="1173"/>
      <c r="Q191" s="1173"/>
      <c r="R191" s="1173"/>
      <c r="S191" s="1173"/>
      <c r="T191" s="1173"/>
      <c r="U191" s="1173"/>
      <c r="V191" s="1173"/>
      <c r="W191" s="1439" t="e">
        <f t="shared" si="28"/>
        <v>#DIV/0!</v>
      </c>
      <c r="X191" s="1432"/>
      <c r="Y191" s="765"/>
    </row>
    <row r="192" spans="1:25" s="760" customFormat="1" ht="22.5" customHeight="1" thickTop="1" thickBot="1" x14ac:dyDescent="0.3">
      <c r="A192" s="1287">
        <v>1</v>
      </c>
      <c r="B192" s="1287" t="s">
        <v>1378</v>
      </c>
      <c r="C192" s="1288" t="s">
        <v>1378</v>
      </c>
      <c r="D192" s="1288" t="s">
        <v>1391</v>
      </c>
      <c r="E192" s="1288" t="s">
        <v>1391</v>
      </c>
      <c r="F192" s="1288" t="s">
        <v>1391</v>
      </c>
      <c r="G192" s="1288" t="s">
        <v>1415</v>
      </c>
      <c r="H192" s="1288" t="s">
        <v>1415</v>
      </c>
      <c r="I192" s="1288"/>
      <c r="J192" s="1288"/>
      <c r="K192" s="754" t="s">
        <v>2213</v>
      </c>
      <c r="L192" s="1173"/>
      <c r="M192" s="1173"/>
      <c r="N192" s="1173"/>
      <c r="O192" s="1165">
        <f t="shared" si="27"/>
        <v>0</v>
      </c>
      <c r="P192" s="1173"/>
      <c r="Q192" s="1173"/>
      <c r="R192" s="1173"/>
      <c r="S192" s="1173"/>
      <c r="T192" s="1173"/>
      <c r="U192" s="1173"/>
      <c r="V192" s="1173"/>
      <c r="W192" s="1439" t="e">
        <f t="shared" si="28"/>
        <v>#DIV/0!</v>
      </c>
      <c r="X192" s="1432"/>
      <c r="Y192" s="765"/>
    </row>
    <row r="193" spans="1:25" s="760" customFormat="1" ht="22.5" customHeight="1" thickTop="1" thickBot="1" x14ac:dyDescent="0.3">
      <c r="A193" s="1287">
        <v>1</v>
      </c>
      <c r="B193" s="1288" t="s">
        <v>1378</v>
      </c>
      <c r="C193" s="1288" t="s">
        <v>1378</v>
      </c>
      <c r="D193" s="1288" t="s">
        <v>1391</v>
      </c>
      <c r="E193" s="1288" t="s">
        <v>1391</v>
      </c>
      <c r="F193" s="1288" t="s">
        <v>1391</v>
      </c>
      <c r="G193" s="1288" t="s">
        <v>1415</v>
      </c>
      <c r="H193" s="1288" t="s">
        <v>1419</v>
      </c>
      <c r="I193" s="1288"/>
      <c r="J193" s="1288"/>
      <c r="K193" s="754" t="s">
        <v>2214</v>
      </c>
      <c r="L193" s="1173"/>
      <c r="M193" s="1173"/>
      <c r="N193" s="1173"/>
      <c r="O193" s="1165">
        <f t="shared" si="27"/>
        <v>0</v>
      </c>
      <c r="P193" s="1173"/>
      <c r="Q193" s="1173"/>
      <c r="R193" s="1173"/>
      <c r="S193" s="1173"/>
      <c r="T193" s="1173"/>
      <c r="U193" s="1173"/>
      <c r="V193" s="1173"/>
      <c r="W193" s="1439" t="e">
        <f t="shared" si="28"/>
        <v>#DIV/0!</v>
      </c>
      <c r="X193" s="1432"/>
      <c r="Y193" s="765"/>
    </row>
    <row r="194" spans="1:25" s="760" customFormat="1" ht="22.5" customHeight="1" thickTop="1" thickBot="1" x14ac:dyDescent="0.3">
      <c r="A194" s="1287">
        <v>1</v>
      </c>
      <c r="B194" s="1287" t="s">
        <v>1378</v>
      </c>
      <c r="C194" s="1288" t="s">
        <v>1378</v>
      </c>
      <c r="D194" s="1288" t="s">
        <v>1391</v>
      </c>
      <c r="E194" s="1288" t="s">
        <v>1391</v>
      </c>
      <c r="F194" s="1288" t="s">
        <v>1391</v>
      </c>
      <c r="G194" s="1288" t="s">
        <v>1415</v>
      </c>
      <c r="H194" s="1288" t="s">
        <v>1444</v>
      </c>
      <c r="I194" s="1288"/>
      <c r="J194" s="1288"/>
      <c r="K194" s="754" t="s">
        <v>2215</v>
      </c>
      <c r="L194" s="1173"/>
      <c r="M194" s="1173"/>
      <c r="N194" s="1173"/>
      <c r="O194" s="1165">
        <f t="shared" si="27"/>
        <v>0</v>
      </c>
      <c r="P194" s="1173"/>
      <c r="Q194" s="1173"/>
      <c r="R194" s="1173"/>
      <c r="S194" s="1173"/>
      <c r="T194" s="1173"/>
      <c r="U194" s="1173"/>
      <c r="V194" s="1173"/>
      <c r="W194" s="1439" t="e">
        <f t="shared" si="28"/>
        <v>#DIV/0!</v>
      </c>
      <c r="X194" s="1432"/>
      <c r="Y194" s="765"/>
    </row>
    <row r="195" spans="1:25" s="760" customFormat="1" ht="22.5" customHeight="1" thickTop="1" thickBot="1" x14ac:dyDescent="0.3">
      <c r="A195" s="1287">
        <v>1</v>
      </c>
      <c r="B195" s="1288" t="s">
        <v>1378</v>
      </c>
      <c r="C195" s="1288" t="s">
        <v>1378</v>
      </c>
      <c r="D195" s="1288" t="s">
        <v>1391</v>
      </c>
      <c r="E195" s="1288" t="s">
        <v>1391</v>
      </c>
      <c r="F195" s="1288" t="s">
        <v>1391</v>
      </c>
      <c r="G195" s="1288" t="s">
        <v>1415</v>
      </c>
      <c r="H195" s="1288" t="s">
        <v>1467</v>
      </c>
      <c r="I195" s="1288"/>
      <c r="J195" s="1288"/>
      <c r="K195" s="754" t="s">
        <v>2216</v>
      </c>
      <c r="L195" s="1173"/>
      <c r="M195" s="1173"/>
      <c r="N195" s="1173"/>
      <c r="O195" s="1165">
        <f t="shared" si="27"/>
        <v>0</v>
      </c>
      <c r="P195" s="1173"/>
      <c r="Q195" s="1173"/>
      <c r="R195" s="1173"/>
      <c r="S195" s="1173"/>
      <c r="T195" s="1173"/>
      <c r="U195" s="1173"/>
      <c r="V195" s="1173"/>
      <c r="W195" s="1439" t="e">
        <f t="shared" si="28"/>
        <v>#DIV/0!</v>
      </c>
      <c r="X195" s="1432"/>
      <c r="Y195" s="765"/>
    </row>
    <row r="196" spans="1:25" s="760" customFormat="1" ht="22.5" customHeight="1" thickTop="1" thickBot="1" x14ac:dyDescent="0.3">
      <c r="A196" s="1287">
        <v>1</v>
      </c>
      <c r="B196" s="1287" t="s">
        <v>1378</v>
      </c>
      <c r="C196" s="1288" t="s">
        <v>1378</v>
      </c>
      <c r="D196" s="1288" t="s">
        <v>1391</v>
      </c>
      <c r="E196" s="1288" t="s">
        <v>1391</v>
      </c>
      <c r="F196" s="1288" t="s">
        <v>1391</v>
      </c>
      <c r="G196" s="1288" t="s">
        <v>1415</v>
      </c>
      <c r="H196" s="1288" t="s">
        <v>1471</v>
      </c>
      <c r="I196" s="1288"/>
      <c r="J196" s="1288"/>
      <c r="K196" s="754" t="s">
        <v>2217</v>
      </c>
      <c r="L196" s="1173"/>
      <c r="M196" s="1173"/>
      <c r="N196" s="1173"/>
      <c r="O196" s="1165">
        <f t="shared" si="27"/>
        <v>0</v>
      </c>
      <c r="P196" s="1173"/>
      <c r="Q196" s="1173"/>
      <c r="R196" s="1173"/>
      <c r="S196" s="1173"/>
      <c r="T196" s="1173"/>
      <c r="U196" s="1173"/>
      <c r="V196" s="1173"/>
      <c r="W196" s="1439" t="e">
        <f t="shared" si="28"/>
        <v>#DIV/0!</v>
      </c>
      <c r="X196" s="1432"/>
      <c r="Y196" s="765"/>
    </row>
    <row r="197" spans="1:25" s="760" customFormat="1" ht="22.5" customHeight="1" thickTop="1" thickBot="1" x14ac:dyDescent="0.3">
      <c r="A197" s="1287">
        <v>1</v>
      </c>
      <c r="B197" s="1288" t="s">
        <v>1378</v>
      </c>
      <c r="C197" s="1288" t="s">
        <v>1378</v>
      </c>
      <c r="D197" s="1288" t="s">
        <v>1391</v>
      </c>
      <c r="E197" s="1288" t="s">
        <v>1391</v>
      </c>
      <c r="F197" s="1288" t="s">
        <v>1391</v>
      </c>
      <c r="G197" s="1288" t="s">
        <v>1415</v>
      </c>
      <c r="H197" s="1288" t="s">
        <v>1475</v>
      </c>
      <c r="I197" s="1288"/>
      <c r="J197" s="1288"/>
      <c r="K197" s="754" t="s">
        <v>2218</v>
      </c>
      <c r="L197" s="1173"/>
      <c r="M197" s="1173"/>
      <c r="N197" s="1173"/>
      <c r="O197" s="1165">
        <f t="shared" si="27"/>
        <v>0</v>
      </c>
      <c r="P197" s="1173"/>
      <c r="Q197" s="1173"/>
      <c r="R197" s="1173"/>
      <c r="S197" s="1173"/>
      <c r="T197" s="1173"/>
      <c r="U197" s="1173"/>
      <c r="V197" s="1173"/>
      <c r="W197" s="1439" t="e">
        <f t="shared" si="28"/>
        <v>#DIV/0!</v>
      </c>
      <c r="X197" s="1432"/>
      <c r="Y197" s="765"/>
    </row>
    <row r="198" spans="1:25" s="760" customFormat="1" ht="22.5" customHeight="1" thickTop="1" thickBot="1" x14ac:dyDescent="0.3">
      <c r="A198" s="1287">
        <v>1</v>
      </c>
      <c r="B198" s="1287" t="s">
        <v>1378</v>
      </c>
      <c r="C198" s="1288" t="s">
        <v>1378</v>
      </c>
      <c r="D198" s="1288" t="s">
        <v>1391</v>
      </c>
      <c r="E198" s="1288" t="s">
        <v>1391</v>
      </c>
      <c r="F198" s="1288" t="s">
        <v>1391</v>
      </c>
      <c r="G198" s="1288" t="s">
        <v>1415</v>
      </c>
      <c r="H198" s="1288" t="s">
        <v>1573</v>
      </c>
      <c r="I198" s="1288"/>
      <c r="J198" s="1288"/>
      <c r="K198" s="754" t="s">
        <v>2219</v>
      </c>
      <c r="L198" s="1173"/>
      <c r="M198" s="1173"/>
      <c r="N198" s="1173"/>
      <c r="O198" s="1165">
        <f t="shared" si="27"/>
        <v>0</v>
      </c>
      <c r="P198" s="1173"/>
      <c r="Q198" s="1173"/>
      <c r="R198" s="1173"/>
      <c r="S198" s="1173"/>
      <c r="T198" s="1173"/>
      <c r="U198" s="1173"/>
      <c r="V198" s="1173"/>
      <c r="W198" s="1439" t="e">
        <f t="shared" si="28"/>
        <v>#DIV/0!</v>
      </c>
      <c r="X198" s="1432"/>
      <c r="Y198" s="765"/>
    </row>
    <row r="199" spans="1:25" s="760" customFormat="1" ht="22.5" customHeight="1" thickTop="1" thickBot="1" x14ac:dyDescent="0.3">
      <c r="A199" s="1287">
        <v>1</v>
      </c>
      <c r="B199" s="1288" t="s">
        <v>1378</v>
      </c>
      <c r="C199" s="1288" t="s">
        <v>1378</v>
      </c>
      <c r="D199" s="1288" t="s">
        <v>1391</v>
      </c>
      <c r="E199" s="1288" t="s">
        <v>1391</v>
      </c>
      <c r="F199" s="1288" t="s">
        <v>1391</v>
      </c>
      <c r="G199" s="1288" t="s">
        <v>1415</v>
      </c>
      <c r="H199" s="1288" t="s">
        <v>1574</v>
      </c>
      <c r="I199" s="1288"/>
      <c r="J199" s="1288"/>
      <c r="K199" s="754" t="s">
        <v>2220</v>
      </c>
      <c r="L199" s="1173"/>
      <c r="M199" s="1173"/>
      <c r="N199" s="1173"/>
      <c r="O199" s="1165">
        <f t="shared" si="27"/>
        <v>0</v>
      </c>
      <c r="P199" s="1173"/>
      <c r="Q199" s="1173"/>
      <c r="R199" s="1173"/>
      <c r="S199" s="1173"/>
      <c r="T199" s="1173"/>
      <c r="U199" s="1173"/>
      <c r="V199" s="1173"/>
      <c r="W199" s="1439" t="e">
        <f t="shared" si="28"/>
        <v>#DIV/0!</v>
      </c>
      <c r="X199" s="1432"/>
      <c r="Y199" s="765"/>
    </row>
    <row r="200" spans="1:25" s="760" customFormat="1" ht="22.5" customHeight="1" thickTop="1" thickBot="1" x14ac:dyDescent="0.3">
      <c r="A200" s="1287">
        <v>1</v>
      </c>
      <c r="B200" s="1287" t="s">
        <v>1378</v>
      </c>
      <c r="C200" s="1288" t="s">
        <v>1378</v>
      </c>
      <c r="D200" s="1288" t="s">
        <v>1391</v>
      </c>
      <c r="E200" s="1288" t="s">
        <v>1391</v>
      </c>
      <c r="F200" s="1288" t="s">
        <v>1391</v>
      </c>
      <c r="G200" s="1288" t="s">
        <v>1415</v>
      </c>
      <c r="H200" s="1288" t="s">
        <v>1575</v>
      </c>
      <c r="I200" s="1288"/>
      <c r="J200" s="1288"/>
      <c r="K200" s="754" t="s">
        <v>2221</v>
      </c>
      <c r="L200" s="1173"/>
      <c r="M200" s="1173"/>
      <c r="N200" s="1173"/>
      <c r="O200" s="1165">
        <f t="shared" ref="O200:O263" si="35">L200+M200-N200</f>
        <v>0</v>
      </c>
      <c r="P200" s="1173"/>
      <c r="Q200" s="1173"/>
      <c r="R200" s="1173"/>
      <c r="S200" s="1173"/>
      <c r="T200" s="1173"/>
      <c r="U200" s="1173"/>
      <c r="V200" s="1173"/>
      <c r="W200" s="1439" t="e">
        <f t="shared" ref="W200:W263" si="36">V200/U200</f>
        <v>#DIV/0!</v>
      </c>
      <c r="X200" s="1432"/>
      <c r="Y200" s="765"/>
    </row>
    <row r="201" spans="1:25" s="760" customFormat="1" ht="22.5" customHeight="1" thickTop="1" thickBot="1" x14ac:dyDescent="0.3">
      <c r="A201" s="1287">
        <v>1</v>
      </c>
      <c r="B201" s="1287" t="s">
        <v>1378</v>
      </c>
      <c r="C201" s="1288" t="s">
        <v>1378</v>
      </c>
      <c r="D201" s="1288" t="s">
        <v>1391</v>
      </c>
      <c r="E201" s="1288" t="s">
        <v>1391</v>
      </c>
      <c r="F201" s="1288" t="s">
        <v>1391</v>
      </c>
      <c r="G201" s="1288" t="s">
        <v>1419</v>
      </c>
      <c r="H201" s="1288"/>
      <c r="I201" s="1288"/>
      <c r="J201" s="1288"/>
      <c r="K201" s="754" t="s">
        <v>2066</v>
      </c>
      <c r="L201" s="1173">
        <f>SUM(L202:L212)</f>
        <v>22951000</v>
      </c>
      <c r="M201" s="1173">
        <f t="shared" ref="M201:V201" si="37">SUM(M202:M212)</f>
        <v>106626000</v>
      </c>
      <c r="N201" s="1173">
        <f t="shared" si="37"/>
        <v>0</v>
      </c>
      <c r="O201" s="1165">
        <f t="shared" si="35"/>
        <v>129577000</v>
      </c>
      <c r="P201" s="1173">
        <f t="shared" si="37"/>
        <v>129577000</v>
      </c>
      <c r="Q201" s="1173">
        <f t="shared" si="37"/>
        <v>0</v>
      </c>
      <c r="R201" s="1173">
        <f t="shared" si="37"/>
        <v>0</v>
      </c>
      <c r="S201" s="1173"/>
      <c r="T201" s="1173">
        <f t="shared" si="37"/>
        <v>0</v>
      </c>
      <c r="U201" s="1173">
        <f t="shared" si="37"/>
        <v>106879089</v>
      </c>
      <c r="V201" s="1173">
        <f t="shared" si="37"/>
        <v>106879089</v>
      </c>
      <c r="W201" s="1439">
        <f t="shared" si="36"/>
        <v>1</v>
      </c>
      <c r="X201" s="1432"/>
      <c r="Y201" s="765"/>
    </row>
    <row r="202" spans="1:25" s="760" customFormat="1" ht="22.5" customHeight="1" thickTop="1" thickBot="1" x14ac:dyDescent="0.3">
      <c r="A202" s="1287">
        <v>1</v>
      </c>
      <c r="B202" s="1288" t="s">
        <v>1378</v>
      </c>
      <c r="C202" s="1288" t="s">
        <v>1378</v>
      </c>
      <c r="D202" s="1288" t="s">
        <v>1391</v>
      </c>
      <c r="E202" s="1288" t="s">
        <v>1391</v>
      </c>
      <c r="F202" s="1288" t="s">
        <v>1391</v>
      </c>
      <c r="G202" s="1288" t="s">
        <v>1419</v>
      </c>
      <c r="H202" s="1288" t="s">
        <v>1378</v>
      </c>
      <c r="I202" s="1288"/>
      <c r="J202" s="1288"/>
      <c r="K202" s="754" t="s">
        <v>2222</v>
      </c>
      <c r="L202" s="1173"/>
      <c r="M202" s="1173"/>
      <c r="N202" s="1173"/>
      <c r="O202" s="1165">
        <f t="shared" si="35"/>
        <v>0</v>
      </c>
      <c r="P202" s="1173"/>
      <c r="Q202" s="1173"/>
      <c r="R202" s="1173"/>
      <c r="S202" s="1173"/>
      <c r="T202" s="1173"/>
      <c r="U202" s="1173"/>
      <c r="V202" s="1173"/>
      <c r="W202" s="1439" t="e">
        <f t="shared" si="36"/>
        <v>#DIV/0!</v>
      </c>
      <c r="X202" s="1432"/>
      <c r="Y202" s="765"/>
    </row>
    <row r="203" spans="1:25" s="760" customFormat="1" ht="22.5" customHeight="1" thickTop="1" thickBot="1" x14ac:dyDescent="0.3">
      <c r="A203" s="1287">
        <v>1</v>
      </c>
      <c r="B203" s="1287" t="s">
        <v>1378</v>
      </c>
      <c r="C203" s="1288" t="s">
        <v>1378</v>
      </c>
      <c r="D203" s="1288" t="s">
        <v>1391</v>
      </c>
      <c r="E203" s="1288" t="s">
        <v>1391</v>
      </c>
      <c r="F203" s="1288" t="s">
        <v>1391</v>
      </c>
      <c r="G203" s="1288" t="s">
        <v>1419</v>
      </c>
      <c r="H203" s="1288" t="s">
        <v>1391</v>
      </c>
      <c r="I203" s="1288"/>
      <c r="J203" s="1288"/>
      <c r="K203" s="754" t="s">
        <v>2223</v>
      </c>
      <c r="L203" s="1173"/>
      <c r="M203" s="1173"/>
      <c r="N203" s="1173"/>
      <c r="O203" s="1165">
        <f t="shared" si="35"/>
        <v>0</v>
      </c>
      <c r="P203" s="1173"/>
      <c r="Q203" s="1173"/>
      <c r="R203" s="1173"/>
      <c r="S203" s="1173"/>
      <c r="T203" s="1173"/>
      <c r="U203" s="1173"/>
      <c r="V203" s="1173"/>
      <c r="W203" s="1439" t="e">
        <f t="shared" si="36"/>
        <v>#DIV/0!</v>
      </c>
      <c r="X203" s="1432"/>
      <c r="Y203" s="765"/>
    </row>
    <row r="204" spans="1:25" s="760" customFormat="1" ht="22.5" customHeight="1" thickTop="1" thickBot="1" x14ac:dyDescent="0.3">
      <c r="A204" s="1287">
        <v>1</v>
      </c>
      <c r="B204" s="1288" t="s">
        <v>1378</v>
      </c>
      <c r="C204" s="1288" t="s">
        <v>1378</v>
      </c>
      <c r="D204" s="1288" t="s">
        <v>1391</v>
      </c>
      <c r="E204" s="1288" t="s">
        <v>1391</v>
      </c>
      <c r="F204" s="1288" t="s">
        <v>1391</v>
      </c>
      <c r="G204" s="1288" t="s">
        <v>1419</v>
      </c>
      <c r="H204" s="1288" t="s">
        <v>1415</v>
      </c>
      <c r="I204" s="1288"/>
      <c r="J204" s="1288"/>
      <c r="K204" s="754" t="s">
        <v>2224</v>
      </c>
      <c r="L204" s="1173"/>
      <c r="M204" s="1173"/>
      <c r="N204" s="1173"/>
      <c r="O204" s="1165">
        <f t="shared" si="35"/>
        <v>0</v>
      </c>
      <c r="P204" s="1173"/>
      <c r="Q204" s="1173"/>
      <c r="R204" s="1173"/>
      <c r="S204" s="1173"/>
      <c r="T204" s="1173"/>
      <c r="U204" s="1173"/>
      <c r="V204" s="1173"/>
      <c r="W204" s="1439" t="e">
        <f t="shared" si="36"/>
        <v>#DIV/0!</v>
      </c>
      <c r="X204" s="1432"/>
      <c r="Y204" s="765"/>
    </row>
    <row r="205" spans="1:25" s="760" customFormat="1" ht="22.5" customHeight="1" thickTop="1" thickBot="1" x14ac:dyDescent="0.3">
      <c r="A205" s="1287">
        <v>1</v>
      </c>
      <c r="B205" s="1287" t="s">
        <v>1378</v>
      </c>
      <c r="C205" s="1288" t="s">
        <v>1378</v>
      </c>
      <c r="D205" s="1288" t="s">
        <v>1391</v>
      </c>
      <c r="E205" s="1288" t="s">
        <v>1391</v>
      </c>
      <c r="F205" s="1288" t="s">
        <v>1391</v>
      </c>
      <c r="G205" s="1288" t="s">
        <v>1419</v>
      </c>
      <c r="H205" s="1288" t="s">
        <v>1419</v>
      </c>
      <c r="I205" s="1288"/>
      <c r="J205" s="1288"/>
      <c r="K205" s="754" t="s">
        <v>2225</v>
      </c>
      <c r="L205" s="1173"/>
      <c r="M205" s="1173"/>
      <c r="N205" s="1173"/>
      <c r="O205" s="1165">
        <f t="shared" si="35"/>
        <v>0</v>
      </c>
      <c r="P205" s="1173"/>
      <c r="Q205" s="1173"/>
      <c r="R205" s="1173"/>
      <c r="S205" s="1173"/>
      <c r="T205" s="1173"/>
      <c r="U205" s="1173"/>
      <c r="V205" s="1173"/>
      <c r="W205" s="1439" t="e">
        <f t="shared" si="36"/>
        <v>#DIV/0!</v>
      </c>
      <c r="X205" s="1432"/>
      <c r="Y205" s="765"/>
    </row>
    <row r="206" spans="1:25" s="760" customFormat="1" ht="22.5" customHeight="1" thickTop="1" thickBot="1" x14ac:dyDescent="0.3">
      <c r="A206" s="1287">
        <v>1</v>
      </c>
      <c r="B206" s="1288" t="s">
        <v>1378</v>
      </c>
      <c r="C206" s="1288" t="s">
        <v>1378</v>
      </c>
      <c r="D206" s="1288" t="s">
        <v>1391</v>
      </c>
      <c r="E206" s="1288" t="s">
        <v>1391</v>
      </c>
      <c r="F206" s="1288" t="s">
        <v>1391</v>
      </c>
      <c r="G206" s="1288" t="s">
        <v>1419</v>
      </c>
      <c r="H206" s="1288" t="s">
        <v>1444</v>
      </c>
      <c r="I206" s="1288"/>
      <c r="J206" s="1288"/>
      <c r="K206" s="754" t="s">
        <v>2226</v>
      </c>
      <c r="L206" s="1173"/>
      <c r="M206" s="1173"/>
      <c r="N206" s="1173"/>
      <c r="O206" s="1165">
        <f t="shared" si="35"/>
        <v>0</v>
      </c>
      <c r="P206" s="1173"/>
      <c r="Q206" s="1173"/>
      <c r="R206" s="1173"/>
      <c r="S206" s="1173"/>
      <c r="T206" s="1173"/>
      <c r="U206" s="1173"/>
      <c r="V206" s="1173"/>
      <c r="W206" s="1439" t="e">
        <f t="shared" si="36"/>
        <v>#DIV/0!</v>
      </c>
      <c r="X206" s="1432"/>
      <c r="Y206" s="765"/>
    </row>
    <row r="207" spans="1:25" s="760" customFormat="1" ht="22.5" customHeight="1" thickTop="1" thickBot="1" x14ac:dyDescent="0.3">
      <c r="A207" s="1287">
        <v>1</v>
      </c>
      <c r="B207" s="1287" t="s">
        <v>1378</v>
      </c>
      <c r="C207" s="1288" t="s">
        <v>1378</v>
      </c>
      <c r="D207" s="1288" t="s">
        <v>1391</v>
      </c>
      <c r="E207" s="1288" t="s">
        <v>1391</v>
      </c>
      <c r="F207" s="1288" t="s">
        <v>1391</v>
      </c>
      <c r="G207" s="1288" t="s">
        <v>1419</v>
      </c>
      <c r="H207" s="1288" t="s">
        <v>1467</v>
      </c>
      <c r="I207" s="1288"/>
      <c r="J207" s="1288"/>
      <c r="K207" s="754" t="s">
        <v>2227</v>
      </c>
      <c r="L207" s="1173"/>
      <c r="M207" s="1173"/>
      <c r="N207" s="1173"/>
      <c r="O207" s="1165">
        <f t="shared" si="35"/>
        <v>0</v>
      </c>
      <c r="P207" s="1173"/>
      <c r="Q207" s="1173"/>
      <c r="R207" s="1173"/>
      <c r="S207" s="1173"/>
      <c r="T207" s="1173"/>
      <c r="U207" s="1173"/>
      <c r="V207" s="1173"/>
      <c r="W207" s="1439" t="e">
        <f t="shared" si="36"/>
        <v>#DIV/0!</v>
      </c>
      <c r="X207" s="1432"/>
      <c r="Y207" s="765"/>
    </row>
    <row r="208" spans="1:25" s="760" customFormat="1" ht="22.5" customHeight="1" thickTop="1" thickBot="1" x14ac:dyDescent="0.3">
      <c r="A208" s="1287">
        <v>1</v>
      </c>
      <c r="B208" s="1288" t="s">
        <v>1378</v>
      </c>
      <c r="C208" s="1288" t="s">
        <v>1378</v>
      </c>
      <c r="D208" s="1288" t="s">
        <v>1391</v>
      </c>
      <c r="E208" s="1288" t="s">
        <v>1391</v>
      </c>
      <c r="F208" s="1288" t="s">
        <v>1391</v>
      </c>
      <c r="G208" s="1288" t="s">
        <v>1419</v>
      </c>
      <c r="H208" s="1288" t="s">
        <v>1471</v>
      </c>
      <c r="I208" s="1288"/>
      <c r="J208" s="1288"/>
      <c r="K208" s="754" t="s">
        <v>2228</v>
      </c>
      <c r="L208" s="1173"/>
      <c r="M208" s="1173"/>
      <c r="N208" s="1173"/>
      <c r="O208" s="1165">
        <f t="shared" si="35"/>
        <v>0</v>
      </c>
      <c r="P208" s="1173"/>
      <c r="Q208" s="1173"/>
      <c r="R208" s="1173"/>
      <c r="S208" s="1173"/>
      <c r="T208" s="1173"/>
      <c r="U208" s="1173"/>
      <c r="V208" s="1173"/>
      <c r="W208" s="1439" t="e">
        <f t="shared" si="36"/>
        <v>#DIV/0!</v>
      </c>
      <c r="X208" s="1432"/>
      <c r="Y208" s="765"/>
    </row>
    <row r="209" spans="1:25" s="760" customFormat="1" ht="22.5" customHeight="1" thickTop="1" thickBot="1" x14ac:dyDescent="0.3">
      <c r="A209" s="1287">
        <v>1</v>
      </c>
      <c r="B209" s="1287" t="s">
        <v>1378</v>
      </c>
      <c r="C209" s="1288" t="s">
        <v>1378</v>
      </c>
      <c r="D209" s="1288" t="s">
        <v>1391</v>
      </c>
      <c r="E209" s="1288" t="s">
        <v>1391</v>
      </c>
      <c r="F209" s="1288" t="s">
        <v>1391</v>
      </c>
      <c r="G209" s="1288" t="s">
        <v>1419</v>
      </c>
      <c r="H209" s="1288" t="s">
        <v>1475</v>
      </c>
      <c r="I209" s="1288"/>
      <c r="J209" s="1288"/>
      <c r="K209" s="754" t="s">
        <v>2229</v>
      </c>
      <c r="L209" s="1170">
        <v>22951000</v>
      </c>
      <c r="M209" s="1170">
        <v>106626000</v>
      </c>
      <c r="N209" s="1170"/>
      <c r="O209" s="1165">
        <f t="shared" si="35"/>
        <v>129577000</v>
      </c>
      <c r="P209" s="1173">
        <v>129577000</v>
      </c>
      <c r="Q209" s="1173"/>
      <c r="R209" s="1173"/>
      <c r="S209" s="1173"/>
      <c r="T209" s="1173"/>
      <c r="U209" s="1170">
        <f>106626000+253089</f>
        <v>106879089</v>
      </c>
      <c r="V209" s="1170">
        <f>106626000+253089</f>
        <v>106879089</v>
      </c>
      <c r="W209" s="1438">
        <f t="shared" si="36"/>
        <v>1</v>
      </c>
      <c r="X209" s="1432"/>
      <c r="Y209" s="765"/>
    </row>
    <row r="210" spans="1:25" s="760" customFormat="1" ht="22.5" customHeight="1" thickTop="1" thickBot="1" x14ac:dyDescent="0.3">
      <c r="A210" s="1287">
        <v>1</v>
      </c>
      <c r="B210" s="1288" t="s">
        <v>1378</v>
      </c>
      <c r="C210" s="1288" t="s">
        <v>1378</v>
      </c>
      <c r="D210" s="1288" t="s">
        <v>1391</v>
      </c>
      <c r="E210" s="1288" t="s">
        <v>1391</v>
      </c>
      <c r="F210" s="1288" t="s">
        <v>1391</v>
      </c>
      <c r="G210" s="1288" t="s">
        <v>1419</v>
      </c>
      <c r="H210" s="1288" t="s">
        <v>1573</v>
      </c>
      <c r="I210" s="1288"/>
      <c r="J210" s="1288"/>
      <c r="K210" s="754" t="s">
        <v>2230</v>
      </c>
      <c r="L210" s="1170"/>
      <c r="M210" s="1170"/>
      <c r="N210" s="1170"/>
      <c r="O210" s="1165">
        <f t="shared" si="35"/>
        <v>0</v>
      </c>
      <c r="P210" s="1173"/>
      <c r="Q210" s="1173"/>
      <c r="R210" s="1173"/>
      <c r="S210" s="1173"/>
      <c r="T210" s="1173"/>
      <c r="U210" s="1173"/>
      <c r="V210" s="1173"/>
      <c r="W210" s="1439" t="e">
        <f t="shared" si="36"/>
        <v>#DIV/0!</v>
      </c>
      <c r="X210" s="1432"/>
      <c r="Y210" s="765"/>
    </row>
    <row r="211" spans="1:25" s="760" customFormat="1" ht="22.5" customHeight="1" thickTop="1" thickBot="1" x14ac:dyDescent="0.3">
      <c r="A211" s="1287">
        <v>1</v>
      </c>
      <c r="B211" s="1287" t="s">
        <v>1378</v>
      </c>
      <c r="C211" s="1288" t="s">
        <v>1378</v>
      </c>
      <c r="D211" s="1288" t="s">
        <v>1391</v>
      </c>
      <c r="E211" s="1288" t="s">
        <v>1391</v>
      </c>
      <c r="F211" s="1288" t="s">
        <v>1391</v>
      </c>
      <c r="G211" s="1288" t="s">
        <v>1419</v>
      </c>
      <c r="H211" s="1288" t="s">
        <v>1574</v>
      </c>
      <c r="I211" s="1288"/>
      <c r="J211" s="1288"/>
      <c r="K211" s="754" t="s">
        <v>2231</v>
      </c>
      <c r="L211" s="1173"/>
      <c r="M211" s="1173"/>
      <c r="N211" s="1173"/>
      <c r="O211" s="1165">
        <f t="shared" si="35"/>
        <v>0</v>
      </c>
      <c r="P211" s="1173"/>
      <c r="Q211" s="1173"/>
      <c r="R211" s="1173"/>
      <c r="S211" s="1173"/>
      <c r="T211" s="1173"/>
      <c r="U211" s="1173"/>
      <c r="V211" s="1173"/>
      <c r="W211" s="1439" t="e">
        <f t="shared" si="36"/>
        <v>#DIV/0!</v>
      </c>
      <c r="X211" s="1432"/>
      <c r="Y211" s="765"/>
    </row>
    <row r="212" spans="1:25" s="760" customFormat="1" ht="22.5" customHeight="1" thickTop="1" thickBot="1" x14ac:dyDescent="0.3">
      <c r="A212" s="1287">
        <v>1</v>
      </c>
      <c r="B212" s="1288" t="s">
        <v>1378</v>
      </c>
      <c r="C212" s="1288" t="s">
        <v>1378</v>
      </c>
      <c r="D212" s="1288" t="s">
        <v>1391</v>
      </c>
      <c r="E212" s="1288" t="s">
        <v>1391</v>
      </c>
      <c r="F212" s="1288" t="s">
        <v>1391</v>
      </c>
      <c r="G212" s="1288" t="s">
        <v>1419</v>
      </c>
      <c r="H212" s="1288" t="s">
        <v>1575</v>
      </c>
      <c r="I212" s="1288"/>
      <c r="J212" s="1288"/>
      <c r="K212" s="754" t="s">
        <v>2232</v>
      </c>
      <c r="L212" s="1173"/>
      <c r="M212" s="1173"/>
      <c r="N212" s="1173"/>
      <c r="O212" s="1165">
        <f t="shared" si="35"/>
        <v>0</v>
      </c>
      <c r="P212" s="1173"/>
      <c r="Q212" s="1173"/>
      <c r="R212" s="1173"/>
      <c r="S212" s="1173"/>
      <c r="T212" s="1173"/>
      <c r="U212" s="1173"/>
      <c r="V212" s="1173"/>
      <c r="W212" s="1439" t="e">
        <f t="shared" si="36"/>
        <v>#DIV/0!</v>
      </c>
      <c r="X212" s="1432"/>
      <c r="Y212" s="765"/>
    </row>
    <row r="213" spans="1:25" s="183" customFormat="1" ht="22.5" customHeight="1" thickTop="1" thickBot="1" x14ac:dyDescent="0.3">
      <c r="A213" s="1282">
        <v>1</v>
      </c>
      <c r="B213" s="1283" t="s">
        <v>1378</v>
      </c>
      <c r="C213" s="1283" t="s">
        <v>1378</v>
      </c>
      <c r="D213" s="1283" t="s">
        <v>1391</v>
      </c>
      <c r="E213" s="1283" t="s">
        <v>1415</v>
      </c>
      <c r="F213" s="1283"/>
      <c r="G213" s="1283"/>
      <c r="H213" s="1283"/>
      <c r="I213" s="1283"/>
      <c r="J213" s="1283"/>
      <c r="K213" s="1284" t="s">
        <v>1998</v>
      </c>
      <c r="L213" s="1166">
        <f>+L214+L227</f>
        <v>1148241000</v>
      </c>
      <c r="M213" s="1166">
        <f t="shared" ref="M213:V213" si="38">+M214+M227</f>
        <v>0</v>
      </c>
      <c r="N213" s="1166">
        <f t="shared" si="38"/>
        <v>0</v>
      </c>
      <c r="O213" s="1165">
        <f t="shared" si="35"/>
        <v>1148241000</v>
      </c>
      <c r="P213" s="1166">
        <f t="shared" si="38"/>
        <v>1033416900</v>
      </c>
      <c r="Q213" s="1166">
        <f t="shared" si="38"/>
        <v>0</v>
      </c>
      <c r="R213" s="1166">
        <f t="shared" si="38"/>
        <v>114824100</v>
      </c>
      <c r="S213" s="1166"/>
      <c r="T213" s="1166">
        <f t="shared" si="38"/>
        <v>0</v>
      </c>
      <c r="U213" s="1166">
        <f t="shared" si="38"/>
        <v>20763322.02</v>
      </c>
      <c r="V213" s="1166">
        <f t="shared" si="38"/>
        <v>20763322.02</v>
      </c>
      <c r="W213" s="1433">
        <f t="shared" si="36"/>
        <v>1</v>
      </c>
      <c r="X213" s="1432" t="s">
        <v>1480</v>
      </c>
      <c r="Y213" s="765"/>
    </row>
    <row r="214" spans="1:25" s="183" customFormat="1" ht="22.5" customHeight="1" thickTop="1" thickBot="1" x14ac:dyDescent="0.3">
      <c r="A214" s="1285">
        <v>1</v>
      </c>
      <c r="B214" s="1286" t="s">
        <v>1378</v>
      </c>
      <c r="C214" s="1286" t="s">
        <v>1378</v>
      </c>
      <c r="D214" s="1286" t="s">
        <v>1391</v>
      </c>
      <c r="E214" s="1286" t="s">
        <v>1415</v>
      </c>
      <c r="F214" s="1286" t="s">
        <v>1378</v>
      </c>
      <c r="G214" s="1286"/>
      <c r="H214" s="1286"/>
      <c r="I214" s="1286"/>
      <c r="J214" s="1286"/>
      <c r="K214" s="753" t="s">
        <v>1296</v>
      </c>
      <c r="L214" s="1174">
        <f>+L215+L227</f>
        <v>1148241000</v>
      </c>
      <c r="M214" s="1174">
        <f t="shared" ref="M214:V214" si="39">+M215+M227</f>
        <v>0</v>
      </c>
      <c r="N214" s="1174">
        <f t="shared" si="39"/>
        <v>0</v>
      </c>
      <c r="O214" s="1165">
        <f t="shared" si="35"/>
        <v>1148241000</v>
      </c>
      <c r="P214" s="1174">
        <f t="shared" si="39"/>
        <v>1033416900</v>
      </c>
      <c r="Q214" s="1174">
        <f t="shared" si="39"/>
        <v>0</v>
      </c>
      <c r="R214" s="1174">
        <f t="shared" si="39"/>
        <v>114824100</v>
      </c>
      <c r="S214" s="1174"/>
      <c r="T214" s="1174">
        <f t="shared" si="39"/>
        <v>0</v>
      </c>
      <c r="U214" s="1174">
        <f t="shared" si="39"/>
        <v>20763322.02</v>
      </c>
      <c r="V214" s="1174">
        <f t="shared" si="39"/>
        <v>20763322.02</v>
      </c>
      <c r="W214" s="1440">
        <f t="shared" si="36"/>
        <v>1</v>
      </c>
      <c r="X214" s="1432" t="s">
        <v>1482</v>
      </c>
      <c r="Y214" s="765" t="s">
        <v>1483</v>
      </c>
    </row>
    <row r="215" spans="1:25" s="760" customFormat="1" ht="22.5" customHeight="1" thickTop="1" thickBot="1" x14ac:dyDescent="0.3">
      <c r="A215" s="1287">
        <v>1</v>
      </c>
      <c r="B215" s="1288" t="s">
        <v>1378</v>
      </c>
      <c r="C215" s="1288" t="s">
        <v>1378</v>
      </c>
      <c r="D215" s="1288" t="s">
        <v>1391</v>
      </c>
      <c r="E215" s="1288" t="s">
        <v>1415</v>
      </c>
      <c r="F215" s="1288" t="s">
        <v>1378</v>
      </c>
      <c r="G215" s="1288" t="s">
        <v>1378</v>
      </c>
      <c r="H215" s="1288"/>
      <c r="I215" s="1288"/>
      <c r="J215" s="1288"/>
      <c r="K215" s="754" t="s">
        <v>1484</v>
      </c>
      <c r="L215" s="1173">
        <f>SUM(L216:L226)</f>
        <v>1148241000</v>
      </c>
      <c r="M215" s="1173">
        <f t="shared" ref="M215:V215" si="40">SUM(M216:M226)</f>
        <v>0</v>
      </c>
      <c r="N215" s="1173">
        <f t="shared" si="40"/>
        <v>0</v>
      </c>
      <c r="O215" s="1165">
        <f t="shared" si="35"/>
        <v>1148241000</v>
      </c>
      <c r="P215" s="1173">
        <v>1033416900</v>
      </c>
      <c r="Q215" s="1173">
        <f t="shared" si="40"/>
        <v>0</v>
      </c>
      <c r="R215" s="1173">
        <f>+O215*0.1</f>
        <v>114824100</v>
      </c>
      <c r="S215" s="1173"/>
      <c r="T215" s="1173">
        <f t="shared" si="40"/>
        <v>0</v>
      </c>
      <c r="U215" s="1173">
        <f t="shared" ref="U215" si="41">SUM(U216:U226)</f>
        <v>20763322.02</v>
      </c>
      <c r="V215" s="1173">
        <f t="shared" si="40"/>
        <v>20763322.02</v>
      </c>
      <c r="W215" s="1439">
        <f t="shared" si="36"/>
        <v>1</v>
      </c>
      <c r="X215" s="1432" t="s">
        <v>1485</v>
      </c>
      <c r="Y215" s="765" t="s">
        <v>1486</v>
      </c>
    </row>
    <row r="216" spans="1:25" s="760" customFormat="1" ht="22.5" customHeight="1" thickTop="1" thickBot="1" x14ac:dyDescent="0.3">
      <c r="A216" s="1287">
        <v>1</v>
      </c>
      <c r="B216" s="1288" t="s">
        <v>1378</v>
      </c>
      <c r="C216" s="1288" t="s">
        <v>1378</v>
      </c>
      <c r="D216" s="1288" t="s">
        <v>1391</v>
      </c>
      <c r="E216" s="1288" t="s">
        <v>1415</v>
      </c>
      <c r="F216" s="1288" t="s">
        <v>1378</v>
      </c>
      <c r="G216" s="1288" t="s">
        <v>1378</v>
      </c>
      <c r="H216" s="1288" t="s">
        <v>1378</v>
      </c>
      <c r="I216" s="1288"/>
      <c r="J216" s="1288"/>
      <c r="K216" s="754" t="s">
        <v>1487</v>
      </c>
      <c r="L216" s="1170">
        <v>208000000</v>
      </c>
      <c r="M216" s="1173"/>
      <c r="N216" s="1173"/>
      <c r="O216" s="1165">
        <f t="shared" si="35"/>
        <v>208000000</v>
      </c>
      <c r="P216" s="1173"/>
      <c r="Q216" s="1173"/>
      <c r="R216" s="1173"/>
      <c r="S216" s="1173"/>
      <c r="T216" s="1173"/>
      <c r="U216" s="1173">
        <v>2374107</v>
      </c>
      <c r="V216" s="1173">
        <v>2374107</v>
      </c>
      <c r="W216" s="1439">
        <f t="shared" si="36"/>
        <v>1</v>
      </c>
      <c r="X216" s="1432"/>
      <c r="Y216" s="765"/>
    </row>
    <row r="217" spans="1:25" s="760" customFormat="1" ht="22.5" customHeight="1" thickTop="1" thickBot="1" x14ac:dyDescent="0.3">
      <c r="A217" s="1287">
        <v>1</v>
      </c>
      <c r="B217" s="1288" t="s">
        <v>1378</v>
      </c>
      <c r="C217" s="1288" t="s">
        <v>1378</v>
      </c>
      <c r="D217" s="1288" t="s">
        <v>1391</v>
      </c>
      <c r="E217" s="1288" t="s">
        <v>1415</v>
      </c>
      <c r="F217" s="1288" t="s">
        <v>1378</v>
      </c>
      <c r="G217" s="1288" t="s">
        <v>1378</v>
      </c>
      <c r="H217" s="1288" t="s">
        <v>1391</v>
      </c>
      <c r="I217" s="1288"/>
      <c r="J217" s="1288"/>
      <c r="K217" s="754" t="s">
        <v>1488</v>
      </c>
      <c r="L217" s="1170">
        <v>938000000</v>
      </c>
      <c r="M217" s="1173"/>
      <c r="N217" s="1173"/>
      <c r="O217" s="1165">
        <f t="shared" si="35"/>
        <v>938000000</v>
      </c>
      <c r="P217" s="1173"/>
      <c r="Q217" s="1173"/>
      <c r="R217" s="1173"/>
      <c r="S217" s="1173"/>
      <c r="T217" s="1173"/>
      <c r="U217" s="1173"/>
      <c r="V217" s="1173"/>
      <c r="W217" s="1439" t="e">
        <f t="shared" si="36"/>
        <v>#DIV/0!</v>
      </c>
      <c r="X217" s="1432"/>
      <c r="Y217" s="765"/>
    </row>
    <row r="218" spans="1:25" s="760" customFormat="1" ht="22.5" customHeight="1" thickTop="1" thickBot="1" x14ac:dyDescent="0.3">
      <c r="A218" s="1287">
        <v>1</v>
      </c>
      <c r="B218" s="1288" t="s">
        <v>1378</v>
      </c>
      <c r="C218" s="1288" t="s">
        <v>1378</v>
      </c>
      <c r="D218" s="1288" t="s">
        <v>1391</v>
      </c>
      <c r="E218" s="1288" t="s">
        <v>1415</v>
      </c>
      <c r="F218" s="1288" t="s">
        <v>1378</v>
      </c>
      <c r="G218" s="1288" t="s">
        <v>1378</v>
      </c>
      <c r="H218" s="1288" t="s">
        <v>1415</v>
      </c>
      <c r="I218" s="1288"/>
      <c r="J218" s="1288"/>
      <c r="K218" s="754" t="s">
        <v>2233</v>
      </c>
      <c r="L218" s="1170">
        <v>2241000</v>
      </c>
      <c r="M218" s="1173"/>
      <c r="N218" s="1173"/>
      <c r="O218" s="1165">
        <f t="shared" si="35"/>
        <v>2241000</v>
      </c>
      <c r="P218" s="1173"/>
      <c r="Q218" s="1173"/>
      <c r="R218" s="1173"/>
      <c r="S218" s="1173"/>
      <c r="T218" s="1173"/>
      <c r="U218" s="1173">
        <v>8247955.0199999996</v>
      </c>
      <c r="V218" s="1173">
        <v>8247955.0199999996</v>
      </c>
      <c r="W218" s="1439">
        <f t="shared" si="36"/>
        <v>1</v>
      </c>
      <c r="X218" s="1432"/>
      <c r="Y218" s="765"/>
    </row>
    <row r="219" spans="1:25" s="760" customFormat="1" ht="22.5" customHeight="1" thickTop="1" thickBot="1" x14ac:dyDescent="0.3">
      <c r="A219" s="1287">
        <v>1</v>
      </c>
      <c r="B219" s="1288" t="s">
        <v>1378</v>
      </c>
      <c r="C219" s="1288" t="s">
        <v>1378</v>
      </c>
      <c r="D219" s="1288" t="s">
        <v>1391</v>
      </c>
      <c r="E219" s="1288" t="s">
        <v>1415</v>
      </c>
      <c r="F219" s="1288" t="s">
        <v>1378</v>
      </c>
      <c r="G219" s="1288" t="s">
        <v>1378</v>
      </c>
      <c r="H219" s="1288" t="s">
        <v>1419</v>
      </c>
      <c r="I219" s="1288"/>
      <c r="J219" s="1288"/>
      <c r="K219" s="754" t="s">
        <v>2234</v>
      </c>
      <c r="L219" s="1173"/>
      <c r="M219" s="1173"/>
      <c r="N219" s="1173"/>
      <c r="O219" s="1165">
        <f t="shared" si="35"/>
        <v>0</v>
      </c>
      <c r="P219" s="1173"/>
      <c r="Q219" s="1173"/>
      <c r="R219" s="1173"/>
      <c r="S219" s="1173"/>
      <c r="T219" s="1173"/>
      <c r="U219" s="1173">
        <v>10141260</v>
      </c>
      <c r="V219" s="1173">
        <v>10141260</v>
      </c>
      <c r="W219" s="1439">
        <f t="shared" si="36"/>
        <v>1</v>
      </c>
      <c r="X219" s="1432"/>
      <c r="Y219" s="765"/>
    </row>
    <row r="220" spans="1:25" s="760" customFormat="1" ht="22.5" customHeight="1" thickTop="1" thickBot="1" x14ac:dyDescent="0.3">
      <c r="A220" s="1287">
        <v>1</v>
      </c>
      <c r="B220" s="1288" t="s">
        <v>1378</v>
      </c>
      <c r="C220" s="1288" t="s">
        <v>1378</v>
      </c>
      <c r="D220" s="1288" t="s">
        <v>1391</v>
      </c>
      <c r="E220" s="1288" t="s">
        <v>1415</v>
      </c>
      <c r="F220" s="1288" t="s">
        <v>1378</v>
      </c>
      <c r="G220" s="1288" t="s">
        <v>1378</v>
      </c>
      <c r="H220" s="1288" t="s">
        <v>1444</v>
      </c>
      <c r="I220" s="1288"/>
      <c r="J220" s="1288"/>
      <c r="K220" s="754" t="s">
        <v>2235</v>
      </c>
      <c r="L220" s="1173"/>
      <c r="M220" s="1173"/>
      <c r="N220" s="1173"/>
      <c r="O220" s="1165">
        <f t="shared" si="35"/>
        <v>0</v>
      </c>
      <c r="P220" s="1173"/>
      <c r="Q220" s="1173"/>
      <c r="R220" s="1173"/>
      <c r="S220" s="1173"/>
      <c r="T220" s="1173"/>
      <c r="U220" s="1173"/>
      <c r="V220" s="1173"/>
      <c r="W220" s="1439" t="e">
        <f t="shared" si="36"/>
        <v>#DIV/0!</v>
      </c>
      <c r="X220" s="1432"/>
      <c r="Y220" s="765"/>
    </row>
    <row r="221" spans="1:25" s="760" customFormat="1" ht="22.5" customHeight="1" thickTop="1" thickBot="1" x14ac:dyDescent="0.3">
      <c r="A221" s="1287">
        <v>1</v>
      </c>
      <c r="B221" s="1288" t="s">
        <v>1378</v>
      </c>
      <c r="C221" s="1288" t="s">
        <v>1378</v>
      </c>
      <c r="D221" s="1288" t="s">
        <v>1391</v>
      </c>
      <c r="E221" s="1288" t="s">
        <v>1415</v>
      </c>
      <c r="F221" s="1288" t="s">
        <v>1378</v>
      </c>
      <c r="G221" s="1288" t="s">
        <v>1378</v>
      </c>
      <c r="H221" s="1288" t="s">
        <v>1467</v>
      </c>
      <c r="I221" s="1288"/>
      <c r="J221" s="1288"/>
      <c r="K221" s="754" t="s">
        <v>2236</v>
      </c>
      <c r="L221" s="1173"/>
      <c r="M221" s="1173"/>
      <c r="N221" s="1173"/>
      <c r="O221" s="1165">
        <f t="shared" si="35"/>
        <v>0</v>
      </c>
      <c r="P221" s="1173"/>
      <c r="Q221" s="1173"/>
      <c r="R221" s="1173"/>
      <c r="S221" s="1173"/>
      <c r="T221" s="1173"/>
      <c r="U221" s="1173"/>
      <c r="V221" s="1173"/>
      <c r="W221" s="1439" t="e">
        <f t="shared" si="36"/>
        <v>#DIV/0!</v>
      </c>
      <c r="X221" s="1432"/>
      <c r="Y221" s="765"/>
    </row>
    <row r="222" spans="1:25" s="760" customFormat="1" ht="22.5" customHeight="1" thickTop="1" thickBot="1" x14ac:dyDescent="0.3">
      <c r="A222" s="1287">
        <v>1</v>
      </c>
      <c r="B222" s="1288" t="s">
        <v>1378</v>
      </c>
      <c r="C222" s="1288" t="s">
        <v>1378</v>
      </c>
      <c r="D222" s="1288" t="s">
        <v>1391</v>
      </c>
      <c r="E222" s="1288" t="s">
        <v>1415</v>
      </c>
      <c r="F222" s="1288" t="s">
        <v>1378</v>
      </c>
      <c r="G222" s="1288" t="s">
        <v>1378</v>
      </c>
      <c r="H222" s="1288" t="s">
        <v>1471</v>
      </c>
      <c r="I222" s="1288"/>
      <c r="J222" s="1288"/>
      <c r="K222" s="754" t="s">
        <v>2237</v>
      </c>
      <c r="L222" s="1173"/>
      <c r="M222" s="1173"/>
      <c r="N222" s="1173"/>
      <c r="O222" s="1165">
        <f t="shared" si="35"/>
        <v>0</v>
      </c>
      <c r="P222" s="1173"/>
      <c r="Q222" s="1173"/>
      <c r="R222" s="1173"/>
      <c r="S222" s="1173"/>
      <c r="T222" s="1173"/>
      <c r="U222" s="1173"/>
      <c r="V222" s="1173"/>
      <c r="W222" s="1439" t="e">
        <f t="shared" si="36"/>
        <v>#DIV/0!</v>
      </c>
      <c r="X222" s="1432"/>
      <c r="Y222" s="765"/>
    </row>
    <row r="223" spans="1:25" s="760" customFormat="1" ht="22.5" customHeight="1" thickTop="1" thickBot="1" x14ac:dyDescent="0.3">
      <c r="A223" s="1287">
        <v>1</v>
      </c>
      <c r="B223" s="1288" t="s">
        <v>1378</v>
      </c>
      <c r="C223" s="1288" t="s">
        <v>1378</v>
      </c>
      <c r="D223" s="1288" t="s">
        <v>1391</v>
      </c>
      <c r="E223" s="1288" t="s">
        <v>1415</v>
      </c>
      <c r="F223" s="1288" t="s">
        <v>1378</v>
      </c>
      <c r="G223" s="1288" t="s">
        <v>1378</v>
      </c>
      <c r="H223" s="1288" t="s">
        <v>1475</v>
      </c>
      <c r="I223" s="1288"/>
      <c r="J223" s="1288"/>
      <c r="K223" s="754" t="s">
        <v>2238</v>
      </c>
      <c r="L223" s="1173"/>
      <c r="M223" s="1173"/>
      <c r="N223" s="1173"/>
      <c r="O223" s="1165">
        <f t="shared" si="35"/>
        <v>0</v>
      </c>
      <c r="P223" s="1173"/>
      <c r="Q223" s="1173"/>
      <c r="R223" s="1173"/>
      <c r="S223" s="1173"/>
      <c r="T223" s="1173"/>
      <c r="U223" s="1173"/>
      <c r="V223" s="1173"/>
      <c r="W223" s="1439" t="e">
        <f t="shared" si="36"/>
        <v>#DIV/0!</v>
      </c>
      <c r="X223" s="1432"/>
      <c r="Y223" s="765"/>
    </row>
    <row r="224" spans="1:25" s="760" customFormat="1" ht="22.5" customHeight="1" thickTop="1" thickBot="1" x14ac:dyDescent="0.3">
      <c r="A224" s="1287">
        <v>1</v>
      </c>
      <c r="B224" s="1288" t="s">
        <v>1378</v>
      </c>
      <c r="C224" s="1288" t="s">
        <v>1378</v>
      </c>
      <c r="D224" s="1288" t="s">
        <v>1391</v>
      </c>
      <c r="E224" s="1288" t="s">
        <v>1415</v>
      </c>
      <c r="F224" s="1288" t="s">
        <v>1378</v>
      </c>
      <c r="G224" s="1288" t="s">
        <v>1378</v>
      </c>
      <c r="H224" s="1288" t="s">
        <v>1573</v>
      </c>
      <c r="I224" s="1288"/>
      <c r="J224" s="1288"/>
      <c r="K224" s="754" t="s">
        <v>2239</v>
      </c>
      <c r="L224" s="1173"/>
      <c r="M224" s="1173"/>
      <c r="N224" s="1173"/>
      <c r="O224" s="1165">
        <f t="shared" si="35"/>
        <v>0</v>
      </c>
      <c r="P224" s="1173"/>
      <c r="Q224" s="1173"/>
      <c r="R224" s="1173"/>
      <c r="S224" s="1173"/>
      <c r="T224" s="1173"/>
      <c r="U224" s="1173"/>
      <c r="V224" s="1173"/>
      <c r="W224" s="1439" t="e">
        <f t="shared" si="36"/>
        <v>#DIV/0!</v>
      </c>
      <c r="X224" s="1432"/>
      <c r="Y224" s="765"/>
    </row>
    <row r="225" spans="1:25" s="760" customFormat="1" ht="22.5" customHeight="1" thickTop="1" thickBot="1" x14ac:dyDescent="0.3">
      <c r="A225" s="1287">
        <v>1</v>
      </c>
      <c r="B225" s="1288" t="s">
        <v>1378</v>
      </c>
      <c r="C225" s="1288" t="s">
        <v>1378</v>
      </c>
      <c r="D225" s="1288" t="s">
        <v>1391</v>
      </c>
      <c r="E225" s="1288" t="s">
        <v>1415</v>
      </c>
      <c r="F225" s="1288" t="s">
        <v>1378</v>
      </c>
      <c r="G225" s="1288" t="s">
        <v>1378</v>
      </c>
      <c r="H225" s="1288" t="s">
        <v>1574</v>
      </c>
      <c r="I225" s="1288"/>
      <c r="J225" s="1288"/>
      <c r="K225" s="754" t="s">
        <v>2240</v>
      </c>
      <c r="L225" s="1173"/>
      <c r="M225" s="1173"/>
      <c r="N225" s="1173"/>
      <c r="O225" s="1165">
        <f t="shared" si="35"/>
        <v>0</v>
      </c>
      <c r="P225" s="1173"/>
      <c r="Q225" s="1173"/>
      <c r="R225" s="1173"/>
      <c r="S225" s="1173"/>
      <c r="T225" s="1173"/>
      <c r="U225" s="1173"/>
      <c r="V225" s="1173"/>
      <c r="W225" s="1439" t="e">
        <f t="shared" si="36"/>
        <v>#DIV/0!</v>
      </c>
      <c r="X225" s="1432"/>
      <c r="Y225" s="765"/>
    </row>
    <row r="226" spans="1:25" s="760" customFormat="1" ht="22.5" customHeight="1" thickTop="1" thickBot="1" x14ac:dyDescent="0.3">
      <c r="A226" s="1287">
        <v>1</v>
      </c>
      <c r="B226" s="1288" t="s">
        <v>1378</v>
      </c>
      <c r="C226" s="1288" t="s">
        <v>1378</v>
      </c>
      <c r="D226" s="1288" t="s">
        <v>1391</v>
      </c>
      <c r="E226" s="1288" t="s">
        <v>1415</v>
      </c>
      <c r="F226" s="1288" t="s">
        <v>1378</v>
      </c>
      <c r="G226" s="1288" t="s">
        <v>1378</v>
      </c>
      <c r="H226" s="1288" t="s">
        <v>1575</v>
      </c>
      <c r="I226" s="1288"/>
      <c r="J226" s="1288"/>
      <c r="K226" s="754" t="s">
        <v>2241</v>
      </c>
      <c r="L226" s="1173"/>
      <c r="M226" s="1173"/>
      <c r="N226" s="1173"/>
      <c r="O226" s="1165">
        <f t="shared" si="35"/>
        <v>0</v>
      </c>
      <c r="P226" s="1173"/>
      <c r="Q226" s="1173"/>
      <c r="R226" s="1173"/>
      <c r="S226" s="1173"/>
      <c r="T226" s="1173"/>
      <c r="U226" s="1173"/>
      <c r="V226" s="1173"/>
      <c r="W226" s="1439" t="e">
        <f t="shared" si="36"/>
        <v>#DIV/0!</v>
      </c>
      <c r="X226" s="1432"/>
      <c r="Y226" s="765"/>
    </row>
    <row r="227" spans="1:25" s="760" customFormat="1" ht="22.5" customHeight="1" thickTop="1" thickBot="1" x14ac:dyDescent="0.3">
      <c r="A227" s="1287">
        <v>1</v>
      </c>
      <c r="B227" s="1288" t="s">
        <v>1378</v>
      </c>
      <c r="C227" s="1288" t="s">
        <v>1378</v>
      </c>
      <c r="D227" s="1288" t="s">
        <v>1391</v>
      </c>
      <c r="E227" s="1288" t="s">
        <v>1415</v>
      </c>
      <c r="F227" s="1288" t="s">
        <v>1378</v>
      </c>
      <c r="G227" s="1288" t="s">
        <v>1391</v>
      </c>
      <c r="H227" s="1288"/>
      <c r="I227" s="1288"/>
      <c r="J227" s="1288"/>
      <c r="K227" s="754" t="s">
        <v>1999</v>
      </c>
      <c r="L227" s="1173">
        <f>SUM(L228:L238)</f>
        <v>0</v>
      </c>
      <c r="M227" s="1173">
        <f t="shared" ref="M227:V227" si="42">SUM(M228:M238)</f>
        <v>0</v>
      </c>
      <c r="N227" s="1173">
        <f t="shared" si="42"/>
        <v>0</v>
      </c>
      <c r="O227" s="1165">
        <f t="shared" si="35"/>
        <v>0</v>
      </c>
      <c r="P227" s="1173">
        <f t="shared" si="42"/>
        <v>0</v>
      </c>
      <c r="Q227" s="1173">
        <f t="shared" si="42"/>
        <v>0</v>
      </c>
      <c r="R227" s="1173">
        <f t="shared" si="42"/>
        <v>0</v>
      </c>
      <c r="S227" s="1173"/>
      <c r="T227" s="1173">
        <f t="shared" si="42"/>
        <v>0</v>
      </c>
      <c r="U227" s="1173">
        <f t="shared" si="42"/>
        <v>0</v>
      </c>
      <c r="V227" s="1173">
        <f t="shared" si="42"/>
        <v>0</v>
      </c>
      <c r="W227" s="1439" t="e">
        <f t="shared" si="36"/>
        <v>#DIV/0!</v>
      </c>
      <c r="X227" s="1432" t="s">
        <v>2000</v>
      </c>
      <c r="Y227" s="765"/>
    </row>
    <row r="228" spans="1:25" s="760" customFormat="1" ht="22.5" customHeight="1" thickTop="1" thickBot="1" x14ac:dyDescent="0.3">
      <c r="A228" s="1287">
        <v>1</v>
      </c>
      <c r="B228" s="1288" t="s">
        <v>1378</v>
      </c>
      <c r="C228" s="1288" t="s">
        <v>1378</v>
      </c>
      <c r="D228" s="1288" t="s">
        <v>1391</v>
      </c>
      <c r="E228" s="1288" t="s">
        <v>1415</v>
      </c>
      <c r="F228" s="1288" t="s">
        <v>1378</v>
      </c>
      <c r="G228" s="1288" t="s">
        <v>1391</v>
      </c>
      <c r="H228" s="1288" t="s">
        <v>1378</v>
      </c>
      <c r="I228" s="1288"/>
      <c r="J228" s="1288"/>
      <c r="K228" s="754" t="s">
        <v>2242</v>
      </c>
      <c r="L228" s="1173"/>
      <c r="M228" s="1173"/>
      <c r="N228" s="1173"/>
      <c r="O228" s="1165">
        <f t="shared" si="35"/>
        <v>0</v>
      </c>
      <c r="P228" s="1173"/>
      <c r="Q228" s="1173"/>
      <c r="R228" s="1173"/>
      <c r="S228" s="1173"/>
      <c r="T228" s="1173"/>
      <c r="U228" s="1173"/>
      <c r="V228" s="1173"/>
      <c r="W228" s="1439" t="e">
        <f t="shared" si="36"/>
        <v>#DIV/0!</v>
      </c>
      <c r="X228" s="1432"/>
      <c r="Y228" s="765"/>
    </row>
    <row r="229" spans="1:25" s="760" customFormat="1" ht="22.5" customHeight="1" thickTop="1" thickBot="1" x14ac:dyDescent="0.3">
      <c r="A229" s="1287">
        <v>1</v>
      </c>
      <c r="B229" s="1288" t="s">
        <v>1378</v>
      </c>
      <c r="C229" s="1288" t="s">
        <v>1378</v>
      </c>
      <c r="D229" s="1288" t="s">
        <v>1391</v>
      </c>
      <c r="E229" s="1288" t="s">
        <v>1415</v>
      </c>
      <c r="F229" s="1288" t="s">
        <v>1378</v>
      </c>
      <c r="G229" s="1288" t="s">
        <v>1391</v>
      </c>
      <c r="H229" s="1288" t="s">
        <v>1391</v>
      </c>
      <c r="I229" s="1288"/>
      <c r="J229" s="1288"/>
      <c r="K229" s="754" t="s">
        <v>2243</v>
      </c>
      <c r="L229" s="1173"/>
      <c r="M229" s="1173"/>
      <c r="N229" s="1173"/>
      <c r="O229" s="1165">
        <f t="shared" si="35"/>
        <v>0</v>
      </c>
      <c r="P229" s="1173"/>
      <c r="Q229" s="1173"/>
      <c r="R229" s="1173"/>
      <c r="S229" s="1173"/>
      <c r="T229" s="1173"/>
      <c r="U229" s="1173"/>
      <c r="V229" s="1173"/>
      <c r="W229" s="1439" t="e">
        <f t="shared" si="36"/>
        <v>#DIV/0!</v>
      </c>
      <c r="X229" s="1432"/>
      <c r="Y229" s="765"/>
    </row>
    <row r="230" spans="1:25" s="760" customFormat="1" ht="22.5" customHeight="1" thickTop="1" thickBot="1" x14ac:dyDescent="0.3">
      <c r="A230" s="1287">
        <v>1</v>
      </c>
      <c r="B230" s="1288" t="s">
        <v>1378</v>
      </c>
      <c r="C230" s="1288" t="s">
        <v>1378</v>
      </c>
      <c r="D230" s="1288" t="s">
        <v>1391</v>
      </c>
      <c r="E230" s="1288" t="s">
        <v>1415</v>
      </c>
      <c r="F230" s="1288" t="s">
        <v>1378</v>
      </c>
      <c r="G230" s="1288" t="s">
        <v>1391</v>
      </c>
      <c r="H230" s="1288" t="s">
        <v>1415</v>
      </c>
      <c r="I230" s="1288"/>
      <c r="J230" s="1288"/>
      <c r="K230" s="754" t="s">
        <v>2244</v>
      </c>
      <c r="L230" s="1173"/>
      <c r="M230" s="1173"/>
      <c r="N230" s="1173"/>
      <c r="O230" s="1165">
        <f t="shared" si="35"/>
        <v>0</v>
      </c>
      <c r="P230" s="1173"/>
      <c r="Q230" s="1173"/>
      <c r="R230" s="1173"/>
      <c r="S230" s="1173"/>
      <c r="T230" s="1173"/>
      <c r="U230" s="1173"/>
      <c r="V230" s="1173"/>
      <c r="W230" s="1439" t="e">
        <f t="shared" si="36"/>
        <v>#DIV/0!</v>
      </c>
      <c r="X230" s="1432"/>
      <c r="Y230" s="765"/>
    </row>
    <row r="231" spans="1:25" s="760" customFormat="1" ht="22.5" customHeight="1" thickTop="1" thickBot="1" x14ac:dyDescent="0.3">
      <c r="A231" s="1287">
        <v>1</v>
      </c>
      <c r="B231" s="1288" t="s">
        <v>1378</v>
      </c>
      <c r="C231" s="1288" t="s">
        <v>1378</v>
      </c>
      <c r="D231" s="1288" t="s">
        <v>1391</v>
      </c>
      <c r="E231" s="1288" t="s">
        <v>1415</v>
      </c>
      <c r="F231" s="1288" t="s">
        <v>1378</v>
      </c>
      <c r="G231" s="1288" t="s">
        <v>1391</v>
      </c>
      <c r="H231" s="1288" t="s">
        <v>1419</v>
      </c>
      <c r="I231" s="1288"/>
      <c r="J231" s="1288"/>
      <c r="K231" s="754" t="s">
        <v>2245</v>
      </c>
      <c r="L231" s="1173"/>
      <c r="M231" s="1173"/>
      <c r="N231" s="1173"/>
      <c r="O231" s="1165">
        <f t="shared" si="35"/>
        <v>0</v>
      </c>
      <c r="P231" s="1173"/>
      <c r="Q231" s="1173"/>
      <c r="R231" s="1173"/>
      <c r="S231" s="1173"/>
      <c r="T231" s="1173"/>
      <c r="U231" s="1173"/>
      <c r="V231" s="1173"/>
      <c r="W231" s="1439" t="e">
        <f t="shared" si="36"/>
        <v>#DIV/0!</v>
      </c>
      <c r="X231" s="1432"/>
      <c r="Y231" s="765"/>
    </row>
    <row r="232" spans="1:25" s="760" customFormat="1" ht="22.5" customHeight="1" thickTop="1" thickBot="1" x14ac:dyDescent="0.3">
      <c r="A232" s="1287">
        <v>1</v>
      </c>
      <c r="B232" s="1288" t="s">
        <v>1378</v>
      </c>
      <c r="C232" s="1288" t="s">
        <v>1378</v>
      </c>
      <c r="D232" s="1288" t="s">
        <v>1391</v>
      </c>
      <c r="E232" s="1288" t="s">
        <v>1415</v>
      </c>
      <c r="F232" s="1288" t="s">
        <v>1378</v>
      </c>
      <c r="G232" s="1288" t="s">
        <v>1391</v>
      </c>
      <c r="H232" s="1288" t="s">
        <v>1444</v>
      </c>
      <c r="I232" s="1288"/>
      <c r="J232" s="1288"/>
      <c r="K232" s="754" t="s">
        <v>2246</v>
      </c>
      <c r="L232" s="1173"/>
      <c r="M232" s="1173"/>
      <c r="N232" s="1173"/>
      <c r="O232" s="1165">
        <f t="shared" si="35"/>
        <v>0</v>
      </c>
      <c r="P232" s="1173"/>
      <c r="Q232" s="1173"/>
      <c r="R232" s="1173"/>
      <c r="S232" s="1173"/>
      <c r="T232" s="1173"/>
      <c r="U232" s="1173"/>
      <c r="V232" s="1173"/>
      <c r="W232" s="1439" t="e">
        <f t="shared" si="36"/>
        <v>#DIV/0!</v>
      </c>
      <c r="X232" s="1432"/>
      <c r="Y232" s="765"/>
    </row>
    <row r="233" spans="1:25" s="760" customFormat="1" ht="22.5" customHeight="1" thickTop="1" thickBot="1" x14ac:dyDescent="0.3">
      <c r="A233" s="1287">
        <v>1</v>
      </c>
      <c r="B233" s="1288" t="s">
        <v>1378</v>
      </c>
      <c r="C233" s="1288" t="s">
        <v>1378</v>
      </c>
      <c r="D233" s="1288" t="s">
        <v>1391</v>
      </c>
      <c r="E233" s="1288" t="s">
        <v>1415</v>
      </c>
      <c r="F233" s="1288" t="s">
        <v>1378</v>
      </c>
      <c r="G233" s="1288" t="s">
        <v>1391</v>
      </c>
      <c r="H233" s="1288" t="s">
        <v>1467</v>
      </c>
      <c r="I233" s="1288"/>
      <c r="J233" s="1288"/>
      <c r="K233" s="754" t="s">
        <v>2247</v>
      </c>
      <c r="L233" s="1173"/>
      <c r="M233" s="1173"/>
      <c r="N233" s="1173"/>
      <c r="O233" s="1165">
        <f t="shared" si="35"/>
        <v>0</v>
      </c>
      <c r="P233" s="1173"/>
      <c r="Q233" s="1173"/>
      <c r="R233" s="1173"/>
      <c r="S233" s="1173"/>
      <c r="T233" s="1173"/>
      <c r="U233" s="1173"/>
      <c r="V233" s="1173"/>
      <c r="W233" s="1439" t="e">
        <f t="shared" si="36"/>
        <v>#DIV/0!</v>
      </c>
      <c r="X233" s="1432"/>
      <c r="Y233" s="765"/>
    </row>
    <row r="234" spans="1:25" s="760" customFormat="1" ht="22.5" customHeight="1" thickTop="1" thickBot="1" x14ac:dyDescent="0.3">
      <c r="A234" s="1287">
        <v>1</v>
      </c>
      <c r="B234" s="1288" t="s">
        <v>1378</v>
      </c>
      <c r="C234" s="1288" t="s">
        <v>1378</v>
      </c>
      <c r="D234" s="1288" t="s">
        <v>1391</v>
      </c>
      <c r="E234" s="1288" t="s">
        <v>1415</v>
      </c>
      <c r="F234" s="1288" t="s">
        <v>1378</v>
      </c>
      <c r="G234" s="1288" t="s">
        <v>1391</v>
      </c>
      <c r="H234" s="1288" t="s">
        <v>1471</v>
      </c>
      <c r="I234" s="1288"/>
      <c r="J234" s="1288"/>
      <c r="K234" s="754" t="s">
        <v>2248</v>
      </c>
      <c r="L234" s="1173"/>
      <c r="M234" s="1173"/>
      <c r="N234" s="1173"/>
      <c r="O234" s="1165">
        <f t="shared" si="35"/>
        <v>0</v>
      </c>
      <c r="P234" s="1173"/>
      <c r="Q234" s="1173"/>
      <c r="R234" s="1173"/>
      <c r="S234" s="1173"/>
      <c r="T234" s="1173"/>
      <c r="U234" s="1173"/>
      <c r="V234" s="1173"/>
      <c r="W234" s="1439" t="e">
        <f t="shared" si="36"/>
        <v>#DIV/0!</v>
      </c>
      <c r="X234" s="1432"/>
      <c r="Y234" s="765"/>
    </row>
    <row r="235" spans="1:25" s="760" customFormat="1" ht="22.5" customHeight="1" thickTop="1" thickBot="1" x14ac:dyDescent="0.3">
      <c r="A235" s="1287">
        <v>1</v>
      </c>
      <c r="B235" s="1288" t="s">
        <v>1378</v>
      </c>
      <c r="C235" s="1288" t="s">
        <v>1378</v>
      </c>
      <c r="D235" s="1288" t="s">
        <v>1391</v>
      </c>
      <c r="E235" s="1288" t="s">
        <v>1415</v>
      </c>
      <c r="F235" s="1288" t="s">
        <v>1378</v>
      </c>
      <c r="G235" s="1288" t="s">
        <v>1391</v>
      </c>
      <c r="H235" s="1288" t="s">
        <v>1475</v>
      </c>
      <c r="I235" s="1288"/>
      <c r="J235" s="1288"/>
      <c r="K235" s="754" t="s">
        <v>2249</v>
      </c>
      <c r="L235" s="1173"/>
      <c r="M235" s="1173"/>
      <c r="N235" s="1173"/>
      <c r="O235" s="1165">
        <f t="shared" si="35"/>
        <v>0</v>
      </c>
      <c r="P235" s="1173"/>
      <c r="Q235" s="1173"/>
      <c r="R235" s="1173"/>
      <c r="S235" s="1173"/>
      <c r="T235" s="1173"/>
      <c r="U235" s="1173"/>
      <c r="V235" s="1173"/>
      <c r="W235" s="1439" t="e">
        <f t="shared" si="36"/>
        <v>#DIV/0!</v>
      </c>
      <c r="X235" s="1432"/>
      <c r="Y235" s="765"/>
    </row>
    <row r="236" spans="1:25" s="760" customFormat="1" ht="22.5" customHeight="1" thickTop="1" thickBot="1" x14ac:dyDescent="0.3">
      <c r="A236" s="1287">
        <v>1</v>
      </c>
      <c r="B236" s="1288" t="s">
        <v>1378</v>
      </c>
      <c r="C236" s="1288" t="s">
        <v>1378</v>
      </c>
      <c r="D236" s="1288" t="s">
        <v>1391</v>
      </c>
      <c r="E236" s="1288" t="s">
        <v>1415</v>
      </c>
      <c r="F236" s="1288" t="s">
        <v>1378</v>
      </c>
      <c r="G236" s="1288" t="s">
        <v>1391</v>
      </c>
      <c r="H236" s="1288" t="s">
        <v>1573</v>
      </c>
      <c r="I236" s="1288"/>
      <c r="J236" s="1288"/>
      <c r="K236" s="754" t="s">
        <v>2250</v>
      </c>
      <c r="L236" s="1173"/>
      <c r="M236" s="1173"/>
      <c r="N236" s="1173"/>
      <c r="O236" s="1165">
        <f t="shared" si="35"/>
        <v>0</v>
      </c>
      <c r="P236" s="1173"/>
      <c r="Q236" s="1173"/>
      <c r="R236" s="1173"/>
      <c r="S236" s="1173"/>
      <c r="T236" s="1173"/>
      <c r="U236" s="1173"/>
      <c r="V236" s="1173"/>
      <c r="W236" s="1439" t="e">
        <f t="shared" si="36"/>
        <v>#DIV/0!</v>
      </c>
      <c r="X236" s="1432"/>
      <c r="Y236" s="765"/>
    </row>
    <row r="237" spans="1:25" s="760" customFormat="1" ht="22.5" customHeight="1" thickTop="1" thickBot="1" x14ac:dyDescent="0.3">
      <c r="A237" s="1287">
        <v>1</v>
      </c>
      <c r="B237" s="1288" t="s">
        <v>1378</v>
      </c>
      <c r="C237" s="1288" t="s">
        <v>1378</v>
      </c>
      <c r="D237" s="1288" t="s">
        <v>1391</v>
      </c>
      <c r="E237" s="1288" t="s">
        <v>1415</v>
      </c>
      <c r="F237" s="1288" t="s">
        <v>1378</v>
      </c>
      <c r="G237" s="1288" t="s">
        <v>1391</v>
      </c>
      <c r="H237" s="1288" t="s">
        <v>1574</v>
      </c>
      <c r="I237" s="1288"/>
      <c r="J237" s="1288"/>
      <c r="K237" s="754" t="s">
        <v>2251</v>
      </c>
      <c r="L237" s="1173"/>
      <c r="M237" s="1173"/>
      <c r="N237" s="1173"/>
      <c r="O237" s="1165">
        <f t="shared" si="35"/>
        <v>0</v>
      </c>
      <c r="P237" s="1173"/>
      <c r="Q237" s="1173"/>
      <c r="R237" s="1173"/>
      <c r="S237" s="1173"/>
      <c r="T237" s="1173"/>
      <c r="U237" s="1173"/>
      <c r="V237" s="1173"/>
      <c r="W237" s="1439" t="e">
        <f t="shared" si="36"/>
        <v>#DIV/0!</v>
      </c>
      <c r="X237" s="1432"/>
      <c r="Y237" s="765"/>
    </row>
    <row r="238" spans="1:25" s="760" customFormat="1" ht="22.5" customHeight="1" thickTop="1" thickBot="1" x14ac:dyDescent="0.3">
      <c r="A238" s="1287">
        <v>1</v>
      </c>
      <c r="B238" s="1288" t="s">
        <v>1378</v>
      </c>
      <c r="C238" s="1288" t="s">
        <v>1378</v>
      </c>
      <c r="D238" s="1288" t="s">
        <v>1391</v>
      </c>
      <c r="E238" s="1288" t="s">
        <v>1415</v>
      </c>
      <c r="F238" s="1288" t="s">
        <v>1378</v>
      </c>
      <c r="G238" s="1288" t="s">
        <v>1391</v>
      </c>
      <c r="H238" s="1288" t="s">
        <v>1575</v>
      </c>
      <c r="I238" s="1288"/>
      <c r="J238" s="1288"/>
      <c r="K238" s="754" t="s">
        <v>2252</v>
      </c>
      <c r="L238" s="1173"/>
      <c r="M238" s="1173"/>
      <c r="N238" s="1173"/>
      <c r="O238" s="1165">
        <f t="shared" si="35"/>
        <v>0</v>
      </c>
      <c r="P238" s="1173"/>
      <c r="Q238" s="1173"/>
      <c r="R238" s="1173"/>
      <c r="S238" s="1173"/>
      <c r="T238" s="1173"/>
      <c r="U238" s="1173"/>
      <c r="V238" s="1173"/>
      <c r="W238" s="1439" t="e">
        <f t="shared" si="36"/>
        <v>#DIV/0!</v>
      </c>
      <c r="X238" s="1432"/>
      <c r="Y238" s="765"/>
    </row>
    <row r="239" spans="1:25" s="183" customFormat="1" ht="22.5" customHeight="1" thickTop="1" thickBot="1" x14ac:dyDescent="0.3">
      <c r="A239" s="1282">
        <v>1</v>
      </c>
      <c r="B239" s="1283" t="s">
        <v>1378</v>
      </c>
      <c r="C239" s="1283" t="s">
        <v>1378</v>
      </c>
      <c r="D239" s="1283" t="s">
        <v>1391</v>
      </c>
      <c r="E239" s="1283" t="s">
        <v>1419</v>
      </c>
      <c r="F239" s="1283"/>
      <c r="G239" s="1283"/>
      <c r="H239" s="1283"/>
      <c r="I239" s="1283"/>
      <c r="J239" s="1283"/>
      <c r="K239" s="1284" t="s">
        <v>2001</v>
      </c>
      <c r="L239" s="1166">
        <f>+L240+L253</f>
        <v>0</v>
      </c>
      <c r="M239" s="1166">
        <f t="shared" ref="M239:V239" si="43">+M240+M253</f>
        <v>0</v>
      </c>
      <c r="N239" s="1166">
        <f t="shared" si="43"/>
        <v>0</v>
      </c>
      <c r="O239" s="1165">
        <f t="shared" si="35"/>
        <v>0</v>
      </c>
      <c r="P239" s="1166">
        <f t="shared" si="43"/>
        <v>0</v>
      </c>
      <c r="Q239" s="1166">
        <f t="shared" si="43"/>
        <v>0</v>
      </c>
      <c r="R239" s="1166">
        <f t="shared" si="43"/>
        <v>0</v>
      </c>
      <c r="S239" s="1166"/>
      <c r="T239" s="1166">
        <f t="shared" si="43"/>
        <v>0</v>
      </c>
      <c r="U239" s="1166">
        <f t="shared" si="43"/>
        <v>0</v>
      </c>
      <c r="V239" s="1166">
        <f t="shared" si="43"/>
        <v>0</v>
      </c>
      <c r="W239" s="1433" t="e">
        <f t="shared" si="36"/>
        <v>#DIV/0!</v>
      </c>
      <c r="X239" s="1432" t="s">
        <v>1449</v>
      </c>
      <c r="Y239" s="765" t="s">
        <v>1450</v>
      </c>
    </row>
    <row r="240" spans="1:25" s="183" customFormat="1" ht="22.5" customHeight="1" thickTop="1" thickBot="1" x14ac:dyDescent="0.3">
      <c r="A240" s="1285">
        <v>1</v>
      </c>
      <c r="B240" s="1286" t="s">
        <v>1378</v>
      </c>
      <c r="C240" s="1286" t="s">
        <v>1378</v>
      </c>
      <c r="D240" s="1286" t="s">
        <v>1391</v>
      </c>
      <c r="E240" s="1286" t="s">
        <v>1419</v>
      </c>
      <c r="F240" s="1286" t="s">
        <v>1378</v>
      </c>
      <c r="G240" s="1286"/>
      <c r="H240" s="1286"/>
      <c r="I240" s="1286"/>
      <c r="J240" s="1286"/>
      <c r="K240" s="753" t="s">
        <v>2002</v>
      </c>
      <c r="L240" s="1174">
        <f>+L241</f>
        <v>0</v>
      </c>
      <c r="M240" s="1174">
        <f t="shared" ref="M240:V240" si="44">+M241</f>
        <v>0</v>
      </c>
      <c r="N240" s="1174">
        <f t="shared" si="44"/>
        <v>0</v>
      </c>
      <c r="O240" s="1165">
        <f t="shared" si="35"/>
        <v>0</v>
      </c>
      <c r="P240" s="1174">
        <f t="shared" si="44"/>
        <v>0</v>
      </c>
      <c r="Q240" s="1174">
        <f t="shared" si="44"/>
        <v>0</v>
      </c>
      <c r="R240" s="1174">
        <f t="shared" si="44"/>
        <v>0</v>
      </c>
      <c r="S240" s="1174"/>
      <c r="T240" s="1174">
        <f t="shared" si="44"/>
        <v>0</v>
      </c>
      <c r="U240" s="1174">
        <f t="shared" si="44"/>
        <v>0</v>
      </c>
      <c r="V240" s="1174">
        <f t="shared" si="44"/>
        <v>0</v>
      </c>
      <c r="W240" s="1440" t="e">
        <f t="shared" si="36"/>
        <v>#DIV/0!</v>
      </c>
      <c r="X240" s="1432" t="s">
        <v>1494</v>
      </c>
      <c r="Y240" s="765"/>
    </row>
    <row r="241" spans="1:25" s="760" customFormat="1" ht="22.5" customHeight="1" thickTop="1" thickBot="1" x14ac:dyDescent="0.3">
      <c r="A241" s="1287">
        <v>1</v>
      </c>
      <c r="B241" s="1288" t="s">
        <v>1378</v>
      </c>
      <c r="C241" s="1288" t="s">
        <v>1378</v>
      </c>
      <c r="D241" s="1288" t="s">
        <v>1391</v>
      </c>
      <c r="E241" s="1288" t="s">
        <v>1419</v>
      </c>
      <c r="F241" s="1288" t="s">
        <v>1378</v>
      </c>
      <c r="G241" s="1288" t="s">
        <v>1378</v>
      </c>
      <c r="H241" s="1288"/>
      <c r="I241" s="1288"/>
      <c r="J241" s="1288"/>
      <c r="K241" s="754" t="s">
        <v>1495</v>
      </c>
      <c r="L241" s="1173">
        <f>SUM(L242:L252)</f>
        <v>0</v>
      </c>
      <c r="M241" s="1173">
        <f t="shared" ref="M241:V241" si="45">SUM(M242:M252)</f>
        <v>0</v>
      </c>
      <c r="N241" s="1173">
        <f t="shared" si="45"/>
        <v>0</v>
      </c>
      <c r="O241" s="1165">
        <f t="shared" si="35"/>
        <v>0</v>
      </c>
      <c r="P241" s="1173">
        <f t="shared" si="45"/>
        <v>0</v>
      </c>
      <c r="Q241" s="1173">
        <f t="shared" si="45"/>
        <v>0</v>
      </c>
      <c r="R241" s="1173">
        <f t="shared" si="45"/>
        <v>0</v>
      </c>
      <c r="S241" s="1173"/>
      <c r="T241" s="1173">
        <f t="shared" si="45"/>
        <v>0</v>
      </c>
      <c r="U241" s="1173">
        <f t="shared" si="45"/>
        <v>0</v>
      </c>
      <c r="V241" s="1173">
        <f t="shared" si="45"/>
        <v>0</v>
      </c>
      <c r="W241" s="1439" t="e">
        <f t="shared" si="36"/>
        <v>#DIV/0!</v>
      </c>
      <c r="X241" s="1432" t="s">
        <v>2003</v>
      </c>
      <c r="Y241" s="765" t="s">
        <v>1510</v>
      </c>
    </row>
    <row r="242" spans="1:25" s="760" customFormat="1" ht="22.5" customHeight="1" thickTop="1" thickBot="1" x14ac:dyDescent="0.3">
      <c r="A242" s="1287">
        <v>1</v>
      </c>
      <c r="B242" s="1288" t="s">
        <v>1378</v>
      </c>
      <c r="C242" s="1288" t="s">
        <v>1378</v>
      </c>
      <c r="D242" s="1288" t="s">
        <v>1391</v>
      </c>
      <c r="E242" s="1288" t="s">
        <v>1419</v>
      </c>
      <c r="F242" s="1288" t="s">
        <v>1378</v>
      </c>
      <c r="G242" s="1288" t="s">
        <v>1378</v>
      </c>
      <c r="H242" s="1288" t="s">
        <v>1378</v>
      </c>
      <c r="I242" s="1288"/>
      <c r="J242" s="1288"/>
      <c r="K242" s="754" t="s">
        <v>2253</v>
      </c>
      <c r="L242" s="1173"/>
      <c r="M242" s="1173"/>
      <c r="N242" s="1173"/>
      <c r="O242" s="1165">
        <f t="shared" si="35"/>
        <v>0</v>
      </c>
      <c r="P242" s="1173"/>
      <c r="Q242" s="1173"/>
      <c r="R242" s="1173"/>
      <c r="S242" s="1173"/>
      <c r="T242" s="1173"/>
      <c r="U242" s="1173"/>
      <c r="V242" s="1173"/>
      <c r="W242" s="1439" t="e">
        <f t="shared" si="36"/>
        <v>#DIV/0!</v>
      </c>
      <c r="X242" s="1432"/>
      <c r="Y242" s="765"/>
    </row>
    <row r="243" spans="1:25" s="760" customFormat="1" ht="22.5" customHeight="1" thickTop="1" thickBot="1" x14ac:dyDescent="0.3">
      <c r="A243" s="1287">
        <v>1</v>
      </c>
      <c r="B243" s="1288" t="s">
        <v>1378</v>
      </c>
      <c r="C243" s="1288" t="s">
        <v>1378</v>
      </c>
      <c r="D243" s="1288" t="s">
        <v>1391</v>
      </c>
      <c r="E243" s="1288" t="s">
        <v>1419</v>
      </c>
      <c r="F243" s="1288" t="s">
        <v>1378</v>
      </c>
      <c r="G243" s="1288" t="s">
        <v>1378</v>
      </c>
      <c r="H243" s="1288" t="s">
        <v>1391</v>
      </c>
      <c r="I243" s="1288"/>
      <c r="J243" s="1288"/>
      <c r="K243" s="754" t="s">
        <v>2254</v>
      </c>
      <c r="L243" s="1173"/>
      <c r="M243" s="1173"/>
      <c r="N243" s="1173"/>
      <c r="O243" s="1165">
        <f t="shared" si="35"/>
        <v>0</v>
      </c>
      <c r="P243" s="1173"/>
      <c r="Q243" s="1173"/>
      <c r="R243" s="1173"/>
      <c r="S243" s="1173"/>
      <c r="T243" s="1173"/>
      <c r="U243" s="1173"/>
      <c r="V243" s="1173"/>
      <c r="W243" s="1439" t="e">
        <f t="shared" si="36"/>
        <v>#DIV/0!</v>
      </c>
      <c r="X243" s="1432"/>
      <c r="Y243" s="765"/>
    </row>
    <row r="244" spans="1:25" s="760" customFormat="1" ht="22.5" customHeight="1" thickTop="1" thickBot="1" x14ac:dyDescent="0.3">
      <c r="A244" s="1287">
        <v>1</v>
      </c>
      <c r="B244" s="1288" t="s">
        <v>1378</v>
      </c>
      <c r="C244" s="1288" t="s">
        <v>1378</v>
      </c>
      <c r="D244" s="1288" t="s">
        <v>1391</v>
      </c>
      <c r="E244" s="1288" t="s">
        <v>1419</v>
      </c>
      <c r="F244" s="1288" t="s">
        <v>1378</v>
      </c>
      <c r="G244" s="1288" t="s">
        <v>1378</v>
      </c>
      <c r="H244" s="1288" t="s">
        <v>1415</v>
      </c>
      <c r="I244" s="1288"/>
      <c r="J244" s="1288"/>
      <c r="K244" s="754" t="s">
        <v>2255</v>
      </c>
      <c r="L244" s="1173"/>
      <c r="M244" s="1173"/>
      <c r="N244" s="1173"/>
      <c r="O244" s="1165">
        <f t="shared" si="35"/>
        <v>0</v>
      </c>
      <c r="P244" s="1173"/>
      <c r="Q244" s="1173"/>
      <c r="R244" s="1173"/>
      <c r="S244" s="1173"/>
      <c r="T244" s="1173"/>
      <c r="U244" s="1173"/>
      <c r="V244" s="1173"/>
      <c r="W244" s="1439" t="e">
        <f t="shared" si="36"/>
        <v>#DIV/0!</v>
      </c>
      <c r="X244" s="1432"/>
      <c r="Y244" s="765"/>
    </row>
    <row r="245" spans="1:25" s="760" customFormat="1" ht="22.5" customHeight="1" thickTop="1" thickBot="1" x14ac:dyDescent="0.3">
      <c r="A245" s="1287">
        <v>1</v>
      </c>
      <c r="B245" s="1288" t="s">
        <v>1378</v>
      </c>
      <c r="C245" s="1288" t="s">
        <v>1378</v>
      </c>
      <c r="D245" s="1288" t="s">
        <v>1391</v>
      </c>
      <c r="E245" s="1288" t="s">
        <v>1419</v>
      </c>
      <c r="F245" s="1288" t="s">
        <v>1378</v>
      </c>
      <c r="G245" s="1288" t="s">
        <v>1378</v>
      </c>
      <c r="H245" s="1288" t="s">
        <v>1419</v>
      </c>
      <c r="I245" s="1288"/>
      <c r="J245" s="1288"/>
      <c r="K245" s="754" t="s">
        <v>2256</v>
      </c>
      <c r="L245" s="1173"/>
      <c r="M245" s="1173"/>
      <c r="N245" s="1173"/>
      <c r="O245" s="1165">
        <f t="shared" si="35"/>
        <v>0</v>
      </c>
      <c r="P245" s="1173"/>
      <c r="Q245" s="1173"/>
      <c r="R245" s="1173"/>
      <c r="S245" s="1173"/>
      <c r="T245" s="1173"/>
      <c r="U245" s="1173"/>
      <c r="V245" s="1173"/>
      <c r="W245" s="1439" t="e">
        <f t="shared" si="36"/>
        <v>#DIV/0!</v>
      </c>
      <c r="X245" s="1432"/>
      <c r="Y245" s="765"/>
    </row>
    <row r="246" spans="1:25" s="760" customFormat="1" ht="22.5" customHeight="1" thickTop="1" thickBot="1" x14ac:dyDescent="0.3">
      <c r="A246" s="1287">
        <v>1</v>
      </c>
      <c r="B246" s="1288" t="s">
        <v>1378</v>
      </c>
      <c r="C246" s="1288" t="s">
        <v>1378</v>
      </c>
      <c r="D246" s="1288" t="s">
        <v>1391</v>
      </c>
      <c r="E246" s="1288" t="s">
        <v>1419</v>
      </c>
      <c r="F246" s="1288" t="s">
        <v>1378</v>
      </c>
      <c r="G246" s="1288" t="s">
        <v>1378</v>
      </c>
      <c r="H246" s="1288" t="s">
        <v>1444</v>
      </c>
      <c r="I246" s="1288"/>
      <c r="J246" s="1288"/>
      <c r="K246" s="754" t="s">
        <v>2257</v>
      </c>
      <c r="L246" s="1173"/>
      <c r="M246" s="1173"/>
      <c r="N246" s="1173"/>
      <c r="O246" s="1165">
        <f t="shared" si="35"/>
        <v>0</v>
      </c>
      <c r="P246" s="1173"/>
      <c r="Q246" s="1173"/>
      <c r="R246" s="1173"/>
      <c r="S246" s="1173"/>
      <c r="T246" s="1173"/>
      <c r="U246" s="1173"/>
      <c r="V246" s="1173"/>
      <c r="W246" s="1439" t="e">
        <f t="shared" si="36"/>
        <v>#DIV/0!</v>
      </c>
      <c r="X246" s="1432"/>
      <c r="Y246" s="765"/>
    </row>
    <row r="247" spans="1:25" s="760" customFormat="1" ht="22.5" customHeight="1" thickTop="1" thickBot="1" x14ac:dyDescent="0.3">
      <c r="A247" s="1287">
        <v>1</v>
      </c>
      <c r="B247" s="1288" t="s">
        <v>1378</v>
      </c>
      <c r="C247" s="1288" t="s">
        <v>1378</v>
      </c>
      <c r="D247" s="1288" t="s">
        <v>1391</v>
      </c>
      <c r="E247" s="1288" t="s">
        <v>1419</v>
      </c>
      <c r="F247" s="1288" t="s">
        <v>1378</v>
      </c>
      <c r="G247" s="1288" t="s">
        <v>1378</v>
      </c>
      <c r="H247" s="1288" t="s">
        <v>1467</v>
      </c>
      <c r="I247" s="1288"/>
      <c r="J247" s="1288"/>
      <c r="K247" s="754" t="s">
        <v>2258</v>
      </c>
      <c r="L247" s="1173"/>
      <c r="M247" s="1173"/>
      <c r="N247" s="1173"/>
      <c r="O247" s="1165">
        <f t="shared" si="35"/>
        <v>0</v>
      </c>
      <c r="P247" s="1173"/>
      <c r="Q247" s="1173"/>
      <c r="R247" s="1173"/>
      <c r="S247" s="1173"/>
      <c r="T247" s="1173"/>
      <c r="U247" s="1173"/>
      <c r="V247" s="1173"/>
      <c r="W247" s="1439" t="e">
        <f t="shared" si="36"/>
        <v>#DIV/0!</v>
      </c>
      <c r="X247" s="1432"/>
      <c r="Y247" s="765"/>
    </row>
    <row r="248" spans="1:25" s="760" customFormat="1" ht="22.5" customHeight="1" thickTop="1" thickBot="1" x14ac:dyDescent="0.3">
      <c r="A248" s="1287">
        <v>1</v>
      </c>
      <c r="B248" s="1288" t="s">
        <v>1378</v>
      </c>
      <c r="C248" s="1288" t="s">
        <v>1378</v>
      </c>
      <c r="D248" s="1288" t="s">
        <v>1391</v>
      </c>
      <c r="E248" s="1288" t="s">
        <v>1419</v>
      </c>
      <c r="F248" s="1288" t="s">
        <v>1378</v>
      </c>
      <c r="G248" s="1288" t="s">
        <v>1378</v>
      </c>
      <c r="H248" s="1288" t="s">
        <v>1471</v>
      </c>
      <c r="I248" s="1288"/>
      <c r="J248" s="1288"/>
      <c r="K248" s="754" t="s">
        <v>2259</v>
      </c>
      <c r="L248" s="1173"/>
      <c r="M248" s="1173"/>
      <c r="N248" s="1173"/>
      <c r="O248" s="1165">
        <f t="shared" si="35"/>
        <v>0</v>
      </c>
      <c r="P248" s="1173"/>
      <c r="Q248" s="1173"/>
      <c r="R248" s="1173"/>
      <c r="S248" s="1173"/>
      <c r="T248" s="1173"/>
      <c r="U248" s="1173"/>
      <c r="V248" s="1173"/>
      <c r="W248" s="1439" t="e">
        <f t="shared" si="36"/>
        <v>#DIV/0!</v>
      </c>
      <c r="X248" s="1432"/>
      <c r="Y248" s="765"/>
    </row>
    <row r="249" spans="1:25" s="760" customFormat="1" ht="22.5" customHeight="1" thickTop="1" thickBot="1" x14ac:dyDescent="0.3">
      <c r="A249" s="1287">
        <v>1</v>
      </c>
      <c r="B249" s="1288" t="s">
        <v>1378</v>
      </c>
      <c r="C249" s="1288" t="s">
        <v>1378</v>
      </c>
      <c r="D249" s="1288" t="s">
        <v>1391</v>
      </c>
      <c r="E249" s="1288" t="s">
        <v>1419</v>
      </c>
      <c r="F249" s="1288" t="s">
        <v>1378</v>
      </c>
      <c r="G249" s="1288" t="s">
        <v>1378</v>
      </c>
      <c r="H249" s="1288" t="s">
        <v>1475</v>
      </c>
      <c r="I249" s="1288"/>
      <c r="J249" s="1288"/>
      <c r="K249" s="754" t="s">
        <v>2260</v>
      </c>
      <c r="L249" s="1173"/>
      <c r="M249" s="1173"/>
      <c r="N249" s="1173"/>
      <c r="O249" s="1165">
        <f t="shared" si="35"/>
        <v>0</v>
      </c>
      <c r="P249" s="1173"/>
      <c r="Q249" s="1173"/>
      <c r="R249" s="1173"/>
      <c r="S249" s="1173"/>
      <c r="T249" s="1173"/>
      <c r="U249" s="1173"/>
      <c r="V249" s="1173"/>
      <c r="W249" s="1439" t="e">
        <f t="shared" si="36"/>
        <v>#DIV/0!</v>
      </c>
      <c r="X249" s="1432"/>
      <c r="Y249" s="765"/>
    </row>
    <row r="250" spans="1:25" s="760" customFormat="1" ht="22.5" customHeight="1" thickTop="1" thickBot="1" x14ac:dyDescent="0.3">
      <c r="A250" s="1287">
        <v>1</v>
      </c>
      <c r="B250" s="1288" t="s">
        <v>1378</v>
      </c>
      <c r="C250" s="1288" t="s">
        <v>1378</v>
      </c>
      <c r="D250" s="1288" t="s">
        <v>1391</v>
      </c>
      <c r="E250" s="1288" t="s">
        <v>1419</v>
      </c>
      <c r="F250" s="1288" t="s">
        <v>1378</v>
      </c>
      <c r="G250" s="1288" t="s">
        <v>1378</v>
      </c>
      <c r="H250" s="1288" t="s">
        <v>1573</v>
      </c>
      <c r="I250" s="1288"/>
      <c r="J250" s="1288"/>
      <c r="K250" s="754" t="s">
        <v>2261</v>
      </c>
      <c r="L250" s="1173"/>
      <c r="M250" s="1173"/>
      <c r="N250" s="1173"/>
      <c r="O250" s="1165">
        <f t="shared" si="35"/>
        <v>0</v>
      </c>
      <c r="P250" s="1173"/>
      <c r="Q250" s="1173"/>
      <c r="R250" s="1173"/>
      <c r="S250" s="1173"/>
      <c r="T250" s="1173"/>
      <c r="U250" s="1173"/>
      <c r="V250" s="1173"/>
      <c r="W250" s="1439" t="e">
        <f t="shared" si="36"/>
        <v>#DIV/0!</v>
      </c>
      <c r="X250" s="1432"/>
      <c r="Y250" s="765"/>
    </row>
    <row r="251" spans="1:25" s="760" customFormat="1" ht="22.5" customHeight="1" thickTop="1" thickBot="1" x14ac:dyDescent="0.3">
      <c r="A251" s="1287">
        <v>1</v>
      </c>
      <c r="B251" s="1288" t="s">
        <v>1378</v>
      </c>
      <c r="C251" s="1288" t="s">
        <v>1378</v>
      </c>
      <c r="D251" s="1288" t="s">
        <v>1391</v>
      </c>
      <c r="E251" s="1288" t="s">
        <v>1419</v>
      </c>
      <c r="F251" s="1288" t="s">
        <v>1378</v>
      </c>
      <c r="G251" s="1288" t="s">
        <v>1378</v>
      </c>
      <c r="H251" s="1288" t="s">
        <v>1574</v>
      </c>
      <c r="I251" s="1288"/>
      <c r="J251" s="1288"/>
      <c r="K251" s="754" t="s">
        <v>2262</v>
      </c>
      <c r="L251" s="1173"/>
      <c r="M251" s="1173"/>
      <c r="N251" s="1173"/>
      <c r="O251" s="1165">
        <f t="shared" si="35"/>
        <v>0</v>
      </c>
      <c r="P251" s="1173"/>
      <c r="Q251" s="1173"/>
      <c r="R251" s="1173"/>
      <c r="S251" s="1173"/>
      <c r="T251" s="1173"/>
      <c r="U251" s="1173"/>
      <c r="V251" s="1173"/>
      <c r="W251" s="1439" t="e">
        <f t="shared" si="36"/>
        <v>#DIV/0!</v>
      </c>
      <c r="X251" s="1432"/>
      <c r="Y251" s="765"/>
    </row>
    <row r="252" spans="1:25" s="760" customFormat="1" ht="22.5" customHeight="1" thickTop="1" thickBot="1" x14ac:dyDescent="0.3">
      <c r="A252" s="1287">
        <v>1</v>
      </c>
      <c r="B252" s="1288" t="s">
        <v>1378</v>
      </c>
      <c r="C252" s="1288" t="s">
        <v>1378</v>
      </c>
      <c r="D252" s="1288" t="s">
        <v>1391</v>
      </c>
      <c r="E252" s="1288" t="s">
        <v>1419</v>
      </c>
      <c r="F252" s="1288" t="s">
        <v>1378</v>
      </c>
      <c r="G252" s="1288" t="s">
        <v>1378</v>
      </c>
      <c r="H252" s="1288" t="s">
        <v>1575</v>
      </c>
      <c r="I252" s="1288"/>
      <c r="J252" s="1288"/>
      <c r="K252" s="754" t="s">
        <v>2263</v>
      </c>
      <c r="L252" s="1173"/>
      <c r="M252" s="1173"/>
      <c r="N252" s="1173"/>
      <c r="O252" s="1165">
        <f t="shared" si="35"/>
        <v>0</v>
      </c>
      <c r="P252" s="1173"/>
      <c r="Q252" s="1173"/>
      <c r="R252" s="1173"/>
      <c r="S252" s="1173"/>
      <c r="T252" s="1173"/>
      <c r="U252" s="1173"/>
      <c r="V252" s="1173"/>
      <c r="W252" s="1439" t="e">
        <f t="shared" si="36"/>
        <v>#DIV/0!</v>
      </c>
      <c r="X252" s="1432"/>
      <c r="Y252" s="765"/>
    </row>
    <row r="253" spans="1:25" s="183" customFormat="1" ht="22.5" customHeight="1" thickTop="1" thickBot="1" x14ac:dyDescent="0.3">
      <c r="A253" s="1285">
        <v>1</v>
      </c>
      <c r="B253" s="1286" t="s">
        <v>1378</v>
      </c>
      <c r="C253" s="1286" t="s">
        <v>1378</v>
      </c>
      <c r="D253" s="1286" t="s">
        <v>1391</v>
      </c>
      <c r="E253" s="1286" t="s">
        <v>1419</v>
      </c>
      <c r="F253" s="1286" t="s">
        <v>1391</v>
      </c>
      <c r="G253" s="1286"/>
      <c r="H253" s="1286"/>
      <c r="I253" s="1286"/>
      <c r="J253" s="1286"/>
      <c r="K253" s="753" t="s">
        <v>2004</v>
      </c>
      <c r="L253" s="1174">
        <f>+L254</f>
        <v>0</v>
      </c>
      <c r="M253" s="1174">
        <f t="shared" ref="M253:V253" si="46">+M254</f>
        <v>0</v>
      </c>
      <c r="N253" s="1174">
        <f t="shared" si="46"/>
        <v>0</v>
      </c>
      <c r="O253" s="1165">
        <f t="shared" si="35"/>
        <v>0</v>
      </c>
      <c r="P253" s="1174">
        <f t="shared" si="46"/>
        <v>0</v>
      </c>
      <c r="Q253" s="1174">
        <f t="shared" si="46"/>
        <v>0</v>
      </c>
      <c r="R253" s="1174">
        <f t="shared" si="46"/>
        <v>0</v>
      </c>
      <c r="S253" s="1174"/>
      <c r="T253" s="1174">
        <f t="shared" si="46"/>
        <v>0</v>
      </c>
      <c r="U253" s="1174">
        <f t="shared" si="46"/>
        <v>0</v>
      </c>
      <c r="V253" s="1174">
        <f t="shared" si="46"/>
        <v>0</v>
      </c>
      <c r="W253" s="1440" t="e">
        <f t="shared" si="36"/>
        <v>#DIV/0!</v>
      </c>
      <c r="X253" s="1432" t="s">
        <v>1507</v>
      </c>
      <c r="Y253" s="765"/>
    </row>
    <row r="254" spans="1:25" s="183" customFormat="1" ht="22.5" customHeight="1" thickTop="1" thickBot="1" x14ac:dyDescent="0.3">
      <c r="A254" s="1287">
        <v>1</v>
      </c>
      <c r="B254" s="1288" t="s">
        <v>1378</v>
      </c>
      <c r="C254" s="1288" t="s">
        <v>1378</v>
      </c>
      <c r="D254" s="1288" t="s">
        <v>1391</v>
      </c>
      <c r="E254" s="1288" t="s">
        <v>1419</v>
      </c>
      <c r="F254" s="1288" t="s">
        <v>1391</v>
      </c>
      <c r="G254" s="1288" t="s">
        <v>1378</v>
      </c>
      <c r="H254" s="1288"/>
      <c r="I254" s="1288"/>
      <c r="J254" s="1288"/>
      <c r="K254" s="756" t="s">
        <v>1495</v>
      </c>
      <c r="L254" s="1174">
        <f>+L255+L267+L279</f>
        <v>0</v>
      </c>
      <c r="M254" s="1174">
        <f t="shared" ref="M254:V254" si="47">+M255+M267+M279</f>
        <v>0</v>
      </c>
      <c r="N254" s="1174">
        <f t="shared" si="47"/>
        <v>0</v>
      </c>
      <c r="O254" s="1165">
        <f t="shared" si="35"/>
        <v>0</v>
      </c>
      <c r="P254" s="1174">
        <f t="shared" si="47"/>
        <v>0</v>
      </c>
      <c r="Q254" s="1174">
        <f t="shared" si="47"/>
        <v>0</v>
      </c>
      <c r="R254" s="1174">
        <f t="shared" si="47"/>
        <v>0</v>
      </c>
      <c r="S254" s="1174"/>
      <c r="T254" s="1174">
        <f t="shared" si="47"/>
        <v>0</v>
      </c>
      <c r="U254" s="1174">
        <f t="shared" si="47"/>
        <v>0</v>
      </c>
      <c r="V254" s="1174">
        <f t="shared" si="47"/>
        <v>0</v>
      </c>
      <c r="W254" s="1440" t="e">
        <f t="shared" si="36"/>
        <v>#DIV/0!</v>
      </c>
      <c r="X254" s="1432" t="s">
        <v>2005</v>
      </c>
      <c r="Y254" s="765" t="s">
        <v>1510</v>
      </c>
    </row>
    <row r="255" spans="1:25" ht="22.5" customHeight="1" thickTop="1" thickBot="1" x14ac:dyDescent="0.3">
      <c r="A255" s="1287">
        <v>1</v>
      </c>
      <c r="B255" s="1288" t="s">
        <v>1378</v>
      </c>
      <c r="C255" s="1288" t="s">
        <v>1378</v>
      </c>
      <c r="D255" s="1288" t="s">
        <v>1391</v>
      </c>
      <c r="E255" s="1288" t="s">
        <v>1419</v>
      </c>
      <c r="F255" s="1288" t="s">
        <v>1391</v>
      </c>
      <c r="G255" s="1288" t="s">
        <v>1378</v>
      </c>
      <c r="H255" s="1288" t="s">
        <v>1378</v>
      </c>
      <c r="I255" s="1288"/>
      <c r="J255" s="1288"/>
      <c r="K255" s="754" t="s">
        <v>1508</v>
      </c>
      <c r="L255" s="1165">
        <f>SUM(L256:L266)</f>
        <v>0</v>
      </c>
      <c r="M255" s="1165">
        <f t="shared" ref="M255:V255" si="48">SUM(M256:M266)</f>
        <v>0</v>
      </c>
      <c r="N255" s="1165">
        <f t="shared" si="48"/>
        <v>0</v>
      </c>
      <c r="O255" s="1165">
        <f t="shared" si="35"/>
        <v>0</v>
      </c>
      <c r="P255" s="1165">
        <f t="shared" si="48"/>
        <v>0</v>
      </c>
      <c r="Q255" s="1165">
        <f t="shared" si="48"/>
        <v>0</v>
      </c>
      <c r="R255" s="1165">
        <f t="shared" si="48"/>
        <v>0</v>
      </c>
      <c r="S255" s="1165"/>
      <c r="T255" s="1165">
        <f t="shared" si="48"/>
        <v>0</v>
      </c>
      <c r="U255" s="1165">
        <f t="shared" si="48"/>
        <v>0</v>
      </c>
      <c r="V255" s="1165">
        <f t="shared" si="48"/>
        <v>0</v>
      </c>
      <c r="W255" s="1436" t="e">
        <f t="shared" si="36"/>
        <v>#DIV/0!</v>
      </c>
      <c r="X255" s="1432" t="s">
        <v>1509</v>
      </c>
      <c r="Y255" s="765" t="s">
        <v>1510</v>
      </c>
    </row>
    <row r="256" spans="1:25" ht="22.5" customHeight="1" thickTop="1" thickBot="1" x14ac:dyDescent="0.3">
      <c r="A256" s="1287">
        <v>1</v>
      </c>
      <c r="B256" s="1288" t="s">
        <v>1378</v>
      </c>
      <c r="C256" s="1288" t="s">
        <v>1378</v>
      </c>
      <c r="D256" s="1288" t="s">
        <v>1391</v>
      </c>
      <c r="E256" s="1288" t="s">
        <v>1419</v>
      </c>
      <c r="F256" s="1288" t="s">
        <v>1391</v>
      </c>
      <c r="G256" s="1288" t="s">
        <v>1378</v>
      </c>
      <c r="H256" s="1288" t="s">
        <v>1378</v>
      </c>
      <c r="I256" s="1288" t="s">
        <v>1378</v>
      </c>
      <c r="J256" s="1288"/>
      <c r="K256" s="754" t="s">
        <v>1511</v>
      </c>
      <c r="L256" s="1165"/>
      <c r="M256" s="1165"/>
      <c r="N256" s="1165"/>
      <c r="O256" s="1165">
        <f t="shared" si="35"/>
        <v>0</v>
      </c>
      <c r="P256" s="1165"/>
      <c r="Q256" s="1165"/>
      <c r="R256" s="1165"/>
      <c r="S256" s="1165"/>
      <c r="T256" s="1165"/>
      <c r="U256" s="1165"/>
      <c r="V256" s="1165"/>
      <c r="W256" s="1436" t="e">
        <f t="shared" si="36"/>
        <v>#DIV/0!</v>
      </c>
      <c r="X256" s="1432"/>
      <c r="Y256" s="765"/>
    </row>
    <row r="257" spans="1:25" ht="22.5" customHeight="1" thickTop="1" thickBot="1" x14ac:dyDescent="0.3">
      <c r="A257" s="1287">
        <v>1</v>
      </c>
      <c r="B257" s="1288" t="s">
        <v>1378</v>
      </c>
      <c r="C257" s="1288" t="s">
        <v>1378</v>
      </c>
      <c r="D257" s="1288" t="s">
        <v>1391</v>
      </c>
      <c r="E257" s="1288" t="s">
        <v>1419</v>
      </c>
      <c r="F257" s="1288" t="s">
        <v>1391</v>
      </c>
      <c r="G257" s="1288" t="s">
        <v>1378</v>
      </c>
      <c r="H257" s="1288" t="s">
        <v>1378</v>
      </c>
      <c r="I257" s="1288" t="s">
        <v>1391</v>
      </c>
      <c r="J257" s="1288"/>
      <c r="K257" s="754" t="s">
        <v>1512</v>
      </c>
      <c r="L257" s="1165"/>
      <c r="M257" s="1165"/>
      <c r="N257" s="1165"/>
      <c r="O257" s="1165">
        <f t="shared" si="35"/>
        <v>0</v>
      </c>
      <c r="P257" s="1165"/>
      <c r="Q257" s="1165"/>
      <c r="R257" s="1165"/>
      <c r="S257" s="1165"/>
      <c r="T257" s="1165"/>
      <c r="U257" s="1165"/>
      <c r="V257" s="1165"/>
      <c r="W257" s="1436" t="e">
        <f t="shared" si="36"/>
        <v>#DIV/0!</v>
      </c>
      <c r="X257" s="1432"/>
      <c r="Y257" s="765"/>
    </row>
    <row r="258" spans="1:25" ht="22.5" customHeight="1" thickTop="1" thickBot="1" x14ac:dyDescent="0.3">
      <c r="A258" s="1287">
        <v>1</v>
      </c>
      <c r="B258" s="1288" t="s">
        <v>1378</v>
      </c>
      <c r="C258" s="1288" t="s">
        <v>1378</v>
      </c>
      <c r="D258" s="1288" t="s">
        <v>1391</v>
      </c>
      <c r="E258" s="1288" t="s">
        <v>1419</v>
      </c>
      <c r="F258" s="1288" t="s">
        <v>1391</v>
      </c>
      <c r="G258" s="1288" t="s">
        <v>1378</v>
      </c>
      <c r="H258" s="1288" t="s">
        <v>1378</v>
      </c>
      <c r="I258" s="1288" t="s">
        <v>1415</v>
      </c>
      <c r="J258" s="1288"/>
      <c r="K258" s="754" t="s">
        <v>2264</v>
      </c>
      <c r="L258" s="1165"/>
      <c r="M258" s="1165"/>
      <c r="N258" s="1165"/>
      <c r="O258" s="1165">
        <f t="shared" si="35"/>
        <v>0</v>
      </c>
      <c r="P258" s="1165"/>
      <c r="Q258" s="1165"/>
      <c r="R258" s="1165"/>
      <c r="S258" s="1165"/>
      <c r="T258" s="1165"/>
      <c r="U258" s="1165"/>
      <c r="V258" s="1165"/>
      <c r="W258" s="1436" t="e">
        <f t="shared" si="36"/>
        <v>#DIV/0!</v>
      </c>
      <c r="X258" s="1432"/>
      <c r="Y258" s="765"/>
    </row>
    <row r="259" spans="1:25" ht="22.5" customHeight="1" thickTop="1" thickBot="1" x14ac:dyDescent="0.3">
      <c r="A259" s="1287">
        <v>1</v>
      </c>
      <c r="B259" s="1288" t="s">
        <v>1378</v>
      </c>
      <c r="C259" s="1288" t="s">
        <v>1378</v>
      </c>
      <c r="D259" s="1288" t="s">
        <v>1391</v>
      </c>
      <c r="E259" s="1288" t="s">
        <v>1419</v>
      </c>
      <c r="F259" s="1288" t="s">
        <v>1391</v>
      </c>
      <c r="G259" s="1288" t="s">
        <v>1378</v>
      </c>
      <c r="H259" s="1288" t="s">
        <v>1378</v>
      </c>
      <c r="I259" s="1288" t="s">
        <v>1419</v>
      </c>
      <c r="J259" s="1288"/>
      <c r="K259" s="754" t="s">
        <v>2265</v>
      </c>
      <c r="L259" s="1165"/>
      <c r="M259" s="1165"/>
      <c r="N259" s="1165"/>
      <c r="O259" s="1165">
        <f t="shared" si="35"/>
        <v>0</v>
      </c>
      <c r="P259" s="1165"/>
      <c r="Q259" s="1165"/>
      <c r="R259" s="1165"/>
      <c r="S259" s="1165"/>
      <c r="T259" s="1165"/>
      <c r="U259" s="1165"/>
      <c r="V259" s="1165"/>
      <c r="W259" s="1436" t="e">
        <f t="shared" si="36"/>
        <v>#DIV/0!</v>
      </c>
      <c r="X259" s="1432"/>
      <c r="Y259" s="765"/>
    </row>
    <row r="260" spans="1:25" ht="22.5" customHeight="1" thickTop="1" thickBot="1" x14ac:dyDescent="0.3">
      <c r="A260" s="1287">
        <v>1</v>
      </c>
      <c r="B260" s="1288" t="s">
        <v>1378</v>
      </c>
      <c r="C260" s="1288" t="s">
        <v>1378</v>
      </c>
      <c r="D260" s="1288" t="s">
        <v>1391</v>
      </c>
      <c r="E260" s="1288" t="s">
        <v>1419</v>
      </c>
      <c r="F260" s="1288" t="s">
        <v>1391</v>
      </c>
      <c r="G260" s="1288" t="s">
        <v>1378</v>
      </c>
      <c r="H260" s="1288" t="s">
        <v>1378</v>
      </c>
      <c r="I260" s="1288" t="s">
        <v>1444</v>
      </c>
      <c r="J260" s="1288"/>
      <c r="K260" s="754" t="s">
        <v>2266</v>
      </c>
      <c r="L260" s="1165"/>
      <c r="M260" s="1165"/>
      <c r="N260" s="1165"/>
      <c r="O260" s="1165">
        <f t="shared" si="35"/>
        <v>0</v>
      </c>
      <c r="P260" s="1165"/>
      <c r="Q260" s="1165"/>
      <c r="R260" s="1165"/>
      <c r="S260" s="1165"/>
      <c r="T260" s="1165"/>
      <c r="U260" s="1165"/>
      <c r="V260" s="1165"/>
      <c r="W260" s="1436" t="e">
        <f t="shared" si="36"/>
        <v>#DIV/0!</v>
      </c>
      <c r="X260" s="1432"/>
      <c r="Y260" s="765"/>
    </row>
    <row r="261" spans="1:25" ht="22.5" customHeight="1" thickTop="1" thickBot="1" x14ac:dyDescent="0.3">
      <c r="A261" s="1287">
        <v>1</v>
      </c>
      <c r="B261" s="1288" t="s">
        <v>1378</v>
      </c>
      <c r="C261" s="1288" t="s">
        <v>1378</v>
      </c>
      <c r="D261" s="1288" t="s">
        <v>1391</v>
      </c>
      <c r="E261" s="1288" t="s">
        <v>1419</v>
      </c>
      <c r="F261" s="1288" t="s">
        <v>1391</v>
      </c>
      <c r="G261" s="1288" t="s">
        <v>1378</v>
      </c>
      <c r="H261" s="1288" t="s">
        <v>1378</v>
      </c>
      <c r="I261" s="1288" t="s">
        <v>1467</v>
      </c>
      <c r="J261" s="1288"/>
      <c r="K261" s="754" t="s">
        <v>2267</v>
      </c>
      <c r="L261" s="1165"/>
      <c r="M261" s="1165"/>
      <c r="N261" s="1165"/>
      <c r="O261" s="1165">
        <f t="shared" si="35"/>
        <v>0</v>
      </c>
      <c r="P261" s="1165"/>
      <c r="Q261" s="1165"/>
      <c r="R261" s="1165"/>
      <c r="S261" s="1165"/>
      <c r="T261" s="1165"/>
      <c r="U261" s="1165"/>
      <c r="V261" s="1165"/>
      <c r="W261" s="1436" t="e">
        <f t="shared" si="36"/>
        <v>#DIV/0!</v>
      </c>
      <c r="X261" s="1432"/>
      <c r="Y261" s="765"/>
    </row>
    <row r="262" spans="1:25" ht="22.5" customHeight="1" thickTop="1" thickBot="1" x14ac:dyDescent="0.3">
      <c r="A262" s="1287">
        <v>1</v>
      </c>
      <c r="B262" s="1288" t="s">
        <v>1378</v>
      </c>
      <c r="C262" s="1288" t="s">
        <v>1378</v>
      </c>
      <c r="D262" s="1288" t="s">
        <v>1391</v>
      </c>
      <c r="E262" s="1288" t="s">
        <v>1419</v>
      </c>
      <c r="F262" s="1288" t="s">
        <v>1391</v>
      </c>
      <c r="G262" s="1288" t="s">
        <v>1378</v>
      </c>
      <c r="H262" s="1288" t="s">
        <v>1378</v>
      </c>
      <c r="I262" s="1288" t="s">
        <v>1471</v>
      </c>
      <c r="J262" s="1288"/>
      <c r="K262" s="754" t="s">
        <v>2268</v>
      </c>
      <c r="L262" s="1165"/>
      <c r="M262" s="1165"/>
      <c r="N262" s="1165"/>
      <c r="O262" s="1165">
        <f t="shared" si="35"/>
        <v>0</v>
      </c>
      <c r="P262" s="1165"/>
      <c r="Q262" s="1165"/>
      <c r="R262" s="1165"/>
      <c r="S262" s="1165"/>
      <c r="T262" s="1165"/>
      <c r="U262" s="1165"/>
      <c r="V262" s="1165"/>
      <c r="W262" s="1436" t="e">
        <f t="shared" si="36"/>
        <v>#DIV/0!</v>
      </c>
      <c r="X262" s="1432"/>
      <c r="Y262" s="765"/>
    </row>
    <row r="263" spans="1:25" ht="22.5" customHeight="1" thickTop="1" thickBot="1" x14ac:dyDescent="0.3">
      <c r="A263" s="1287">
        <v>1</v>
      </c>
      <c r="B263" s="1288" t="s">
        <v>1378</v>
      </c>
      <c r="C263" s="1288" t="s">
        <v>1378</v>
      </c>
      <c r="D263" s="1288" t="s">
        <v>1391</v>
      </c>
      <c r="E263" s="1288" t="s">
        <v>1419</v>
      </c>
      <c r="F263" s="1288" t="s">
        <v>1391</v>
      </c>
      <c r="G263" s="1288" t="s">
        <v>1378</v>
      </c>
      <c r="H263" s="1288" t="s">
        <v>1378</v>
      </c>
      <c r="I263" s="1288" t="s">
        <v>1475</v>
      </c>
      <c r="J263" s="1288"/>
      <c r="K263" s="754" t="s">
        <v>2269</v>
      </c>
      <c r="L263" s="1165"/>
      <c r="M263" s="1165"/>
      <c r="N263" s="1165"/>
      <c r="O263" s="1165">
        <f t="shared" si="35"/>
        <v>0</v>
      </c>
      <c r="P263" s="1165"/>
      <c r="Q263" s="1165"/>
      <c r="R263" s="1165"/>
      <c r="S263" s="1165"/>
      <c r="T263" s="1165"/>
      <c r="U263" s="1165"/>
      <c r="V263" s="1165"/>
      <c r="W263" s="1436" t="e">
        <f t="shared" si="36"/>
        <v>#DIV/0!</v>
      </c>
      <c r="X263" s="1432"/>
      <c r="Y263" s="765"/>
    </row>
    <row r="264" spans="1:25" ht="22.5" customHeight="1" thickTop="1" thickBot="1" x14ac:dyDescent="0.3">
      <c r="A264" s="1287">
        <v>1</v>
      </c>
      <c r="B264" s="1288" t="s">
        <v>1378</v>
      </c>
      <c r="C264" s="1288" t="s">
        <v>1378</v>
      </c>
      <c r="D264" s="1288" t="s">
        <v>1391</v>
      </c>
      <c r="E264" s="1288" t="s">
        <v>1419</v>
      </c>
      <c r="F264" s="1288" t="s">
        <v>1391</v>
      </c>
      <c r="G264" s="1288" t="s">
        <v>1378</v>
      </c>
      <c r="H264" s="1288" t="s">
        <v>1378</v>
      </c>
      <c r="I264" s="1288" t="s">
        <v>1573</v>
      </c>
      <c r="J264" s="1288"/>
      <c r="K264" s="754" t="s">
        <v>2270</v>
      </c>
      <c r="L264" s="1165"/>
      <c r="M264" s="1165"/>
      <c r="N264" s="1165"/>
      <c r="O264" s="1165">
        <f t="shared" ref="O264:O327" si="49">L264+M264-N264</f>
        <v>0</v>
      </c>
      <c r="P264" s="1165"/>
      <c r="Q264" s="1165"/>
      <c r="R264" s="1165"/>
      <c r="S264" s="1165"/>
      <c r="T264" s="1165"/>
      <c r="U264" s="1165"/>
      <c r="V264" s="1165"/>
      <c r="W264" s="1436" t="e">
        <f t="shared" ref="W264:W327" si="50">V264/U264</f>
        <v>#DIV/0!</v>
      </c>
      <c r="X264" s="1432"/>
      <c r="Y264" s="765"/>
    </row>
    <row r="265" spans="1:25" ht="22.5" customHeight="1" thickTop="1" thickBot="1" x14ac:dyDescent="0.3">
      <c r="A265" s="1287">
        <v>1</v>
      </c>
      <c r="B265" s="1288" t="s">
        <v>1378</v>
      </c>
      <c r="C265" s="1288" t="s">
        <v>1378</v>
      </c>
      <c r="D265" s="1288" t="s">
        <v>1391</v>
      </c>
      <c r="E265" s="1288" t="s">
        <v>1419</v>
      </c>
      <c r="F265" s="1288" t="s">
        <v>1391</v>
      </c>
      <c r="G265" s="1288" t="s">
        <v>1378</v>
      </c>
      <c r="H265" s="1288" t="s">
        <v>1378</v>
      </c>
      <c r="I265" s="1288" t="s">
        <v>1574</v>
      </c>
      <c r="J265" s="1288"/>
      <c r="K265" s="754" t="s">
        <v>2271</v>
      </c>
      <c r="L265" s="1165"/>
      <c r="M265" s="1165"/>
      <c r="N265" s="1165"/>
      <c r="O265" s="1165">
        <f t="shared" si="49"/>
        <v>0</v>
      </c>
      <c r="P265" s="1165"/>
      <c r="Q265" s="1165"/>
      <c r="R265" s="1165"/>
      <c r="S265" s="1165"/>
      <c r="T265" s="1165"/>
      <c r="U265" s="1165"/>
      <c r="V265" s="1165"/>
      <c r="W265" s="1436" t="e">
        <f t="shared" si="50"/>
        <v>#DIV/0!</v>
      </c>
      <c r="X265" s="1432"/>
      <c r="Y265" s="765"/>
    </row>
    <row r="266" spans="1:25" ht="22.5" customHeight="1" thickTop="1" thickBot="1" x14ac:dyDescent="0.3">
      <c r="A266" s="1287">
        <v>1</v>
      </c>
      <c r="B266" s="1288" t="s">
        <v>1378</v>
      </c>
      <c r="C266" s="1288" t="s">
        <v>1378</v>
      </c>
      <c r="D266" s="1288" t="s">
        <v>1391</v>
      </c>
      <c r="E266" s="1288" t="s">
        <v>1419</v>
      </c>
      <c r="F266" s="1288" t="s">
        <v>1391</v>
      </c>
      <c r="G266" s="1288" t="s">
        <v>1378</v>
      </c>
      <c r="H266" s="1288" t="s">
        <v>1378</v>
      </c>
      <c r="I266" s="1288" t="s">
        <v>1575</v>
      </c>
      <c r="J266" s="1288"/>
      <c r="K266" s="754" t="s">
        <v>2272</v>
      </c>
      <c r="L266" s="1165"/>
      <c r="M266" s="1165"/>
      <c r="N266" s="1165"/>
      <c r="O266" s="1165">
        <f t="shared" si="49"/>
        <v>0</v>
      </c>
      <c r="P266" s="1165"/>
      <c r="Q266" s="1165"/>
      <c r="R266" s="1165"/>
      <c r="S266" s="1165"/>
      <c r="T266" s="1165"/>
      <c r="U266" s="1165"/>
      <c r="V266" s="1165"/>
      <c r="W266" s="1436" t="e">
        <f t="shared" si="50"/>
        <v>#DIV/0!</v>
      </c>
      <c r="X266" s="1432"/>
      <c r="Y266" s="765"/>
    </row>
    <row r="267" spans="1:25" ht="22.5" customHeight="1" thickTop="1" thickBot="1" x14ac:dyDescent="0.3">
      <c r="A267" s="1287">
        <v>1</v>
      </c>
      <c r="B267" s="1288" t="s">
        <v>1378</v>
      </c>
      <c r="C267" s="1288" t="s">
        <v>1378</v>
      </c>
      <c r="D267" s="1288" t="s">
        <v>1391</v>
      </c>
      <c r="E267" s="1288" t="s">
        <v>1419</v>
      </c>
      <c r="F267" s="1288" t="s">
        <v>1391</v>
      </c>
      <c r="G267" s="1288" t="s">
        <v>1378</v>
      </c>
      <c r="H267" s="1288" t="s">
        <v>1391</v>
      </c>
      <c r="I267" s="1288"/>
      <c r="J267" s="1288"/>
      <c r="K267" s="756" t="s">
        <v>2006</v>
      </c>
      <c r="L267" s="1170">
        <f>SUM(L268:L278)</f>
        <v>0</v>
      </c>
      <c r="M267" s="1170">
        <f t="shared" ref="M267:V267" si="51">SUM(M268:M278)</f>
        <v>0</v>
      </c>
      <c r="N267" s="1170">
        <f t="shared" si="51"/>
        <v>0</v>
      </c>
      <c r="O267" s="1165">
        <f t="shared" si="49"/>
        <v>0</v>
      </c>
      <c r="P267" s="1170">
        <f t="shared" si="51"/>
        <v>0</v>
      </c>
      <c r="Q267" s="1170">
        <f t="shared" si="51"/>
        <v>0</v>
      </c>
      <c r="R267" s="1170">
        <f t="shared" si="51"/>
        <v>0</v>
      </c>
      <c r="S267" s="1170"/>
      <c r="T267" s="1170">
        <f t="shared" si="51"/>
        <v>0</v>
      </c>
      <c r="U267" s="1170">
        <f t="shared" si="51"/>
        <v>0</v>
      </c>
      <c r="V267" s="1170">
        <f t="shared" si="51"/>
        <v>0</v>
      </c>
      <c r="W267" s="1438" t="e">
        <f t="shared" si="50"/>
        <v>#DIV/0!</v>
      </c>
      <c r="X267" s="1432" t="s">
        <v>2007</v>
      </c>
      <c r="Y267" s="765" t="s">
        <v>1510</v>
      </c>
    </row>
    <row r="268" spans="1:25" ht="22.5" customHeight="1" thickTop="1" thickBot="1" x14ac:dyDescent="0.3">
      <c r="A268" s="1287">
        <v>1</v>
      </c>
      <c r="B268" s="1288" t="s">
        <v>1378</v>
      </c>
      <c r="C268" s="1288" t="s">
        <v>1378</v>
      </c>
      <c r="D268" s="1288" t="s">
        <v>1391</v>
      </c>
      <c r="E268" s="1288" t="s">
        <v>1419</v>
      </c>
      <c r="F268" s="1288" t="s">
        <v>1391</v>
      </c>
      <c r="G268" s="1288" t="s">
        <v>1378</v>
      </c>
      <c r="H268" s="1288" t="s">
        <v>1391</v>
      </c>
      <c r="I268" s="1288" t="s">
        <v>1378</v>
      </c>
      <c r="J268" s="1288"/>
      <c r="K268" s="754" t="s">
        <v>2273</v>
      </c>
      <c r="L268" s="1170"/>
      <c r="M268" s="1170"/>
      <c r="N268" s="1170"/>
      <c r="O268" s="1165">
        <f t="shared" si="49"/>
        <v>0</v>
      </c>
      <c r="P268" s="1170"/>
      <c r="Q268" s="1170"/>
      <c r="R268" s="1170"/>
      <c r="S268" s="1170"/>
      <c r="T268" s="1170"/>
      <c r="U268" s="1170"/>
      <c r="V268" s="1170"/>
      <c r="W268" s="1438" t="e">
        <f t="shared" si="50"/>
        <v>#DIV/0!</v>
      </c>
      <c r="X268" s="1432"/>
      <c r="Y268" s="765"/>
    </row>
    <row r="269" spans="1:25" ht="22.5" customHeight="1" thickTop="1" thickBot="1" x14ac:dyDescent="0.3">
      <c r="A269" s="1287">
        <v>1</v>
      </c>
      <c r="B269" s="1288" t="s">
        <v>1378</v>
      </c>
      <c r="C269" s="1288" t="s">
        <v>1378</v>
      </c>
      <c r="D269" s="1288" t="s">
        <v>1391</v>
      </c>
      <c r="E269" s="1288" t="s">
        <v>1419</v>
      </c>
      <c r="F269" s="1288" t="s">
        <v>1391</v>
      </c>
      <c r="G269" s="1288" t="s">
        <v>1378</v>
      </c>
      <c r="H269" s="1288" t="s">
        <v>1391</v>
      </c>
      <c r="I269" s="1288" t="s">
        <v>1391</v>
      </c>
      <c r="J269" s="1288"/>
      <c r="K269" s="754" t="s">
        <v>2274</v>
      </c>
      <c r="L269" s="1170"/>
      <c r="M269" s="1170"/>
      <c r="N269" s="1170"/>
      <c r="O269" s="1165">
        <f t="shared" si="49"/>
        <v>0</v>
      </c>
      <c r="P269" s="1170"/>
      <c r="Q269" s="1170"/>
      <c r="R269" s="1170"/>
      <c r="S269" s="1170"/>
      <c r="T269" s="1170"/>
      <c r="U269" s="1170"/>
      <c r="V269" s="1170"/>
      <c r="W269" s="1438" t="e">
        <f t="shared" si="50"/>
        <v>#DIV/0!</v>
      </c>
      <c r="X269" s="1432"/>
      <c r="Y269" s="765"/>
    </row>
    <row r="270" spans="1:25" ht="22.5" customHeight="1" thickTop="1" thickBot="1" x14ac:dyDescent="0.3">
      <c r="A270" s="1287">
        <v>1</v>
      </c>
      <c r="B270" s="1288" t="s">
        <v>1378</v>
      </c>
      <c r="C270" s="1288" t="s">
        <v>1378</v>
      </c>
      <c r="D270" s="1288" t="s">
        <v>1391</v>
      </c>
      <c r="E270" s="1288" t="s">
        <v>1419</v>
      </c>
      <c r="F270" s="1288" t="s">
        <v>1391</v>
      </c>
      <c r="G270" s="1288" t="s">
        <v>1378</v>
      </c>
      <c r="H270" s="1288" t="s">
        <v>1391</v>
      </c>
      <c r="I270" s="1288" t="s">
        <v>1415</v>
      </c>
      <c r="J270" s="1288"/>
      <c r="K270" s="754" t="s">
        <v>2275</v>
      </c>
      <c r="L270" s="1170"/>
      <c r="M270" s="1170"/>
      <c r="N270" s="1170"/>
      <c r="O270" s="1165">
        <f t="shared" si="49"/>
        <v>0</v>
      </c>
      <c r="P270" s="1170"/>
      <c r="Q270" s="1170"/>
      <c r="R270" s="1170"/>
      <c r="S270" s="1170"/>
      <c r="T270" s="1170"/>
      <c r="U270" s="1170"/>
      <c r="V270" s="1170"/>
      <c r="W270" s="1438" t="e">
        <f t="shared" si="50"/>
        <v>#DIV/0!</v>
      </c>
      <c r="X270" s="1432"/>
      <c r="Y270" s="765"/>
    </row>
    <row r="271" spans="1:25" ht="22.5" customHeight="1" thickTop="1" thickBot="1" x14ac:dyDescent="0.3">
      <c r="A271" s="1287">
        <v>1</v>
      </c>
      <c r="B271" s="1288" t="s">
        <v>1378</v>
      </c>
      <c r="C271" s="1288" t="s">
        <v>1378</v>
      </c>
      <c r="D271" s="1288" t="s">
        <v>1391</v>
      </c>
      <c r="E271" s="1288" t="s">
        <v>1419</v>
      </c>
      <c r="F271" s="1288" t="s">
        <v>1391</v>
      </c>
      <c r="G271" s="1288" t="s">
        <v>1378</v>
      </c>
      <c r="H271" s="1288" t="s">
        <v>1391</v>
      </c>
      <c r="I271" s="1288" t="s">
        <v>1419</v>
      </c>
      <c r="J271" s="1288"/>
      <c r="K271" s="754" t="s">
        <v>2276</v>
      </c>
      <c r="L271" s="1170"/>
      <c r="M271" s="1170"/>
      <c r="N271" s="1170"/>
      <c r="O271" s="1165">
        <f t="shared" si="49"/>
        <v>0</v>
      </c>
      <c r="P271" s="1170"/>
      <c r="Q271" s="1170"/>
      <c r="R271" s="1170"/>
      <c r="S271" s="1170"/>
      <c r="T271" s="1170"/>
      <c r="U271" s="1170"/>
      <c r="V271" s="1170"/>
      <c r="W271" s="1438" t="e">
        <f t="shared" si="50"/>
        <v>#DIV/0!</v>
      </c>
      <c r="X271" s="1432"/>
      <c r="Y271" s="765"/>
    </row>
    <row r="272" spans="1:25" ht="22.5" customHeight="1" thickTop="1" thickBot="1" x14ac:dyDescent="0.3">
      <c r="A272" s="1287">
        <v>1</v>
      </c>
      <c r="B272" s="1288" t="s">
        <v>1378</v>
      </c>
      <c r="C272" s="1288" t="s">
        <v>1378</v>
      </c>
      <c r="D272" s="1288" t="s">
        <v>1391</v>
      </c>
      <c r="E272" s="1288" t="s">
        <v>1419</v>
      </c>
      <c r="F272" s="1288" t="s">
        <v>1391</v>
      </c>
      <c r="G272" s="1288" t="s">
        <v>1378</v>
      </c>
      <c r="H272" s="1288" t="s">
        <v>1391</v>
      </c>
      <c r="I272" s="1288" t="s">
        <v>1444</v>
      </c>
      <c r="J272" s="1288"/>
      <c r="K272" s="754" t="s">
        <v>2277</v>
      </c>
      <c r="L272" s="1170"/>
      <c r="M272" s="1170"/>
      <c r="N272" s="1170"/>
      <c r="O272" s="1165">
        <f t="shared" si="49"/>
        <v>0</v>
      </c>
      <c r="P272" s="1170"/>
      <c r="Q272" s="1170"/>
      <c r="R272" s="1170"/>
      <c r="S272" s="1170"/>
      <c r="T272" s="1170"/>
      <c r="U272" s="1170"/>
      <c r="V272" s="1170"/>
      <c r="W272" s="1438" t="e">
        <f t="shared" si="50"/>
        <v>#DIV/0!</v>
      </c>
      <c r="X272" s="1432"/>
      <c r="Y272" s="765"/>
    </row>
    <row r="273" spans="1:25" ht="22.5" customHeight="1" thickTop="1" thickBot="1" x14ac:dyDescent="0.3">
      <c r="A273" s="1287">
        <v>1</v>
      </c>
      <c r="B273" s="1288" t="s">
        <v>1378</v>
      </c>
      <c r="C273" s="1288" t="s">
        <v>1378</v>
      </c>
      <c r="D273" s="1288" t="s">
        <v>1391</v>
      </c>
      <c r="E273" s="1288" t="s">
        <v>1419</v>
      </c>
      <c r="F273" s="1288" t="s">
        <v>1391</v>
      </c>
      <c r="G273" s="1288" t="s">
        <v>1378</v>
      </c>
      <c r="H273" s="1288" t="s">
        <v>1391</v>
      </c>
      <c r="I273" s="1288" t="s">
        <v>1467</v>
      </c>
      <c r="J273" s="1288"/>
      <c r="K273" s="754" t="s">
        <v>2278</v>
      </c>
      <c r="L273" s="1170"/>
      <c r="M273" s="1170"/>
      <c r="N273" s="1170"/>
      <c r="O273" s="1165">
        <f t="shared" si="49"/>
        <v>0</v>
      </c>
      <c r="P273" s="1170"/>
      <c r="Q273" s="1170"/>
      <c r="R273" s="1170"/>
      <c r="S273" s="1170"/>
      <c r="T273" s="1170"/>
      <c r="U273" s="1170"/>
      <c r="V273" s="1170"/>
      <c r="W273" s="1438" t="e">
        <f t="shared" si="50"/>
        <v>#DIV/0!</v>
      </c>
      <c r="X273" s="1432"/>
      <c r="Y273" s="765"/>
    </row>
    <row r="274" spans="1:25" ht="22.5" customHeight="1" thickTop="1" thickBot="1" x14ac:dyDescent="0.3">
      <c r="A274" s="1287">
        <v>1</v>
      </c>
      <c r="B274" s="1288" t="s">
        <v>1378</v>
      </c>
      <c r="C274" s="1288" t="s">
        <v>1378</v>
      </c>
      <c r="D274" s="1288" t="s">
        <v>1391</v>
      </c>
      <c r="E274" s="1288" t="s">
        <v>1419</v>
      </c>
      <c r="F274" s="1288" t="s">
        <v>1391</v>
      </c>
      <c r="G274" s="1288" t="s">
        <v>1378</v>
      </c>
      <c r="H274" s="1288" t="s">
        <v>1391</v>
      </c>
      <c r="I274" s="1288" t="s">
        <v>1471</v>
      </c>
      <c r="J274" s="1288"/>
      <c r="K274" s="754" t="s">
        <v>2279</v>
      </c>
      <c r="L274" s="1170"/>
      <c r="M274" s="1170"/>
      <c r="N274" s="1170"/>
      <c r="O274" s="1165">
        <f t="shared" si="49"/>
        <v>0</v>
      </c>
      <c r="P274" s="1170"/>
      <c r="Q274" s="1170"/>
      <c r="R274" s="1170"/>
      <c r="S274" s="1170"/>
      <c r="T274" s="1170"/>
      <c r="U274" s="1170"/>
      <c r="V274" s="1170"/>
      <c r="W274" s="1438" t="e">
        <f t="shared" si="50"/>
        <v>#DIV/0!</v>
      </c>
      <c r="X274" s="1432"/>
      <c r="Y274" s="765"/>
    </row>
    <row r="275" spans="1:25" ht="22.5" customHeight="1" thickTop="1" thickBot="1" x14ac:dyDescent="0.3">
      <c r="A275" s="1287">
        <v>1</v>
      </c>
      <c r="B275" s="1288" t="s">
        <v>1378</v>
      </c>
      <c r="C275" s="1288" t="s">
        <v>1378</v>
      </c>
      <c r="D275" s="1288" t="s">
        <v>1391</v>
      </c>
      <c r="E275" s="1288" t="s">
        <v>1419</v>
      </c>
      <c r="F275" s="1288" t="s">
        <v>1391</v>
      </c>
      <c r="G275" s="1288" t="s">
        <v>1378</v>
      </c>
      <c r="H275" s="1288" t="s">
        <v>1391</v>
      </c>
      <c r="I275" s="1288" t="s">
        <v>1475</v>
      </c>
      <c r="J275" s="1288"/>
      <c r="K275" s="754" t="s">
        <v>2280</v>
      </c>
      <c r="L275" s="1170"/>
      <c r="M275" s="1170"/>
      <c r="N275" s="1170"/>
      <c r="O275" s="1165">
        <f t="shared" si="49"/>
        <v>0</v>
      </c>
      <c r="P275" s="1170"/>
      <c r="Q275" s="1170"/>
      <c r="R275" s="1170"/>
      <c r="S275" s="1170"/>
      <c r="T275" s="1170"/>
      <c r="U275" s="1170"/>
      <c r="V275" s="1170"/>
      <c r="W275" s="1438" t="e">
        <f t="shared" si="50"/>
        <v>#DIV/0!</v>
      </c>
      <c r="X275" s="1432"/>
      <c r="Y275" s="765"/>
    </row>
    <row r="276" spans="1:25" ht="22.5" customHeight="1" thickTop="1" thickBot="1" x14ac:dyDescent="0.3">
      <c r="A276" s="1287">
        <v>1</v>
      </c>
      <c r="B276" s="1288" t="s">
        <v>1378</v>
      </c>
      <c r="C276" s="1288" t="s">
        <v>1378</v>
      </c>
      <c r="D276" s="1288" t="s">
        <v>1391</v>
      </c>
      <c r="E276" s="1288" t="s">
        <v>1419</v>
      </c>
      <c r="F276" s="1288" t="s">
        <v>1391</v>
      </c>
      <c r="G276" s="1288" t="s">
        <v>1378</v>
      </c>
      <c r="H276" s="1288" t="s">
        <v>1391</v>
      </c>
      <c r="I276" s="1288" t="s">
        <v>1573</v>
      </c>
      <c r="J276" s="1288"/>
      <c r="K276" s="754" t="s">
        <v>2281</v>
      </c>
      <c r="L276" s="1170"/>
      <c r="M276" s="1170"/>
      <c r="N276" s="1170"/>
      <c r="O276" s="1165">
        <f t="shared" si="49"/>
        <v>0</v>
      </c>
      <c r="P276" s="1170"/>
      <c r="Q276" s="1170"/>
      <c r="R276" s="1170"/>
      <c r="S276" s="1170"/>
      <c r="T276" s="1170"/>
      <c r="U276" s="1170"/>
      <c r="V276" s="1170"/>
      <c r="W276" s="1438" t="e">
        <f t="shared" si="50"/>
        <v>#DIV/0!</v>
      </c>
      <c r="X276" s="1432"/>
      <c r="Y276" s="765"/>
    </row>
    <row r="277" spans="1:25" ht="22.5" customHeight="1" thickTop="1" thickBot="1" x14ac:dyDescent="0.3">
      <c r="A277" s="1287">
        <v>1</v>
      </c>
      <c r="B277" s="1288" t="s">
        <v>1378</v>
      </c>
      <c r="C277" s="1288" t="s">
        <v>1378</v>
      </c>
      <c r="D277" s="1288" t="s">
        <v>1391</v>
      </c>
      <c r="E277" s="1288" t="s">
        <v>1419</v>
      </c>
      <c r="F277" s="1288" t="s">
        <v>1391</v>
      </c>
      <c r="G277" s="1288" t="s">
        <v>1378</v>
      </c>
      <c r="H277" s="1288" t="s">
        <v>1391</v>
      </c>
      <c r="I277" s="1288" t="s">
        <v>1574</v>
      </c>
      <c r="J277" s="1288"/>
      <c r="K277" s="754" t="s">
        <v>2282</v>
      </c>
      <c r="L277" s="1170"/>
      <c r="M277" s="1170"/>
      <c r="N277" s="1170"/>
      <c r="O277" s="1165">
        <f t="shared" si="49"/>
        <v>0</v>
      </c>
      <c r="P277" s="1170"/>
      <c r="Q277" s="1170"/>
      <c r="R277" s="1170"/>
      <c r="S277" s="1170"/>
      <c r="T277" s="1170"/>
      <c r="U277" s="1170"/>
      <c r="V277" s="1170"/>
      <c r="W277" s="1438" t="e">
        <f t="shared" si="50"/>
        <v>#DIV/0!</v>
      </c>
      <c r="X277" s="1432"/>
      <c r="Y277" s="765"/>
    </row>
    <row r="278" spans="1:25" ht="22.5" customHeight="1" thickTop="1" thickBot="1" x14ac:dyDescent="0.3">
      <c r="A278" s="1287">
        <v>1</v>
      </c>
      <c r="B278" s="1288" t="s">
        <v>1378</v>
      </c>
      <c r="C278" s="1288" t="s">
        <v>1378</v>
      </c>
      <c r="D278" s="1288" t="s">
        <v>1391</v>
      </c>
      <c r="E278" s="1288" t="s">
        <v>1419</v>
      </c>
      <c r="F278" s="1288" t="s">
        <v>1391</v>
      </c>
      <c r="G278" s="1288" t="s">
        <v>1378</v>
      </c>
      <c r="H278" s="1288" t="s">
        <v>1391</v>
      </c>
      <c r="I278" s="1288" t="s">
        <v>1575</v>
      </c>
      <c r="J278" s="1288"/>
      <c r="K278" s="754" t="s">
        <v>2283</v>
      </c>
      <c r="L278" s="1170"/>
      <c r="M278" s="1170"/>
      <c r="N278" s="1170"/>
      <c r="O278" s="1165">
        <f t="shared" si="49"/>
        <v>0</v>
      </c>
      <c r="P278" s="1170"/>
      <c r="Q278" s="1170"/>
      <c r="R278" s="1170"/>
      <c r="S278" s="1170"/>
      <c r="T278" s="1170"/>
      <c r="U278" s="1170"/>
      <c r="V278" s="1170"/>
      <c r="W278" s="1438" t="e">
        <f t="shared" si="50"/>
        <v>#DIV/0!</v>
      </c>
      <c r="X278" s="1432"/>
      <c r="Y278" s="765"/>
    </row>
    <row r="279" spans="1:25" ht="22.5" customHeight="1" thickTop="1" thickBot="1" x14ac:dyDescent="0.3">
      <c r="A279" s="1287">
        <v>2</v>
      </c>
      <c r="B279" s="1288" t="s">
        <v>1378</v>
      </c>
      <c r="C279" s="1288" t="s">
        <v>1378</v>
      </c>
      <c r="D279" s="1288" t="s">
        <v>1391</v>
      </c>
      <c r="E279" s="1288" t="s">
        <v>1419</v>
      </c>
      <c r="F279" s="1288" t="s">
        <v>1391</v>
      </c>
      <c r="G279" s="1288" t="s">
        <v>1378</v>
      </c>
      <c r="H279" s="1288" t="s">
        <v>1415</v>
      </c>
      <c r="I279" s="1288"/>
      <c r="J279" s="1288"/>
      <c r="K279" s="756" t="s">
        <v>2085</v>
      </c>
      <c r="L279" s="1170">
        <f>SUM(L280:L290)</f>
        <v>0</v>
      </c>
      <c r="M279" s="1170">
        <f t="shared" ref="M279:V279" si="52">SUM(M280:M290)</f>
        <v>0</v>
      </c>
      <c r="N279" s="1170">
        <f t="shared" si="52"/>
        <v>0</v>
      </c>
      <c r="O279" s="1165">
        <f t="shared" si="49"/>
        <v>0</v>
      </c>
      <c r="P279" s="1170">
        <f t="shared" si="52"/>
        <v>0</v>
      </c>
      <c r="Q279" s="1170">
        <f t="shared" si="52"/>
        <v>0</v>
      </c>
      <c r="R279" s="1170">
        <f t="shared" si="52"/>
        <v>0</v>
      </c>
      <c r="S279" s="1170"/>
      <c r="T279" s="1170">
        <f t="shared" si="52"/>
        <v>0</v>
      </c>
      <c r="U279" s="1170">
        <f t="shared" si="52"/>
        <v>0</v>
      </c>
      <c r="V279" s="1170">
        <f t="shared" si="52"/>
        <v>0</v>
      </c>
      <c r="W279" s="1438" t="e">
        <f t="shared" si="50"/>
        <v>#DIV/0!</v>
      </c>
      <c r="X279" s="1432" t="s">
        <v>2086</v>
      </c>
      <c r="Y279" s="765" t="s">
        <v>1510</v>
      </c>
    </row>
    <row r="280" spans="1:25" ht="22.5" customHeight="1" thickTop="1" thickBot="1" x14ac:dyDescent="0.3">
      <c r="A280" s="1287">
        <v>2</v>
      </c>
      <c r="B280" s="1288" t="s">
        <v>1378</v>
      </c>
      <c r="C280" s="1288" t="s">
        <v>1378</v>
      </c>
      <c r="D280" s="1288" t="s">
        <v>1391</v>
      </c>
      <c r="E280" s="1288" t="s">
        <v>1419</v>
      </c>
      <c r="F280" s="1288" t="s">
        <v>1391</v>
      </c>
      <c r="G280" s="1288" t="s">
        <v>1378</v>
      </c>
      <c r="H280" s="1288" t="s">
        <v>1415</v>
      </c>
      <c r="I280" s="1288" t="s">
        <v>1378</v>
      </c>
      <c r="J280" s="1288"/>
      <c r="K280" s="754" t="s">
        <v>2284</v>
      </c>
      <c r="L280" s="1170"/>
      <c r="M280" s="1170"/>
      <c r="N280" s="1170"/>
      <c r="O280" s="1165">
        <f t="shared" si="49"/>
        <v>0</v>
      </c>
      <c r="P280" s="1170"/>
      <c r="Q280" s="1170"/>
      <c r="R280" s="1170"/>
      <c r="S280" s="1170"/>
      <c r="T280" s="1170"/>
      <c r="U280" s="1170"/>
      <c r="V280" s="1170"/>
      <c r="W280" s="1438" t="e">
        <f t="shared" si="50"/>
        <v>#DIV/0!</v>
      </c>
      <c r="X280" s="1432"/>
      <c r="Y280" s="765"/>
    </row>
    <row r="281" spans="1:25" ht="22.5" customHeight="1" thickTop="1" thickBot="1" x14ac:dyDescent="0.3">
      <c r="A281" s="1287">
        <v>2</v>
      </c>
      <c r="B281" s="1288" t="s">
        <v>1378</v>
      </c>
      <c r="C281" s="1288" t="s">
        <v>1378</v>
      </c>
      <c r="D281" s="1288" t="s">
        <v>1391</v>
      </c>
      <c r="E281" s="1288" t="s">
        <v>1419</v>
      </c>
      <c r="F281" s="1288" t="s">
        <v>1391</v>
      </c>
      <c r="G281" s="1288" t="s">
        <v>1378</v>
      </c>
      <c r="H281" s="1288" t="s">
        <v>1415</v>
      </c>
      <c r="I281" s="1288" t="s">
        <v>1391</v>
      </c>
      <c r="J281" s="1288"/>
      <c r="K281" s="754" t="s">
        <v>2285</v>
      </c>
      <c r="L281" s="1170"/>
      <c r="M281" s="1170"/>
      <c r="N281" s="1170"/>
      <c r="O281" s="1165">
        <f t="shared" si="49"/>
        <v>0</v>
      </c>
      <c r="P281" s="1170"/>
      <c r="Q281" s="1170"/>
      <c r="R281" s="1170"/>
      <c r="S281" s="1170"/>
      <c r="T281" s="1170"/>
      <c r="U281" s="1170"/>
      <c r="V281" s="1170"/>
      <c r="W281" s="1438" t="e">
        <f t="shared" si="50"/>
        <v>#DIV/0!</v>
      </c>
      <c r="X281" s="1432"/>
      <c r="Y281" s="765"/>
    </row>
    <row r="282" spans="1:25" ht="22.5" customHeight="1" thickTop="1" thickBot="1" x14ac:dyDescent="0.3">
      <c r="A282" s="1287">
        <v>2</v>
      </c>
      <c r="B282" s="1288" t="s">
        <v>1378</v>
      </c>
      <c r="C282" s="1288" t="s">
        <v>1378</v>
      </c>
      <c r="D282" s="1288" t="s">
        <v>1391</v>
      </c>
      <c r="E282" s="1288" t="s">
        <v>1419</v>
      </c>
      <c r="F282" s="1288" t="s">
        <v>1391</v>
      </c>
      <c r="G282" s="1288" t="s">
        <v>1378</v>
      </c>
      <c r="H282" s="1288" t="s">
        <v>1415</v>
      </c>
      <c r="I282" s="1288" t="s">
        <v>1415</v>
      </c>
      <c r="J282" s="1288"/>
      <c r="K282" s="754" t="s">
        <v>2286</v>
      </c>
      <c r="L282" s="1170"/>
      <c r="M282" s="1170"/>
      <c r="N282" s="1170"/>
      <c r="O282" s="1165">
        <f t="shared" si="49"/>
        <v>0</v>
      </c>
      <c r="P282" s="1170"/>
      <c r="Q282" s="1170"/>
      <c r="R282" s="1170"/>
      <c r="S282" s="1170"/>
      <c r="T282" s="1170"/>
      <c r="U282" s="1170"/>
      <c r="V282" s="1170"/>
      <c r="W282" s="1438" t="e">
        <f t="shared" si="50"/>
        <v>#DIV/0!</v>
      </c>
      <c r="X282" s="1432"/>
      <c r="Y282" s="765"/>
    </row>
    <row r="283" spans="1:25" ht="22.5" customHeight="1" thickTop="1" thickBot="1" x14ac:dyDescent="0.3">
      <c r="A283" s="1287">
        <v>2</v>
      </c>
      <c r="B283" s="1288" t="s">
        <v>1378</v>
      </c>
      <c r="C283" s="1288" t="s">
        <v>1378</v>
      </c>
      <c r="D283" s="1288" t="s">
        <v>1391</v>
      </c>
      <c r="E283" s="1288" t="s">
        <v>1419</v>
      </c>
      <c r="F283" s="1288" t="s">
        <v>1391</v>
      </c>
      <c r="G283" s="1288" t="s">
        <v>1378</v>
      </c>
      <c r="H283" s="1288" t="s">
        <v>1415</v>
      </c>
      <c r="I283" s="1288" t="s">
        <v>1419</v>
      </c>
      <c r="J283" s="1288"/>
      <c r="K283" s="754" t="s">
        <v>2287</v>
      </c>
      <c r="L283" s="1170"/>
      <c r="M283" s="1170"/>
      <c r="N283" s="1170"/>
      <c r="O283" s="1165">
        <f t="shared" si="49"/>
        <v>0</v>
      </c>
      <c r="P283" s="1170"/>
      <c r="Q283" s="1170"/>
      <c r="R283" s="1170"/>
      <c r="S283" s="1170"/>
      <c r="T283" s="1170"/>
      <c r="U283" s="1170"/>
      <c r="V283" s="1170"/>
      <c r="W283" s="1438" t="e">
        <f t="shared" si="50"/>
        <v>#DIV/0!</v>
      </c>
      <c r="X283" s="1432"/>
      <c r="Y283" s="765"/>
    </row>
    <row r="284" spans="1:25" ht="22.5" customHeight="1" thickTop="1" thickBot="1" x14ac:dyDescent="0.3">
      <c r="A284" s="1287">
        <v>2</v>
      </c>
      <c r="B284" s="1288" t="s">
        <v>1378</v>
      </c>
      <c r="C284" s="1288" t="s">
        <v>1378</v>
      </c>
      <c r="D284" s="1288" t="s">
        <v>1391</v>
      </c>
      <c r="E284" s="1288" t="s">
        <v>1419</v>
      </c>
      <c r="F284" s="1288" t="s">
        <v>1391</v>
      </c>
      <c r="G284" s="1288" t="s">
        <v>1378</v>
      </c>
      <c r="H284" s="1288" t="s">
        <v>1415</v>
      </c>
      <c r="I284" s="1288" t="s">
        <v>1444</v>
      </c>
      <c r="J284" s="1288"/>
      <c r="K284" s="754" t="s">
        <v>2288</v>
      </c>
      <c r="L284" s="1170"/>
      <c r="M284" s="1170"/>
      <c r="N284" s="1170"/>
      <c r="O284" s="1165">
        <f t="shared" si="49"/>
        <v>0</v>
      </c>
      <c r="P284" s="1170"/>
      <c r="Q284" s="1170"/>
      <c r="R284" s="1170"/>
      <c r="S284" s="1170"/>
      <c r="T284" s="1170"/>
      <c r="U284" s="1170"/>
      <c r="V284" s="1170"/>
      <c r="W284" s="1438" t="e">
        <f t="shared" si="50"/>
        <v>#DIV/0!</v>
      </c>
      <c r="X284" s="1432"/>
      <c r="Y284" s="765"/>
    </row>
    <row r="285" spans="1:25" ht="22.5" customHeight="1" thickTop="1" thickBot="1" x14ac:dyDescent="0.3">
      <c r="A285" s="1287">
        <v>2</v>
      </c>
      <c r="B285" s="1288" t="s">
        <v>1378</v>
      </c>
      <c r="C285" s="1288" t="s">
        <v>1378</v>
      </c>
      <c r="D285" s="1288" t="s">
        <v>1391</v>
      </c>
      <c r="E285" s="1288" t="s">
        <v>1419</v>
      </c>
      <c r="F285" s="1288" t="s">
        <v>1391</v>
      </c>
      <c r="G285" s="1288" t="s">
        <v>1378</v>
      </c>
      <c r="H285" s="1288" t="s">
        <v>1415</v>
      </c>
      <c r="I285" s="1288" t="s">
        <v>1467</v>
      </c>
      <c r="J285" s="1288"/>
      <c r="K285" s="754" t="s">
        <v>2289</v>
      </c>
      <c r="L285" s="1170"/>
      <c r="M285" s="1170"/>
      <c r="N285" s="1170"/>
      <c r="O285" s="1165">
        <f t="shared" si="49"/>
        <v>0</v>
      </c>
      <c r="P285" s="1170"/>
      <c r="Q285" s="1170"/>
      <c r="R285" s="1170"/>
      <c r="S285" s="1170"/>
      <c r="T285" s="1170"/>
      <c r="U285" s="1170"/>
      <c r="V285" s="1170"/>
      <c r="W285" s="1438" t="e">
        <f t="shared" si="50"/>
        <v>#DIV/0!</v>
      </c>
      <c r="X285" s="1432"/>
      <c r="Y285" s="765"/>
    </row>
    <row r="286" spans="1:25" ht="22.5" customHeight="1" thickTop="1" thickBot="1" x14ac:dyDescent="0.3">
      <c r="A286" s="1287">
        <v>2</v>
      </c>
      <c r="B286" s="1288" t="s">
        <v>1378</v>
      </c>
      <c r="C286" s="1288" t="s">
        <v>1378</v>
      </c>
      <c r="D286" s="1288" t="s">
        <v>1391</v>
      </c>
      <c r="E286" s="1288" t="s">
        <v>1419</v>
      </c>
      <c r="F286" s="1288" t="s">
        <v>1391</v>
      </c>
      <c r="G286" s="1288" t="s">
        <v>1378</v>
      </c>
      <c r="H286" s="1288" t="s">
        <v>1415</v>
      </c>
      <c r="I286" s="1288" t="s">
        <v>1471</v>
      </c>
      <c r="J286" s="1288"/>
      <c r="K286" s="754" t="s">
        <v>2290</v>
      </c>
      <c r="L286" s="1170"/>
      <c r="M286" s="1170"/>
      <c r="N286" s="1170"/>
      <c r="O286" s="1165">
        <f t="shared" si="49"/>
        <v>0</v>
      </c>
      <c r="P286" s="1170"/>
      <c r="Q286" s="1170"/>
      <c r="R286" s="1170"/>
      <c r="S286" s="1170"/>
      <c r="T286" s="1170"/>
      <c r="U286" s="1170"/>
      <c r="V286" s="1170"/>
      <c r="W286" s="1438" t="e">
        <f t="shared" si="50"/>
        <v>#DIV/0!</v>
      </c>
      <c r="X286" s="1432"/>
      <c r="Y286" s="765"/>
    </row>
    <row r="287" spans="1:25" ht="22.5" customHeight="1" thickTop="1" thickBot="1" x14ac:dyDescent="0.3">
      <c r="A287" s="1287">
        <v>2</v>
      </c>
      <c r="B287" s="1288" t="s">
        <v>1378</v>
      </c>
      <c r="C287" s="1288" t="s">
        <v>1378</v>
      </c>
      <c r="D287" s="1288" t="s">
        <v>1391</v>
      </c>
      <c r="E287" s="1288" t="s">
        <v>1419</v>
      </c>
      <c r="F287" s="1288" t="s">
        <v>1391</v>
      </c>
      <c r="G287" s="1288" t="s">
        <v>1378</v>
      </c>
      <c r="H287" s="1288" t="s">
        <v>1415</v>
      </c>
      <c r="I287" s="1288" t="s">
        <v>1475</v>
      </c>
      <c r="J287" s="1288"/>
      <c r="K287" s="754" t="s">
        <v>2291</v>
      </c>
      <c r="L287" s="1170"/>
      <c r="M287" s="1170"/>
      <c r="N287" s="1170"/>
      <c r="O287" s="1165">
        <f t="shared" si="49"/>
        <v>0</v>
      </c>
      <c r="P287" s="1170"/>
      <c r="Q287" s="1170"/>
      <c r="R287" s="1170"/>
      <c r="S287" s="1170"/>
      <c r="T287" s="1170"/>
      <c r="U287" s="1170"/>
      <c r="V287" s="1170"/>
      <c r="W287" s="1438" t="e">
        <f t="shared" si="50"/>
        <v>#DIV/0!</v>
      </c>
      <c r="X287" s="1432"/>
      <c r="Y287" s="765"/>
    </row>
    <row r="288" spans="1:25" ht="22.5" customHeight="1" thickTop="1" thickBot="1" x14ac:dyDescent="0.3">
      <c r="A288" s="1287">
        <v>2</v>
      </c>
      <c r="B288" s="1288" t="s">
        <v>1378</v>
      </c>
      <c r="C288" s="1288" t="s">
        <v>1378</v>
      </c>
      <c r="D288" s="1288" t="s">
        <v>1391</v>
      </c>
      <c r="E288" s="1288" t="s">
        <v>1419</v>
      </c>
      <c r="F288" s="1288" t="s">
        <v>1391</v>
      </c>
      <c r="G288" s="1288" t="s">
        <v>1378</v>
      </c>
      <c r="H288" s="1288" t="s">
        <v>1415</v>
      </c>
      <c r="I288" s="1288" t="s">
        <v>1573</v>
      </c>
      <c r="J288" s="1288"/>
      <c r="K288" s="754" t="s">
        <v>2292</v>
      </c>
      <c r="L288" s="1170"/>
      <c r="M288" s="1170"/>
      <c r="N288" s="1170"/>
      <c r="O288" s="1165">
        <f t="shared" si="49"/>
        <v>0</v>
      </c>
      <c r="P288" s="1170"/>
      <c r="Q288" s="1170"/>
      <c r="R288" s="1170"/>
      <c r="S288" s="1170"/>
      <c r="T288" s="1170"/>
      <c r="U288" s="1170"/>
      <c r="V288" s="1170"/>
      <c r="W288" s="1438" t="e">
        <f t="shared" si="50"/>
        <v>#DIV/0!</v>
      </c>
      <c r="X288" s="1432"/>
      <c r="Y288" s="765"/>
    </row>
    <row r="289" spans="1:25" ht="22.5" customHeight="1" thickTop="1" thickBot="1" x14ac:dyDescent="0.3">
      <c r="A289" s="1287">
        <v>2</v>
      </c>
      <c r="B289" s="1288" t="s">
        <v>1378</v>
      </c>
      <c r="C289" s="1288" t="s">
        <v>1378</v>
      </c>
      <c r="D289" s="1288" t="s">
        <v>1391</v>
      </c>
      <c r="E289" s="1288" t="s">
        <v>1419</v>
      </c>
      <c r="F289" s="1288" t="s">
        <v>1391</v>
      </c>
      <c r="G289" s="1288" t="s">
        <v>1378</v>
      </c>
      <c r="H289" s="1288" t="s">
        <v>1415</v>
      </c>
      <c r="I289" s="1288" t="s">
        <v>1574</v>
      </c>
      <c r="J289" s="1288"/>
      <c r="K289" s="754" t="s">
        <v>2293</v>
      </c>
      <c r="L289" s="1170"/>
      <c r="M289" s="1170"/>
      <c r="N289" s="1170"/>
      <c r="O289" s="1165">
        <f t="shared" si="49"/>
        <v>0</v>
      </c>
      <c r="P289" s="1170"/>
      <c r="Q289" s="1170"/>
      <c r="R289" s="1170"/>
      <c r="S289" s="1170"/>
      <c r="T289" s="1170"/>
      <c r="U289" s="1170"/>
      <c r="V289" s="1170"/>
      <c r="W289" s="1438" t="e">
        <f t="shared" si="50"/>
        <v>#DIV/0!</v>
      </c>
      <c r="X289" s="1432"/>
      <c r="Y289" s="765"/>
    </row>
    <row r="290" spans="1:25" ht="22.5" customHeight="1" thickTop="1" thickBot="1" x14ac:dyDescent="0.3">
      <c r="A290" s="1287">
        <v>2</v>
      </c>
      <c r="B290" s="1288" t="s">
        <v>1378</v>
      </c>
      <c r="C290" s="1288" t="s">
        <v>1378</v>
      </c>
      <c r="D290" s="1288" t="s">
        <v>1391</v>
      </c>
      <c r="E290" s="1288" t="s">
        <v>1419</v>
      </c>
      <c r="F290" s="1288" t="s">
        <v>1391</v>
      </c>
      <c r="G290" s="1288" t="s">
        <v>1378</v>
      </c>
      <c r="H290" s="1288" t="s">
        <v>1415</v>
      </c>
      <c r="I290" s="1288" t="s">
        <v>1575</v>
      </c>
      <c r="J290" s="1288"/>
      <c r="K290" s="754" t="s">
        <v>2294</v>
      </c>
      <c r="L290" s="1170"/>
      <c r="M290" s="1170"/>
      <c r="N290" s="1170"/>
      <c r="O290" s="1165">
        <f t="shared" si="49"/>
        <v>0</v>
      </c>
      <c r="P290" s="1170"/>
      <c r="Q290" s="1170"/>
      <c r="R290" s="1170"/>
      <c r="S290" s="1170"/>
      <c r="T290" s="1170"/>
      <c r="U290" s="1170"/>
      <c r="V290" s="1170"/>
      <c r="W290" s="1438" t="e">
        <f t="shared" si="50"/>
        <v>#DIV/0!</v>
      </c>
      <c r="X290" s="1432"/>
      <c r="Y290" s="765"/>
    </row>
    <row r="291" spans="1:25" s="183" customFormat="1" ht="22.5" customHeight="1" thickTop="1" thickBot="1" x14ac:dyDescent="0.3">
      <c r="A291" s="1282">
        <v>1</v>
      </c>
      <c r="B291" s="1283" t="s">
        <v>1378</v>
      </c>
      <c r="C291" s="1283" t="s">
        <v>1378</v>
      </c>
      <c r="D291" s="1283" t="s">
        <v>1391</v>
      </c>
      <c r="E291" s="1283" t="s">
        <v>1444</v>
      </c>
      <c r="F291" s="1283"/>
      <c r="G291" s="1283"/>
      <c r="H291" s="1283"/>
      <c r="I291" s="1283"/>
      <c r="J291" s="1283"/>
      <c r="K291" s="1284" t="s">
        <v>1300</v>
      </c>
      <c r="L291" s="1166">
        <f>+L292</f>
        <v>0</v>
      </c>
      <c r="M291" s="1166">
        <f t="shared" ref="M291:V291" si="53">+M292</f>
        <v>0</v>
      </c>
      <c r="N291" s="1166">
        <f t="shared" si="53"/>
        <v>0</v>
      </c>
      <c r="O291" s="1165">
        <f t="shared" si="49"/>
        <v>0</v>
      </c>
      <c r="P291" s="1166">
        <f t="shared" si="53"/>
        <v>0</v>
      </c>
      <c r="Q291" s="1166">
        <f t="shared" si="53"/>
        <v>0</v>
      </c>
      <c r="R291" s="1166">
        <f t="shared" si="53"/>
        <v>0</v>
      </c>
      <c r="S291" s="1166"/>
      <c r="T291" s="1166">
        <f t="shared" si="53"/>
        <v>0</v>
      </c>
      <c r="U291" s="1166">
        <f t="shared" si="53"/>
        <v>0</v>
      </c>
      <c r="V291" s="1166">
        <f t="shared" si="53"/>
        <v>0</v>
      </c>
      <c r="W291" s="1433" t="e">
        <f t="shared" si="50"/>
        <v>#DIV/0!</v>
      </c>
      <c r="X291" s="1432" t="s">
        <v>2012</v>
      </c>
      <c r="Y291" s="765"/>
    </row>
    <row r="292" spans="1:25" s="183" customFormat="1" ht="22.5" customHeight="1" thickTop="1" thickBot="1" x14ac:dyDescent="0.3">
      <c r="A292" s="1285">
        <v>1</v>
      </c>
      <c r="B292" s="1286" t="s">
        <v>1378</v>
      </c>
      <c r="C292" s="1286" t="s">
        <v>1378</v>
      </c>
      <c r="D292" s="1286" t="s">
        <v>1391</v>
      </c>
      <c r="E292" s="1286" t="s">
        <v>1444</v>
      </c>
      <c r="F292" s="1286" t="s">
        <v>1378</v>
      </c>
      <c r="G292" s="1286"/>
      <c r="H292" s="1286"/>
      <c r="I292" s="1286"/>
      <c r="J292" s="1286"/>
      <c r="K292" s="753" t="s">
        <v>2079</v>
      </c>
      <c r="L292" s="1165">
        <f>+L293+L306</f>
        <v>0</v>
      </c>
      <c r="M292" s="1165">
        <f t="shared" ref="M292:V292" si="54">+M293+M306</f>
        <v>0</v>
      </c>
      <c r="N292" s="1165">
        <f t="shared" si="54"/>
        <v>0</v>
      </c>
      <c r="O292" s="1165">
        <f t="shared" si="49"/>
        <v>0</v>
      </c>
      <c r="P292" s="1165">
        <f t="shared" si="54"/>
        <v>0</v>
      </c>
      <c r="Q292" s="1165">
        <f t="shared" si="54"/>
        <v>0</v>
      </c>
      <c r="R292" s="1165">
        <f t="shared" si="54"/>
        <v>0</v>
      </c>
      <c r="S292" s="1165"/>
      <c r="T292" s="1165">
        <f t="shared" si="54"/>
        <v>0</v>
      </c>
      <c r="U292" s="1165">
        <f t="shared" si="54"/>
        <v>0</v>
      </c>
      <c r="V292" s="1165">
        <f t="shared" si="54"/>
        <v>0</v>
      </c>
      <c r="W292" s="1436" t="e">
        <f t="shared" si="50"/>
        <v>#DIV/0!</v>
      </c>
      <c r="X292" s="1432" t="s">
        <v>2083</v>
      </c>
      <c r="Y292" s="765"/>
    </row>
    <row r="293" spans="1:25" ht="22.5" customHeight="1" thickTop="1" thickBot="1" x14ac:dyDescent="0.3">
      <c r="A293" s="1287">
        <v>1</v>
      </c>
      <c r="B293" s="1288" t="s">
        <v>1378</v>
      </c>
      <c r="C293" s="1288" t="s">
        <v>1378</v>
      </c>
      <c r="D293" s="1288" t="s">
        <v>1391</v>
      </c>
      <c r="E293" s="1288" t="s">
        <v>1444</v>
      </c>
      <c r="F293" s="1288" t="s">
        <v>1378</v>
      </c>
      <c r="G293" s="1288" t="s">
        <v>1378</v>
      </c>
      <c r="H293" s="1288"/>
      <c r="I293" s="1288"/>
      <c r="J293" s="1288"/>
      <c r="K293" s="754" t="s">
        <v>2080</v>
      </c>
      <c r="L293" s="1170">
        <f>+L294+L306</f>
        <v>0</v>
      </c>
      <c r="M293" s="1170">
        <f t="shared" ref="M293:V293" si="55">+M294+M306</f>
        <v>0</v>
      </c>
      <c r="N293" s="1170">
        <f t="shared" si="55"/>
        <v>0</v>
      </c>
      <c r="O293" s="1165">
        <f t="shared" si="49"/>
        <v>0</v>
      </c>
      <c r="P293" s="1170">
        <f t="shared" si="55"/>
        <v>0</v>
      </c>
      <c r="Q293" s="1170">
        <f t="shared" si="55"/>
        <v>0</v>
      </c>
      <c r="R293" s="1170">
        <f t="shared" si="55"/>
        <v>0</v>
      </c>
      <c r="S293" s="1170"/>
      <c r="T293" s="1170">
        <f t="shared" si="55"/>
        <v>0</v>
      </c>
      <c r="U293" s="1170">
        <f t="shared" si="55"/>
        <v>0</v>
      </c>
      <c r="V293" s="1170">
        <f t="shared" si="55"/>
        <v>0</v>
      </c>
      <c r="W293" s="1438" t="e">
        <f t="shared" si="50"/>
        <v>#DIV/0!</v>
      </c>
      <c r="X293" s="1432" t="s">
        <v>2084</v>
      </c>
      <c r="Y293" s="765"/>
    </row>
    <row r="294" spans="1:25" ht="22.5" customHeight="1" thickTop="1" thickBot="1" x14ac:dyDescent="0.3">
      <c r="A294" s="1287">
        <v>1</v>
      </c>
      <c r="B294" s="1288" t="s">
        <v>1378</v>
      </c>
      <c r="C294" s="1288" t="s">
        <v>1378</v>
      </c>
      <c r="D294" s="1288" t="s">
        <v>1391</v>
      </c>
      <c r="E294" s="1288" t="s">
        <v>1444</v>
      </c>
      <c r="F294" s="1288" t="s">
        <v>1378</v>
      </c>
      <c r="G294" s="1288" t="s">
        <v>1378</v>
      </c>
      <c r="H294" s="1288" t="s">
        <v>1378</v>
      </c>
      <c r="I294" s="1288"/>
      <c r="J294" s="1288"/>
      <c r="K294" s="754" t="s">
        <v>2081</v>
      </c>
      <c r="L294" s="1170">
        <f>SUM(L295:L305)</f>
        <v>0</v>
      </c>
      <c r="M294" s="1170">
        <f t="shared" ref="M294:V294" si="56">SUM(M295:M305)</f>
        <v>0</v>
      </c>
      <c r="N294" s="1170">
        <f t="shared" si="56"/>
        <v>0</v>
      </c>
      <c r="O294" s="1165">
        <f t="shared" si="49"/>
        <v>0</v>
      </c>
      <c r="P294" s="1170">
        <f t="shared" si="56"/>
        <v>0</v>
      </c>
      <c r="Q294" s="1170">
        <f t="shared" si="56"/>
        <v>0</v>
      </c>
      <c r="R294" s="1170">
        <f t="shared" si="56"/>
        <v>0</v>
      </c>
      <c r="S294" s="1170"/>
      <c r="T294" s="1170">
        <f t="shared" si="56"/>
        <v>0</v>
      </c>
      <c r="U294" s="1170">
        <f t="shared" si="56"/>
        <v>0</v>
      </c>
      <c r="V294" s="1170">
        <f t="shared" si="56"/>
        <v>0</v>
      </c>
      <c r="W294" s="1438" t="e">
        <f t="shared" si="50"/>
        <v>#DIV/0!</v>
      </c>
      <c r="X294" s="1432" t="s">
        <v>2082</v>
      </c>
      <c r="Y294" s="765" t="s">
        <v>1526</v>
      </c>
    </row>
    <row r="295" spans="1:25" ht="22.5" customHeight="1" thickTop="1" thickBot="1" x14ac:dyDescent="0.3">
      <c r="A295" s="1287">
        <v>1</v>
      </c>
      <c r="B295" s="1288" t="s">
        <v>1378</v>
      </c>
      <c r="C295" s="1288" t="s">
        <v>1378</v>
      </c>
      <c r="D295" s="1288" t="s">
        <v>1391</v>
      </c>
      <c r="E295" s="1288" t="s">
        <v>1444</v>
      </c>
      <c r="F295" s="1288" t="s">
        <v>1378</v>
      </c>
      <c r="G295" s="1288" t="s">
        <v>1378</v>
      </c>
      <c r="H295" s="1288" t="s">
        <v>1378</v>
      </c>
      <c r="I295" s="1288" t="s">
        <v>1378</v>
      </c>
      <c r="J295" s="1288"/>
      <c r="K295" s="754" t="s">
        <v>2362</v>
      </c>
      <c r="L295" s="1170"/>
      <c r="M295" s="1170"/>
      <c r="N295" s="1170"/>
      <c r="O295" s="1165">
        <f t="shared" si="49"/>
        <v>0</v>
      </c>
      <c r="P295" s="1170"/>
      <c r="Q295" s="1170"/>
      <c r="R295" s="1170"/>
      <c r="S295" s="1170"/>
      <c r="T295" s="1170"/>
      <c r="U295" s="1170"/>
      <c r="V295" s="1170"/>
      <c r="W295" s="1438" t="e">
        <f t="shared" si="50"/>
        <v>#DIV/0!</v>
      </c>
      <c r="X295" s="1432"/>
      <c r="Y295" s="765"/>
    </row>
    <row r="296" spans="1:25" ht="22.5" customHeight="1" thickTop="1" thickBot="1" x14ac:dyDescent="0.3">
      <c r="A296" s="1287">
        <v>1</v>
      </c>
      <c r="B296" s="1288" t="s">
        <v>1378</v>
      </c>
      <c r="C296" s="1288" t="s">
        <v>1378</v>
      </c>
      <c r="D296" s="1288" t="s">
        <v>1391</v>
      </c>
      <c r="E296" s="1288" t="s">
        <v>1444</v>
      </c>
      <c r="F296" s="1288" t="s">
        <v>1378</v>
      </c>
      <c r="G296" s="1288" t="s">
        <v>1378</v>
      </c>
      <c r="H296" s="1288" t="s">
        <v>1378</v>
      </c>
      <c r="I296" s="1288" t="s">
        <v>1391</v>
      </c>
      <c r="J296" s="1288"/>
      <c r="K296" s="754" t="s">
        <v>2363</v>
      </c>
      <c r="L296" s="1170"/>
      <c r="M296" s="1170"/>
      <c r="N296" s="1170"/>
      <c r="O296" s="1165">
        <f t="shared" si="49"/>
        <v>0</v>
      </c>
      <c r="P296" s="1170"/>
      <c r="Q296" s="1170"/>
      <c r="R296" s="1170"/>
      <c r="S296" s="1170"/>
      <c r="T296" s="1170"/>
      <c r="U296" s="1170"/>
      <c r="V296" s="1170"/>
      <c r="W296" s="1438" t="e">
        <f t="shared" si="50"/>
        <v>#DIV/0!</v>
      </c>
      <c r="X296" s="1432"/>
      <c r="Y296" s="765"/>
    </row>
    <row r="297" spans="1:25" ht="22.5" customHeight="1" thickTop="1" thickBot="1" x14ac:dyDescent="0.3">
      <c r="A297" s="1287">
        <v>1</v>
      </c>
      <c r="B297" s="1288" t="s">
        <v>1378</v>
      </c>
      <c r="C297" s="1288" t="s">
        <v>1378</v>
      </c>
      <c r="D297" s="1288" t="s">
        <v>1391</v>
      </c>
      <c r="E297" s="1288" t="s">
        <v>1444</v>
      </c>
      <c r="F297" s="1288" t="s">
        <v>1378</v>
      </c>
      <c r="G297" s="1288" t="s">
        <v>1378</v>
      </c>
      <c r="H297" s="1288" t="s">
        <v>1378</v>
      </c>
      <c r="I297" s="1288" t="s">
        <v>1415</v>
      </c>
      <c r="J297" s="1288"/>
      <c r="K297" s="754" t="s">
        <v>2364</v>
      </c>
      <c r="L297" s="1170"/>
      <c r="M297" s="1170"/>
      <c r="N297" s="1170"/>
      <c r="O297" s="1165">
        <f t="shared" si="49"/>
        <v>0</v>
      </c>
      <c r="P297" s="1170"/>
      <c r="Q297" s="1170"/>
      <c r="R297" s="1170"/>
      <c r="S297" s="1170"/>
      <c r="T297" s="1170"/>
      <c r="U297" s="1170"/>
      <c r="V297" s="1170"/>
      <c r="W297" s="1438" t="e">
        <f t="shared" si="50"/>
        <v>#DIV/0!</v>
      </c>
      <c r="X297" s="1432"/>
      <c r="Y297" s="765"/>
    </row>
    <row r="298" spans="1:25" ht="22.5" customHeight="1" thickTop="1" thickBot="1" x14ac:dyDescent="0.3">
      <c r="A298" s="1287">
        <v>1</v>
      </c>
      <c r="B298" s="1288" t="s">
        <v>1378</v>
      </c>
      <c r="C298" s="1288" t="s">
        <v>1378</v>
      </c>
      <c r="D298" s="1288" t="s">
        <v>1391</v>
      </c>
      <c r="E298" s="1288" t="s">
        <v>1444</v>
      </c>
      <c r="F298" s="1288" t="s">
        <v>1378</v>
      </c>
      <c r="G298" s="1288" t="s">
        <v>1378</v>
      </c>
      <c r="H298" s="1288" t="s">
        <v>1378</v>
      </c>
      <c r="I298" s="1288" t="s">
        <v>1419</v>
      </c>
      <c r="J298" s="1288"/>
      <c r="K298" s="754" t="s">
        <v>2409</v>
      </c>
      <c r="L298" s="1170"/>
      <c r="M298" s="1170"/>
      <c r="N298" s="1170"/>
      <c r="O298" s="1165">
        <f t="shared" si="49"/>
        <v>0</v>
      </c>
      <c r="P298" s="1170"/>
      <c r="Q298" s="1170"/>
      <c r="R298" s="1170"/>
      <c r="S298" s="1170"/>
      <c r="T298" s="1170"/>
      <c r="U298" s="1170"/>
      <c r="V298" s="1170"/>
      <c r="W298" s="1438" t="e">
        <f t="shared" si="50"/>
        <v>#DIV/0!</v>
      </c>
      <c r="X298" s="1432"/>
      <c r="Y298" s="765"/>
    </row>
    <row r="299" spans="1:25" ht="22.5" customHeight="1" thickTop="1" thickBot="1" x14ac:dyDescent="0.3">
      <c r="A299" s="1287">
        <v>1</v>
      </c>
      <c r="B299" s="1288" t="s">
        <v>1378</v>
      </c>
      <c r="C299" s="1288" t="s">
        <v>1378</v>
      </c>
      <c r="D299" s="1288" t="s">
        <v>1391</v>
      </c>
      <c r="E299" s="1288" t="s">
        <v>1444</v>
      </c>
      <c r="F299" s="1288" t="s">
        <v>1378</v>
      </c>
      <c r="G299" s="1288" t="s">
        <v>1378</v>
      </c>
      <c r="H299" s="1288" t="s">
        <v>1378</v>
      </c>
      <c r="I299" s="1288" t="s">
        <v>1444</v>
      </c>
      <c r="J299" s="1288"/>
      <c r="K299" s="754" t="s">
        <v>2410</v>
      </c>
      <c r="L299" s="1170"/>
      <c r="M299" s="1170"/>
      <c r="N299" s="1170"/>
      <c r="O299" s="1165">
        <f t="shared" si="49"/>
        <v>0</v>
      </c>
      <c r="P299" s="1170"/>
      <c r="Q299" s="1170"/>
      <c r="R299" s="1170"/>
      <c r="S299" s="1170"/>
      <c r="T299" s="1170"/>
      <c r="U299" s="1170"/>
      <c r="V299" s="1170"/>
      <c r="W299" s="1438" t="e">
        <f t="shared" si="50"/>
        <v>#DIV/0!</v>
      </c>
      <c r="X299" s="1432"/>
      <c r="Y299" s="765"/>
    </row>
    <row r="300" spans="1:25" ht="22.5" customHeight="1" thickTop="1" thickBot="1" x14ac:dyDescent="0.3">
      <c r="A300" s="1287">
        <v>1</v>
      </c>
      <c r="B300" s="1288" t="s">
        <v>1378</v>
      </c>
      <c r="C300" s="1288" t="s">
        <v>1378</v>
      </c>
      <c r="D300" s="1288" t="s">
        <v>1391</v>
      </c>
      <c r="E300" s="1288" t="s">
        <v>1444</v>
      </c>
      <c r="F300" s="1288" t="s">
        <v>1378</v>
      </c>
      <c r="G300" s="1288" t="s">
        <v>1378</v>
      </c>
      <c r="H300" s="1288" t="s">
        <v>1378</v>
      </c>
      <c r="I300" s="1288" t="s">
        <v>1467</v>
      </c>
      <c r="J300" s="1288"/>
      <c r="K300" s="754" t="s">
        <v>2365</v>
      </c>
      <c r="L300" s="1170"/>
      <c r="M300" s="1170"/>
      <c r="N300" s="1170"/>
      <c r="O300" s="1165">
        <f t="shared" si="49"/>
        <v>0</v>
      </c>
      <c r="P300" s="1170"/>
      <c r="Q300" s="1170"/>
      <c r="R300" s="1170"/>
      <c r="S300" s="1170"/>
      <c r="T300" s="1170"/>
      <c r="U300" s="1170"/>
      <c r="V300" s="1170"/>
      <c r="W300" s="1438" t="e">
        <f t="shared" si="50"/>
        <v>#DIV/0!</v>
      </c>
      <c r="X300" s="1432"/>
      <c r="Y300" s="765"/>
    </row>
    <row r="301" spans="1:25" ht="22.5" customHeight="1" thickTop="1" thickBot="1" x14ac:dyDescent="0.3">
      <c r="A301" s="1287">
        <v>1</v>
      </c>
      <c r="B301" s="1288" t="s">
        <v>1378</v>
      </c>
      <c r="C301" s="1288" t="s">
        <v>1378</v>
      </c>
      <c r="D301" s="1288" t="s">
        <v>1391</v>
      </c>
      <c r="E301" s="1288" t="s">
        <v>1444</v>
      </c>
      <c r="F301" s="1288" t="s">
        <v>1378</v>
      </c>
      <c r="G301" s="1288" t="s">
        <v>1378</v>
      </c>
      <c r="H301" s="1288" t="s">
        <v>1378</v>
      </c>
      <c r="I301" s="1288" t="s">
        <v>1471</v>
      </c>
      <c r="J301" s="1288"/>
      <c r="K301" s="754" t="s">
        <v>2366</v>
      </c>
      <c r="L301" s="1170"/>
      <c r="M301" s="1170"/>
      <c r="N301" s="1170"/>
      <c r="O301" s="1165">
        <f t="shared" si="49"/>
        <v>0</v>
      </c>
      <c r="P301" s="1170"/>
      <c r="Q301" s="1170"/>
      <c r="R301" s="1170"/>
      <c r="S301" s="1170"/>
      <c r="T301" s="1170"/>
      <c r="U301" s="1170"/>
      <c r="V301" s="1170"/>
      <c r="W301" s="1438" t="e">
        <f t="shared" si="50"/>
        <v>#DIV/0!</v>
      </c>
      <c r="X301" s="1432"/>
      <c r="Y301" s="765"/>
    </row>
    <row r="302" spans="1:25" ht="22.5" customHeight="1" thickTop="1" thickBot="1" x14ac:dyDescent="0.3">
      <c r="A302" s="1287">
        <v>1</v>
      </c>
      <c r="B302" s="1288" t="s">
        <v>1378</v>
      </c>
      <c r="C302" s="1288" t="s">
        <v>1378</v>
      </c>
      <c r="D302" s="1288" t="s">
        <v>1391</v>
      </c>
      <c r="E302" s="1288" t="s">
        <v>1444</v>
      </c>
      <c r="F302" s="1288" t="s">
        <v>1378</v>
      </c>
      <c r="G302" s="1288" t="s">
        <v>1378</v>
      </c>
      <c r="H302" s="1288" t="s">
        <v>1378</v>
      </c>
      <c r="I302" s="1288" t="s">
        <v>1475</v>
      </c>
      <c r="J302" s="1288"/>
      <c r="K302" s="754" t="s">
        <v>2367</v>
      </c>
      <c r="L302" s="1170"/>
      <c r="M302" s="1170"/>
      <c r="N302" s="1170"/>
      <c r="O302" s="1165">
        <f t="shared" si="49"/>
        <v>0</v>
      </c>
      <c r="P302" s="1170"/>
      <c r="Q302" s="1170"/>
      <c r="R302" s="1170"/>
      <c r="S302" s="1170"/>
      <c r="T302" s="1170"/>
      <c r="U302" s="1170"/>
      <c r="V302" s="1170"/>
      <c r="W302" s="1438" t="e">
        <f t="shared" si="50"/>
        <v>#DIV/0!</v>
      </c>
      <c r="X302" s="1432"/>
      <c r="Y302" s="765"/>
    </row>
    <row r="303" spans="1:25" ht="22.5" customHeight="1" thickTop="1" thickBot="1" x14ac:dyDescent="0.3">
      <c r="A303" s="1287">
        <v>1</v>
      </c>
      <c r="B303" s="1288" t="s">
        <v>1378</v>
      </c>
      <c r="C303" s="1288" t="s">
        <v>1378</v>
      </c>
      <c r="D303" s="1288" t="s">
        <v>1391</v>
      </c>
      <c r="E303" s="1288" t="s">
        <v>1444</v>
      </c>
      <c r="F303" s="1288" t="s">
        <v>1378</v>
      </c>
      <c r="G303" s="1288" t="s">
        <v>1378</v>
      </c>
      <c r="H303" s="1288" t="s">
        <v>1378</v>
      </c>
      <c r="I303" s="1288" t="s">
        <v>1573</v>
      </c>
      <c r="J303" s="1288"/>
      <c r="K303" s="754" t="s">
        <v>2368</v>
      </c>
      <c r="L303" s="1170"/>
      <c r="M303" s="1170"/>
      <c r="N303" s="1170"/>
      <c r="O303" s="1165">
        <f t="shared" si="49"/>
        <v>0</v>
      </c>
      <c r="P303" s="1170"/>
      <c r="Q303" s="1170"/>
      <c r="R303" s="1170"/>
      <c r="S303" s="1170"/>
      <c r="T303" s="1170"/>
      <c r="U303" s="1170"/>
      <c r="V303" s="1170"/>
      <c r="W303" s="1438" t="e">
        <f t="shared" si="50"/>
        <v>#DIV/0!</v>
      </c>
      <c r="X303" s="1432"/>
      <c r="Y303" s="765"/>
    </row>
    <row r="304" spans="1:25" ht="22.5" customHeight="1" thickTop="1" thickBot="1" x14ac:dyDescent="0.3">
      <c r="A304" s="1287">
        <v>1</v>
      </c>
      <c r="B304" s="1288" t="s">
        <v>1378</v>
      </c>
      <c r="C304" s="1288" t="s">
        <v>1378</v>
      </c>
      <c r="D304" s="1288" t="s">
        <v>1391</v>
      </c>
      <c r="E304" s="1288" t="s">
        <v>1444</v>
      </c>
      <c r="F304" s="1288" t="s">
        <v>1378</v>
      </c>
      <c r="G304" s="1288" t="s">
        <v>1378</v>
      </c>
      <c r="H304" s="1288" t="s">
        <v>1378</v>
      </c>
      <c r="I304" s="1288" t="s">
        <v>1574</v>
      </c>
      <c r="J304" s="1288"/>
      <c r="K304" s="754" t="s">
        <v>2369</v>
      </c>
      <c r="L304" s="1170"/>
      <c r="M304" s="1170"/>
      <c r="N304" s="1170"/>
      <c r="O304" s="1165">
        <f t="shared" si="49"/>
        <v>0</v>
      </c>
      <c r="P304" s="1170"/>
      <c r="Q304" s="1170"/>
      <c r="R304" s="1170"/>
      <c r="S304" s="1170"/>
      <c r="T304" s="1170"/>
      <c r="U304" s="1170"/>
      <c r="V304" s="1170"/>
      <c r="W304" s="1438" t="e">
        <f t="shared" si="50"/>
        <v>#DIV/0!</v>
      </c>
      <c r="X304" s="1432"/>
      <c r="Y304" s="765"/>
    </row>
    <row r="305" spans="1:25" ht="22.5" customHeight="1" thickTop="1" thickBot="1" x14ac:dyDescent="0.3">
      <c r="A305" s="1287">
        <v>1</v>
      </c>
      <c r="B305" s="1288" t="s">
        <v>1378</v>
      </c>
      <c r="C305" s="1288" t="s">
        <v>1378</v>
      </c>
      <c r="D305" s="1288" t="s">
        <v>1391</v>
      </c>
      <c r="E305" s="1288" t="s">
        <v>1444</v>
      </c>
      <c r="F305" s="1288" t="s">
        <v>1378</v>
      </c>
      <c r="G305" s="1288" t="s">
        <v>1378</v>
      </c>
      <c r="H305" s="1288" t="s">
        <v>1378</v>
      </c>
      <c r="I305" s="1288" t="s">
        <v>1575</v>
      </c>
      <c r="J305" s="1288"/>
      <c r="K305" s="754" t="s">
        <v>2370</v>
      </c>
      <c r="L305" s="1170"/>
      <c r="M305" s="1170"/>
      <c r="N305" s="1170"/>
      <c r="O305" s="1165">
        <f t="shared" si="49"/>
        <v>0</v>
      </c>
      <c r="P305" s="1170"/>
      <c r="Q305" s="1170"/>
      <c r="R305" s="1170"/>
      <c r="S305" s="1170"/>
      <c r="T305" s="1170"/>
      <c r="U305" s="1170"/>
      <c r="V305" s="1170"/>
      <c r="W305" s="1438" t="e">
        <f t="shared" si="50"/>
        <v>#DIV/0!</v>
      </c>
      <c r="X305" s="1432"/>
      <c r="Y305" s="765"/>
    </row>
    <row r="306" spans="1:25" ht="22.5" customHeight="1" thickTop="1" thickBot="1" x14ac:dyDescent="0.3">
      <c r="A306" s="1287">
        <v>1</v>
      </c>
      <c r="B306" s="1288" t="s">
        <v>1378</v>
      </c>
      <c r="C306" s="1288" t="s">
        <v>1378</v>
      </c>
      <c r="D306" s="1288" t="s">
        <v>1391</v>
      </c>
      <c r="E306" s="1288" t="s">
        <v>1444</v>
      </c>
      <c r="F306" s="1288" t="s">
        <v>1378</v>
      </c>
      <c r="G306" s="1288" t="s">
        <v>1391</v>
      </c>
      <c r="H306" s="1288"/>
      <c r="I306" s="1288"/>
      <c r="J306" s="1288"/>
      <c r="K306" s="753" t="s">
        <v>2008</v>
      </c>
      <c r="L306" s="1165">
        <f>+L307</f>
        <v>0</v>
      </c>
      <c r="M306" s="1165">
        <f t="shared" ref="M306:V306" si="57">+M307</f>
        <v>0</v>
      </c>
      <c r="N306" s="1165">
        <f t="shared" si="57"/>
        <v>0</v>
      </c>
      <c r="O306" s="1165">
        <f t="shared" si="49"/>
        <v>0</v>
      </c>
      <c r="P306" s="1165">
        <f t="shared" si="57"/>
        <v>0</v>
      </c>
      <c r="Q306" s="1165">
        <f t="shared" si="57"/>
        <v>0</v>
      </c>
      <c r="R306" s="1165">
        <f t="shared" si="57"/>
        <v>0</v>
      </c>
      <c r="S306" s="1165"/>
      <c r="T306" s="1165">
        <f t="shared" si="57"/>
        <v>0</v>
      </c>
      <c r="U306" s="1165">
        <f t="shared" si="57"/>
        <v>0</v>
      </c>
      <c r="V306" s="1165">
        <f t="shared" si="57"/>
        <v>0</v>
      </c>
      <c r="W306" s="1436" t="e">
        <f t="shared" si="50"/>
        <v>#DIV/0!</v>
      </c>
      <c r="X306" s="1432" t="s">
        <v>2010</v>
      </c>
      <c r="Y306" s="765"/>
    </row>
    <row r="307" spans="1:25" ht="22.5" customHeight="1" thickTop="1" thickBot="1" x14ac:dyDescent="0.3">
      <c r="A307" s="1287">
        <v>1</v>
      </c>
      <c r="B307" s="1288" t="s">
        <v>1378</v>
      </c>
      <c r="C307" s="1288" t="s">
        <v>1378</v>
      </c>
      <c r="D307" s="1288" t="s">
        <v>1391</v>
      </c>
      <c r="E307" s="1288" t="s">
        <v>1444</v>
      </c>
      <c r="F307" s="1288" t="s">
        <v>1378</v>
      </c>
      <c r="G307" s="1288" t="s">
        <v>1391</v>
      </c>
      <c r="H307" s="1288" t="s">
        <v>1378</v>
      </c>
      <c r="I307" s="1288"/>
      <c r="J307" s="1288"/>
      <c r="K307" s="754" t="s">
        <v>2009</v>
      </c>
      <c r="L307" s="1170">
        <f>SUM(L308:L318)</f>
        <v>0</v>
      </c>
      <c r="M307" s="1170">
        <f t="shared" ref="M307:V307" si="58">SUM(M308:M318)</f>
        <v>0</v>
      </c>
      <c r="N307" s="1170">
        <f t="shared" si="58"/>
        <v>0</v>
      </c>
      <c r="O307" s="1165">
        <f t="shared" si="49"/>
        <v>0</v>
      </c>
      <c r="P307" s="1170">
        <f t="shared" si="58"/>
        <v>0</v>
      </c>
      <c r="Q307" s="1170">
        <f t="shared" si="58"/>
        <v>0</v>
      </c>
      <c r="R307" s="1170">
        <f t="shared" si="58"/>
        <v>0</v>
      </c>
      <c r="S307" s="1170"/>
      <c r="T307" s="1170">
        <f t="shared" si="58"/>
        <v>0</v>
      </c>
      <c r="U307" s="1170">
        <f t="shared" si="58"/>
        <v>0</v>
      </c>
      <c r="V307" s="1170">
        <f t="shared" si="58"/>
        <v>0</v>
      </c>
      <c r="W307" s="1438" t="e">
        <f t="shared" si="50"/>
        <v>#DIV/0!</v>
      </c>
      <c r="X307" s="1432" t="s">
        <v>2011</v>
      </c>
      <c r="Y307" s="765" t="s">
        <v>1395</v>
      </c>
    </row>
    <row r="308" spans="1:25" ht="22.5" customHeight="1" thickTop="1" thickBot="1" x14ac:dyDescent="0.3">
      <c r="A308" s="1287">
        <v>1</v>
      </c>
      <c r="B308" s="1288" t="s">
        <v>1378</v>
      </c>
      <c r="C308" s="1288" t="s">
        <v>1378</v>
      </c>
      <c r="D308" s="1288" t="s">
        <v>1391</v>
      </c>
      <c r="E308" s="1288" t="s">
        <v>1444</v>
      </c>
      <c r="F308" s="1288" t="s">
        <v>1378</v>
      </c>
      <c r="G308" s="1288" t="s">
        <v>1391</v>
      </c>
      <c r="H308" s="1288" t="s">
        <v>1378</v>
      </c>
      <c r="I308" s="1288" t="s">
        <v>1378</v>
      </c>
      <c r="J308" s="1288"/>
      <c r="K308" s="754" t="s">
        <v>2371</v>
      </c>
      <c r="L308" s="1170"/>
      <c r="M308" s="1170"/>
      <c r="N308" s="1170"/>
      <c r="O308" s="1165">
        <f t="shared" si="49"/>
        <v>0</v>
      </c>
      <c r="P308" s="1170"/>
      <c r="Q308" s="1170"/>
      <c r="R308" s="1170"/>
      <c r="S308" s="1170"/>
      <c r="T308" s="1170"/>
      <c r="U308" s="1170"/>
      <c r="V308" s="1170"/>
      <c r="W308" s="1438" t="e">
        <f t="shared" si="50"/>
        <v>#DIV/0!</v>
      </c>
      <c r="X308" s="1432"/>
      <c r="Y308" s="765"/>
    </row>
    <row r="309" spans="1:25" ht="22.5" customHeight="1" thickTop="1" thickBot="1" x14ac:dyDescent="0.3">
      <c r="A309" s="1287">
        <v>1</v>
      </c>
      <c r="B309" s="1288" t="s">
        <v>1378</v>
      </c>
      <c r="C309" s="1288" t="s">
        <v>1378</v>
      </c>
      <c r="D309" s="1288" t="s">
        <v>1391</v>
      </c>
      <c r="E309" s="1288" t="s">
        <v>1444</v>
      </c>
      <c r="F309" s="1288" t="s">
        <v>1378</v>
      </c>
      <c r="G309" s="1288" t="s">
        <v>1391</v>
      </c>
      <c r="H309" s="1288" t="s">
        <v>1378</v>
      </c>
      <c r="I309" s="1288" t="s">
        <v>1391</v>
      </c>
      <c r="J309" s="1288"/>
      <c r="K309" s="754" t="s">
        <v>2372</v>
      </c>
      <c r="L309" s="1170"/>
      <c r="M309" s="1170"/>
      <c r="N309" s="1170"/>
      <c r="O309" s="1165">
        <f t="shared" si="49"/>
        <v>0</v>
      </c>
      <c r="P309" s="1170"/>
      <c r="Q309" s="1170"/>
      <c r="R309" s="1170"/>
      <c r="S309" s="1170"/>
      <c r="T309" s="1170"/>
      <c r="U309" s="1170"/>
      <c r="V309" s="1170"/>
      <c r="W309" s="1438" t="e">
        <f t="shared" si="50"/>
        <v>#DIV/0!</v>
      </c>
      <c r="X309" s="1432"/>
      <c r="Y309" s="765"/>
    </row>
    <row r="310" spans="1:25" ht="22.5" customHeight="1" thickTop="1" thickBot="1" x14ac:dyDescent="0.3">
      <c r="A310" s="1287">
        <v>1</v>
      </c>
      <c r="B310" s="1288" t="s">
        <v>1378</v>
      </c>
      <c r="C310" s="1288" t="s">
        <v>1378</v>
      </c>
      <c r="D310" s="1288" t="s">
        <v>1391</v>
      </c>
      <c r="E310" s="1288" t="s">
        <v>1444</v>
      </c>
      <c r="F310" s="1288" t="s">
        <v>1378</v>
      </c>
      <c r="G310" s="1288" t="s">
        <v>1391</v>
      </c>
      <c r="H310" s="1288" t="s">
        <v>1378</v>
      </c>
      <c r="I310" s="1288" t="s">
        <v>1415</v>
      </c>
      <c r="J310" s="1288"/>
      <c r="K310" s="754" t="s">
        <v>2373</v>
      </c>
      <c r="L310" s="1170"/>
      <c r="M310" s="1170"/>
      <c r="N310" s="1170"/>
      <c r="O310" s="1165">
        <f t="shared" si="49"/>
        <v>0</v>
      </c>
      <c r="P310" s="1170"/>
      <c r="Q310" s="1170"/>
      <c r="R310" s="1170"/>
      <c r="S310" s="1170"/>
      <c r="T310" s="1170"/>
      <c r="U310" s="1170"/>
      <c r="V310" s="1170"/>
      <c r="W310" s="1438" t="e">
        <f t="shared" si="50"/>
        <v>#DIV/0!</v>
      </c>
      <c r="X310" s="1432"/>
      <c r="Y310" s="765"/>
    </row>
    <row r="311" spans="1:25" ht="22.5" customHeight="1" thickTop="1" thickBot="1" x14ac:dyDescent="0.3">
      <c r="A311" s="1287">
        <v>1</v>
      </c>
      <c r="B311" s="1288" t="s">
        <v>1378</v>
      </c>
      <c r="C311" s="1288" t="s">
        <v>1378</v>
      </c>
      <c r="D311" s="1288" t="s">
        <v>1391</v>
      </c>
      <c r="E311" s="1288" t="s">
        <v>1444</v>
      </c>
      <c r="F311" s="1288" t="s">
        <v>1378</v>
      </c>
      <c r="G311" s="1288" t="s">
        <v>1391</v>
      </c>
      <c r="H311" s="1288" t="s">
        <v>1378</v>
      </c>
      <c r="I311" s="1288" t="s">
        <v>1419</v>
      </c>
      <c r="J311" s="1288"/>
      <c r="K311" s="754" t="s">
        <v>2411</v>
      </c>
      <c r="L311" s="1170"/>
      <c r="M311" s="1170"/>
      <c r="N311" s="1170"/>
      <c r="O311" s="1165">
        <f t="shared" si="49"/>
        <v>0</v>
      </c>
      <c r="P311" s="1170"/>
      <c r="Q311" s="1170"/>
      <c r="R311" s="1170"/>
      <c r="S311" s="1170"/>
      <c r="T311" s="1170"/>
      <c r="U311" s="1170"/>
      <c r="V311" s="1170"/>
      <c r="W311" s="1438" t="e">
        <f t="shared" si="50"/>
        <v>#DIV/0!</v>
      </c>
      <c r="X311" s="1432"/>
      <c r="Y311" s="765"/>
    </row>
    <row r="312" spans="1:25" ht="22.5" customHeight="1" thickTop="1" thickBot="1" x14ac:dyDescent="0.3">
      <c r="A312" s="1287">
        <v>1</v>
      </c>
      <c r="B312" s="1288" t="s">
        <v>1378</v>
      </c>
      <c r="C312" s="1288" t="s">
        <v>1378</v>
      </c>
      <c r="D312" s="1288" t="s">
        <v>1391</v>
      </c>
      <c r="E312" s="1288" t="s">
        <v>1444</v>
      </c>
      <c r="F312" s="1288" t="s">
        <v>1378</v>
      </c>
      <c r="G312" s="1288" t="s">
        <v>1391</v>
      </c>
      <c r="H312" s="1288" t="s">
        <v>1378</v>
      </c>
      <c r="I312" s="1288" t="s">
        <v>1444</v>
      </c>
      <c r="J312" s="1288"/>
      <c r="K312" s="754" t="s">
        <v>2374</v>
      </c>
      <c r="L312" s="1170"/>
      <c r="M312" s="1170"/>
      <c r="N312" s="1170"/>
      <c r="O312" s="1165">
        <f t="shared" si="49"/>
        <v>0</v>
      </c>
      <c r="P312" s="1170"/>
      <c r="Q312" s="1170"/>
      <c r="R312" s="1170"/>
      <c r="S312" s="1170"/>
      <c r="T312" s="1170"/>
      <c r="U312" s="1170"/>
      <c r="V312" s="1170"/>
      <c r="W312" s="1438" t="e">
        <f t="shared" si="50"/>
        <v>#DIV/0!</v>
      </c>
      <c r="X312" s="1432"/>
      <c r="Y312" s="765"/>
    </row>
    <row r="313" spans="1:25" ht="22.5" customHeight="1" thickTop="1" thickBot="1" x14ac:dyDescent="0.3">
      <c r="A313" s="1287">
        <v>1</v>
      </c>
      <c r="B313" s="1288" t="s">
        <v>1378</v>
      </c>
      <c r="C313" s="1288" t="s">
        <v>1378</v>
      </c>
      <c r="D313" s="1288" t="s">
        <v>1391</v>
      </c>
      <c r="E313" s="1288" t="s">
        <v>1444</v>
      </c>
      <c r="F313" s="1288" t="s">
        <v>1378</v>
      </c>
      <c r="G313" s="1288" t="s">
        <v>1391</v>
      </c>
      <c r="H313" s="1288" t="s">
        <v>1378</v>
      </c>
      <c r="I313" s="1288" t="s">
        <v>1467</v>
      </c>
      <c r="J313" s="1288"/>
      <c r="K313" s="754" t="s">
        <v>2375</v>
      </c>
      <c r="L313" s="1170"/>
      <c r="M313" s="1170"/>
      <c r="N313" s="1170"/>
      <c r="O313" s="1165">
        <f t="shared" si="49"/>
        <v>0</v>
      </c>
      <c r="P313" s="1170"/>
      <c r="Q313" s="1170"/>
      <c r="R313" s="1170"/>
      <c r="S313" s="1170"/>
      <c r="T313" s="1170"/>
      <c r="U313" s="1170"/>
      <c r="V313" s="1170"/>
      <c r="W313" s="1438" t="e">
        <f t="shared" si="50"/>
        <v>#DIV/0!</v>
      </c>
      <c r="X313" s="1432"/>
      <c r="Y313" s="765"/>
    </row>
    <row r="314" spans="1:25" ht="22.5" customHeight="1" thickTop="1" thickBot="1" x14ac:dyDescent="0.3">
      <c r="A314" s="1287">
        <v>1</v>
      </c>
      <c r="B314" s="1288" t="s">
        <v>1378</v>
      </c>
      <c r="C314" s="1288" t="s">
        <v>1378</v>
      </c>
      <c r="D314" s="1288" t="s">
        <v>1391</v>
      </c>
      <c r="E314" s="1288" t="s">
        <v>1444</v>
      </c>
      <c r="F314" s="1288" t="s">
        <v>1378</v>
      </c>
      <c r="G314" s="1288" t="s">
        <v>1391</v>
      </c>
      <c r="H314" s="1288" t="s">
        <v>1378</v>
      </c>
      <c r="I314" s="1288" t="s">
        <v>1471</v>
      </c>
      <c r="J314" s="1288"/>
      <c r="K314" s="754" t="s">
        <v>2376</v>
      </c>
      <c r="L314" s="1170"/>
      <c r="M314" s="1170"/>
      <c r="N314" s="1170"/>
      <c r="O314" s="1165">
        <f t="shared" si="49"/>
        <v>0</v>
      </c>
      <c r="P314" s="1170"/>
      <c r="Q314" s="1170"/>
      <c r="R314" s="1170"/>
      <c r="S314" s="1170"/>
      <c r="T314" s="1170"/>
      <c r="U314" s="1170"/>
      <c r="V314" s="1170"/>
      <c r="W314" s="1438" t="e">
        <f t="shared" si="50"/>
        <v>#DIV/0!</v>
      </c>
      <c r="X314" s="1432"/>
      <c r="Y314" s="765"/>
    </row>
    <row r="315" spans="1:25" ht="22.5" customHeight="1" thickTop="1" thickBot="1" x14ac:dyDescent="0.3">
      <c r="A315" s="1287">
        <v>1</v>
      </c>
      <c r="B315" s="1288" t="s">
        <v>1378</v>
      </c>
      <c r="C315" s="1288" t="s">
        <v>1378</v>
      </c>
      <c r="D315" s="1288" t="s">
        <v>1391</v>
      </c>
      <c r="E315" s="1288" t="s">
        <v>1444</v>
      </c>
      <c r="F315" s="1288" t="s">
        <v>1378</v>
      </c>
      <c r="G315" s="1288" t="s">
        <v>1391</v>
      </c>
      <c r="H315" s="1288" t="s">
        <v>1378</v>
      </c>
      <c r="I315" s="1288" t="s">
        <v>1475</v>
      </c>
      <c r="J315" s="1288"/>
      <c r="K315" s="754" t="s">
        <v>2377</v>
      </c>
      <c r="L315" s="1170"/>
      <c r="M315" s="1170"/>
      <c r="N315" s="1170"/>
      <c r="O315" s="1165">
        <f t="shared" si="49"/>
        <v>0</v>
      </c>
      <c r="P315" s="1170"/>
      <c r="Q315" s="1170"/>
      <c r="R315" s="1170"/>
      <c r="S315" s="1170"/>
      <c r="T315" s="1170"/>
      <c r="U315" s="1170"/>
      <c r="V315" s="1170"/>
      <c r="W315" s="1438" t="e">
        <f t="shared" si="50"/>
        <v>#DIV/0!</v>
      </c>
      <c r="X315" s="1432"/>
      <c r="Y315" s="765"/>
    </row>
    <row r="316" spans="1:25" ht="22.5" customHeight="1" thickTop="1" thickBot="1" x14ac:dyDescent="0.3">
      <c r="A316" s="1287">
        <v>1</v>
      </c>
      <c r="B316" s="1288" t="s">
        <v>1378</v>
      </c>
      <c r="C316" s="1288" t="s">
        <v>1378</v>
      </c>
      <c r="D316" s="1288" t="s">
        <v>1391</v>
      </c>
      <c r="E316" s="1288" t="s">
        <v>1444</v>
      </c>
      <c r="F316" s="1288" t="s">
        <v>1378</v>
      </c>
      <c r="G316" s="1288" t="s">
        <v>1391</v>
      </c>
      <c r="H316" s="1288" t="s">
        <v>1378</v>
      </c>
      <c r="I316" s="1288" t="s">
        <v>1573</v>
      </c>
      <c r="J316" s="1288"/>
      <c r="K316" s="754" t="s">
        <v>2378</v>
      </c>
      <c r="L316" s="1170"/>
      <c r="M316" s="1170"/>
      <c r="N316" s="1170"/>
      <c r="O316" s="1165">
        <f t="shared" si="49"/>
        <v>0</v>
      </c>
      <c r="P316" s="1170"/>
      <c r="Q316" s="1170"/>
      <c r="R316" s="1170"/>
      <c r="S316" s="1170"/>
      <c r="T316" s="1170"/>
      <c r="U316" s="1170"/>
      <c r="V316" s="1170"/>
      <c r="W316" s="1438" t="e">
        <f t="shared" si="50"/>
        <v>#DIV/0!</v>
      </c>
      <c r="X316" s="1432"/>
      <c r="Y316" s="765"/>
    </row>
    <row r="317" spans="1:25" ht="22.5" customHeight="1" thickTop="1" thickBot="1" x14ac:dyDescent="0.3">
      <c r="A317" s="1287">
        <v>1</v>
      </c>
      <c r="B317" s="1288" t="s">
        <v>1378</v>
      </c>
      <c r="C317" s="1288" t="s">
        <v>1378</v>
      </c>
      <c r="D317" s="1288" t="s">
        <v>1391</v>
      </c>
      <c r="E317" s="1288" t="s">
        <v>1444</v>
      </c>
      <c r="F317" s="1288" t="s">
        <v>1378</v>
      </c>
      <c r="G317" s="1288" t="s">
        <v>1391</v>
      </c>
      <c r="H317" s="1288" t="s">
        <v>1378</v>
      </c>
      <c r="I317" s="1288" t="s">
        <v>1574</v>
      </c>
      <c r="J317" s="1288"/>
      <c r="K317" s="754" t="s">
        <v>2379</v>
      </c>
      <c r="L317" s="1170"/>
      <c r="M317" s="1170"/>
      <c r="N317" s="1170"/>
      <c r="O317" s="1165">
        <f t="shared" si="49"/>
        <v>0</v>
      </c>
      <c r="P317" s="1170"/>
      <c r="Q317" s="1170"/>
      <c r="R317" s="1170"/>
      <c r="S317" s="1170"/>
      <c r="T317" s="1170"/>
      <c r="U317" s="1170"/>
      <c r="V317" s="1170"/>
      <c r="W317" s="1438" t="e">
        <f t="shared" si="50"/>
        <v>#DIV/0!</v>
      </c>
      <c r="X317" s="1432"/>
      <c r="Y317" s="765"/>
    </row>
    <row r="318" spans="1:25" ht="22.5" customHeight="1" thickTop="1" thickBot="1" x14ac:dyDescent="0.3">
      <c r="A318" s="1287">
        <v>1</v>
      </c>
      <c r="B318" s="1288" t="s">
        <v>1378</v>
      </c>
      <c r="C318" s="1288" t="s">
        <v>1378</v>
      </c>
      <c r="D318" s="1288" t="s">
        <v>1391</v>
      </c>
      <c r="E318" s="1288" t="s">
        <v>1444</v>
      </c>
      <c r="F318" s="1288" t="s">
        <v>1378</v>
      </c>
      <c r="G318" s="1288" t="s">
        <v>1391</v>
      </c>
      <c r="H318" s="1288" t="s">
        <v>1378</v>
      </c>
      <c r="I318" s="1288" t="s">
        <v>1575</v>
      </c>
      <c r="J318" s="1288"/>
      <c r="K318" s="754" t="s">
        <v>2380</v>
      </c>
      <c r="L318" s="1170"/>
      <c r="M318" s="1170"/>
      <c r="N318" s="1170"/>
      <c r="O318" s="1165">
        <f t="shared" si="49"/>
        <v>0</v>
      </c>
      <c r="P318" s="1170"/>
      <c r="Q318" s="1170"/>
      <c r="R318" s="1170"/>
      <c r="S318" s="1170"/>
      <c r="T318" s="1170"/>
      <c r="U318" s="1170"/>
      <c r="V318" s="1170"/>
      <c r="W318" s="1438" t="e">
        <f t="shared" si="50"/>
        <v>#DIV/0!</v>
      </c>
      <c r="X318" s="1432"/>
      <c r="Y318" s="765"/>
    </row>
    <row r="319" spans="1:25" s="183" customFormat="1" ht="22.5" customHeight="1" thickTop="1" thickBot="1" x14ac:dyDescent="0.3">
      <c r="A319" s="1276">
        <v>1</v>
      </c>
      <c r="B319" s="1277" t="s">
        <v>1378</v>
      </c>
      <c r="C319" s="1277" t="s">
        <v>1391</v>
      </c>
      <c r="D319" s="1277"/>
      <c r="E319" s="1277"/>
      <c r="F319" s="1277"/>
      <c r="G319" s="1277"/>
      <c r="H319" s="1277"/>
      <c r="I319" s="1277"/>
      <c r="J319" s="1277"/>
      <c r="K319" s="1278" t="s">
        <v>1551</v>
      </c>
      <c r="L319" s="1166">
        <f>+L320+L397+L422+L484+L570+L684</f>
        <v>0</v>
      </c>
      <c r="M319" s="1166">
        <f t="shared" ref="M319:V319" si="59">+M320+M397+M422+M484+M570+M684</f>
        <v>1000000000</v>
      </c>
      <c r="N319" s="1166">
        <f t="shared" si="59"/>
        <v>0</v>
      </c>
      <c r="O319" s="1165">
        <f t="shared" si="49"/>
        <v>1000000000</v>
      </c>
      <c r="P319" s="1166">
        <f t="shared" si="59"/>
        <v>0</v>
      </c>
      <c r="Q319" s="1166">
        <f t="shared" si="59"/>
        <v>1000000000</v>
      </c>
      <c r="R319" s="1166">
        <f t="shared" si="59"/>
        <v>0</v>
      </c>
      <c r="S319" s="1166"/>
      <c r="T319" s="1166">
        <f t="shared" si="59"/>
        <v>0</v>
      </c>
      <c r="U319" s="1166">
        <f t="shared" si="59"/>
        <v>1000000000</v>
      </c>
      <c r="V319" s="1166">
        <f t="shared" si="59"/>
        <v>1000000000</v>
      </c>
      <c r="W319" s="1433">
        <f t="shared" si="50"/>
        <v>1</v>
      </c>
      <c r="X319" s="1432" t="s">
        <v>1552</v>
      </c>
      <c r="Y319" s="765"/>
    </row>
    <row r="320" spans="1:25" s="183" customFormat="1" ht="22.5" customHeight="1" thickTop="1" thickBot="1" x14ac:dyDescent="0.3">
      <c r="A320" s="1279">
        <v>1</v>
      </c>
      <c r="B320" s="1280" t="s">
        <v>1378</v>
      </c>
      <c r="C320" s="1280" t="s">
        <v>1391</v>
      </c>
      <c r="D320" s="1280" t="s">
        <v>1378</v>
      </c>
      <c r="E320" s="1280"/>
      <c r="F320" s="1280"/>
      <c r="G320" s="1280"/>
      <c r="H320" s="1280"/>
      <c r="I320" s="1280"/>
      <c r="J320" s="1280"/>
      <c r="K320" s="1281" t="s">
        <v>1553</v>
      </c>
      <c r="L320" s="1165">
        <f>+L321</f>
        <v>0</v>
      </c>
      <c r="M320" s="1165">
        <f t="shared" ref="M320:V320" si="60">+M321</f>
        <v>0</v>
      </c>
      <c r="N320" s="1165">
        <f t="shared" si="60"/>
        <v>0</v>
      </c>
      <c r="O320" s="1165">
        <f t="shared" si="49"/>
        <v>0</v>
      </c>
      <c r="P320" s="1165">
        <f t="shared" si="60"/>
        <v>0</v>
      </c>
      <c r="Q320" s="1165">
        <f t="shared" si="60"/>
        <v>0</v>
      </c>
      <c r="R320" s="1165">
        <f t="shared" si="60"/>
        <v>0</v>
      </c>
      <c r="S320" s="1165"/>
      <c r="T320" s="1165">
        <f t="shared" si="60"/>
        <v>0</v>
      </c>
      <c r="U320" s="1165">
        <f t="shared" si="60"/>
        <v>0</v>
      </c>
      <c r="V320" s="1165">
        <f t="shared" si="60"/>
        <v>0</v>
      </c>
      <c r="W320" s="1436" t="e">
        <f t="shared" si="50"/>
        <v>#DIV/0!</v>
      </c>
      <c r="X320" s="1432" t="s">
        <v>2013</v>
      </c>
      <c r="Y320" s="765"/>
    </row>
    <row r="321" spans="1:25" s="183" customFormat="1" ht="22.5" customHeight="1" thickTop="1" thickBot="1" x14ac:dyDescent="0.3">
      <c r="A321" s="1283">
        <v>1</v>
      </c>
      <c r="B321" s="1283" t="s">
        <v>1378</v>
      </c>
      <c r="C321" s="1283" t="s">
        <v>1391</v>
      </c>
      <c r="D321" s="1283" t="s">
        <v>1378</v>
      </c>
      <c r="E321" s="1283" t="s">
        <v>1378</v>
      </c>
      <c r="F321" s="1283"/>
      <c r="G321" s="1283"/>
      <c r="H321" s="1283"/>
      <c r="I321" s="1283"/>
      <c r="J321" s="1283"/>
      <c r="K321" s="1284" t="s">
        <v>1555</v>
      </c>
      <c r="L321" s="1165">
        <f>+L322+L347+L372</f>
        <v>0</v>
      </c>
      <c r="M321" s="1165">
        <f t="shared" ref="M321:V321" si="61">+M322+M347+M372</f>
        <v>0</v>
      </c>
      <c r="N321" s="1165">
        <f t="shared" si="61"/>
        <v>0</v>
      </c>
      <c r="O321" s="1165">
        <f t="shared" si="49"/>
        <v>0</v>
      </c>
      <c r="P321" s="1165">
        <f t="shared" si="61"/>
        <v>0</v>
      </c>
      <c r="Q321" s="1165">
        <f t="shared" si="61"/>
        <v>0</v>
      </c>
      <c r="R321" s="1165">
        <f t="shared" si="61"/>
        <v>0</v>
      </c>
      <c r="S321" s="1165"/>
      <c r="T321" s="1165">
        <f t="shared" si="61"/>
        <v>0</v>
      </c>
      <c r="U321" s="1165">
        <f t="shared" si="61"/>
        <v>0</v>
      </c>
      <c r="V321" s="1165">
        <f t="shared" si="61"/>
        <v>0</v>
      </c>
      <c r="W321" s="1436" t="e">
        <f t="shared" si="50"/>
        <v>#DIV/0!</v>
      </c>
      <c r="X321" s="1432" t="s">
        <v>1556</v>
      </c>
      <c r="Y321" s="765"/>
    </row>
    <row r="322" spans="1:25" s="183" customFormat="1" ht="22.5" customHeight="1" thickTop="1" thickBot="1" x14ac:dyDescent="0.3">
      <c r="A322" s="1285">
        <v>1</v>
      </c>
      <c r="B322" s="1286" t="s">
        <v>1378</v>
      </c>
      <c r="C322" s="1286" t="s">
        <v>1391</v>
      </c>
      <c r="D322" s="1286" t="s">
        <v>1378</v>
      </c>
      <c r="E322" s="1286" t="s">
        <v>1378</v>
      </c>
      <c r="F322" s="1286" t="s">
        <v>1378</v>
      </c>
      <c r="G322" s="1286"/>
      <c r="H322" s="1286"/>
      <c r="I322" s="1286"/>
      <c r="J322" s="1286"/>
      <c r="K322" s="753" t="s">
        <v>1557</v>
      </c>
      <c r="L322" s="1165">
        <f>SUM(L323:L334)</f>
        <v>0</v>
      </c>
      <c r="M322" s="1165">
        <f t="shared" ref="M322:V322" si="62">SUM(M323:M334)</f>
        <v>0</v>
      </c>
      <c r="N322" s="1165">
        <f t="shared" si="62"/>
        <v>0</v>
      </c>
      <c r="O322" s="1165">
        <f t="shared" si="49"/>
        <v>0</v>
      </c>
      <c r="P322" s="1165">
        <f t="shared" si="62"/>
        <v>0</v>
      </c>
      <c r="Q322" s="1165">
        <f t="shared" si="62"/>
        <v>0</v>
      </c>
      <c r="R322" s="1165">
        <f t="shared" si="62"/>
        <v>0</v>
      </c>
      <c r="S322" s="1165"/>
      <c r="T322" s="1165">
        <f t="shared" si="62"/>
        <v>0</v>
      </c>
      <c r="U322" s="1165">
        <f t="shared" si="62"/>
        <v>0</v>
      </c>
      <c r="V322" s="1165">
        <f t="shared" si="62"/>
        <v>0</v>
      </c>
      <c r="W322" s="1436" t="e">
        <f t="shared" si="50"/>
        <v>#DIV/0!</v>
      </c>
      <c r="X322" s="1432" t="s">
        <v>1558</v>
      </c>
      <c r="Y322" s="765"/>
    </row>
    <row r="323" spans="1:25" ht="22.5" customHeight="1" thickTop="1" thickBot="1" x14ac:dyDescent="0.3">
      <c r="A323" s="1287">
        <v>1</v>
      </c>
      <c r="B323" s="1288" t="s">
        <v>1378</v>
      </c>
      <c r="C323" s="1288" t="s">
        <v>1391</v>
      </c>
      <c r="D323" s="1288" t="s">
        <v>1378</v>
      </c>
      <c r="E323" s="1288" t="s">
        <v>1378</v>
      </c>
      <c r="F323" s="1288" t="s">
        <v>1378</v>
      </c>
      <c r="G323" s="1288" t="s">
        <v>1378</v>
      </c>
      <c r="H323" s="1288"/>
      <c r="I323" s="1288"/>
      <c r="J323" s="1288"/>
      <c r="K323" s="754" t="s">
        <v>1559</v>
      </c>
      <c r="L323" s="1170"/>
      <c r="M323" s="1170"/>
      <c r="N323" s="1170"/>
      <c r="O323" s="1165">
        <f t="shared" si="49"/>
        <v>0</v>
      </c>
      <c r="P323" s="1170"/>
      <c r="Q323" s="1170"/>
      <c r="R323" s="1170"/>
      <c r="S323" s="1170"/>
      <c r="T323" s="1170"/>
      <c r="U323" s="1170"/>
      <c r="V323" s="1170"/>
      <c r="W323" s="1438" t="e">
        <f t="shared" si="50"/>
        <v>#DIV/0!</v>
      </c>
      <c r="X323" s="1432" t="s">
        <v>1560</v>
      </c>
      <c r="Y323" s="765"/>
    </row>
    <row r="324" spans="1:25" ht="22.5" customHeight="1" thickTop="1" thickBot="1" x14ac:dyDescent="0.3">
      <c r="A324" s="1287">
        <v>1</v>
      </c>
      <c r="B324" s="1288" t="s">
        <v>1378</v>
      </c>
      <c r="C324" s="1288" t="s">
        <v>1391</v>
      </c>
      <c r="D324" s="1288" t="s">
        <v>1378</v>
      </c>
      <c r="E324" s="1288" t="s">
        <v>1378</v>
      </c>
      <c r="F324" s="1288" t="s">
        <v>1378</v>
      </c>
      <c r="G324" s="1288" t="s">
        <v>1378</v>
      </c>
      <c r="H324" s="1288" t="s">
        <v>1378</v>
      </c>
      <c r="I324" s="1288"/>
      <c r="J324" s="1288"/>
      <c r="K324" s="754" t="s">
        <v>2381</v>
      </c>
      <c r="L324" s="1170"/>
      <c r="M324" s="1170"/>
      <c r="N324" s="1170"/>
      <c r="O324" s="1165">
        <f t="shared" si="49"/>
        <v>0</v>
      </c>
      <c r="P324" s="1170"/>
      <c r="Q324" s="1170"/>
      <c r="R324" s="1170"/>
      <c r="S324" s="1170"/>
      <c r="T324" s="1170"/>
      <c r="U324" s="1170"/>
      <c r="V324" s="1170"/>
      <c r="W324" s="1438" t="e">
        <f t="shared" si="50"/>
        <v>#DIV/0!</v>
      </c>
      <c r="X324" s="1432"/>
      <c r="Y324" s="765"/>
    </row>
    <row r="325" spans="1:25" ht="22.5" customHeight="1" thickTop="1" thickBot="1" x14ac:dyDescent="0.3">
      <c r="A325" s="1287">
        <v>1</v>
      </c>
      <c r="B325" s="1288" t="s">
        <v>1378</v>
      </c>
      <c r="C325" s="1288" t="s">
        <v>1391</v>
      </c>
      <c r="D325" s="1288" t="s">
        <v>1378</v>
      </c>
      <c r="E325" s="1288" t="s">
        <v>1378</v>
      </c>
      <c r="F325" s="1288" t="s">
        <v>1378</v>
      </c>
      <c r="G325" s="1288" t="s">
        <v>1378</v>
      </c>
      <c r="H325" s="1288" t="s">
        <v>1391</v>
      </c>
      <c r="I325" s="1288"/>
      <c r="J325" s="1288"/>
      <c r="K325" s="754" t="s">
        <v>2382</v>
      </c>
      <c r="L325" s="1170"/>
      <c r="M325" s="1170"/>
      <c r="N325" s="1170"/>
      <c r="O325" s="1165">
        <f t="shared" si="49"/>
        <v>0</v>
      </c>
      <c r="P325" s="1170"/>
      <c r="Q325" s="1170"/>
      <c r="R325" s="1170"/>
      <c r="S325" s="1170"/>
      <c r="T325" s="1170"/>
      <c r="U325" s="1170"/>
      <c r="V325" s="1170"/>
      <c r="W325" s="1438" t="e">
        <f t="shared" si="50"/>
        <v>#DIV/0!</v>
      </c>
      <c r="X325" s="1432"/>
      <c r="Y325" s="765"/>
    </row>
    <row r="326" spans="1:25" ht="22.5" customHeight="1" thickTop="1" thickBot="1" x14ac:dyDescent="0.3">
      <c r="A326" s="1287">
        <v>1</v>
      </c>
      <c r="B326" s="1288" t="s">
        <v>1378</v>
      </c>
      <c r="C326" s="1288" t="s">
        <v>1391</v>
      </c>
      <c r="D326" s="1288" t="s">
        <v>1378</v>
      </c>
      <c r="E326" s="1288" t="s">
        <v>1378</v>
      </c>
      <c r="F326" s="1288" t="s">
        <v>1378</v>
      </c>
      <c r="G326" s="1288" t="s">
        <v>1378</v>
      </c>
      <c r="H326" s="1288" t="s">
        <v>1415</v>
      </c>
      <c r="I326" s="1288"/>
      <c r="J326" s="1288"/>
      <c r="K326" s="754" t="s">
        <v>2383</v>
      </c>
      <c r="L326" s="1170"/>
      <c r="M326" s="1170"/>
      <c r="N326" s="1170"/>
      <c r="O326" s="1165">
        <f t="shared" si="49"/>
        <v>0</v>
      </c>
      <c r="P326" s="1170"/>
      <c r="Q326" s="1170"/>
      <c r="R326" s="1170"/>
      <c r="S326" s="1170"/>
      <c r="T326" s="1170"/>
      <c r="U326" s="1170"/>
      <c r="V326" s="1170"/>
      <c r="W326" s="1438" t="e">
        <f t="shared" si="50"/>
        <v>#DIV/0!</v>
      </c>
      <c r="X326" s="1432"/>
      <c r="Y326" s="765"/>
    </row>
    <row r="327" spans="1:25" ht="22.5" customHeight="1" thickTop="1" thickBot="1" x14ac:dyDescent="0.3">
      <c r="A327" s="1287">
        <v>1</v>
      </c>
      <c r="B327" s="1288" t="s">
        <v>1378</v>
      </c>
      <c r="C327" s="1288" t="s">
        <v>1391</v>
      </c>
      <c r="D327" s="1288" t="s">
        <v>1378</v>
      </c>
      <c r="E327" s="1288" t="s">
        <v>1378</v>
      </c>
      <c r="F327" s="1288" t="s">
        <v>1378</v>
      </c>
      <c r="G327" s="1288" t="s">
        <v>1378</v>
      </c>
      <c r="H327" s="1288" t="s">
        <v>1419</v>
      </c>
      <c r="I327" s="1288"/>
      <c r="J327" s="1288"/>
      <c r="K327" s="754" t="s">
        <v>2412</v>
      </c>
      <c r="L327" s="1170"/>
      <c r="M327" s="1170"/>
      <c r="N327" s="1170"/>
      <c r="O327" s="1165">
        <f t="shared" si="49"/>
        <v>0</v>
      </c>
      <c r="P327" s="1170"/>
      <c r="Q327" s="1170"/>
      <c r="R327" s="1170"/>
      <c r="S327" s="1170"/>
      <c r="T327" s="1170"/>
      <c r="U327" s="1170"/>
      <c r="V327" s="1170"/>
      <c r="W327" s="1438" t="e">
        <f t="shared" si="50"/>
        <v>#DIV/0!</v>
      </c>
      <c r="X327" s="1432"/>
      <c r="Y327" s="765"/>
    </row>
    <row r="328" spans="1:25" ht="22.5" customHeight="1" thickTop="1" thickBot="1" x14ac:dyDescent="0.3">
      <c r="A328" s="1287">
        <v>1</v>
      </c>
      <c r="B328" s="1288" t="s">
        <v>1378</v>
      </c>
      <c r="C328" s="1288" t="s">
        <v>1391</v>
      </c>
      <c r="D328" s="1288" t="s">
        <v>1378</v>
      </c>
      <c r="E328" s="1288" t="s">
        <v>1378</v>
      </c>
      <c r="F328" s="1288" t="s">
        <v>1378</v>
      </c>
      <c r="G328" s="1288" t="s">
        <v>1378</v>
      </c>
      <c r="H328" s="1288" t="s">
        <v>1444</v>
      </c>
      <c r="I328" s="1288"/>
      <c r="J328" s="1288"/>
      <c r="K328" s="754" t="s">
        <v>2384</v>
      </c>
      <c r="L328" s="1170"/>
      <c r="M328" s="1170"/>
      <c r="N328" s="1170"/>
      <c r="O328" s="1165">
        <f t="shared" ref="O328:O391" si="63">L328+M328-N328</f>
        <v>0</v>
      </c>
      <c r="P328" s="1170"/>
      <c r="Q328" s="1170"/>
      <c r="R328" s="1170"/>
      <c r="S328" s="1170"/>
      <c r="T328" s="1170"/>
      <c r="U328" s="1170"/>
      <c r="V328" s="1170"/>
      <c r="W328" s="1438" t="e">
        <f t="shared" ref="W328:W391" si="64">V328/U328</f>
        <v>#DIV/0!</v>
      </c>
      <c r="X328" s="1432"/>
      <c r="Y328" s="765"/>
    </row>
    <row r="329" spans="1:25" ht="22.5" customHeight="1" thickTop="1" thickBot="1" x14ac:dyDescent="0.3">
      <c r="A329" s="1287">
        <v>1</v>
      </c>
      <c r="B329" s="1288" t="s">
        <v>1378</v>
      </c>
      <c r="C329" s="1288" t="s">
        <v>1391</v>
      </c>
      <c r="D329" s="1288" t="s">
        <v>1378</v>
      </c>
      <c r="E329" s="1288" t="s">
        <v>1378</v>
      </c>
      <c r="F329" s="1288" t="s">
        <v>1378</v>
      </c>
      <c r="G329" s="1288" t="s">
        <v>1378</v>
      </c>
      <c r="H329" s="1288" t="s">
        <v>1467</v>
      </c>
      <c r="I329" s="1288"/>
      <c r="J329" s="1288"/>
      <c r="K329" s="754" t="s">
        <v>2385</v>
      </c>
      <c r="L329" s="1170"/>
      <c r="M329" s="1170"/>
      <c r="N329" s="1170"/>
      <c r="O329" s="1165">
        <f t="shared" si="63"/>
        <v>0</v>
      </c>
      <c r="P329" s="1170"/>
      <c r="Q329" s="1170"/>
      <c r="R329" s="1170"/>
      <c r="S329" s="1170"/>
      <c r="T329" s="1170"/>
      <c r="U329" s="1170"/>
      <c r="V329" s="1170"/>
      <c r="W329" s="1438" t="e">
        <f t="shared" si="64"/>
        <v>#DIV/0!</v>
      </c>
      <c r="X329" s="1432"/>
      <c r="Y329" s="765"/>
    </row>
    <row r="330" spans="1:25" ht="22.5" customHeight="1" thickTop="1" thickBot="1" x14ac:dyDescent="0.3">
      <c r="A330" s="1287">
        <v>1</v>
      </c>
      <c r="B330" s="1288" t="s">
        <v>1378</v>
      </c>
      <c r="C330" s="1288" t="s">
        <v>1391</v>
      </c>
      <c r="D330" s="1288" t="s">
        <v>1378</v>
      </c>
      <c r="E330" s="1288" t="s">
        <v>1378</v>
      </c>
      <c r="F330" s="1288" t="s">
        <v>1378</v>
      </c>
      <c r="G330" s="1288" t="s">
        <v>1378</v>
      </c>
      <c r="H330" s="1288" t="s">
        <v>1471</v>
      </c>
      <c r="I330" s="1288"/>
      <c r="J330" s="1288"/>
      <c r="K330" s="754" t="s">
        <v>2386</v>
      </c>
      <c r="L330" s="1170"/>
      <c r="M330" s="1170"/>
      <c r="N330" s="1170"/>
      <c r="O330" s="1165">
        <f t="shared" si="63"/>
        <v>0</v>
      </c>
      <c r="P330" s="1170"/>
      <c r="Q330" s="1170"/>
      <c r="R330" s="1170"/>
      <c r="S330" s="1170"/>
      <c r="T330" s="1170"/>
      <c r="U330" s="1170"/>
      <c r="V330" s="1170"/>
      <c r="W330" s="1438" t="e">
        <f t="shared" si="64"/>
        <v>#DIV/0!</v>
      </c>
      <c r="X330" s="1432"/>
      <c r="Y330" s="765"/>
    </row>
    <row r="331" spans="1:25" ht="22.5" customHeight="1" thickTop="1" thickBot="1" x14ac:dyDescent="0.3">
      <c r="A331" s="1287">
        <v>1</v>
      </c>
      <c r="B331" s="1288" t="s">
        <v>1378</v>
      </c>
      <c r="C331" s="1288" t="s">
        <v>1391</v>
      </c>
      <c r="D331" s="1288" t="s">
        <v>1378</v>
      </c>
      <c r="E331" s="1288" t="s">
        <v>1378</v>
      </c>
      <c r="F331" s="1288" t="s">
        <v>1378</v>
      </c>
      <c r="G331" s="1288" t="s">
        <v>1378</v>
      </c>
      <c r="H331" s="1288" t="s">
        <v>1475</v>
      </c>
      <c r="I331" s="1288"/>
      <c r="J331" s="1288"/>
      <c r="K331" s="754" t="s">
        <v>2387</v>
      </c>
      <c r="L331" s="1170"/>
      <c r="M331" s="1170"/>
      <c r="N331" s="1170"/>
      <c r="O331" s="1165">
        <f t="shared" si="63"/>
        <v>0</v>
      </c>
      <c r="P331" s="1170"/>
      <c r="Q331" s="1170"/>
      <c r="R331" s="1170"/>
      <c r="S331" s="1170"/>
      <c r="T331" s="1170"/>
      <c r="U331" s="1170"/>
      <c r="V331" s="1170"/>
      <c r="W331" s="1438" t="e">
        <f t="shared" si="64"/>
        <v>#DIV/0!</v>
      </c>
      <c r="X331" s="1432"/>
      <c r="Y331" s="765"/>
    </row>
    <row r="332" spans="1:25" ht="22.5" customHeight="1" thickTop="1" thickBot="1" x14ac:dyDescent="0.3">
      <c r="A332" s="1287">
        <v>1</v>
      </c>
      <c r="B332" s="1288" t="s">
        <v>1378</v>
      </c>
      <c r="C332" s="1288" t="s">
        <v>1391</v>
      </c>
      <c r="D332" s="1288" t="s">
        <v>1378</v>
      </c>
      <c r="E332" s="1288" t="s">
        <v>1378</v>
      </c>
      <c r="F332" s="1288" t="s">
        <v>1378</v>
      </c>
      <c r="G332" s="1288" t="s">
        <v>1378</v>
      </c>
      <c r="H332" s="1288" t="s">
        <v>1573</v>
      </c>
      <c r="I332" s="1288"/>
      <c r="J332" s="1288"/>
      <c r="K332" s="754" t="s">
        <v>2388</v>
      </c>
      <c r="L332" s="1170"/>
      <c r="M332" s="1170"/>
      <c r="N332" s="1170"/>
      <c r="O332" s="1165">
        <f t="shared" si="63"/>
        <v>0</v>
      </c>
      <c r="P332" s="1170"/>
      <c r="Q332" s="1170"/>
      <c r="R332" s="1170"/>
      <c r="S332" s="1170"/>
      <c r="T332" s="1170"/>
      <c r="U332" s="1170"/>
      <c r="V332" s="1170"/>
      <c r="W332" s="1438" t="e">
        <f t="shared" si="64"/>
        <v>#DIV/0!</v>
      </c>
      <c r="X332" s="1432"/>
      <c r="Y332" s="765"/>
    </row>
    <row r="333" spans="1:25" ht="22.5" customHeight="1" thickTop="1" thickBot="1" x14ac:dyDescent="0.3">
      <c r="A333" s="1287">
        <v>1</v>
      </c>
      <c r="B333" s="1288" t="s">
        <v>1378</v>
      </c>
      <c r="C333" s="1288" t="s">
        <v>1391</v>
      </c>
      <c r="D333" s="1288" t="s">
        <v>1378</v>
      </c>
      <c r="E333" s="1288" t="s">
        <v>1378</v>
      </c>
      <c r="F333" s="1288" t="s">
        <v>1378</v>
      </c>
      <c r="G333" s="1288" t="s">
        <v>1378</v>
      </c>
      <c r="H333" s="1288" t="s">
        <v>1574</v>
      </c>
      <c r="I333" s="1288"/>
      <c r="J333" s="1288"/>
      <c r="K333" s="754" t="s">
        <v>2389</v>
      </c>
      <c r="L333" s="1170"/>
      <c r="M333" s="1170"/>
      <c r="N333" s="1170"/>
      <c r="O333" s="1165">
        <f t="shared" si="63"/>
        <v>0</v>
      </c>
      <c r="P333" s="1170"/>
      <c r="Q333" s="1170"/>
      <c r="R333" s="1170"/>
      <c r="S333" s="1170"/>
      <c r="T333" s="1170"/>
      <c r="U333" s="1170"/>
      <c r="V333" s="1170"/>
      <c r="W333" s="1438" t="e">
        <f t="shared" si="64"/>
        <v>#DIV/0!</v>
      </c>
      <c r="X333" s="1432"/>
      <c r="Y333" s="765"/>
    </row>
    <row r="334" spans="1:25" ht="22.5" customHeight="1" thickTop="1" thickBot="1" x14ac:dyDescent="0.3">
      <c r="A334" s="1287">
        <v>1</v>
      </c>
      <c r="B334" s="1288" t="s">
        <v>1378</v>
      </c>
      <c r="C334" s="1288" t="s">
        <v>1391</v>
      </c>
      <c r="D334" s="1288" t="s">
        <v>1378</v>
      </c>
      <c r="E334" s="1288" t="s">
        <v>1378</v>
      </c>
      <c r="F334" s="1288" t="s">
        <v>1378</v>
      </c>
      <c r="G334" s="1288" t="s">
        <v>1378</v>
      </c>
      <c r="H334" s="1288" t="s">
        <v>1575</v>
      </c>
      <c r="I334" s="1288"/>
      <c r="J334" s="1288"/>
      <c r="K334" s="754" t="s">
        <v>2390</v>
      </c>
      <c r="L334" s="1170"/>
      <c r="M334" s="1170"/>
      <c r="N334" s="1170"/>
      <c r="O334" s="1165">
        <f t="shared" si="63"/>
        <v>0</v>
      </c>
      <c r="P334" s="1170"/>
      <c r="Q334" s="1170"/>
      <c r="R334" s="1170"/>
      <c r="S334" s="1170"/>
      <c r="T334" s="1170"/>
      <c r="U334" s="1170"/>
      <c r="V334" s="1170"/>
      <c r="W334" s="1438" t="e">
        <f t="shared" si="64"/>
        <v>#DIV/0!</v>
      </c>
      <c r="X334" s="1432"/>
      <c r="Y334" s="765"/>
    </row>
    <row r="335" spans="1:25" ht="22.5" customHeight="1" thickTop="1" thickBot="1" x14ac:dyDescent="0.3">
      <c r="A335" s="1287">
        <v>1</v>
      </c>
      <c r="B335" s="1288" t="s">
        <v>1378</v>
      </c>
      <c r="C335" s="1288" t="s">
        <v>1391</v>
      </c>
      <c r="D335" s="1288" t="s">
        <v>1378</v>
      </c>
      <c r="E335" s="1288" t="s">
        <v>1378</v>
      </c>
      <c r="F335" s="1288" t="s">
        <v>1378</v>
      </c>
      <c r="G335" s="1288" t="s">
        <v>1391</v>
      </c>
      <c r="H335" s="1288"/>
      <c r="I335" s="1288"/>
      <c r="J335" s="1288"/>
      <c r="K335" s="754" t="s">
        <v>1561</v>
      </c>
      <c r="L335" s="1170">
        <f>SUM(L336:L346)</f>
        <v>0</v>
      </c>
      <c r="M335" s="1170">
        <f t="shared" ref="M335:V335" si="65">SUM(M336:M346)</f>
        <v>0</v>
      </c>
      <c r="N335" s="1170">
        <f t="shared" si="65"/>
        <v>0</v>
      </c>
      <c r="O335" s="1165">
        <f t="shared" si="63"/>
        <v>0</v>
      </c>
      <c r="P335" s="1170">
        <f t="shared" si="65"/>
        <v>0</v>
      </c>
      <c r="Q335" s="1170">
        <f t="shared" si="65"/>
        <v>0</v>
      </c>
      <c r="R335" s="1170">
        <f t="shared" si="65"/>
        <v>0</v>
      </c>
      <c r="S335" s="1170"/>
      <c r="T335" s="1170">
        <f t="shared" si="65"/>
        <v>0</v>
      </c>
      <c r="U335" s="1170">
        <f t="shared" si="65"/>
        <v>0</v>
      </c>
      <c r="V335" s="1170">
        <f t="shared" si="65"/>
        <v>0</v>
      </c>
      <c r="W335" s="1438" t="e">
        <f t="shared" si="64"/>
        <v>#DIV/0!</v>
      </c>
      <c r="X335" s="1432" t="s">
        <v>1562</v>
      </c>
      <c r="Y335" s="765"/>
    </row>
    <row r="336" spans="1:25" ht="22.5" customHeight="1" thickTop="1" thickBot="1" x14ac:dyDescent="0.3">
      <c r="A336" s="1287">
        <v>1</v>
      </c>
      <c r="B336" s="1288" t="s">
        <v>1378</v>
      </c>
      <c r="C336" s="1288" t="s">
        <v>1391</v>
      </c>
      <c r="D336" s="1288" t="s">
        <v>1378</v>
      </c>
      <c r="E336" s="1288" t="s">
        <v>1378</v>
      </c>
      <c r="F336" s="1288" t="s">
        <v>1378</v>
      </c>
      <c r="G336" s="1288" t="s">
        <v>1391</v>
      </c>
      <c r="H336" s="1288" t="s">
        <v>1378</v>
      </c>
      <c r="I336" s="1288"/>
      <c r="J336" s="1288"/>
      <c r="K336" s="754" t="s">
        <v>2391</v>
      </c>
      <c r="L336" s="1170"/>
      <c r="M336" s="1170"/>
      <c r="N336" s="1170"/>
      <c r="O336" s="1165">
        <f t="shared" si="63"/>
        <v>0</v>
      </c>
      <c r="P336" s="1170"/>
      <c r="Q336" s="1170"/>
      <c r="R336" s="1170"/>
      <c r="S336" s="1170"/>
      <c r="T336" s="1170"/>
      <c r="U336" s="1170"/>
      <c r="V336" s="1170"/>
      <c r="W336" s="1438" t="e">
        <f t="shared" si="64"/>
        <v>#DIV/0!</v>
      </c>
      <c r="X336" s="1432"/>
      <c r="Y336" s="765"/>
    </row>
    <row r="337" spans="1:25" ht="22.5" customHeight="1" thickTop="1" thickBot="1" x14ac:dyDescent="0.3">
      <c r="A337" s="1287">
        <v>1</v>
      </c>
      <c r="B337" s="1288" t="s">
        <v>1378</v>
      </c>
      <c r="C337" s="1288" t="s">
        <v>1391</v>
      </c>
      <c r="D337" s="1288" t="s">
        <v>1378</v>
      </c>
      <c r="E337" s="1288" t="s">
        <v>1378</v>
      </c>
      <c r="F337" s="1288" t="s">
        <v>1378</v>
      </c>
      <c r="G337" s="1288" t="s">
        <v>1391</v>
      </c>
      <c r="H337" s="1288" t="s">
        <v>1391</v>
      </c>
      <c r="I337" s="1288"/>
      <c r="J337" s="1288"/>
      <c r="K337" s="754" t="s">
        <v>2392</v>
      </c>
      <c r="L337" s="1170"/>
      <c r="M337" s="1170"/>
      <c r="N337" s="1170"/>
      <c r="O337" s="1165">
        <f t="shared" si="63"/>
        <v>0</v>
      </c>
      <c r="P337" s="1170"/>
      <c r="Q337" s="1170"/>
      <c r="R337" s="1170"/>
      <c r="S337" s="1170"/>
      <c r="T337" s="1170"/>
      <c r="U337" s="1170"/>
      <c r="V337" s="1170"/>
      <c r="W337" s="1438" t="e">
        <f t="shared" si="64"/>
        <v>#DIV/0!</v>
      </c>
      <c r="X337" s="1432"/>
      <c r="Y337" s="765"/>
    </row>
    <row r="338" spans="1:25" ht="22.5" customHeight="1" thickTop="1" thickBot="1" x14ac:dyDescent="0.3">
      <c r="A338" s="1287">
        <v>1</v>
      </c>
      <c r="B338" s="1288" t="s">
        <v>1378</v>
      </c>
      <c r="C338" s="1288" t="s">
        <v>1391</v>
      </c>
      <c r="D338" s="1288" t="s">
        <v>1378</v>
      </c>
      <c r="E338" s="1288" t="s">
        <v>1378</v>
      </c>
      <c r="F338" s="1288" t="s">
        <v>1378</v>
      </c>
      <c r="G338" s="1288" t="s">
        <v>1391</v>
      </c>
      <c r="H338" s="1288" t="s">
        <v>1415</v>
      </c>
      <c r="I338" s="1288"/>
      <c r="J338" s="1288"/>
      <c r="K338" s="754" t="s">
        <v>2393</v>
      </c>
      <c r="L338" s="1170"/>
      <c r="M338" s="1170"/>
      <c r="N338" s="1170"/>
      <c r="O338" s="1165">
        <f t="shared" si="63"/>
        <v>0</v>
      </c>
      <c r="P338" s="1170"/>
      <c r="Q338" s="1170"/>
      <c r="R338" s="1170"/>
      <c r="S338" s="1170"/>
      <c r="T338" s="1170"/>
      <c r="U338" s="1170"/>
      <c r="V338" s="1170"/>
      <c r="W338" s="1438" t="e">
        <f t="shared" si="64"/>
        <v>#DIV/0!</v>
      </c>
      <c r="X338" s="1432"/>
      <c r="Y338" s="765"/>
    </row>
    <row r="339" spans="1:25" ht="22.5" customHeight="1" thickTop="1" thickBot="1" x14ac:dyDescent="0.3">
      <c r="A339" s="1287">
        <v>1</v>
      </c>
      <c r="B339" s="1288" t="s">
        <v>1378</v>
      </c>
      <c r="C339" s="1288" t="s">
        <v>1391</v>
      </c>
      <c r="D339" s="1288" t="s">
        <v>1378</v>
      </c>
      <c r="E339" s="1288" t="s">
        <v>1378</v>
      </c>
      <c r="F339" s="1288" t="s">
        <v>1378</v>
      </c>
      <c r="G339" s="1288" t="s">
        <v>1391</v>
      </c>
      <c r="H339" s="1288" t="s">
        <v>1419</v>
      </c>
      <c r="I339" s="1288"/>
      <c r="J339" s="1288"/>
      <c r="K339" s="754" t="s">
        <v>2413</v>
      </c>
      <c r="L339" s="1170"/>
      <c r="M339" s="1170"/>
      <c r="N339" s="1170"/>
      <c r="O339" s="1165">
        <f t="shared" si="63"/>
        <v>0</v>
      </c>
      <c r="P339" s="1170"/>
      <c r="Q339" s="1170"/>
      <c r="R339" s="1170"/>
      <c r="S339" s="1170"/>
      <c r="T339" s="1170"/>
      <c r="U339" s="1170"/>
      <c r="V339" s="1170"/>
      <c r="W339" s="1438" t="e">
        <f t="shared" si="64"/>
        <v>#DIV/0!</v>
      </c>
      <c r="X339" s="1432"/>
      <c r="Y339" s="765"/>
    </row>
    <row r="340" spans="1:25" ht="22.5" customHeight="1" thickTop="1" thickBot="1" x14ac:dyDescent="0.3">
      <c r="A340" s="1287">
        <v>1</v>
      </c>
      <c r="B340" s="1288" t="s">
        <v>1378</v>
      </c>
      <c r="C340" s="1288" t="s">
        <v>1391</v>
      </c>
      <c r="D340" s="1288" t="s">
        <v>1378</v>
      </c>
      <c r="E340" s="1288" t="s">
        <v>1378</v>
      </c>
      <c r="F340" s="1288" t="s">
        <v>1378</v>
      </c>
      <c r="G340" s="1288" t="s">
        <v>1391</v>
      </c>
      <c r="H340" s="1288" t="s">
        <v>1444</v>
      </c>
      <c r="I340" s="1288"/>
      <c r="J340" s="1288"/>
      <c r="K340" s="754" t="s">
        <v>2394</v>
      </c>
      <c r="L340" s="1170"/>
      <c r="M340" s="1170"/>
      <c r="N340" s="1170"/>
      <c r="O340" s="1165">
        <f t="shared" si="63"/>
        <v>0</v>
      </c>
      <c r="P340" s="1170"/>
      <c r="Q340" s="1170"/>
      <c r="R340" s="1170"/>
      <c r="S340" s="1170"/>
      <c r="T340" s="1170"/>
      <c r="U340" s="1170"/>
      <c r="V340" s="1170"/>
      <c r="W340" s="1438" t="e">
        <f t="shared" si="64"/>
        <v>#DIV/0!</v>
      </c>
      <c r="X340" s="1432"/>
      <c r="Y340" s="765"/>
    </row>
    <row r="341" spans="1:25" ht="22.5" customHeight="1" thickTop="1" thickBot="1" x14ac:dyDescent="0.3">
      <c r="A341" s="1287">
        <v>1</v>
      </c>
      <c r="B341" s="1288" t="s">
        <v>1378</v>
      </c>
      <c r="C341" s="1288" t="s">
        <v>1391</v>
      </c>
      <c r="D341" s="1288" t="s">
        <v>1378</v>
      </c>
      <c r="E341" s="1288" t="s">
        <v>1378</v>
      </c>
      <c r="F341" s="1288" t="s">
        <v>1378</v>
      </c>
      <c r="G341" s="1288" t="s">
        <v>1391</v>
      </c>
      <c r="H341" s="1288" t="s">
        <v>1467</v>
      </c>
      <c r="I341" s="1288"/>
      <c r="J341" s="1288"/>
      <c r="K341" s="754" t="s">
        <v>2395</v>
      </c>
      <c r="L341" s="1170"/>
      <c r="M341" s="1170"/>
      <c r="N341" s="1170"/>
      <c r="O341" s="1165">
        <f t="shared" si="63"/>
        <v>0</v>
      </c>
      <c r="P341" s="1170"/>
      <c r="Q341" s="1170"/>
      <c r="R341" s="1170"/>
      <c r="S341" s="1170"/>
      <c r="T341" s="1170"/>
      <c r="U341" s="1170"/>
      <c r="V341" s="1170"/>
      <c r="W341" s="1438" t="e">
        <f t="shared" si="64"/>
        <v>#DIV/0!</v>
      </c>
      <c r="X341" s="1432"/>
      <c r="Y341" s="765"/>
    </row>
    <row r="342" spans="1:25" ht="22.5" customHeight="1" thickTop="1" thickBot="1" x14ac:dyDescent="0.3">
      <c r="A342" s="1287">
        <v>1</v>
      </c>
      <c r="B342" s="1288" t="s">
        <v>1378</v>
      </c>
      <c r="C342" s="1288" t="s">
        <v>1391</v>
      </c>
      <c r="D342" s="1288" t="s">
        <v>1378</v>
      </c>
      <c r="E342" s="1288" t="s">
        <v>1378</v>
      </c>
      <c r="F342" s="1288" t="s">
        <v>1378</v>
      </c>
      <c r="G342" s="1288" t="s">
        <v>1391</v>
      </c>
      <c r="H342" s="1288" t="s">
        <v>1471</v>
      </c>
      <c r="I342" s="1288"/>
      <c r="J342" s="1288"/>
      <c r="K342" s="754" t="s">
        <v>2396</v>
      </c>
      <c r="L342" s="1170"/>
      <c r="M342" s="1170"/>
      <c r="N342" s="1170"/>
      <c r="O342" s="1165">
        <f t="shared" si="63"/>
        <v>0</v>
      </c>
      <c r="P342" s="1170"/>
      <c r="Q342" s="1170"/>
      <c r="R342" s="1170"/>
      <c r="S342" s="1170"/>
      <c r="T342" s="1170"/>
      <c r="U342" s="1170"/>
      <c r="V342" s="1170"/>
      <c r="W342" s="1438" t="e">
        <f t="shared" si="64"/>
        <v>#DIV/0!</v>
      </c>
      <c r="X342" s="1432"/>
      <c r="Y342" s="765"/>
    </row>
    <row r="343" spans="1:25" ht="22.5" customHeight="1" thickTop="1" thickBot="1" x14ac:dyDescent="0.3">
      <c r="A343" s="1287">
        <v>1</v>
      </c>
      <c r="B343" s="1288" t="s">
        <v>1378</v>
      </c>
      <c r="C343" s="1288" t="s">
        <v>1391</v>
      </c>
      <c r="D343" s="1288" t="s">
        <v>1378</v>
      </c>
      <c r="E343" s="1288" t="s">
        <v>1378</v>
      </c>
      <c r="F343" s="1288" t="s">
        <v>1378</v>
      </c>
      <c r="G343" s="1288" t="s">
        <v>1391</v>
      </c>
      <c r="H343" s="1288" t="s">
        <v>1475</v>
      </c>
      <c r="I343" s="1288"/>
      <c r="J343" s="1288"/>
      <c r="K343" s="754" t="s">
        <v>2397</v>
      </c>
      <c r="L343" s="1170"/>
      <c r="M343" s="1170"/>
      <c r="N343" s="1170"/>
      <c r="O343" s="1165">
        <f t="shared" si="63"/>
        <v>0</v>
      </c>
      <c r="P343" s="1170"/>
      <c r="Q343" s="1170"/>
      <c r="R343" s="1170"/>
      <c r="S343" s="1170"/>
      <c r="T343" s="1170"/>
      <c r="U343" s="1170"/>
      <c r="V343" s="1170"/>
      <c r="W343" s="1438" t="e">
        <f t="shared" si="64"/>
        <v>#DIV/0!</v>
      </c>
      <c r="X343" s="1432"/>
      <c r="Y343" s="765"/>
    </row>
    <row r="344" spans="1:25" ht="22.5" customHeight="1" thickTop="1" thickBot="1" x14ac:dyDescent="0.3">
      <c r="A344" s="1287">
        <v>1</v>
      </c>
      <c r="B344" s="1288" t="s">
        <v>1378</v>
      </c>
      <c r="C344" s="1288" t="s">
        <v>1391</v>
      </c>
      <c r="D344" s="1288" t="s">
        <v>1378</v>
      </c>
      <c r="E344" s="1288" t="s">
        <v>1378</v>
      </c>
      <c r="F344" s="1288" t="s">
        <v>1378</v>
      </c>
      <c r="G344" s="1288" t="s">
        <v>1391</v>
      </c>
      <c r="H344" s="1288" t="s">
        <v>1573</v>
      </c>
      <c r="I344" s="1288"/>
      <c r="J344" s="1288"/>
      <c r="K344" s="754" t="s">
        <v>2398</v>
      </c>
      <c r="L344" s="1170"/>
      <c r="M344" s="1170"/>
      <c r="N344" s="1170"/>
      <c r="O344" s="1165">
        <f t="shared" si="63"/>
        <v>0</v>
      </c>
      <c r="P344" s="1170"/>
      <c r="Q344" s="1170"/>
      <c r="R344" s="1170"/>
      <c r="S344" s="1170"/>
      <c r="T344" s="1170"/>
      <c r="U344" s="1170"/>
      <c r="V344" s="1170"/>
      <c r="W344" s="1438" t="e">
        <f t="shared" si="64"/>
        <v>#DIV/0!</v>
      </c>
      <c r="X344" s="1432"/>
      <c r="Y344" s="765"/>
    </row>
    <row r="345" spans="1:25" ht="22.5" customHeight="1" thickTop="1" thickBot="1" x14ac:dyDescent="0.3">
      <c r="A345" s="1287">
        <v>1</v>
      </c>
      <c r="B345" s="1288" t="s">
        <v>1378</v>
      </c>
      <c r="C345" s="1288" t="s">
        <v>1391</v>
      </c>
      <c r="D345" s="1288" t="s">
        <v>1378</v>
      </c>
      <c r="E345" s="1288" t="s">
        <v>1378</v>
      </c>
      <c r="F345" s="1288" t="s">
        <v>1378</v>
      </c>
      <c r="G345" s="1288" t="s">
        <v>1391</v>
      </c>
      <c r="H345" s="1288" t="s">
        <v>1574</v>
      </c>
      <c r="I345" s="1288"/>
      <c r="J345" s="1288"/>
      <c r="K345" s="754" t="s">
        <v>2399</v>
      </c>
      <c r="L345" s="1170"/>
      <c r="M345" s="1170"/>
      <c r="N345" s="1170"/>
      <c r="O345" s="1165">
        <f t="shared" si="63"/>
        <v>0</v>
      </c>
      <c r="P345" s="1170"/>
      <c r="Q345" s="1170"/>
      <c r="R345" s="1170"/>
      <c r="S345" s="1170"/>
      <c r="T345" s="1170"/>
      <c r="U345" s="1170"/>
      <c r="V345" s="1170"/>
      <c r="W345" s="1438" t="e">
        <f t="shared" si="64"/>
        <v>#DIV/0!</v>
      </c>
      <c r="X345" s="1432"/>
      <c r="Y345" s="765"/>
    </row>
    <row r="346" spans="1:25" ht="22.5" customHeight="1" thickTop="1" thickBot="1" x14ac:dyDescent="0.3">
      <c r="A346" s="1287">
        <v>1</v>
      </c>
      <c r="B346" s="1288" t="s">
        <v>1378</v>
      </c>
      <c r="C346" s="1288" t="s">
        <v>1391</v>
      </c>
      <c r="D346" s="1288" t="s">
        <v>1378</v>
      </c>
      <c r="E346" s="1288" t="s">
        <v>1378</v>
      </c>
      <c r="F346" s="1288" t="s">
        <v>1378</v>
      </c>
      <c r="G346" s="1288" t="s">
        <v>1391</v>
      </c>
      <c r="H346" s="1288" t="s">
        <v>1575</v>
      </c>
      <c r="I346" s="1288"/>
      <c r="J346" s="1288"/>
      <c r="K346" s="754" t="s">
        <v>2400</v>
      </c>
      <c r="L346" s="1170"/>
      <c r="M346" s="1170"/>
      <c r="N346" s="1170"/>
      <c r="O346" s="1165">
        <f t="shared" si="63"/>
        <v>0</v>
      </c>
      <c r="P346" s="1170"/>
      <c r="Q346" s="1170"/>
      <c r="R346" s="1170"/>
      <c r="S346" s="1170"/>
      <c r="T346" s="1170"/>
      <c r="U346" s="1170"/>
      <c r="V346" s="1170"/>
      <c r="W346" s="1438" t="e">
        <f t="shared" si="64"/>
        <v>#DIV/0!</v>
      </c>
      <c r="X346" s="1432"/>
      <c r="Y346" s="765"/>
    </row>
    <row r="347" spans="1:25" s="183" customFormat="1" ht="22.5" customHeight="1" thickTop="1" thickBot="1" x14ac:dyDescent="0.3">
      <c r="A347" s="1285">
        <v>1</v>
      </c>
      <c r="B347" s="1286" t="s">
        <v>1378</v>
      </c>
      <c r="C347" s="1286" t="s">
        <v>1391</v>
      </c>
      <c r="D347" s="1286" t="s">
        <v>1378</v>
      </c>
      <c r="E347" s="1286" t="s">
        <v>1378</v>
      </c>
      <c r="F347" s="1286" t="s">
        <v>1391</v>
      </c>
      <c r="G347" s="1286"/>
      <c r="H347" s="1286"/>
      <c r="I347" s="1286"/>
      <c r="J347" s="1286"/>
      <c r="K347" s="753" t="s">
        <v>1563</v>
      </c>
      <c r="L347" s="1165">
        <f>+L348+L360</f>
        <v>0</v>
      </c>
      <c r="M347" s="1165">
        <f t="shared" ref="M347:V347" si="66">+M348+M360</f>
        <v>0</v>
      </c>
      <c r="N347" s="1165">
        <f t="shared" si="66"/>
        <v>0</v>
      </c>
      <c r="O347" s="1165">
        <f t="shared" si="63"/>
        <v>0</v>
      </c>
      <c r="P347" s="1165">
        <f t="shared" si="66"/>
        <v>0</v>
      </c>
      <c r="Q347" s="1165">
        <f t="shared" si="66"/>
        <v>0</v>
      </c>
      <c r="R347" s="1165">
        <f t="shared" si="66"/>
        <v>0</v>
      </c>
      <c r="S347" s="1165"/>
      <c r="T347" s="1165">
        <f t="shared" si="66"/>
        <v>0</v>
      </c>
      <c r="U347" s="1165">
        <f t="shared" si="66"/>
        <v>0</v>
      </c>
      <c r="V347" s="1165">
        <f t="shared" si="66"/>
        <v>0</v>
      </c>
      <c r="W347" s="1436" t="e">
        <f t="shared" si="64"/>
        <v>#DIV/0!</v>
      </c>
      <c r="X347" s="1432" t="s">
        <v>1564</v>
      </c>
      <c r="Y347" s="765"/>
    </row>
    <row r="348" spans="1:25" ht="22.5" customHeight="1" thickTop="1" thickBot="1" x14ac:dyDescent="0.3">
      <c r="A348" s="1287">
        <v>1</v>
      </c>
      <c r="B348" s="1288" t="s">
        <v>1378</v>
      </c>
      <c r="C348" s="1288" t="s">
        <v>1391</v>
      </c>
      <c r="D348" s="1288" t="s">
        <v>1378</v>
      </c>
      <c r="E348" s="1288" t="s">
        <v>1378</v>
      </c>
      <c r="F348" s="1288" t="s">
        <v>1391</v>
      </c>
      <c r="G348" s="1288" t="s">
        <v>1378</v>
      </c>
      <c r="H348" s="1288"/>
      <c r="I348" s="1288"/>
      <c r="J348" s="1288"/>
      <c r="K348" s="754" t="s">
        <v>2014</v>
      </c>
      <c r="L348" s="1170">
        <f>SUM(L349:L359)</f>
        <v>0</v>
      </c>
      <c r="M348" s="1170">
        <f t="shared" ref="M348:V348" si="67">SUM(M349:M359)</f>
        <v>0</v>
      </c>
      <c r="N348" s="1170">
        <f t="shared" si="67"/>
        <v>0</v>
      </c>
      <c r="O348" s="1165">
        <f t="shared" si="63"/>
        <v>0</v>
      </c>
      <c r="P348" s="1170">
        <f t="shared" si="67"/>
        <v>0</v>
      </c>
      <c r="Q348" s="1170">
        <f t="shared" si="67"/>
        <v>0</v>
      </c>
      <c r="R348" s="1170">
        <f t="shared" si="67"/>
        <v>0</v>
      </c>
      <c r="S348" s="1170"/>
      <c r="T348" s="1170">
        <f t="shared" si="67"/>
        <v>0</v>
      </c>
      <c r="U348" s="1170">
        <f t="shared" si="67"/>
        <v>0</v>
      </c>
      <c r="V348" s="1170">
        <f t="shared" si="67"/>
        <v>0</v>
      </c>
      <c r="W348" s="1438" t="e">
        <f t="shared" si="64"/>
        <v>#DIV/0!</v>
      </c>
      <c r="X348" s="1432" t="s">
        <v>2016</v>
      </c>
      <c r="Y348" s="765"/>
    </row>
    <row r="349" spans="1:25" ht="22.5" customHeight="1" thickTop="1" thickBot="1" x14ac:dyDescent="0.3">
      <c r="A349" s="1287">
        <v>1</v>
      </c>
      <c r="B349" s="1288" t="s">
        <v>1378</v>
      </c>
      <c r="C349" s="1288" t="s">
        <v>1391</v>
      </c>
      <c r="D349" s="1288" t="s">
        <v>1378</v>
      </c>
      <c r="E349" s="1288" t="s">
        <v>1378</v>
      </c>
      <c r="F349" s="1288" t="s">
        <v>1391</v>
      </c>
      <c r="G349" s="1288" t="s">
        <v>1378</v>
      </c>
      <c r="H349" s="1288" t="s">
        <v>1378</v>
      </c>
      <c r="I349" s="1288"/>
      <c r="J349" s="1288"/>
      <c r="K349" s="754" t="s">
        <v>2414</v>
      </c>
      <c r="L349" s="1170"/>
      <c r="M349" s="1170"/>
      <c r="N349" s="1170"/>
      <c r="O349" s="1165">
        <f t="shared" si="63"/>
        <v>0</v>
      </c>
      <c r="P349" s="1170"/>
      <c r="Q349" s="1170"/>
      <c r="R349" s="1170"/>
      <c r="S349" s="1170"/>
      <c r="T349" s="1170"/>
      <c r="U349" s="1170"/>
      <c r="V349" s="1170"/>
      <c r="W349" s="1438" t="e">
        <f t="shared" si="64"/>
        <v>#DIV/0!</v>
      </c>
      <c r="X349" s="1432"/>
      <c r="Y349" s="765"/>
    </row>
    <row r="350" spans="1:25" ht="22.5" customHeight="1" thickTop="1" thickBot="1" x14ac:dyDescent="0.3">
      <c r="A350" s="1287">
        <v>1</v>
      </c>
      <c r="B350" s="1288" t="s">
        <v>1378</v>
      </c>
      <c r="C350" s="1288" t="s">
        <v>1391</v>
      </c>
      <c r="D350" s="1288" t="s">
        <v>1378</v>
      </c>
      <c r="E350" s="1288" t="s">
        <v>1378</v>
      </c>
      <c r="F350" s="1288" t="s">
        <v>1391</v>
      </c>
      <c r="G350" s="1288" t="s">
        <v>1378</v>
      </c>
      <c r="H350" s="1288" t="s">
        <v>1391</v>
      </c>
      <c r="I350" s="1288"/>
      <c r="J350" s="1288"/>
      <c r="K350" s="754" t="s">
        <v>2415</v>
      </c>
      <c r="L350" s="1170"/>
      <c r="M350" s="1170"/>
      <c r="N350" s="1170"/>
      <c r="O350" s="1165">
        <f t="shared" si="63"/>
        <v>0</v>
      </c>
      <c r="P350" s="1170"/>
      <c r="Q350" s="1170"/>
      <c r="R350" s="1170"/>
      <c r="S350" s="1170"/>
      <c r="T350" s="1170"/>
      <c r="U350" s="1170"/>
      <c r="V350" s="1170"/>
      <c r="W350" s="1438" t="e">
        <f t="shared" si="64"/>
        <v>#DIV/0!</v>
      </c>
      <c r="X350" s="1432"/>
      <c r="Y350" s="765"/>
    </row>
    <row r="351" spans="1:25" ht="22.5" customHeight="1" thickTop="1" thickBot="1" x14ac:dyDescent="0.3">
      <c r="A351" s="1287">
        <v>1</v>
      </c>
      <c r="B351" s="1288" t="s">
        <v>1378</v>
      </c>
      <c r="C351" s="1288" t="s">
        <v>1391</v>
      </c>
      <c r="D351" s="1288" t="s">
        <v>1378</v>
      </c>
      <c r="E351" s="1288" t="s">
        <v>1378</v>
      </c>
      <c r="F351" s="1288" t="s">
        <v>1391</v>
      </c>
      <c r="G351" s="1288" t="s">
        <v>1378</v>
      </c>
      <c r="H351" s="1288" t="s">
        <v>1415</v>
      </c>
      <c r="I351" s="1288"/>
      <c r="J351" s="1288"/>
      <c r="K351" s="754" t="s">
        <v>2401</v>
      </c>
      <c r="L351" s="1170"/>
      <c r="M351" s="1170"/>
      <c r="N351" s="1170"/>
      <c r="O351" s="1165">
        <f t="shared" si="63"/>
        <v>0</v>
      </c>
      <c r="P351" s="1170"/>
      <c r="Q351" s="1170"/>
      <c r="R351" s="1170"/>
      <c r="S351" s="1170"/>
      <c r="T351" s="1170"/>
      <c r="U351" s="1170"/>
      <c r="V351" s="1170"/>
      <c r="W351" s="1438" t="e">
        <f t="shared" si="64"/>
        <v>#DIV/0!</v>
      </c>
      <c r="X351" s="1432"/>
      <c r="Y351" s="765"/>
    </row>
    <row r="352" spans="1:25" ht="22.5" customHeight="1" thickTop="1" thickBot="1" x14ac:dyDescent="0.3">
      <c r="A352" s="1287">
        <v>1</v>
      </c>
      <c r="B352" s="1288" t="s">
        <v>1378</v>
      </c>
      <c r="C352" s="1288" t="s">
        <v>1391</v>
      </c>
      <c r="D352" s="1288" t="s">
        <v>1378</v>
      </c>
      <c r="E352" s="1288" t="s">
        <v>1378</v>
      </c>
      <c r="F352" s="1288" t="s">
        <v>1391</v>
      </c>
      <c r="G352" s="1288" t="s">
        <v>1378</v>
      </c>
      <c r="H352" s="1288" t="s">
        <v>1419</v>
      </c>
      <c r="I352" s="1288"/>
      <c r="J352" s="1288"/>
      <c r="K352" s="754" t="s">
        <v>2415</v>
      </c>
      <c r="L352" s="1170"/>
      <c r="M352" s="1170"/>
      <c r="N352" s="1170"/>
      <c r="O352" s="1165">
        <f t="shared" si="63"/>
        <v>0</v>
      </c>
      <c r="P352" s="1170"/>
      <c r="Q352" s="1170"/>
      <c r="R352" s="1170"/>
      <c r="S352" s="1170"/>
      <c r="T352" s="1170"/>
      <c r="U352" s="1170"/>
      <c r="V352" s="1170"/>
      <c r="W352" s="1438" t="e">
        <f t="shared" si="64"/>
        <v>#DIV/0!</v>
      </c>
      <c r="X352" s="1432"/>
      <c r="Y352" s="765"/>
    </row>
    <row r="353" spans="1:25" ht="22.5" customHeight="1" thickTop="1" thickBot="1" x14ac:dyDescent="0.3">
      <c r="A353" s="1287">
        <v>1</v>
      </c>
      <c r="B353" s="1288" t="s">
        <v>1378</v>
      </c>
      <c r="C353" s="1288" t="s">
        <v>1391</v>
      </c>
      <c r="D353" s="1288" t="s">
        <v>1378</v>
      </c>
      <c r="E353" s="1288" t="s">
        <v>1378</v>
      </c>
      <c r="F353" s="1288" t="s">
        <v>1391</v>
      </c>
      <c r="G353" s="1288" t="s">
        <v>1378</v>
      </c>
      <c r="H353" s="1288" t="s">
        <v>1444</v>
      </c>
      <c r="I353" s="1288"/>
      <c r="J353" s="1288"/>
      <c r="K353" s="754" t="s">
        <v>2402</v>
      </c>
      <c r="L353" s="1170"/>
      <c r="M353" s="1170"/>
      <c r="N353" s="1170"/>
      <c r="O353" s="1165">
        <f t="shared" si="63"/>
        <v>0</v>
      </c>
      <c r="P353" s="1170"/>
      <c r="Q353" s="1170"/>
      <c r="R353" s="1170"/>
      <c r="S353" s="1170"/>
      <c r="T353" s="1170"/>
      <c r="U353" s="1170"/>
      <c r="V353" s="1170"/>
      <c r="W353" s="1438" t="e">
        <f t="shared" si="64"/>
        <v>#DIV/0!</v>
      </c>
      <c r="X353" s="1432"/>
      <c r="Y353" s="765"/>
    </row>
    <row r="354" spans="1:25" ht="22.5" customHeight="1" thickTop="1" thickBot="1" x14ac:dyDescent="0.3">
      <c r="A354" s="1287">
        <v>1</v>
      </c>
      <c r="B354" s="1288" t="s">
        <v>1378</v>
      </c>
      <c r="C354" s="1288" t="s">
        <v>1391</v>
      </c>
      <c r="D354" s="1288" t="s">
        <v>1378</v>
      </c>
      <c r="E354" s="1288" t="s">
        <v>1378</v>
      </c>
      <c r="F354" s="1288" t="s">
        <v>1391</v>
      </c>
      <c r="G354" s="1288" t="s">
        <v>1378</v>
      </c>
      <c r="H354" s="1288" t="s">
        <v>1467</v>
      </c>
      <c r="I354" s="1288"/>
      <c r="J354" s="1288"/>
      <c r="K354" s="754" t="s">
        <v>2403</v>
      </c>
      <c r="L354" s="1170"/>
      <c r="M354" s="1170"/>
      <c r="N354" s="1170"/>
      <c r="O354" s="1165">
        <f t="shared" si="63"/>
        <v>0</v>
      </c>
      <c r="P354" s="1170"/>
      <c r="Q354" s="1170"/>
      <c r="R354" s="1170"/>
      <c r="S354" s="1170"/>
      <c r="T354" s="1170"/>
      <c r="U354" s="1170"/>
      <c r="V354" s="1170"/>
      <c r="W354" s="1438" t="e">
        <f t="shared" si="64"/>
        <v>#DIV/0!</v>
      </c>
      <c r="X354" s="1432"/>
      <c r="Y354" s="765"/>
    </row>
    <row r="355" spans="1:25" ht="22.5" customHeight="1" thickTop="1" thickBot="1" x14ac:dyDescent="0.3">
      <c r="A355" s="1287">
        <v>1</v>
      </c>
      <c r="B355" s="1288" t="s">
        <v>1378</v>
      </c>
      <c r="C355" s="1288" t="s">
        <v>1391</v>
      </c>
      <c r="D355" s="1288" t="s">
        <v>1378</v>
      </c>
      <c r="E355" s="1288" t="s">
        <v>1378</v>
      </c>
      <c r="F355" s="1288" t="s">
        <v>1391</v>
      </c>
      <c r="G355" s="1288" t="s">
        <v>1378</v>
      </c>
      <c r="H355" s="1288" t="s">
        <v>1471</v>
      </c>
      <c r="I355" s="1288"/>
      <c r="J355" s="1288"/>
      <c r="K355" s="754" t="s">
        <v>2404</v>
      </c>
      <c r="L355" s="1170"/>
      <c r="M355" s="1170"/>
      <c r="N355" s="1170"/>
      <c r="O355" s="1165">
        <f t="shared" si="63"/>
        <v>0</v>
      </c>
      <c r="P355" s="1170"/>
      <c r="Q355" s="1170"/>
      <c r="R355" s="1170"/>
      <c r="S355" s="1170"/>
      <c r="T355" s="1170"/>
      <c r="U355" s="1170"/>
      <c r="V355" s="1170"/>
      <c r="W355" s="1438" t="e">
        <f t="shared" si="64"/>
        <v>#DIV/0!</v>
      </c>
      <c r="X355" s="1432"/>
      <c r="Y355" s="765"/>
    </row>
    <row r="356" spans="1:25" ht="22.5" customHeight="1" thickTop="1" thickBot="1" x14ac:dyDescent="0.3">
      <c r="A356" s="1287">
        <v>1</v>
      </c>
      <c r="B356" s="1288" t="s">
        <v>1378</v>
      </c>
      <c r="C356" s="1288" t="s">
        <v>1391</v>
      </c>
      <c r="D356" s="1288" t="s">
        <v>1378</v>
      </c>
      <c r="E356" s="1288" t="s">
        <v>1378</v>
      </c>
      <c r="F356" s="1288" t="s">
        <v>1391</v>
      </c>
      <c r="G356" s="1288" t="s">
        <v>1378</v>
      </c>
      <c r="H356" s="1288" t="s">
        <v>1475</v>
      </c>
      <c r="I356" s="1288"/>
      <c r="J356" s="1288"/>
      <c r="K356" s="754" t="s">
        <v>2405</v>
      </c>
      <c r="L356" s="1170"/>
      <c r="M356" s="1170"/>
      <c r="N356" s="1170"/>
      <c r="O356" s="1165">
        <f t="shared" si="63"/>
        <v>0</v>
      </c>
      <c r="P356" s="1170"/>
      <c r="Q356" s="1170"/>
      <c r="R356" s="1170"/>
      <c r="S356" s="1170"/>
      <c r="T356" s="1170"/>
      <c r="U356" s="1170"/>
      <c r="V356" s="1170"/>
      <c r="W356" s="1438" t="e">
        <f t="shared" si="64"/>
        <v>#DIV/0!</v>
      </c>
      <c r="X356" s="1432"/>
      <c r="Y356" s="765"/>
    </row>
    <row r="357" spans="1:25" ht="22.5" customHeight="1" thickTop="1" thickBot="1" x14ac:dyDescent="0.3">
      <c r="A357" s="1287">
        <v>1</v>
      </c>
      <c r="B357" s="1288" t="s">
        <v>1378</v>
      </c>
      <c r="C357" s="1288" t="s">
        <v>1391</v>
      </c>
      <c r="D357" s="1288" t="s">
        <v>1378</v>
      </c>
      <c r="E357" s="1288" t="s">
        <v>1378</v>
      </c>
      <c r="F357" s="1288" t="s">
        <v>1391</v>
      </c>
      <c r="G357" s="1288" t="s">
        <v>1378</v>
      </c>
      <c r="H357" s="1288" t="s">
        <v>1573</v>
      </c>
      <c r="I357" s="1288"/>
      <c r="J357" s="1288"/>
      <c r="K357" s="754" t="s">
        <v>2406</v>
      </c>
      <c r="L357" s="1170"/>
      <c r="M357" s="1170"/>
      <c r="N357" s="1170"/>
      <c r="O357" s="1165">
        <f t="shared" si="63"/>
        <v>0</v>
      </c>
      <c r="P357" s="1170"/>
      <c r="Q357" s="1170"/>
      <c r="R357" s="1170"/>
      <c r="S357" s="1170"/>
      <c r="T357" s="1170"/>
      <c r="U357" s="1170"/>
      <c r="V357" s="1170"/>
      <c r="W357" s="1438" t="e">
        <f t="shared" si="64"/>
        <v>#DIV/0!</v>
      </c>
      <c r="X357" s="1432"/>
      <c r="Y357" s="765"/>
    </row>
    <row r="358" spans="1:25" ht="22.5" customHeight="1" thickTop="1" thickBot="1" x14ac:dyDescent="0.3">
      <c r="A358" s="1287">
        <v>1</v>
      </c>
      <c r="B358" s="1288" t="s">
        <v>1378</v>
      </c>
      <c r="C358" s="1288" t="s">
        <v>1391</v>
      </c>
      <c r="D358" s="1288" t="s">
        <v>1378</v>
      </c>
      <c r="E358" s="1288" t="s">
        <v>1378</v>
      </c>
      <c r="F358" s="1288" t="s">
        <v>1391</v>
      </c>
      <c r="G358" s="1288" t="s">
        <v>1378</v>
      </c>
      <c r="H358" s="1288" t="s">
        <v>1574</v>
      </c>
      <c r="I358" s="1288"/>
      <c r="J358" s="1288"/>
      <c r="K358" s="754" t="s">
        <v>2407</v>
      </c>
      <c r="L358" s="1170"/>
      <c r="M358" s="1170"/>
      <c r="N358" s="1170"/>
      <c r="O358" s="1165">
        <f t="shared" si="63"/>
        <v>0</v>
      </c>
      <c r="P358" s="1170"/>
      <c r="Q358" s="1170"/>
      <c r="R358" s="1170"/>
      <c r="S358" s="1170"/>
      <c r="T358" s="1170"/>
      <c r="U358" s="1170"/>
      <c r="V358" s="1170"/>
      <c r="W358" s="1438" t="e">
        <f t="shared" si="64"/>
        <v>#DIV/0!</v>
      </c>
      <c r="X358" s="1432"/>
      <c r="Y358" s="765"/>
    </row>
    <row r="359" spans="1:25" ht="22.5" customHeight="1" thickTop="1" thickBot="1" x14ac:dyDescent="0.3">
      <c r="A359" s="1287">
        <v>1</v>
      </c>
      <c r="B359" s="1288" t="s">
        <v>1378</v>
      </c>
      <c r="C359" s="1288" t="s">
        <v>1391</v>
      </c>
      <c r="D359" s="1288" t="s">
        <v>1378</v>
      </c>
      <c r="E359" s="1288" t="s">
        <v>1378</v>
      </c>
      <c r="F359" s="1288" t="s">
        <v>1391</v>
      </c>
      <c r="G359" s="1288" t="s">
        <v>1378</v>
      </c>
      <c r="H359" s="1288" t="s">
        <v>1575</v>
      </c>
      <c r="I359" s="1288"/>
      <c r="J359" s="1288"/>
      <c r="K359" s="754" t="s">
        <v>2408</v>
      </c>
      <c r="L359" s="1170"/>
      <c r="M359" s="1170"/>
      <c r="N359" s="1170"/>
      <c r="O359" s="1165">
        <f t="shared" si="63"/>
        <v>0</v>
      </c>
      <c r="P359" s="1170"/>
      <c r="Q359" s="1170"/>
      <c r="R359" s="1170"/>
      <c r="S359" s="1170"/>
      <c r="T359" s="1170"/>
      <c r="U359" s="1170"/>
      <c r="V359" s="1170"/>
      <c r="W359" s="1438" t="e">
        <f t="shared" si="64"/>
        <v>#DIV/0!</v>
      </c>
      <c r="X359" s="1432"/>
      <c r="Y359" s="765"/>
    </row>
    <row r="360" spans="1:25" ht="22.5" customHeight="1" thickTop="1" thickBot="1" x14ac:dyDescent="0.3">
      <c r="A360" s="1287">
        <v>1</v>
      </c>
      <c r="B360" s="1288" t="s">
        <v>1378</v>
      </c>
      <c r="C360" s="1288" t="s">
        <v>1391</v>
      </c>
      <c r="D360" s="1288" t="s">
        <v>1378</v>
      </c>
      <c r="E360" s="1288" t="s">
        <v>1378</v>
      </c>
      <c r="F360" s="1288" t="s">
        <v>1391</v>
      </c>
      <c r="G360" s="1288" t="s">
        <v>1391</v>
      </c>
      <c r="H360" s="1288"/>
      <c r="I360" s="1288"/>
      <c r="J360" s="1288"/>
      <c r="K360" s="754" t="s">
        <v>1565</v>
      </c>
      <c r="L360" s="1170">
        <f>SUM(L361:L371)</f>
        <v>0</v>
      </c>
      <c r="M360" s="1170">
        <f t="shared" ref="M360:V360" si="68">SUM(M361:M371)</f>
        <v>0</v>
      </c>
      <c r="N360" s="1170">
        <f t="shared" si="68"/>
        <v>0</v>
      </c>
      <c r="O360" s="1165">
        <f t="shared" si="63"/>
        <v>0</v>
      </c>
      <c r="P360" s="1170">
        <f t="shared" si="68"/>
        <v>0</v>
      </c>
      <c r="Q360" s="1170">
        <f t="shared" si="68"/>
        <v>0</v>
      </c>
      <c r="R360" s="1170">
        <f t="shared" si="68"/>
        <v>0</v>
      </c>
      <c r="S360" s="1170"/>
      <c r="T360" s="1170">
        <f t="shared" si="68"/>
        <v>0</v>
      </c>
      <c r="U360" s="1170">
        <f t="shared" si="68"/>
        <v>0</v>
      </c>
      <c r="V360" s="1170">
        <f t="shared" si="68"/>
        <v>0</v>
      </c>
      <c r="W360" s="1438" t="e">
        <f t="shared" si="64"/>
        <v>#DIV/0!</v>
      </c>
      <c r="X360" s="1432" t="s">
        <v>1566</v>
      </c>
      <c r="Y360" s="765"/>
    </row>
    <row r="361" spans="1:25" ht="22.5" customHeight="1" thickTop="1" thickBot="1" x14ac:dyDescent="0.3">
      <c r="A361" s="1287">
        <v>1</v>
      </c>
      <c r="B361" s="1288" t="s">
        <v>1378</v>
      </c>
      <c r="C361" s="1288" t="s">
        <v>1391</v>
      </c>
      <c r="D361" s="1288" t="s">
        <v>1378</v>
      </c>
      <c r="E361" s="1288" t="s">
        <v>1378</v>
      </c>
      <c r="F361" s="1288" t="s">
        <v>1391</v>
      </c>
      <c r="G361" s="1288" t="s">
        <v>1391</v>
      </c>
      <c r="H361" s="1288" t="s">
        <v>1378</v>
      </c>
      <c r="I361" s="1288"/>
      <c r="J361" s="1288"/>
      <c r="K361" s="754" t="s">
        <v>2416</v>
      </c>
      <c r="L361" s="1170"/>
      <c r="M361" s="1170"/>
      <c r="N361" s="1170"/>
      <c r="O361" s="1165">
        <f t="shared" si="63"/>
        <v>0</v>
      </c>
      <c r="P361" s="1170"/>
      <c r="Q361" s="1170"/>
      <c r="R361" s="1170"/>
      <c r="S361" s="1170"/>
      <c r="T361" s="1170"/>
      <c r="U361" s="1170"/>
      <c r="V361" s="1170"/>
      <c r="W361" s="1438" t="e">
        <f t="shared" si="64"/>
        <v>#DIV/0!</v>
      </c>
      <c r="X361" s="1432"/>
      <c r="Y361" s="765"/>
    </row>
    <row r="362" spans="1:25" ht="22.5" customHeight="1" thickTop="1" thickBot="1" x14ac:dyDescent="0.3">
      <c r="A362" s="1287">
        <v>1</v>
      </c>
      <c r="B362" s="1288" t="s">
        <v>1378</v>
      </c>
      <c r="C362" s="1288" t="s">
        <v>1391</v>
      </c>
      <c r="D362" s="1288" t="s">
        <v>1378</v>
      </c>
      <c r="E362" s="1288" t="s">
        <v>1378</v>
      </c>
      <c r="F362" s="1288" t="s">
        <v>1391</v>
      </c>
      <c r="G362" s="1288" t="s">
        <v>1391</v>
      </c>
      <c r="H362" s="1288" t="s">
        <v>1391</v>
      </c>
      <c r="I362" s="1288"/>
      <c r="J362" s="1288"/>
      <c r="K362" s="754" t="s">
        <v>2417</v>
      </c>
      <c r="L362" s="1170"/>
      <c r="M362" s="1170"/>
      <c r="N362" s="1170"/>
      <c r="O362" s="1165">
        <f t="shared" si="63"/>
        <v>0</v>
      </c>
      <c r="P362" s="1170"/>
      <c r="Q362" s="1170"/>
      <c r="R362" s="1170"/>
      <c r="S362" s="1170"/>
      <c r="T362" s="1170"/>
      <c r="U362" s="1170"/>
      <c r="V362" s="1170"/>
      <c r="W362" s="1438" t="e">
        <f t="shared" si="64"/>
        <v>#DIV/0!</v>
      </c>
      <c r="X362" s="1432"/>
      <c r="Y362" s="765"/>
    </row>
    <row r="363" spans="1:25" ht="22.5" customHeight="1" thickTop="1" thickBot="1" x14ac:dyDescent="0.3">
      <c r="A363" s="1287">
        <v>1</v>
      </c>
      <c r="B363" s="1288" t="s">
        <v>1378</v>
      </c>
      <c r="C363" s="1288" t="s">
        <v>1391</v>
      </c>
      <c r="D363" s="1288" t="s">
        <v>1378</v>
      </c>
      <c r="E363" s="1288" t="s">
        <v>1378</v>
      </c>
      <c r="F363" s="1288" t="s">
        <v>1391</v>
      </c>
      <c r="G363" s="1288" t="s">
        <v>1391</v>
      </c>
      <c r="H363" s="1288" t="s">
        <v>1415</v>
      </c>
      <c r="I363" s="1288"/>
      <c r="J363" s="1288"/>
      <c r="K363" s="754" t="s">
        <v>2418</v>
      </c>
      <c r="L363" s="1170"/>
      <c r="M363" s="1170"/>
      <c r="N363" s="1170"/>
      <c r="O363" s="1165">
        <f t="shared" si="63"/>
        <v>0</v>
      </c>
      <c r="P363" s="1170"/>
      <c r="Q363" s="1170"/>
      <c r="R363" s="1170"/>
      <c r="S363" s="1170"/>
      <c r="T363" s="1170"/>
      <c r="U363" s="1170"/>
      <c r="V363" s="1170"/>
      <c r="W363" s="1438" t="e">
        <f t="shared" si="64"/>
        <v>#DIV/0!</v>
      </c>
      <c r="X363" s="1432"/>
      <c r="Y363" s="765"/>
    </row>
    <row r="364" spans="1:25" ht="22.5" customHeight="1" thickTop="1" thickBot="1" x14ac:dyDescent="0.3">
      <c r="A364" s="1287">
        <v>1</v>
      </c>
      <c r="B364" s="1288" t="s">
        <v>1378</v>
      </c>
      <c r="C364" s="1288" t="s">
        <v>1391</v>
      </c>
      <c r="D364" s="1288" t="s">
        <v>1378</v>
      </c>
      <c r="E364" s="1288" t="s">
        <v>1378</v>
      </c>
      <c r="F364" s="1288" t="s">
        <v>1391</v>
      </c>
      <c r="G364" s="1288" t="s">
        <v>1391</v>
      </c>
      <c r="H364" s="1288" t="s">
        <v>1419</v>
      </c>
      <c r="I364" s="1288"/>
      <c r="J364" s="1288"/>
      <c r="K364" s="754" t="s">
        <v>2419</v>
      </c>
      <c r="L364" s="1170"/>
      <c r="M364" s="1170"/>
      <c r="N364" s="1170"/>
      <c r="O364" s="1165">
        <f t="shared" si="63"/>
        <v>0</v>
      </c>
      <c r="P364" s="1170"/>
      <c r="Q364" s="1170"/>
      <c r="R364" s="1170"/>
      <c r="S364" s="1170"/>
      <c r="T364" s="1170"/>
      <c r="U364" s="1170"/>
      <c r="V364" s="1170"/>
      <c r="W364" s="1438" t="e">
        <f t="shared" si="64"/>
        <v>#DIV/0!</v>
      </c>
      <c r="X364" s="1432"/>
      <c r="Y364" s="765"/>
    </row>
    <row r="365" spans="1:25" ht="22.5" customHeight="1" thickTop="1" thickBot="1" x14ac:dyDescent="0.3">
      <c r="A365" s="1287">
        <v>1</v>
      </c>
      <c r="B365" s="1288" t="s">
        <v>1378</v>
      </c>
      <c r="C365" s="1288" t="s">
        <v>1391</v>
      </c>
      <c r="D365" s="1288" t="s">
        <v>1378</v>
      </c>
      <c r="E365" s="1288" t="s">
        <v>1378</v>
      </c>
      <c r="F365" s="1288" t="s">
        <v>1391</v>
      </c>
      <c r="G365" s="1288" t="s">
        <v>1391</v>
      </c>
      <c r="H365" s="1288" t="s">
        <v>1444</v>
      </c>
      <c r="I365" s="1288"/>
      <c r="J365" s="1288"/>
      <c r="K365" s="754" t="s">
        <v>2420</v>
      </c>
      <c r="L365" s="1170"/>
      <c r="M365" s="1170"/>
      <c r="N365" s="1170"/>
      <c r="O365" s="1165">
        <f t="shared" si="63"/>
        <v>0</v>
      </c>
      <c r="P365" s="1170"/>
      <c r="Q365" s="1170"/>
      <c r="R365" s="1170"/>
      <c r="S365" s="1170"/>
      <c r="T365" s="1170"/>
      <c r="U365" s="1170"/>
      <c r="V365" s="1170"/>
      <c r="W365" s="1438" t="e">
        <f t="shared" si="64"/>
        <v>#DIV/0!</v>
      </c>
      <c r="X365" s="1432"/>
      <c r="Y365" s="765"/>
    </row>
    <row r="366" spans="1:25" ht="22.5" customHeight="1" thickTop="1" thickBot="1" x14ac:dyDescent="0.3">
      <c r="A366" s="1287">
        <v>1</v>
      </c>
      <c r="B366" s="1288" t="s">
        <v>1378</v>
      </c>
      <c r="C366" s="1288" t="s">
        <v>1391</v>
      </c>
      <c r="D366" s="1288" t="s">
        <v>1378</v>
      </c>
      <c r="E366" s="1288" t="s">
        <v>1378</v>
      </c>
      <c r="F366" s="1288" t="s">
        <v>1391</v>
      </c>
      <c r="G366" s="1288" t="s">
        <v>1391</v>
      </c>
      <c r="H366" s="1288" t="s">
        <v>1467</v>
      </c>
      <c r="I366" s="1288"/>
      <c r="J366" s="1288"/>
      <c r="K366" s="754" t="s">
        <v>2421</v>
      </c>
      <c r="L366" s="1170"/>
      <c r="M366" s="1170"/>
      <c r="N366" s="1170"/>
      <c r="O366" s="1165">
        <f t="shared" si="63"/>
        <v>0</v>
      </c>
      <c r="P366" s="1170"/>
      <c r="Q366" s="1170"/>
      <c r="R366" s="1170"/>
      <c r="S366" s="1170"/>
      <c r="T366" s="1170"/>
      <c r="U366" s="1170"/>
      <c r="V366" s="1170"/>
      <c r="W366" s="1438" t="e">
        <f t="shared" si="64"/>
        <v>#DIV/0!</v>
      </c>
      <c r="X366" s="1432"/>
      <c r="Y366" s="765"/>
    </row>
    <row r="367" spans="1:25" ht="22.5" customHeight="1" thickTop="1" thickBot="1" x14ac:dyDescent="0.3">
      <c r="A367" s="1287">
        <v>1</v>
      </c>
      <c r="B367" s="1288" t="s">
        <v>1378</v>
      </c>
      <c r="C367" s="1288" t="s">
        <v>1391</v>
      </c>
      <c r="D367" s="1288" t="s">
        <v>1378</v>
      </c>
      <c r="E367" s="1288" t="s">
        <v>1378</v>
      </c>
      <c r="F367" s="1288" t="s">
        <v>1391</v>
      </c>
      <c r="G367" s="1288" t="s">
        <v>1391</v>
      </c>
      <c r="H367" s="1288" t="s">
        <v>1471</v>
      </c>
      <c r="I367" s="1288"/>
      <c r="J367" s="1288"/>
      <c r="K367" s="754" t="s">
        <v>2422</v>
      </c>
      <c r="L367" s="1170"/>
      <c r="M367" s="1170"/>
      <c r="N367" s="1170"/>
      <c r="O367" s="1165">
        <f t="shared" si="63"/>
        <v>0</v>
      </c>
      <c r="P367" s="1170"/>
      <c r="Q367" s="1170"/>
      <c r="R367" s="1170"/>
      <c r="S367" s="1170"/>
      <c r="T367" s="1170"/>
      <c r="U367" s="1170"/>
      <c r="V367" s="1170"/>
      <c r="W367" s="1438" t="e">
        <f t="shared" si="64"/>
        <v>#DIV/0!</v>
      </c>
      <c r="X367" s="1432"/>
      <c r="Y367" s="765"/>
    </row>
    <row r="368" spans="1:25" ht="22.5" customHeight="1" thickTop="1" thickBot="1" x14ac:dyDescent="0.3">
      <c r="A368" s="1287">
        <v>1</v>
      </c>
      <c r="B368" s="1288" t="s">
        <v>1378</v>
      </c>
      <c r="C368" s="1288" t="s">
        <v>1391</v>
      </c>
      <c r="D368" s="1288" t="s">
        <v>1378</v>
      </c>
      <c r="E368" s="1288" t="s">
        <v>1378</v>
      </c>
      <c r="F368" s="1288" t="s">
        <v>1391</v>
      </c>
      <c r="G368" s="1288" t="s">
        <v>1391</v>
      </c>
      <c r="H368" s="1288" t="s">
        <v>1475</v>
      </c>
      <c r="I368" s="1288"/>
      <c r="J368" s="1288"/>
      <c r="K368" s="754" t="s">
        <v>2423</v>
      </c>
      <c r="L368" s="1170"/>
      <c r="M368" s="1170"/>
      <c r="N368" s="1170"/>
      <c r="O368" s="1165">
        <f t="shared" si="63"/>
        <v>0</v>
      </c>
      <c r="P368" s="1170"/>
      <c r="Q368" s="1170"/>
      <c r="R368" s="1170"/>
      <c r="S368" s="1170"/>
      <c r="T368" s="1170"/>
      <c r="U368" s="1170"/>
      <c r="V368" s="1170"/>
      <c r="W368" s="1438" t="e">
        <f t="shared" si="64"/>
        <v>#DIV/0!</v>
      </c>
      <c r="X368" s="1432"/>
      <c r="Y368" s="765"/>
    </row>
    <row r="369" spans="1:25" ht="22.5" customHeight="1" thickTop="1" thickBot="1" x14ac:dyDescent="0.3">
      <c r="A369" s="1287">
        <v>1</v>
      </c>
      <c r="B369" s="1288" t="s">
        <v>1378</v>
      </c>
      <c r="C369" s="1288" t="s">
        <v>1391</v>
      </c>
      <c r="D369" s="1288" t="s">
        <v>1378</v>
      </c>
      <c r="E369" s="1288" t="s">
        <v>1378</v>
      </c>
      <c r="F369" s="1288" t="s">
        <v>1391</v>
      </c>
      <c r="G369" s="1288" t="s">
        <v>1391</v>
      </c>
      <c r="H369" s="1288" t="s">
        <v>1573</v>
      </c>
      <c r="I369" s="1288"/>
      <c r="J369" s="1288"/>
      <c r="K369" s="754" t="s">
        <v>2424</v>
      </c>
      <c r="L369" s="1170"/>
      <c r="M369" s="1170"/>
      <c r="N369" s="1170"/>
      <c r="O369" s="1165">
        <f t="shared" si="63"/>
        <v>0</v>
      </c>
      <c r="P369" s="1170"/>
      <c r="Q369" s="1170"/>
      <c r="R369" s="1170"/>
      <c r="S369" s="1170"/>
      <c r="T369" s="1170"/>
      <c r="U369" s="1170"/>
      <c r="V369" s="1170"/>
      <c r="W369" s="1438" t="e">
        <f t="shared" si="64"/>
        <v>#DIV/0!</v>
      </c>
      <c r="X369" s="1432"/>
      <c r="Y369" s="765"/>
    </row>
    <row r="370" spans="1:25" ht="22.5" customHeight="1" thickTop="1" thickBot="1" x14ac:dyDescent="0.3">
      <c r="A370" s="1287">
        <v>1</v>
      </c>
      <c r="B370" s="1288" t="s">
        <v>1378</v>
      </c>
      <c r="C370" s="1288" t="s">
        <v>1391</v>
      </c>
      <c r="D370" s="1288" t="s">
        <v>1378</v>
      </c>
      <c r="E370" s="1288" t="s">
        <v>1378</v>
      </c>
      <c r="F370" s="1288" t="s">
        <v>1391</v>
      </c>
      <c r="G370" s="1288" t="s">
        <v>1391</v>
      </c>
      <c r="H370" s="1288" t="s">
        <v>1574</v>
      </c>
      <c r="I370" s="1288"/>
      <c r="J370" s="1288"/>
      <c r="K370" s="754" t="s">
        <v>2425</v>
      </c>
      <c r="L370" s="1170"/>
      <c r="M370" s="1170"/>
      <c r="N370" s="1170"/>
      <c r="O370" s="1165">
        <f t="shared" si="63"/>
        <v>0</v>
      </c>
      <c r="P370" s="1170"/>
      <c r="Q370" s="1170"/>
      <c r="R370" s="1170"/>
      <c r="S370" s="1170"/>
      <c r="T370" s="1170"/>
      <c r="U370" s="1170"/>
      <c r="V370" s="1170"/>
      <c r="W370" s="1438" t="e">
        <f t="shared" si="64"/>
        <v>#DIV/0!</v>
      </c>
      <c r="X370" s="1432"/>
      <c r="Y370" s="765"/>
    </row>
    <row r="371" spans="1:25" ht="22.5" customHeight="1" thickTop="1" thickBot="1" x14ac:dyDescent="0.3">
      <c r="A371" s="1287">
        <v>1</v>
      </c>
      <c r="B371" s="1288" t="s">
        <v>1378</v>
      </c>
      <c r="C371" s="1288" t="s">
        <v>1391</v>
      </c>
      <c r="D371" s="1288" t="s">
        <v>1378</v>
      </c>
      <c r="E371" s="1288" t="s">
        <v>1378</v>
      </c>
      <c r="F371" s="1288" t="s">
        <v>1391</v>
      </c>
      <c r="G371" s="1288" t="s">
        <v>1391</v>
      </c>
      <c r="H371" s="1288" t="s">
        <v>1575</v>
      </c>
      <c r="I371" s="1288"/>
      <c r="J371" s="1288"/>
      <c r="K371" s="754" t="s">
        <v>2426</v>
      </c>
      <c r="L371" s="1170"/>
      <c r="M371" s="1170"/>
      <c r="N371" s="1170"/>
      <c r="O371" s="1165">
        <f t="shared" si="63"/>
        <v>0</v>
      </c>
      <c r="P371" s="1170"/>
      <c r="Q371" s="1170"/>
      <c r="R371" s="1170"/>
      <c r="S371" s="1170"/>
      <c r="T371" s="1170"/>
      <c r="U371" s="1170"/>
      <c r="V371" s="1170"/>
      <c r="W371" s="1438" t="e">
        <f t="shared" si="64"/>
        <v>#DIV/0!</v>
      </c>
      <c r="X371" s="1432"/>
      <c r="Y371" s="765"/>
    </row>
    <row r="372" spans="1:25" ht="22.5" customHeight="1" thickTop="1" thickBot="1" x14ac:dyDescent="0.3">
      <c r="A372" s="1287">
        <v>1</v>
      </c>
      <c r="B372" s="1288" t="s">
        <v>1378</v>
      </c>
      <c r="C372" s="1288" t="s">
        <v>1391</v>
      </c>
      <c r="D372" s="1288" t="s">
        <v>1378</v>
      </c>
      <c r="E372" s="1288" t="s">
        <v>1378</v>
      </c>
      <c r="F372" s="1288" t="s">
        <v>1415</v>
      </c>
      <c r="G372" s="1286"/>
      <c r="H372" s="1288"/>
      <c r="I372" s="1288"/>
      <c r="J372" s="1288"/>
      <c r="K372" s="753" t="s">
        <v>1567</v>
      </c>
      <c r="L372" s="1170">
        <f>+L373+L385</f>
        <v>0</v>
      </c>
      <c r="M372" s="1170">
        <f t="shared" ref="M372:V372" si="69">+M373+M385</f>
        <v>0</v>
      </c>
      <c r="N372" s="1170">
        <f t="shared" si="69"/>
        <v>0</v>
      </c>
      <c r="O372" s="1165">
        <f t="shared" si="63"/>
        <v>0</v>
      </c>
      <c r="P372" s="1170">
        <f t="shared" si="69"/>
        <v>0</v>
      </c>
      <c r="Q372" s="1170">
        <f t="shared" si="69"/>
        <v>0</v>
      </c>
      <c r="R372" s="1170">
        <f t="shared" si="69"/>
        <v>0</v>
      </c>
      <c r="S372" s="1170"/>
      <c r="T372" s="1170">
        <f t="shared" si="69"/>
        <v>0</v>
      </c>
      <c r="U372" s="1170">
        <f t="shared" si="69"/>
        <v>0</v>
      </c>
      <c r="V372" s="1170">
        <f t="shared" si="69"/>
        <v>0</v>
      </c>
      <c r="W372" s="1438" t="e">
        <f t="shared" si="64"/>
        <v>#DIV/0!</v>
      </c>
      <c r="X372" s="1432" t="s">
        <v>1568</v>
      </c>
      <c r="Y372" s="765"/>
    </row>
    <row r="373" spans="1:25" ht="22.5" customHeight="1" thickTop="1" thickBot="1" x14ac:dyDescent="0.3">
      <c r="A373" s="1287">
        <v>1</v>
      </c>
      <c r="B373" s="1288" t="s">
        <v>1378</v>
      </c>
      <c r="C373" s="1288" t="s">
        <v>1391</v>
      </c>
      <c r="D373" s="1288" t="s">
        <v>1378</v>
      </c>
      <c r="E373" s="1288" t="s">
        <v>1378</v>
      </c>
      <c r="F373" s="1288" t="s">
        <v>1415</v>
      </c>
      <c r="G373" s="1286" t="s">
        <v>1378</v>
      </c>
      <c r="H373" s="1288"/>
      <c r="I373" s="1288"/>
      <c r="J373" s="1288"/>
      <c r="K373" s="754" t="s">
        <v>1569</v>
      </c>
      <c r="L373" s="1170">
        <f>SUM(L374:L384)</f>
        <v>0</v>
      </c>
      <c r="M373" s="1170">
        <f t="shared" ref="M373:V373" si="70">SUM(M374:M384)</f>
        <v>0</v>
      </c>
      <c r="N373" s="1170">
        <f t="shared" si="70"/>
        <v>0</v>
      </c>
      <c r="O373" s="1165">
        <f t="shared" si="63"/>
        <v>0</v>
      </c>
      <c r="P373" s="1170">
        <f t="shared" si="70"/>
        <v>0</v>
      </c>
      <c r="Q373" s="1170">
        <f t="shared" si="70"/>
        <v>0</v>
      </c>
      <c r="R373" s="1170">
        <f t="shared" si="70"/>
        <v>0</v>
      </c>
      <c r="S373" s="1170"/>
      <c r="T373" s="1170">
        <f t="shared" si="70"/>
        <v>0</v>
      </c>
      <c r="U373" s="1170">
        <f t="shared" si="70"/>
        <v>0</v>
      </c>
      <c r="V373" s="1170">
        <f t="shared" si="70"/>
        <v>0</v>
      </c>
      <c r="W373" s="1438" t="e">
        <f t="shared" si="64"/>
        <v>#DIV/0!</v>
      </c>
      <c r="X373" s="1432" t="s">
        <v>1570</v>
      </c>
      <c r="Y373" s="765"/>
    </row>
    <row r="374" spans="1:25" ht="22.5" customHeight="1" thickTop="1" thickBot="1" x14ac:dyDescent="0.3">
      <c r="A374" s="1287">
        <v>1</v>
      </c>
      <c r="B374" s="1288" t="s">
        <v>1378</v>
      </c>
      <c r="C374" s="1288" t="s">
        <v>1391</v>
      </c>
      <c r="D374" s="1288" t="s">
        <v>1378</v>
      </c>
      <c r="E374" s="1288" t="s">
        <v>1378</v>
      </c>
      <c r="F374" s="1288" t="s">
        <v>1415</v>
      </c>
      <c r="G374" s="1286" t="s">
        <v>1378</v>
      </c>
      <c r="H374" s="1288" t="s">
        <v>1378</v>
      </c>
      <c r="I374" s="1288"/>
      <c r="J374" s="1288"/>
      <c r="K374" s="754" t="s">
        <v>2427</v>
      </c>
      <c r="L374" s="1170"/>
      <c r="M374" s="1170"/>
      <c r="N374" s="1170"/>
      <c r="O374" s="1165">
        <f t="shared" si="63"/>
        <v>0</v>
      </c>
      <c r="P374" s="1170"/>
      <c r="Q374" s="1170"/>
      <c r="R374" s="1170"/>
      <c r="S374" s="1170"/>
      <c r="T374" s="1170"/>
      <c r="U374" s="1170"/>
      <c r="V374" s="1170"/>
      <c r="W374" s="1438" t="e">
        <f t="shared" si="64"/>
        <v>#DIV/0!</v>
      </c>
      <c r="X374" s="1432"/>
      <c r="Y374" s="765"/>
    </row>
    <row r="375" spans="1:25" ht="22.5" customHeight="1" thickTop="1" thickBot="1" x14ac:dyDescent="0.3">
      <c r="A375" s="1287">
        <v>1</v>
      </c>
      <c r="B375" s="1288" t="s">
        <v>1378</v>
      </c>
      <c r="C375" s="1288" t="s">
        <v>1391</v>
      </c>
      <c r="D375" s="1288" t="s">
        <v>1378</v>
      </c>
      <c r="E375" s="1288" t="s">
        <v>1378</v>
      </c>
      <c r="F375" s="1288" t="s">
        <v>1415</v>
      </c>
      <c r="G375" s="1286" t="s">
        <v>1378</v>
      </c>
      <c r="H375" s="1288" t="s">
        <v>1391</v>
      </c>
      <c r="I375" s="1288"/>
      <c r="J375" s="1288"/>
      <c r="K375" s="754" t="s">
        <v>2428</v>
      </c>
      <c r="L375" s="1170"/>
      <c r="M375" s="1170"/>
      <c r="N375" s="1170"/>
      <c r="O375" s="1165">
        <f t="shared" si="63"/>
        <v>0</v>
      </c>
      <c r="P375" s="1170"/>
      <c r="Q375" s="1170"/>
      <c r="R375" s="1170"/>
      <c r="S375" s="1170"/>
      <c r="T375" s="1170"/>
      <c r="U375" s="1170"/>
      <c r="V375" s="1170"/>
      <c r="W375" s="1438" t="e">
        <f t="shared" si="64"/>
        <v>#DIV/0!</v>
      </c>
      <c r="X375" s="1432"/>
      <c r="Y375" s="765"/>
    </row>
    <row r="376" spans="1:25" ht="22.5" customHeight="1" thickTop="1" thickBot="1" x14ac:dyDescent="0.3">
      <c r="A376" s="1287">
        <v>1</v>
      </c>
      <c r="B376" s="1288" t="s">
        <v>1378</v>
      </c>
      <c r="C376" s="1288" t="s">
        <v>1391</v>
      </c>
      <c r="D376" s="1288" t="s">
        <v>1378</v>
      </c>
      <c r="E376" s="1288" t="s">
        <v>1378</v>
      </c>
      <c r="F376" s="1288" t="s">
        <v>1415</v>
      </c>
      <c r="G376" s="1286" t="s">
        <v>1378</v>
      </c>
      <c r="H376" s="1288" t="s">
        <v>1415</v>
      </c>
      <c r="I376" s="1288"/>
      <c r="J376" s="1288"/>
      <c r="K376" s="754" t="s">
        <v>2429</v>
      </c>
      <c r="L376" s="1170"/>
      <c r="M376" s="1170"/>
      <c r="N376" s="1170"/>
      <c r="O376" s="1165">
        <f t="shared" si="63"/>
        <v>0</v>
      </c>
      <c r="P376" s="1170"/>
      <c r="Q376" s="1170"/>
      <c r="R376" s="1170"/>
      <c r="S376" s="1170"/>
      <c r="T376" s="1170"/>
      <c r="U376" s="1170"/>
      <c r="V376" s="1170"/>
      <c r="W376" s="1438" t="e">
        <f t="shared" si="64"/>
        <v>#DIV/0!</v>
      </c>
      <c r="X376" s="1432"/>
      <c r="Y376" s="765"/>
    </row>
    <row r="377" spans="1:25" ht="22.5" customHeight="1" thickTop="1" thickBot="1" x14ac:dyDescent="0.3">
      <c r="A377" s="1287">
        <v>1</v>
      </c>
      <c r="B377" s="1288" t="s">
        <v>1378</v>
      </c>
      <c r="C377" s="1288" t="s">
        <v>1391</v>
      </c>
      <c r="D377" s="1288" t="s">
        <v>1378</v>
      </c>
      <c r="E377" s="1288" t="s">
        <v>1378</v>
      </c>
      <c r="F377" s="1288" t="s">
        <v>1415</v>
      </c>
      <c r="G377" s="1286" t="s">
        <v>1378</v>
      </c>
      <c r="H377" s="1288" t="s">
        <v>1419</v>
      </c>
      <c r="I377" s="1288"/>
      <c r="J377" s="1288"/>
      <c r="K377" s="754" t="s">
        <v>2430</v>
      </c>
      <c r="L377" s="1170"/>
      <c r="M377" s="1170"/>
      <c r="N377" s="1170"/>
      <c r="O377" s="1165">
        <f t="shared" si="63"/>
        <v>0</v>
      </c>
      <c r="P377" s="1170"/>
      <c r="Q377" s="1170"/>
      <c r="R377" s="1170"/>
      <c r="S377" s="1170"/>
      <c r="T377" s="1170"/>
      <c r="U377" s="1170"/>
      <c r="V377" s="1170"/>
      <c r="W377" s="1438" t="e">
        <f t="shared" si="64"/>
        <v>#DIV/0!</v>
      </c>
      <c r="X377" s="1432"/>
      <c r="Y377" s="765"/>
    </row>
    <row r="378" spans="1:25" ht="22.5" customHeight="1" thickTop="1" thickBot="1" x14ac:dyDescent="0.3">
      <c r="A378" s="1287">
        <v>1</v>
      </c>
      <c r="B378" s="1288" t="s">
        <v>1378</v>
      </c>
      <c r="C378" s="1288" t="s">
        <v>1391</v>
      </c>
      <c r="D378" s="1288" t="s">
        <v>1378</v>
      </c>
      <c r="E378" s="1288" t="s">
        <v>1378</v>
      </c>
      <c r="F378" s="1288" t="s">
        <v>1415</v>
      </c>
      <c r="G378" s="1286" t="s">
        <v>1378</v>
      </c>
      <c r="H378" s="1288" t="s">
        <v>1444</v>
      </c>
      <c r="I378" s="1288"/>
      <c r="J378" s="1288"/>
      <c r="K378" s="754" t="s">
        <v>2431</v>
      </c>
      <c r="L378" s="1170"/>
      <c r="M378" s="1170"/>
      <c r="N378" s="1170"/>
      <c r="O378" s="1165">
        <f t="shared" si="63"/>
        <v>0</v>
      </c>
      <c r="P378" s="1170"/>
      <c r="Q378" s="1170"/>
      <c r="R378" s="1170"/>
      <c r="S378" s="1170"/>
      <c r="T378" s="1170"/>
      <c r="U378" s="1170"/>
      <c r="V378" s="1170"/>
      <c r="W378" s="1438" t="e">
        <f t="shared" si="64"/>
        <v>#DIV/0!</v>
      </c>
      <c r="X378" s="1432"/>
      <c r="Y378" s="765"/>
    </row>
    <row r="379" spans="1:25" ht="22.5" customHeight="1" thickTop="1" thickBot="1" x14ac:dyDescent="0.3">
      <c r="A379" s="1287">
        <v>1</v>
      </c>
      <c r="B379" s="1288" t="s">
        <v>1378</v>
      </c>
      <c r="C379" s="1288" t="s">
        <v>1391</v>
      </c>
      <c r="D379" s="1288" t="s">
        <v>1378</v>
      </c>
      <c r="E379" s="1288" t="s">
        <v>1378</v>
      </c>
      <c r="F379" s="1288" t="s">
        <v>1415</v>
      </c>
      <c r="G379" s="1286" t="s">
        <v>1378</v>
      </c>
      <c r="H379" s="1288" t="s">
        <v>1467</v>
      </c>
      <c r="I379" s="1288"/>
      <c r="J379" s="1288"/>
      <c r="K379" s="754" t="s">
        <v>2432</v>
      </c>
      <c r="L379" s="1170"/>
      <c r="M379" s="1170"/>
      <c r="N379" s="1170"/>
      <c r="O379" s="1165">
        <f t="shared" si="63"/>
        <v>0</v>
      </c>
      <c r="P379" s="1170"/>
      <c r="Q379" s="1170"/>
      <c r="R379" s="1170"/>
      <c r="S379" s="1170"/>
      <c r="T379" s="1170"/>
      <c r="U379" s="1170"/>
      <c r="V379" s="1170"/>
      <c r="W379" s="1438" t="e">
        <f t="shared" si="64"/>
        <v>#DIV/0!</v>
      </c>
      <c r="X379" s="1432"/>
      <c r="Y379" s="765"/>
    </row>
    <row r="380" spans="1:25" ht="22.5" customHeight="1" thickTop="1" thickBot="1" x14ac:dyDescent="0.3">
      <c r="A380" s="1287">
        <v>1</v>
      </c>
      <c r="B380" s="1288" t="s">
        <v>1378</v>
      </c>
      <c r="C380" s="1288" t="s">
        <v>1391</v>
      </c>
      <c r="D380" s="1288" t="s">
        <v>1378</v>
      </c>
      <c r="E380" s="1288" t="s">
        <v>1378</v>
      </c>
      <c r="F380" s="1288" t="s">
        <v>1415</v>
      </c>
      <c r="G380" s="1286" t="s">
        <v>1378</v>
      </c>
      <c r="H380" s="1288" t="s">
        <v>1471</v>
      </c>
      <c r="I380" s="1288"/>
      <c r="J380" s="1288"/>
      <c r="K380" s="754" t="s">
        <v>2433</v>
      </c>
      <c r="L380" s="1170"/>
      <c r="M380" s="1170"/>
      <c r="N380" s="1170"/>
      <c r="O380" s="1165">
        <f t="shared" si="63"/>
        <v>0</v>
      </c>
      <c r="P380" s="1170"/>
      <c r="Q380" s="1170"/>
      <c r="R380" s="1170"/>
      <c r="S380" s="1170"/>
      <c r="T380" s="1170"/>
      <c r="U380" s="1170"/>
      <c r="V380" s="1170"/>
      <c r="W380" s="1438" t="e">
        <f t="shared" si="64"/>
        <v>#DIV/0!</v>
      </c>
      <c r="X380" s="1432"/>
      <c r="Y380" s="765"/>
    </row>
    <row r="381" spans="1:25" ht="22.5" customHeight="1" thickTop="1" thickBot="1" x14ac:dyDescent="0.3">
      <c r="A381" s="1287">
        <v>1</v>
      </c>
      <c r="B381" s="1288" t="s">
        <v>1378</v>
      </c>
      <c r="C381" s="1288" t="s">
        <v>1391</v>
      </c>
      <c r="D381" s="1288" t="s">
        <v>1378</v>
      </c>
      <c r="E381" s="1288" t="s">
        <v>1378</v>
      </c>
      <c r="F381" s="1288" t="s">
        <v>1415</v>
      </c>
      <c r="G381" s="1286" t="s">
        <v>1378</v>
      </c>
      <c r="H381" s="1288" t="s">
        <v>1475</v>
      </c>
      <c r="I381" s="1288"/>
      <c r="J381" s="1288"/>
      <c r="K381" s="754" t="s">
        <v>2434</v>
      </c>
      <c r="L381" s="1170"/>
      <c r="M381" s="1170"/>
      <c r="N381" s="1170"/>
      <c r="O381" s="1165">
        <f t="shared" si="63"/>
        <v>0</v>
      </c>
      <c r="P381" s="1170"/>
      <c r="Q381" s="1170"/>
      <c r="R381" s="1170"/>
      <c r="S381" s="1170"/>
      <c r="T381" s="1170"/>
      <c r="U381" s="1170"/>
      <c r="V381" s="1170"/>
      <c r="W381" s="1438" t="e">
        <f t="shared" si="64"/>
        <v>#DIV/0!</v>
      </c>
      <c r="X381" s="1432"/>
      <c r="Y381" s="765"/>
    </row>
    <row r="382" spans="1:25" ht="22.5" customHeight="1" thickTop="1" thickBot="1" x14ac:dyDescent="0.3">
      <c r="A382" s="1287">
        <v>1</v>
      </c>
      <c r="B382" s="1288" t="s">
        <v>1378</v>
      </c>
      <c r="C382" s="1288" t="s">
        <v>1391</v>
      </c>
      <c r="D382" s="1288" t="s">
        <v>1378</v>
      </c>
      <c r="E382" s="1288" t="s">
        <v>1378</v>
      </c>
      <c r="F382" s="1288" t="s">
        <v>1415</v>
      </c>
      <c r="G382" s="1286" t="s">
        <v>1378</v>
      </c>
      <c r="H382" s="1288" t="s">
        <v>1573</v>
      </c>
      <c r="I382" s="1288"/>
      <c r="J382" s="1288"/>
      <c r="K382" s="754" t="s">
        <v>2435</v>
      </c>
      <c r="L382" s="1170"/>
      <c r="M382" s="1170"/>
      <c r="N382" s="1170"/>
      <c r="O382" s="1165">
        <f t="shared" si="63"/>
        <v>0</v>
      </c>
      <c r="P382" s="1170"/>
      <c r="Q382" s="1170"/>
      <c r="R382" s="1170"/>
      <c r="S382" s="1170"/>
      <c r="T382" s="1170"/>
      <c r="U382" s="1170"/>
      <c r="V382" s="1170"/>
      <c r="W382" s="1438" t="e">
        <f t="shared" si="64"/>
        <v>#DIV/0!</v>
      </c>
      <c r="X382" s="1432"/>
      <c r="Y382" s="765"/>
    </row>
    <row r="383" spans="1:25" ht="22.5" customHeight="1" thickTop="1" thickBot="1" x14ac:dyDescent="0.3">
      <c r="A383" s="1287">
        <v>1</v>
      </c>
      <c r="B383" s="1288" t="s">
        <v>1378</v>
      </c>
      <c r="C383" s="1288" t="s">
        <v>1391</v>
      </c>
      <c r="D383" s="1288" t="s">
        <v>1378</v>
      </c>
      <c r="E383" s="1288" t="s">
        <v>1378</v>
      </c>
      <c r="F383" s="1288" t="s">
        <v>1415</v>
      </c>
      <c r="G383" s="1286" t="s">
        <v>1378</v>
      </c>
      <c r="H383" s="1288" t="s">
        <v>1574</v>
      </c>
      <c r="I383" s="1288"/>
      <c r="J383" s="1288"/>
      <c r="K383" s="754" t="s">
        <v>2436</v>
      </c>
      <c r="L383" s="1170"/>
      <c r="M383" s="1170"/>
      <c r="N383" s="1170"/>
      <c r="O383" s="1165">
        <f t="shared" si="63"/>
        <v>0</v>
      </c>
      <c r="P383" s="1170"/>
      <c r="Q383" s="1170"/>
      <c r="R383" s="1170"/>
      <c r="S383" s="1170"/>
      <c r="T383" s="1170"/>
      <c r="U383" s="1170"/>
      <c r="V383" s="1170"/>
      <c r="W383" s="1438" t="e">
        <f t="shared" si="64"/>
        <v>#DIV/0!</v>
      </c>
      <c r="X383" s="1432"/>
      <c r="Y383" s="765"/>
    </row>
    <row r="384" spans="1:25" ht="22.5" customHeight="1" thickTop="1" thickBot="1" x14ac:dyDescent="0.3">
      <c r="A384" s="1287">
        <v>1</v>
      </c>
      <c r="B384" s="1288" t="s">
        <v>1378</v>
      </c>
      <c r="C384" s="1288" t="s">
        <v>1391</v>
      </c>
      <c r="D384" s="1288" t="s">
        <v>1378</v>
      </c>
      <c r="E384" s="1288" t="s">
        <v>1378</v>
      </c>
      <c r="F384" s="1288" t="s">
        <v>1415</v>
      </c>
      <c r="G384" s="1286" t="s">
        <v>1378</v>
      </c>
      <c r="H384" s="1288" t="s">
        <v>1575</v>
      </c>
      <c r="I384" s="1288"/>
      <c r="J384" s="1288"/>
      <c r="K384" s="754" t="s">
        <v>2437</v>
      </c>
      <c r="L384" s="1170"/>
      <c r="M384" s="1170"/>
      <c r="N384" s="1170"/>
      <c r="O384" s="1165">
        <f t="shared" si="63"/>
        <v>0</v>
      </c>
      <c r="P384" s="1170"/>
      <c r="Q384" s="1170"/>
      <c r="R384" s="1170"/>
      <c r="S384" s="1170"/>
      <c r="T384" s="1170"/>
      <c r="U384" s="1170"/>
      <c r="V384" s="1170"/>
      <c r="W384" s="1438" t="e">
        <f t="shared" si="64"/>
        <v>#DIV/0!</v>
      </c>
      <c r="X384" s="1432"/>
      <c r="Y384" s="765"/>
    </row>
    <row r="385" spans="1:25" ht="22.5" customHeight="1" thickTop="1" thickBot="1" x14ac:dyDescent="0.3">
      <c r="A385" s="1287">
        <v>1</v>
      </c>
      <c r="B385" s="1288" t="s">
        <v>1378</v>
      </c>
      <c r="C385" s="1288" t="s">
        <v>1391</v>
      </c>
      <c r="D385" s="1288" t="s">
        <v>1378</v>
      </c>
      <c r="E385" s="1288" t="s">
        <v>1378</v>
      </c>
      <c r="F385" s="1288" t="s">
        <v>1415</v>
      </c>
      <c r="G385" s="1286" t="s">
        <v>1391</v>
      </c>
      <c r="H385" s="1288"/>
      <c r="I385" s="1288"/>
      <c r="J385" s="1288"/>
      <c r="K385" s="754" t="s">
        <v>2015</v>
      </c>
      <c r="L385" s="1170">
        <f>SUM(L386:L396)</f>
        <v>0</v>
      </c>
      <c r="M385" s="1170">
        <f t="shared" ref="M385:V385" si="71">SUM(M386:M396)</f>
        <v>0</v>
      </c>
      <c r="N385" s="1170">
        <f t="shared" si="71"/>
        <v>0</v>
      </c>
      <c r="O385" s="1165">
        <f t="shared" si="63"/>
        <v>0</v>
      </c>
      <c r="P385" s="1170">
        <f t="shared" si="71"/>
        <v>0</v>
      </c>
      <c r="Q385" s="1170">
        <f t="shared" si="71"/>
        <v>0</v>
      </c>
      <c r="R385" s="1170">
        <f t="shared" si="71"/>
        <v>0</v>
      </c>
      <c r="S385" s="1170"/>
      <c r="T385" s="1170">
        <f t="shared" si="71"/>
        <v>0</v>
      </c>
      <c r="U385" s="1170">
        <f t="shared" si="71"/>
        <v>0</v>
      </c>
      <c r="V385" s="1170">
        <f t="shared" si="71"/>
        <v>0</v>
      </c>
      <c r="W385" s="1438" t="e">
        <f t="shared" si="64"/>
        <v>#DIV/0!</v>
      </c>
      <c r="X385" s="1432" t="s">
        <v>2017</v>
      </c>
      <c r="Y385" s="765"/>
    </row>
    <row r="386" spans="1:25" ht="22.5" customHeight="1" thickTop="1" thickBot="1" x14ac:dyDescent="0.3">
      <c r="A386" s="1287">
        <v>1</v>
      </c>
      <c r="B386" s="1288" t="s">
        <v>1378</v>
      </c>
      <c r="C386" s="1288" t="s">
        <v>1391</v>
      </c>
      <c r="D386" s="1288" t="s">
        <v>1378</v>
      </c>
      <c r="E386" s="1288" t="s">
        <v>1378</v>
      </c>
      <c r="F386" s="1288" t="s">
        <v>1415</v>
      </c>
      <c r="G386" s="1286" t="s">
        <v>1391</v>
      </c>
      <c r="H386" s="1288" t="s">
        <v>1378</v>
      </c>
      <c r="I386" s="1288"/>
      <c r="J386" s="1288"/>
      <c r="K386" s="754" t="s">
        <v>2438</v>
      </c>
      <c r="L386" s="1170"/>
      <c r="M386" s="1170"/>
      <c r="N386" s="1170"/>
      <c r="O386" s="1165">
        <f t="shared" si="63"/>
        <v>0</v>
      </c>
      <c r="P386" s="1170"/>
      <c r="Q386" s="1170"/>
      <c r="R386" s="1170"/>
      <c r="S386" s="1170"/>
      <c r="T386" s="1170"/>
      <c r="U386" s="1170"/>
      <c r="V386" s="1170"/>
      <c r="W386" s="1438" t="e">
        <f t="shared" si="64"/>
        <v>#DIV/0!</v>
      </c>
      <c r="X386" s="1432"/>
      <c r="Y386" s="765"/>
    </row>
    <row r="387" spans="1:25" ht="22.5" customHeight="1" thickTop="1" thickBot="1" x14ac:dyDescent="0.3">
      <c r="A387" s="1287">
        <v>1</v>
      </c>
      <c r="B387" s="1288" t="s">
        <v>1378</v>
      </c>
      <c r="C387" s="1288" t="s">
        <v>1391</v>
      </c>
      <c r="D387" s="1288" t="s">
        <v>1378</v>
      </c>
      <c r="E387" s="1288" t="s">
        <v>1378</v>
      </c>
      <c r="F387" s="1288" t="s">
        <v>1415</v>
      </c>
      <c r="G387" s="1286" t="s">
        <v>1391</v>
      </c>
      <c r="H387" s="1288" t="s">
        <v>1391</v>
      </c>
      <c r="I387" s="1288"/>
      <c r="J387" s="1288"/>
      <c r="K387" s="754" t="s">
        <v>2439</v>
      </c>
      <c r="L387" s="1170"/>
      <c r="M387" s="1170"/>
      <c r="N387" s="1170"/>
      <c r="O387" s="1165">
        <f t="shared" si="63"/>
        <v>0</v>
      </c>
      <c r="P387" s="1170"/>
      <c r="Q387" s="1170"/>
      <c r="R387" s="1170"/>
      <c r="S387" s="1170"/>
      <c r="T387" s="1170"/>
      <c r="U387" s="1170"/>
      <c r="V387" s="1170"/>
      <c r="W387" s="1438" t="e">
        <f t="shared" si="64"/>
        <v>#DIV/0!</v>
      </c>
      <c r="X387" s="1432"/>
      <c r="Y387" s="765"/>
    </row>
    <row r="388" spans="1:25" ht="22.5" customHeight="1" thickTop="1" thickBot="1" x14ac:dyDescent="0.3">
      <c r="A388" s="1287">
        <v>1</v>
      </c>
      <c r="B388" s="1288" t="s">
        <v>1378</v>
      </c>
      <c r="C388" s="1288" t="s">
        <v>1391</v>
      </c>
      <c r="D388" s="1288" t="s">
        <v>1378</v>
      </c>
      <c r="E388" s="1288" t="s">
        <v>1378</v>
      </c>
      <c r="F388" s="1288" t="s">
        <v>1415</v>
      </c>
      <c r="G388" s="1286" t="s">
        <v>1391</v>
      </c>
      <c r="H388" s="1288" t="s">
        <v>1415</v>
      </c>
      <c r="I388" s="1288"/>
      <c r="J388" s="1288"/>
      <c r="K388" s="754" t="s">
        <v>2440</v>
      </c>
      <c r="L388" s="1170"/>
      <c r="M388" s="1170"/>
      <c r="N388" s="1170"/>
      <c r="O388" s="1165">
        <f t="shared" si="63"/>
        <v>0</v>
      </c>
      <c r="P388" s="1170"/>
      <c r="Q388" s="1170"/>
      <c r="R388" s="1170"/>
      <c r="S388" s="1170"/>
      <c r="T388" s="1170"/>
      <c r="U388" s="1170"/>
      <c r="V388" s="1170"/>
      <c r="W388" s="1438" t="e">
        <f t="shared" si="64"/>
        <v>#DIV/0!</v>
      </c>
      <c r="X388" s="1432"/>
      <c r="Y388" s="765"/>
    </row>
    <row r="389" spans="1:25" ht="22.5" customHeight="1" thickTop="1" thickBot="1" x14ac:dyDescent="0.3">
      <c r="A389" s="1287">
        <v>1</v>
      </c>
      <c r="B389" s="1288" t="s">
        <v>1378</v>
      </c>
      <c r="C389" s="1288" t="s">
        <v>1391</v>
      </c>
      <c r="D389" s="1288" t="s">
        <v>1378</v>
      </c>
      <c r="E389" s="1288" t="s">
        <v>1378</v>
      </c>
      <c r="F389" s="1288" t="s">
        <v>1415</v>
      </c>
      <c r="G389" s="1286" t="s">
        <v>1391</v>
      </c>
      <c r="H389" s="1288" t="s">
        <v>1419</v>
      </c>
      <c r="I389" s="1288"/>
      <c r="J389" s="1288"/>
      <c r="K389" s="754" t="s">
        <v>2441</v>
      </c>
      <c r="L389" s="1170"/>
      <c r="M389" s="1170"/>
      <c r="N389" s="1170"/>
      <c r="O389" s="1165">
        <f t="shared" si="63"/>
        <v>0</v>
      </c>
      <c r="P389" s="1170"/>
      <c r="Q389" s="1170"/>
      <c r="R389" s="1170"/>
      <c r="S389" s="1170"/>
      <c r="T389" s="1170"/>
      <c r="U389" s="1170"/>
      <c r="V389" s="1170"/>
      <c r="W389" s="1438" t="e">
        <f t="shared" si="64"/>
        <v>#DIV/0!</v>
      </c>
      <c r="X389" s="1432"/>
      <c r="Y389" s="765"/>
    </row>
    <row r="390" spans="1:25" ht="22.5" customHeight="1" thickTop="1" thickBot="1" x14ac:dyDescent="0.3">
      <c r="A390" s="1287">
        <v>1</v>
      </c>
      <c r="B390" s="1288" t="s">
        <v>1378</v>
      </c>
      <c r="C390" s="1288" t="s">
        <v>1391</v>
      </c>
      <c r="D390" s="1288" t="s">
        <v>1378</v>
      </c>
      <c r="E390" s="1288" t="s">
        <v>1378</v>
      </c>
      <c r="F390" s="1288" t="s">
        <v>1415</v>
      </c>
      <c r="G390" s="1286" t="s">
        <v>1391</v>
      </c>
      <c r="H390" s="1288" t="s">
        <v>1444</v>
      </c>
      <c r="I390" s="1288"/>
      <c r="J390" s="1288"/>
      <c r="K390" s="754" t="s">
        <v>2442</v>
      </c>
      <c r="L390" s="1170"/>
      <c r="M390" s="1170"/>
      <c r="N390" s="1170"/>
      <c r="O390" s="1165">
        <f t="shared" si="63"/>
        <v>0</v>
      </c>
      <c r="P390" s="1170"/>
      <c r="Q390" s="1170"/>
      <c r="R390" s="1170"/>
      <c r="S390" s="1170"/>
      <c r="T390" s="1170"/>
      <c r="U390" s="1170"/>
      <c r="V390" s="1170"/>
      <c r="W390" s="1438" t="e">
        <f t="shared" si="64"/>
        <v>#DIV/0!</v>
      </c>
      <c r="X390" s="1432"/>
      <c r="Y390" s="765"/>
    </row>
    <row r="391" spans="1:25" ht="22.5" customHeight="1" thickTop="1" thickBot="1" x14ac:dyDescent="0.3">
      <c r="A391" s="1287">
        <v>1</v>
      </c>
      <c r="B391" s="1288" t="s">
        <v>1378</v>
      </c>
      <c r="C391" s="1288" t="s">
        <v>1391</v>
      </c>
      <c r="D391" s="1288" t="s">
        <v>1378</v>
      </c>
      <c r="E391" s="1288" t="s">
        <v>1378</v>
      </c>
      <c r="F391" s="1288" t="s">
        <v>1415</v>
      </c>
      <c r="G391" s="1286" t="s">
        <v>1391</v>
      </c>
      <c r="H391" s="1288" t="s">
        <v>1467</v>
      </c>
      <c r="I391" s="1288"/>
      <c r="J391" s="1288"/>
      <c r="K391" s="754" t="s">
        <v>2443</v>
      </c>
      <c r="L391" s="1170"/>
      <c r="M391" s="1170"/>
      <c r="N391" s="1170"/>
      <c r="O391" s="1165">
        <f t="shared" si="63"/>
        <v>0</v>
      </c>
      <c r="P391" s="1170"/>
      <c r="Q391" s="1170"/>
      <c r="R391" s="1170"/>
      <c r="S391" s="1170"/>
      <c r="T391" s="1170"/>
      <c r="U391" s="1170"/>
      <c r="V391" s="1170"/>
      <c r="W391" s="1438" t="e">
        <f t="shared" si="64"/>
        <v>#DIV/0!</v>
      </c>
      <c r="X391" s="1432"/>
      <c r="Y391" s="765"/>
    </row>
    <row r="392" spans="1:25" ht="22.5" customHeight="1" thickTop="1" thickBot="1" x14ac:dyDescent="0.3">
      <c r="A392" s="1287">
        <v>1</v>
      </c>
      <c r="B392" s="1288" t="s">
        <v>1378</v>
      </c>
      <c r="C392" s="1288" t="s">
        <v>1391</v>
      </c>
      <c r="D392" s="1288" t="s">
        <v>1378</v>
      </c>
      <c r="E392" s="1288" t="s">
        <v>1378</v>
      </c>
      <c r="F392" s="1288" t="s">
        <v>1415</v>
      </c>
      <c r="G392" s="1286" t="s">
        <v>1391</v>
      </c>
      <c r="H392" s="1288" t="s">
        <v>1471</v>
      </c>
      <c r="I392" s="1288"/>
      <c r="J392" s="1288"/>
      <c r="K392" s="754" t="s">
        <v>2444</v>
      </c>
      <c r="L392" s="1170"/>
      <c r="M392" s="1170"/>
      <c r="N392" s="1170"/>
      <c r="O392" s="1165">
        <f t="shared" ref="O392:O455" si="72">L392+M392-N392</f>
        <v>0</v>
      </c>
      <c r="P392" s="1170"/>
      <c r="Q392" s="1170"/>
      <c r="R392" s="1170"/>
      <c r="S392" s="1170"/>
      <c r="T392" s="1170"/>
      <c r="U392" s="1170"/>
      <c r="V392" s="1170"/>
      <c r="W392" s="1438" t="e">
        <f t="shared" ref="W392:W455" si="73">V392/U392</f>
        <v>#DIV/0!</v>
      </c>
      <c r="X392" s="1432"/>
      <c r="Y392" s="765"/>
    </row>
    <row r="393" spans="1:25" ht="22.5" customHeight="1" thickTop="1" thickBot="1" x14ac:dyDescent="0.3">
      <c r="A393" s="1287">
        <v>1</v>
      </c>
      <c r="B393" s="1288" t="s">
        <v>1378</v>
      </c>
      <c r="C393" s="1288" t="s">
        <v>1391</v>
      </c>
      <c r="D393" s="1288" t="s">
        <v>1378</v>
      </c>
      <c r="E393" s="1288" t="s">
        <v>1378</v>
      </c>
      <c r="F393" s="1288" t="s">
        <v>1415</v>
      </c>
      <c r="G393" s="1286" t="s">
        <v>1391</v>
      </c>
      <c r="H393" s="1288" t="s">
        <v>1475</v>
      </c>
      <c r="I393" s="1288"/>
      <c r="J393" s="1288"/>
      <c r="K393" s="754" t="s">
        <v>2445</v>
      </c>
      <c r="L393" s="1170"/>
      <c r="M393" s="1170"/>
      <c r="N393" s="1170"/>
      <c r="O393" s="1165">
        <f t="shared" si="72"/>
        <v>0</v>
      </c>
      <c r="P393" s="1170"/>
      <c r="Q393" s="1170"/>
      <c r="R393" s="1170"/>
      <c r="S393" s="1170"/>
      <c r="T393" s="1170"/>
      <c r="U393" s="1170"/>
      <c r="V393" s="1170"/>
      <c r="W393" s="1438" t="e">
        <f t="shared" si="73"/>
        <v>#DIV/0!</v>
      </c>
      <c r="X393" s="1432"/>
      <c r="Y393" s="765"/>
    </row>
    <row r="394" spans="1:25" ht="22.5" customHeight="1" thickTop="1" thickBot="1" x14ac:dyDescent="0.3">
      <c r="A394" s="1287">
        <v>1</v>
      </c>
      <c r="B394" s="1288" t="s">
        <v>1378</v>
      </c>
      <c r="C394" s="1288" t="s">
        <v>1391</v>
      </c>
      <c r="D394" s="1288" t="s">
        <v>1378</v>
      </c>
      <c r="E394" s="1288" t="s">
        <v>1378</v>
      </c>
      <c r="F394" s="1288" t="s">
        <v>1415</v>
      </c>
      <c r="G394" s="1286" t="s">
        <v>1391</v>
      </c>
      <c r="H394" s="1288" t="s">
        <v>1573</v>
      </c>
      <c r="I394" s="1288"/>
      <c r="J394" s="1288"/>
      <c r="K394" s="754" t="s">
        <v>2446</v>
      </c>
      <c r="L394" s="1170"/>
      <c r="M394" s="1170"/>
      <c r="N394" s="1170"/>
      <c r="O394" s="1165">
        <f t="shared" si="72"/>
        <v>0</v>
      </c>
      <c r="P394" s="1170"/>
      <c r="Q394" s="1170"/>
      <c r="R394" s="1170"/>
      <c r="S394" s="1170"/>
      <c r="T394" s="1170"/>
      <c r="U394" s="1170"/>
      <c r="V394" s="1170"/>
      <c r="W394" s="1438" t="e">
        <f t="shared" si="73"/>
        <v>#DIV/0!</v>
      </c>
      <c r="X394" s="1432"/>
      <c r="Y394" s="765"/>
    </row>
    <row r="395" spans="1:25" ht="22.5" customHeight="1" thickTop="1" thickBot="1" x14ac:dyDescent="0.3">
      <c r="A395" s="1287">
        <v>1</v>
      </c>
      <c r="B395" s="1288" t="s">
        <v>1378</v>
      </c>
      <c r="C395" s="1288" t="s">
        <v>1391</v>
      </c>
      <c r="D395" s="1288" t="s">
        <v>1378</v>
      </c>
      <c r="E395" s="1288" t="s">
        <v>1378</v>
      </c>
      <c r="F395" s="1288" t="s">
        <v>1415</v>
      </c>
      <c r="G395" s="1286" t="s">
        <v>1391</v>
      </c>
      <c r="H395" s="1288" t="s">
        <v>1574</v>
      </c>
      <c r="I395" s="1288"/>
      <c r="J395" s="1288"/>
      <c r="K395" s="754" t="s">
        <v>2447</v>
      </c>
      <c r="L395" s="1170"/>
      <c r="M395" s="1170"/>
      <c r="N395" s="1170"/>
      <c r="O395" s="1165">
        <f t="shared" si="72"/>
        <v>0</v>
      </c>
      <c r="P395" s="1170"/>
      <c r="Q395" s="1170"/>
      <c r="R395" s="1170"/>
      <c r="S395" s="1170"/>
      <c r="T395" s="1170"/>
      <c r="U395" s="1170"/>
      <c r="V395" s="1170"/>
      <c r="W395" s="1438" t="e">
        <f t="shared" si="73"/>
        <v>#DIV/0!</v>
      </c>
      <c r="X395" s="1432"/>
      <c r="Y395" s="765"/>
    </row>
    <row r="396" spans="1:25" ht="22.5" customHeight="1" thickTop="1" thickBot="1" x14ac:dyDescent="0.3">
      <c r="A396" s="1287">
        <v>1</v>
      </c>
      <c r="B396" s="1288" t="s">
        <v>1378</v>
      </c>
      <c r="C396" s="1288" t="s">
        <v>1391</v>
      </c>
      <c r="D396" s="1288" t="s">
        <v>1378</v>
      </c>
      <c r="E396" s="1288" t="s">
        <v>1378</v>
      </c>
      <c r="F396" s="1288" t="s">
        <v>1415</v>
      </c>
      <c r="G396" s="1286" t="s">
        <v>1391</v>
      </c>
      <c r="H396" s="1288" t="s">
        <v>1575</v>
      </c>
      <c r="I396" s="1288"/>
      <c r="J396" s="1288"/>
      <c r="K396" s="754" t="s">
        <v>2448</v>
      </c>
      <c r="L396" s="1170"/>
      <c r="M396" s="1170"/>
      <c r="N396" s="1170"/>
      <c r="O396" s="1165">
        <f t="shared" si="72"/>
        <v>0</v>
      </c>
      <c r="P396" s="1170"/>
      <c r="Q396" s="1170"/>
      <c r="R396" s="1170"/>
      <c r="S396" s="1170"/>
      <c r="T396" s="1170"/>
      <c r="U396" s="1170"/>
      <c r="V396" s="1170"/>
      <c r="W396" s="1438" t="e">
        <f t="shared" si="73"/>
        <v>#DIV/0!</v>
      </c>
      <c r="X396" s="1432"/>
      <c r="Y396" s="765"/>
    </row>
    <row r="397" spans="1:25" ht="22.5" customHeight="1" thickTop="1" thickBot="1" x14ac:dyDescent="0.3">
      <c r="A397" s="1291">
        <v>1</v>
      </c>
      <c r="B397" s="1280" t="s">
        <v>1378</v>
      </c>
      <c r="C397" s="1280" t="s">
        <v>1391</v>
      </c>
      <c r="D397" s="1280" t="s">
        <v>1391</v>
      </c>
      <c r="E397" s="1280"/>
      <c r="F397" s="1280"/>
      <c r="G397" s="1280"/>
      <c r="H397" s="1292"/>
      <c r="I397" s="1292"/>
      <c r="J397" s="1292"/>
      <c r="K397" s="1281" t="s">
        <v>2018</v>
      </c>
      <c r="L397" s="1175">
        <f>+L398+L410</f>
        <v>0</v>
      </c>
      <c r="M397" s="1175">
        <f t="shared" ref="M397:V397" si="74">+M398+M410</f>
        <v>0</v>
      </c>
      <c r="N397" s="1175">
        <f t="shared" si="74"/>
        <v>0</v>
      </c>
      <c r="O397" s="1165">
        <f t="shared" si="72"/>
        <v>0</v>
      </c>
      <c r="P397" s="1175">
        <f t="shared" si="74"/>
        <v>0</v>
      </c>
      <c r="Q397" s="1175">
        <f t="shared" si="74"/>
        <v>0</v>
      </c>
      <c r="R397" s="1175">
        <f t="shared" si="74"/>
        <v>0</v>
      </c>
      <c r="S397" s="1175"/>
      <c r="T397" s="1175">
        <f t="shared" si="74"/>
        <v>0</v>
      </c>
      <c r="U397" s="1175">
        <f t="shared" si="74"/>
        <v>0</v>
      </c>
      <c r="V397" s="1175">
        <f t="shared" si="74"/>
        <v>0</v>
      </c>
      <c r="W397" s="1441" t="e">
        <f t="shared" si="73"/>
        <v>#DIV/0!</v>
      </c>
      <c r="X397" s="1432" t="s">
        <v>2021</v>
      </c>
      <c r="Y397" s="765"/>
    </row>
    <row r="398" spans="1:25" s="183" customFormat="1" ht="22.5" customHeight="1" thickTop="1" thickBot="1" x14ac:dyDescent="0.3">
      <c r="A398" s="1285">
        <v>1</v>
      </c>
      <c r="B398" s="1286" t="s">
        <v>1378</v>
      </c>
      <c r="C398" s="1286" t="s">
        <v>1391</v>
      </c>
      <c r="D398" s="1286" t="s">
        <v>1391</v>
      </c>
      <c r="E398" s="1286" t="s">
        <v>1378</v>
      </c>
      <c r="F398" s="1286"/>
      <c r="G398" s="1286"/>
      <c r="H398" s="1286"/>
      <c r="I398" s="1286"/>
      <c r="J398" s="1286"/>
      <c r="K398" s="753" t="s">
        <v>2019</v>
      </c>
      <c r="L398" s="1165">
        <f>SUM(L399:L409)</f>
        <v>0</v>
      </c>
      <c r="M398" s="1165">
        <f t="shared" ref="M398:V398" si="75">SUM(M399:M409)</f>
        <v>0</v>
      </c>
      <c r="N398" s="1165">
        <f t="shared" si="75"/>
        <v>0</v>
      </c>
      <c r="O398" s="1165">
        <f t="shared" si="72"/>
        <v>0</v>
      </c>
      <c r="P398" s="1165">
        <f t="shared" si="75"/>
        <v>0</v>
      </c>
      <c r="Q398" s="1165">
        <f t="shared" si="75"/>
        <v>0</v>
      </c>
      <c r="R398" s="1165">
        <f t="shared" si="75"/>
        <v>0</v>
      </c>
      <c r="S398" s="1165"/>
      <c r="T398" s="1165">
        <f t="shared" si="75"/>
        <v>0</v>
      </c>
      <c r="U398" s="1165">
        <f t="shared" si="75"/>
        <v>0</v>
      </c>
      <c r="V398" s="1165">
        <f t="shared" si="75"/>
        <v>0</v>
      </c>
      <c r="W398" s="1436" t="e">
        <f t="shared" si="73"/>
        <v>#DIV/0!</v>
      </c>
      <c r="X398" s="1432" t="s">
        <v>2022</v>
      </c>
      <c r="Y398" s="765" t="s">
        <v>2023</v>
      </c>
    </row>
    <row r="399" spans="1:25" ht="22.5" customHeight="1" thickTop="1" thickBot="1" x14ac:dyDescent="0.3">
      <c r="A399" s="1287">
        <v>1</v>
      </c>
      <c r="B399" s="1288" t="s">
        <v>1378</v>
      </c>
      <c r="C399" s="1288" t="s">
        <v>1391</v>
      </c>
      <c r="D399" s="1288" t="s">
        <v>1391</v>
      </c>
      <c r="E399" s="1288" t="s">
        <v>1378</v>
      </c>
      <c r="F399" s="1288" t="s">
        <v>1378</v>
      </c>
      <c r="G399" s="1286"/>
      <c r="H399" s="1288"/>
      <c r="I399" s="1288"/>
      <c r="J399" s="1288"/>
      <c r="K399" s="754" t="s">
        <v>2449</v>
      </c>
      <c r="L399" s="1170"/>
      <c r="M399" s="1170"/>
      <c r="N399" s="1170"/>
      <c r="O399" s="1165">
        <f t="shared" si="72"/>
        <v>0</v>
      </c>
      <c r="P399" s="1170"/>
      <c r="Q399" s="1170"/>
      <c r="R399" s="1170"/>
      <c r="S399" s="1170"/>
      <c r="T399" s="1170"/>
      <c r="U399" s="1170"/>
      <c r="V399" s="1170"/>
      <c r="W399" s="1438" t="e">
        <f t="shared" si="73"/>
        <v>#DIV/0!</v>
      </c>
      <c r="X399" s="1432"/>
      <c r="Y399" s="765"/>
    </row>
    <row r="400" spans="1:25" ht="22.5" customHeight="1" thickTop="1" thickBot="1" x14ac:dyDescent="0.3">
      <c r="A400" s="1287">
        <v>1</v>
      </c>
      <c r="B400" s="1288" t="s">
        <v>1378</v>
      </c>
      <c r="C400" s="1288" t="s">
        <v>1391</v>
      </c>
      <c r="D400" s="1288" t="s">
        <v>1391</v>
      </c>
      <c r="E400" s="1288" t="s">
        <v>1378</v>
      </c>
      <c r="F400" s="1288" t="s">
        <v>1391</v>
      </c>
      <c r="G400" s="1286"/>
      <c r="H400" s="1288"/>
      <c r="I400" s="1288"/>
      <c r="J400" s="1288"/>
      <c r="K400" s="754" t="s">
        <v>2450</v>
      </c>
      <c r="L400" s="1170"/>
      <c r="M400" s="1170"/>
      <c r="N400" s="1170"/>
      <c r="O400" s="1165">
        <f t="shared" si="72"/>
        <v>0</v>
      </c>
      <c r="P400" s="1170"/>
      <c r="Q400" s="1170"/>
      <c r="R400" s="1170"/>
      <c r="S400" s="1170"/>
      <c r="T400" s="1170"/>
      <c r="U400" s="1170"/>
      <c r="V400" s="1170"/>
      <c r="W400" s="1438" t="e">
        <f t="shared" si="73"/>
        <v>#DIV/0!</v>
      </c>
      <c r="X400" s="1432"/>
      <c r="Y400" s="765"/>
    </row>
    <row r="401" spans="1:25" ht="22.5" customHeight="1" thickTop="1" thickBot="1" x14ac:dyDescent="0.3">
      <c r="A401" s="1287">
        <v>1</v>
      </c>
      <c r="B401" s="1288" t="s">
        <v>1378</v>
      </c>
      <c r="C401" s="1288" t="s">
        <v>1391</v>
      </c>
      <c r="D401" s="1288" t="s">
        <v>1391</v>
      </c>
      <c r="E401" s="1288" t="s">
        <v>1378</v>
      </c>
      <c r="F401" s="1288" t="s">
        <v>1415</v>
      </c>
      <c r="G401" s="1286"/>
      <c r="H401" s="1288"/>
      <c r="I401" s="1288"/>
      <c r="J401" s="1288"/>
      <c r="K401" s="754" t="s">
        <v>2451</v>
      </c>
      <c r="L401" s="1170"/>
      <c r="M401" s="1170"/>
      <c r="N401" s="1170"/>
      <c r="O401" s="1165">
        <f t="shared" si="72"/>
        <v>0</v>
      </c>
      <c r="P401" s="1170"/>
      <c r="Q401" s="1170"/>
      <c r="R401" s="1170"/>
      <c r="S401" s="1170"/>
      <c r="T401" s="1170"/>
      <c r="U401" s="1170"/>
      <c r="V401" s="1170"/>
      <c r="W401" s="1438" t="e">
        <f t="shared" si="73"/>
        <v>#DIV/0!</v>
      </c>
      <c r="X401" s="1432"/>
      <c r="Y401" s="765"/>
    </row>
    <row r="402" spans="1:25" ht="22.5" customHeight="1" thickTop="1" thickBot="1" x14ac:dyDescent="0.3">
      <c r="A402" s="1287">
        <v>1</v>
      </c>
      <c r="B402" s="1288" t="s">
        <v>1378</v>
      </c>
      <c r="C402" s="1288" t="s">
        <v>1391</v>
      </c>
      <c r="D402" s="1288" t="s">
        <v>1391</v>
      </c>
      <c r="E402" s="1288" t="s">
        <v>1378</v>
      </c>
      <c r="F402" s="1288" t="s">
        <v>1419</v>
      </c>
      <c r="G402" s="1286"/>
      <c r="H402" s="1288"/>
      <c r="I402" s="1288"/>
      <c r="J402" s="1288"/>
      <c r="K402" s="754" t="s">
        <v>2452</v>
      </c>
      <c r="L402" s="1170"/>
      <c r="M402" s="1170"/>
      <c r="N402" s="1170"/>
      <c r="O402" s="1165">
        <f t="shared" si="72"/>
        <v>0</v>
      </c>
      <c r="P402" s="1170"/>
      <c r="Q402" s="1170"/>
      <c r="R402" s="1170"/>
      <c r="S402" s="1170"/>
      <c r="T402" s="1170"/>
      <c r="U402" s="1170"/>
      <c r="V402" s="1170"/>
      <c r="W402" s="1438" t="e">
        <f t="shared" si="73"/>
        <v>#DIV/0!</v>
      </c>
      <c r="X402" s="1432"/>
      <c r="Y402" s="765"/>
    </row>
    <row r="403" spans="1:25" ht="22.5" customHeight="1" thickTop="1" thickBot="1" x14ac:dyDescent="0.3">
      <c r="A403" s="1287">
        <v>1</v>
      </c>
      <c r="B403" s="1288" t="s">
        <v>1378</v>
      </c>
      <c r="C403" s="1288" t="s">
        <v>1391</v>
      </c>
      <c r="D403" s="1288" t="s">
        <v>1391</v>
      </c>
      <c r="E403" s="1288" t="s">
        <v>1378</v>
      </c>
      <c r="F403" s="1288" t="s">
        <v>1444</v>
      </c>
      <c r="G403" s="1286"/>
      <c r="H403" s="1288"/>
      <c r="I403" s="1288"/>
      <c r="J403" s="1288"/>
      <c r="K403" s="754" t="s">
        <v>2453</v>
      </c>
      <c r="L403" s="1170"/>
      <c r="M403" s="1170"/>
      <c r="N403" s="1170"/>
      <c r="O403" s="1165">
        <f t="shared" si="72"/>
        <v>0</v>
      </c>
      <c r="P403" s="1170"/>
      <c r="Q403" s="1170"/>
      <c r="R403" s="1170"/>
      <c r="S403" s="1170"/>
      <c r="T403" s="1170"/>
      <c r="U403" s="1170"/>
      <c r="V403" s="1170"/>
      <c r="W403" s="1438" t="e">
        <f t="shared" si="73"/>
        <v>#DIV/0!</v>
      </c>
      <c r="X403" s="1432"/>
      <c r="Y403" s="765"/>
    </row>
    <row r="404" spans="1:25" ht="22.5" customHeight="1" thickTop="1" thickBot="1" x14ac:dyDescent="0.3">
      <c r="A404" s="1287">
        <v>1</v>
      </c>
      <c r="B404" s="1288" t="s">
        <v>1378</v>
      </c>
      <c r="C404" s="1288" t="s">
        <v>1391</v>
      </c>
      <c r="D404" s="1288" t="s">
        <v>1391</v>
      </c>
      <c r="E404" s="1288" t="s">
        <v>1378</v>
      </c>
      <c r="F404" s="1288" t="s">
        <v>1467</v>
      </c>
      <c r="G404" s="1286"/>
      <c r="H404" s="1288"/>
      <c r="I404" s="1288"/>
      <c r="J404" s="1288"/>
      <c r="K404" s="754" t="s">
        <v>2454</v>
      </c>
      <c r="L404" s="1170"/>
      <c r="M404" s="1170"/>
      <c r="N404" s="1170"/>
      <c r="O404" s="1165">
        <f t="shared" si="72"/>
        <v>0</v>
      </c>
      <c r="P404" s="1170"/>
      <c r="Q404" s="1170"/>
      <c r="R404" s="1170"/>
      <c r="S404" s="1170"/>
      <c r="T404" s="1170"/>
      <c r="U404" s="1170"/>
      <c r="V404" s="1170"/>
      <c r="W404" s="1438" t="e">
        <f t="shared" si="73"/>
        <v>#DIV/0!</v>
      </c>
      <c r="X404" s="1432"/>
      <c r="Y404" s="765"/>
    </row>
    <row r="405" spans="1:25" ht="22.5" customHeight="1" thickTop="1" thickBot="1" x14ac:dyDescent="0.3">
      <c r="A405" s="1287">
        <v>1</v>
      </c>
      <c r="B405" s="1288" t="s">
        <v>1378</v>
      </c>
      <c r="C405" s="1288" t="s">
        <v>1391</v>
      </c>
      <c r="D405" s="1288" t="s">
        <v>1391</v>
      </c>
      <c r="E405" s="1288" t="s">
        <v>1378</v>
      </c>
      <c r="F405" s="1288" t="s">
        <v>1471</v>
      </c>
      <c r="G405" s="1286"/>
      <c r="H405" s="1288"/>
      <c r="I405" s="1288"/>
      <c r="J405" s="1288"/>
      <c r="K405" s="754" t="s">
        <v>2455</v>
      </c>
      <c r="L405" s="1170"/>
      <c r="M405" s="1170"/>
      <c r="N405" s="1170"/>
      <c r="O405" s="1165">
        <f t="shared" si="72"/>
        <v>0</v>
      </c>
      <c r="P405" s="1170"/>
      <c r="Q405" s="1170"/>
      <c r="R405" s="1170"/>
      <c r="S405" s="1170"/>
      <c r="T405" s="1170"/>
      <c r="U405" s="1170"/>
      <c r="V405" s="1170"/>
      <c r="W405" s="1438" t="e">
        <f t="shared" si="73"/>
        <v>#DIV/0!</v>
      </c>
      <c r="X405" s="1432"/>
      <c r="Y405" s="765"/>
    </row>
    <row r="406" spans="1:25" ht="22.5" customHeight="1" thickTop="1" thickBot="1" x14ac:dyDescent="0.3">
      <c r="A406" s="1287">
        <v>1</v>
      </c>
      <c r="B406" s="1288" t="s">
        <v>1378</v>
      </c>
      <c r="C406" s="1288" t="s">
        <v>1391</v>
      </c>
      <c r="D406" s="1288" t="s">
        <v>1391</v>
      </c>
      <c r="E406" s="1288" t="s">
        <v>1378</v>
      </c>
      <c r="F406" s="1288" t="s">
        <v>1475</v>
      </c>
      <c r="G406" s="1286"/>
      <c r="H406" s="1288"/>
      <c r="I406" s="1288"/>
      <c r="J406" s="1288"/>
      <c r="K406" s="754" t="s">
        <v>2456</v>
      </c>
      <c r="L406" s="1170"/>
      <c r="M406" s="1170"/>
      <c r="N406" s="1170"/>
      <c r="O406" s="1165">
        <f t="shared" si="72"/>
        <v>0</v>
      </c>
      <c r="P406" s="1170"/>
      <c r="Q406" s="1170"/>
      <c r="R406" s="1170"/>
      <c r="S406" s="1170"/>
      <c r="T406" s="1170"/>
      <c r="U406" s="1170"/>
      <c r="V406" s="1170"/>
      <c r="W406" s="1438" t="e">
        <f t="shared" si="73"/>
        <v>#DIV/0!</v>
      </c>
      <c r="X406" s="1432"/>
      <c r="Y406" s="765"/>
    </row>
    <row r="407" spans="1:25" ht="22.5" customHeight="1" thickTop="1" thickBot="1" x14ac:dyDescent="0.3">
      <c r="A407" s="1287">
        <v>1</v>
      </c>
      <c r="B407" s="1288" t="s">
        <v>1378</v>
      </c>
      <c r="C407" s="1288" t="s">
        <v>1391</v>
      </c>
      <c r="D407" s="1288" t="s">
        <v>1391</v>
      </c>
      <c r="E407" s="1288" t="s">
        <v>1378</v>
      </c>
      <c r="F407" s="1288" t="s">
        <v>1573</v>
      </c>
      <c r="G407" s="1286"/>
      <c r="H407" s="1288"/>
      <c r="I407" s="1288"/>
      <c r="J407" s="1288"/>
      <c r="K407" s="754" t="s">
        <v>2457</v>
      </c>
      <c r="L407" s="1170"/>
      <c r="M407" s="1170"/>
      <c r="N407" s="1170"/>
      <c r="O407" s="1165">
        <f t="shared" si="72"/>
        <v>0</v>
      </c>
      <c r="P407" s="1170"/>
      <c r="Q407" s="1170"/>
      <c r="R407" s="1170"/>
      <c r="S407" s="1170"/>
      <c r="T407" s="1170"/>
      <c r="U407" s="1170"/>
      <c r="V407" s="1170"/>
      <c r="W407" s="1438" t="e">
        <f t="shared" si="73"/>
        <v>#DIV/0!</v>
      </c>
      <c r="X407" s="1432"/>
      <c r="Y407" s="765"/>
    </row>
    <row r="408" spans="1:25" ht="22.5" customHeight="1" thickTop="1" thickBot="1" x14ac:dyDescent="0.3">
      <c r="A408" s="1287">
        <v>1</v>
      </c>
      <c r="B408" s="1288" t="s">
        <v>1378</v>
      </c>
      <c r="C408" s="1288" t="s">
        <v>1391</v>
      </c>
      <c r="D408" s="1288" t="s">
        <v>1391</v>
      </c>
      <c r="E408" s="1288" t="s">
        <v>1378</v>
      </c>
      <c r="F408" s="1288" t="s">
        <v>1574</v>
      </c>
      <c r="G408" s="1286"/>
      <c r="H408" s="1288"/>
      <c r="I408" s="1288"/>
      <c r="J408" s="1288"/>
      <c r="K408" s="754" t="s">
        <v>2458</v>
      </c>
      <c r="L408" s="1170"/>
      <c r="M408" s="1170"/>
      <c r="N408" s="1170"/>
      <c r="O408" s="1165">
        <f t="shared" si="72"/>
        <v>0</v>
      </c>
      <c r="P408" s="1170"/>
      <c r="Q408" s="1170"/>
      <c r="R408" s="1170"/>
      <c r="S408" s="1170"/>
      <c r="T408" s="1170"/>
      <c r="U408" s="1170"/>
      <c r="V408" s="1170"/>
      <c r="W408" s="1438" t="e">
        <f t="shared" si="73"/>
        <v>#DIV/0!</v>
      </c>
      <c r="X408" s="1432"/>
      <c r="Y408" s="765"/>
    </row>
    <row r="409" spans="1:25" ht="22.5" customHeight="1" thickTop="1" thickBot="1" x14ac:dyDescent="0.3">
      <c r="A409" s="1287">
        <v>1</v>
      </c>
      <c r="B409" s="1288" t="s">
        <v>1378</v>
      </c>
      <c r="C409" s="1288" t="s">
        <v>1391</v>
      </c>
      <c r="D409" s="1288" t="s">
        <v>1391</v>
      </c>
      <c r="E409" s="1288" t="s">
        <v>1378</v>
      </c>
      <c r="F409" s="1288" t="s">
        <v>1575</v>
      </c>
      <c r="G409" s="1286"/>
      <c r="H409" s="1288"/>
      <c r="I409" s="1288"/>
      <c r="J409" s="1288"/>
      <c r="K409" s="754" t="s">
        <v>2459</v>
      </c>
      <c r="L409" s="1170"/>
      <c r="M409" s="1170"/>
      <c r="N409" s="1170"/>
      <c r="O409" s="1165">
        <f t="shared" si="72"/>
        <v>0</v>
      </c>
      <c r="P409" s="1170"/>
      <c r="Q409" s="1170"/>
      <c r="R409" s="1170"/>
      <c r="S409" s="1170"/>
      <c r="T409" s="1170"/>
      <c r="U409" s="1170"/>
      <c r="V409" s="1170"/>
      <c r="W409" s="1438" t="e">
        <f t="shared" si="73"/>
        <v>#DIV/0!</v>
      </c>
      <c r="X409" s="1432"/>
      <c r="Y409" s="765"/>
    </row>
    <row r="410" spans="1:25" s="183" customFormat="1" ht="22.5" customHeight="1" thickTop="1" thickBot="1" x14ac:dyDescent="0.3">
      <c r="A410" s="1285">
        <v>1</v>
      </c>
      <c r="B410" s="1286" t="s">
        <v>1378</v>
      </c>
      <c r="C410" s="1286" t="s">
        <v>1391</v>
      </c>
      <c r="D410" s="1286" t="s">
        <v>1391</v>
      </c>
      <c r="E410" s="1286" t="s">
        <v>1391</v>
      </c>
      <c r="F410" s="1286"/>
      <c r="G410" s="1286"/>
      <c r="H410" s="1286"/>
      <c r="I410" s="1286"/>
      <c r="J410" s="1286"/>
      <c r="K410" s="753" t="s">
        <v>2020</v>
      </c>
      <c r="L410" s="1165">
        <f>SUM(L411:L421)</f>
        <v>0</v>
      </c>
      <c r="M410" s="1165">
        <f t="shared" ref="M410:V410" si="76">SUM(M411:M421)</f>
        <v>0</v>
      </c>
      <c r="N410" s="1165">
        <f t="shared" si="76"/>
        <v>0</v>
      </c>
      <c r="O410" s="1165">
        <f t="shared" si="72"/>
        <v>0</v>
      </c>
      <c r="P410" s="1165">
        <f t="shared" si="76"/>
        <v>0</v>
      </c>
      <c r="Q410" s="1165">
        <f t="shared" si="76"/>
        <v>0</v>
      </c>
      <c r="R410" s="1165">
        <f t="shared" si="76"/>
        <v>0</v>
      </c>
      <c r="S410" s="1165"/>
      <c r="T410" s="1165">
        <f t="shared" si="76"/>
        <v>0</v>
      </c>
      <c r="U410" s="1165">
        <f t="shared" si="76"/>
        <v>0</v>
      </c>
      <c r="V410" s="1165">
        <f t="shared" si="76"/>
        <v>0</v>
      </c>
      <c r="W410" s="1436" t="e">
        <f t="shared" si="73"/>
        <v>#DIV/0!</v>
      </c>
      <c r="X410" s="1432" t="s">
        <v>2024</v>
      </c>
      <c r="Y410" s="765"/>
    </row>
    <row r="411" spans="1:25" ht="22.5" customHeight="1" thickTop="1" thickBot="1" x14ac:dyDescent="0.3">
      <c r="A411" s="1287">
        <v>1</v>
      </c>
      <c r="B411" s="1288" t="s">
        <v>1378</v>
      </c>
      <c r="C411" s="1288" t="s">
        <v>1391</v>
      </c>
      <c r="D411" s="1288" t="s">
        <v>1391</v>
      </c>
      <c r="E411" s="1288" t="s">
        <v>1391</v>
      </c>
      <c r="F411" s="1288" t="s">
        <v>1378</v>
      </c>
      <c r="G411" s="1286"/>
      <c r="H411" s="1288"/>
      <c r="I411" s="1288"/>
      <c r="J411" s="1288"/>
      <c r="K411" s="754" t="s">
        <v>2460</v>
      </c>
      <c r="L411" s="1170"/>
      <c r="M411" s="1170"/>
      <c r="N411" s="1170"/>
      <c r="O411" s="1165">
        <f t="shared" si="72"/>
        <v>0</v>
      </c>
      <c r="P411" s="1170"/>
      <c r="Q411" s="1170"/>
      <c r="R411" s="1170"/>
      <c r="S411" s="1170"/>
      <c r="T411" s="1170"/>
      <c r="U411" s="1170"/>
      <c r="V411" s="1170"/>
      <c r="W411" s="1438" t="e">
        <f t="shared" si="73"/>
        <v>#DIV/0!</v>
      </c>
      <c r="X411" s="1432"/>
      <c r="Y411" s="765"/>
    </row>
    <row r="412" spans="1:25" ht="22.5" customHeight="1" thickTop="1" thickBot="1" x14ac:dyDescent="0.3">
      <c r="A412" s="1287">
        <v>1</v>
      </c>
      <c r="B412" s="1288" t="s">
        <v>1378</v>
      </c>
      <c r="C412" s="1288" t="s">
        <v>1391</v>
      </c>
      <c r="D412" s="1288" t="s">
        <v>1391</v>
      </c>
      <c r="E412" s="1288" t="s">
        <v>1391</v>
      </c>
      <c r="F412" s="1288" t="s">
        <v>1391</v>
      </c>
      <c r="G412" s="1286"/>
      <c r="H412" s="1288"/>
      <c r="I412" s="1288"/>
      <c r="J412" s="1288"/>
      <c r="K412" s="754" t="s">
        <v>2461</v>
      </c>
      <c r="L412" s="1170"/>
      <c r="M412" s="1170"/>
      <c r="N412" s="1170"/>
      <c r="O412" s="1165">
        <f t="shared" si="72"/>
        <v>0</v>
      </c>
      <c r="P412" s="1170"/>
      <c r="Q412" s="1170"/>
      <c r="R412" s="1170"/>
      <c r="S412" s="1170"/>
      <c r="T412" s="1170"/>
      <c r="U412" s="1170"/>
      <c r="V412" s="1170"/>
      <c r="W412" s="1438" t="e">
        <f t="shared" si="73"/>
        <v>#DIV/0!</v>
      </c>
      <c r="X412" s="1432"/>
      <c r="Y412" s="765"/>
    </row>
    <row r="413" spans="1:25" ht="22.5" customHeight="1" thickTop="1" thickBot="1" x14ac:dyDescent="0.3">
      <c r="A413" s="1287">
        <v>1</v>
      </c>
      <c r="B413" s="1288" t="s">
        <v>1378</v>
      </c>
      <c r="C413" s="1288" t="s">
        <v>1391</v>
      </c>
      <c r="D413" s="1288" t="s">
        <v>1391</v>
      </c>
      <c r="E413" s="1288" t="s">
        <v>1391</v>
      </c>
      <c r="F413" s="1288" t="s">
        <v>1415</v>
      </c>
      <c r="G413" s="1286"/>
      <c r="H413" s="1288"/>
      <c r="I413" s="1288"/>
      <c r="J413" s="1288"/>
      <c r="K413" s="754" t="s">
        <v>2462</v>
      </c>
      <c r="L413" s="1170"/>
      <c r="M413" s="1170"/>
      <c r="N413" s="1170"/>
      <c r="O413" s="1165">
        <f t="shared" si="72"/>
        <v>0</v>
      </c>
      <c r="P413" s="1170"/>
      <c r="Q413" s="1170"/>
      <c r="R413" s="1170"/>
      <c r="S413" s="1170"/>
      <c r="T413" s="1170"/>
      <c r="U413" s="1170"/>
      <c r="V413" s="1170"/>
      <c r="W413" s="1438" t="e">
        <f t="shared" si="73"/>
        <v>#DIV/0!</v>
      </c>
      <c r="X413" s="1432"/>
      <c r="Y413" s="765"/>
    </row>
    <row r="414" spans="1:25" ht="22.5" customHeight="1" thickTop="1" thickBot="1" x14ac:dyDescent="0.3">
      <c r="A414" s="1287">
        <v>1</v>
      </c>
      <c r="B414" s="1288" t="s">
        <v>1378</v>
      </c>
      <c r="C414" s="1288" t="s">
        <v>1391</v>
      </c>
      <c r="D414" s="1288" t="s">
        <v>1391</v>
      </c>
      <c r="E414" s="1288" t="s">
        <v>1391</v>
      </c>
      <c r="F414" s="1288" t="s">
        <v>1419</v>
      </c>
      <c r="G414" s="1286"/>
      <c r="H414" s="1288"/>
      <c r="I414" s="1288"/>
      <c r="J414" s="1288"/>
      <c r="K414" s="754" t="s">
        <v>2463</v>
      </c>
      <c r="L414" s="1170"/>
      <c r="M414" s="1170"/>
      <c r="N414" s="1170"/>
      <c r="O414" s="1165">
        <f t="shared" si="72"/>
        <v>0</v>
      </c>
      <c r="P414" s="1170"/>
      <c r="Q414" s="1170"/>
      <c r="R414" s="1170"/>
      <c r="S414" s="1170"/>
      <c r="T414" s="1170"/>
      <c r="U414" s="1170"/>
      <c r="V414" s="1170"/>
      <c r="W414" s="1438" t="e">
        <f t="shared" si="73"/>
        <v>#DIV/0!</v>
      </c>
      <c r="X414" s="1432"/>
      <c r="Y414" s="765"/>
    </row>
    <row r="415" spans="1:25" ht="22.5" customHeight="1" thickTop="1" thickBot="1" x14ac:dyDescent="0.3">
      <c r="A415" s="1287">
        <v>1</v>
      </c>
      <c r="B415" s="1288" t="s">
        <v>1378</v>
      </c>
      <c r="C415" s="1288" t="s">
        <v>1391</v>
      </c>
      <c r="D415" s="1288" t="s">
        <v>1391</v>
      </c>
      <c r="E415" s="1288" t="s">
        <v>1391</v>
      </c>
      <c r="F415" s="1288" t="s">
        <v>1444</v>
      </c>
      <c r="G415" s="1286"/>
      <c r="H415" s="1288"/>
      <c r="I415" s="1288"/>
      <c r="J415" s="1288"/>
      <c r="K415" s="754" t="s">
        <v>2464</v>
      </c>
      <c r="L415" s="1170"/>
      <c r="M415" s="1170"/>
      <c r="N415" s="1170"/>
      <c r="O415" s="1165">
        <f t="shared" si="72"/>
        <v>0</v>
      </c>
      <c r="P415" s="1170"/>
      <c r="Q415" s="1170"/>
      <c r="R415" s="1170"/>
      <c r="S415" s="1170"/>
      <c r="T415" s="1170"/>
      <c r="U415" s="1170"/>
      <c r="V415" s="1170"/>
      <c r="W415" s="1438" t="e">
        <f t="shared" si="73"/>
        <v>#DIV/0!</v>
      </c>
      <c r="X415" s="1432"/>
      <c r="Y415" s="765"/>
    </row>
    <row r="416" spans="1:25" ht="22.5" customHeight="1" thickTop="1" thickBot="1" x14ac:dyDescent="0.3">
      <c r="A416" s="1287">
        <v>1</v>
      </c>
      <c r="B416" s="1288" t="s">
        <v>1378</v>
      </c>
      <c r="C416" s="1288" t="s">
        <v>1391</v>
      </c>
      <c r="D416" s="1288" t="s">
        <v>1391</v>
      </c>
      <c r="E416" s="1288" t="s">
        <v>1391</v>
      </c>
      <c r="F416" s="1288" t="s">
        <v>1467</v>
      </c>
      <c r="G416" s="1286"/>
      <c r="H416" s="1288"/>
      <c r="I416" s="1288"/>
      <c r="J416" s="1288"/>
      <c r="K416" s="754" t="s">
        <v>2465</v>
      </c>
      <c r="L416" s="1170"/>
      <c r="M416" s="1170"/>
      <c r="N416" s="1170"/>
      <c r="O416" s="1165">
        <f t="shared" si="72"/>
        <v>0</v>
      </c>
      <c r="P416" s="1170"/>
      <c r="Q416" s="1170"/>
      <c r="R416" s="1170"/>
      <c r="S416" s="1170"/>
      <c r="T416" s="1170"/>
      <c r="U416" s="1170"/>
      <c r="V416" s="1170"/>
      <c r="W416" s="1438" t="e">
        <f t="shared" si="73"/>
        <v>#DIV/0!</v>
      </c>
      <c r="X416" s="1432"/>
      <c r="Y416" s="765"/>
    </row>
    <row r="417" spans="1:25" ht="22.5" customHeight="1" thickTop="1" thickBot="1" x14ac:dyDescent="0.3">
      <c r="A417" s="1287">
        <v>1</v>
      </c>
      <c r="B417" s="1288" t="s">
        <v>1378</v>
      </c>
      <c r="C417" s="1288" t="s">
        <v>1391</v>
      </c>
      <c r="D417" s="1288" t="s">
        <v>1391</v>
      </c>
      <c r="E417" s="1288" t="s">
        <v>1391</v>
      </c>
      <c r="F417" s="1288" t="s">
        <v>1471</v>
      </c>
      <c r="G417" s="1286"/>
      <c r="H417" s="1288"/>
      <c r="I417" s="1288"/>
      <c r="J417" s="1288"/>
      <c r="K417" s="754" t="s">
        <v>2466</v>
      </c>
      <c r="L417" s="1170"/>
      <c r="M417" s="1170"/>
      <c r="N417" s="1170"/>
      <c r="O417" s="1165">
        <f t="shared" si="72"/>
        <v>0</v>
      </c>
      <c r="P417" s="1170"/>
      <c r="Q417" s="1170"/>
      <c r="R417" s="1170"/>
      <c r="S417" s="1170"/>
      <c r="T417" s="1170"/>
      <c r="U417" s="1170"/>
      <c r="V417" s="1170"/>
      <c r="W417" s="1438" t="e">
        <f t="shared" si="73"/>
        <v>#DIV/0!</v>
      </c>
      <c r="X417" s="1432"/>
      <c r="Y417" s="765"/>
    </row>
    <row r="418" spans="1:25" ht="22.5" customHeight="1" thickTop="1" thickBot="1" x14ac:dyDescent="0.3">
      <c r="A418" s="1287">
        <v>1</v>
      </c>
      <c r="B418" s="1288" t="s">
        <v>1378</v>
      </c>
      <c r="C418" s="1288" t="s">
        <v>1391</v>
      </c>
      <c r="D418" s="1288" t="s">
        <v>1391</v>
      </c>
      <c r="E418" s="1288" t="s">
        <v>1391</v>
      </c>
      <c r="F418" s="1288" t="s">
        <v>1475</v>
      </c>
      <c r="G418" s="1286"/>
      <c r="H418" s="1288"/>
      <c r="I418" s="1288"/>
      <c r="J418" s="1288"/>
      <c r="K418" s="754" t="s">
        <v>2467</v>
      </c>
      <c r="L418" s="1170"/>
      <c r="M418" s="1170"/>
      <c r="N418" s="1170"/>
      <c r="O418" s="1165">
        <f t="shared" si="72"/>
        <v>0</v>
      </c>
      <c r="P418" s="1170"/>
      <c r="Q418" s="1170"/>
      <c r="R418" s="1170"/>
      <c r="S418" s="1170"/>
      <c r="T418" s="1170"/>
      <c r="U418" s="1170"/>
      <c r="V418" s="1170"/>
      <c r="W418" s="1438" t="e">
        <f t="shared" si="73"/>
        <v>#DIV/0!</v>
      </c>
      <c r="X418" s="1432"/>
      <c r="Y418" s="765"/>
    </row>
    <row r="419" spans="1:25" ht="22.5" customHeight="1" thickTop="1" thickBot="1" x14ac:dyDescent="0.3">
      <c r="A419" s="1287">
        <v>1</v>
      </c>
      <c r="B419" s="1288" t="s">
        <v>1378</v>
      </c>
      <c r="C419" s="1288" t="s">
        <v>1391</v>
      </c>
      <c r="D419" s="1288" t="s">
        <v>1391</v>
      </c>
      <c r="E419" s="1288" t="s">
        <v>1391</v>
      </c>
      <c r="F419" s="1288" t="s">
        <v>1573</v>
      </c>
      <c r="G419" s="1286"/>
      <c r="H419" s="1288"/>
      <c r="I419" s="1288"/>
      <c r="J419" s="1288"/>
      <c r="K419" s="754" t="s">
        <v>2468</v>
      </c>
      <c r="L419" s="1170"/>
      <c r="M419" s="1170"/>
      <c r="N419" s="1170"/>
      <c r="O419" s="1165">
        <f t="shared" si="72"/>
        <v>0</v>
      </c>
      <c r="P419" s="1170"/>
      <c r="Q419" s="1170"/>
      <c r="R419" s="1170"/>
      <c r="S419" s="1170"/>
      <c r="T419" s="1170"/>
      <c r="U419" s="1170"/>
      <c r="V419" s="1170"/>
      <c r="W419" s="1438" t="e">
        <f t="shared" si="73"/>
        <v>#DIV/0!</v>
      </c>
      <c r="X419" s="1432"/>
      <c r="Y419" s="765"/>
    </row>
    <row r="420" spans="1:25" ht="22.5" customHeight="1" thickTop="1" thickBot="1" x14ac:dyDescent="0.3">
      <c r="A420" s="1287">
        <v>1</v>
      </c>
      <c r="B420" s="1288" t="s">
        <v>1378</v>
      </c>
      <c r="C420" s="1288" t="s">
        <v>1391</v>
      </c>
      <c r="D420" s="1288" t="s">
        <v>1391</v>
      </c>
      <c r="E420" s="1288" t="s">
        <v>1391</v>
      </c>
      <c r="F420" s="1288" t="s">
        <v>1574</v>
      </c>
      <c r="G420" s="1286"/>
      <c r="H420" s="1288"/>
      <c r="I420" s="1288"/>
      <c r="J420" s="1288"/>
      <c r="K420" s="754" t="s">
        <v>2469</v>
      </c>
      <c r="L420" s="1170"/>
      <c r="M420" s="1170"/>
      <c r="N420" s="1170"/>
      <c r="O420" s="1165">
        <f t="shared" si="72"/>
        <v>0</v>
      </c>
      <c r="P420" s="1170"/>
      <c r="Q420" s="1170"/>
      <c r="R420" s="1170"/>
      <c r="S420" s="1170"/>
      <c r="T420" s="1170"/>
      <c r="U420" s="1170"/>
      <c r="V420" s="1170"/>
      <c r="W420" s="1438" t="e">
        <f t="shared" si="73"/>
        <v>#DIV/0!</v>
      </c>
      <c r="X420" s="1432"/>
      <c r="Y420" s="765"/>
    </row>
    <row r="421" spans="1:25" ht="22.5" customHeight="1" thickTop="1" thickBot="1" x14ac:dyDescent="0.3">
      <c r="A421" s="1287">
        <v>1</v>
      </c>
      <c r="B421" s="1288" t="s">
        <v>1378</v>
      </c>
      <c r="C421" s="1288" t="s">
        <v>1391</v>
      </c>
      <c r="D421" s="1288" t="s">
        <v>1391</v>
      </c>
      <c r="E421" s="1288" t="s">
        <v>1391</v>
      </c>
      <c r="F421" s="1288" t="s">
        <v>1575</v>
      </c>
      <c r="G421" s="1286"/>
      <c r="H421" s="1288"/>
      <c r="I421" s="1288"/>
      <c r="J421" s="1288"/>
      <c r="K421" s="754" t="s">
        <v>2470</v>
      </c>
      <c r="L421" s="1170"/>
      <c r="M421" s="1170"/>
      <c r="N421" s="1170"/>
      <c r="O421" s="1165">
        <f t="shared" si="72"/>
        <v>0</v>
      </c>
      <c r="P421" s="1170"/>
      <c r="Q421" s="1170"/>
      <c r="R421" s="1170"/>
      <c r="S421" s="1170"/>
      <c r="T421" s="1170"/>
      <c r="U421" s="1170"/>
      <c r="V421" s="1170"/>
      <c r="W421" s="1438" t="e">
        <f t="shared" si="73"/>
        <v>#DIV/0!</v>
      </c>
      <c r="X421" s="1432"/>
      <c r="Y421" s="765"/>
    </row>
    <row r="422" spans="1:25" s="183" customFormat="1" ht="22.5" customHeight="1" thickTop="1" thickBot="1" x14ac:dyDescent="0.3">
      <c r="A422" s="1279">
        <v>1</v>
      </c>
      <c r="B422" s="1280" t="s">
        <v>1378</v>
      </c>
      <c r="C422" s="1280" t="s">
        <v>1391</v>
      </c>
      <c r="D422" s="1280" t="s">
        <v>1415</v>
      </c>
      <c r="E422" s="1280"/>
      <c r="F422" s="1280"/>
      <c r="G422" s="1280"/>
      <c r="H422" s="1280"/>
      <c r="I422" s="1280"/>
      <c r="J422" s="1280"/>
      <c r="K422" s="1281" t="s">
        <v>1577</v>
      </c>
      <c r="L422" s="1166">
        <f>+L423</f>
        <v>0</v>
      </c>
      <c r="M422" s="1166">
        <f t="shared" ref="M422:V422" si="77">+M423</f>
        <v>0</v>
      </c>
      <c r="N422" s="1166">
        <f t="shared" si="77"/>
        <v>0</v>
      </c>
      <c r="O422" s="1165">
        <f t="shared" si="72"/>
        <v>0</v>
      </c>
      <c r="P422" s="1166">
        <f t="shared" si="77"/>
        <v>0</v>
      </c>
      <c r="Q422" s="1166">
        <f t="shared" si="77"/>
        <v>0</v>
      </c>
      <c r="R422" s="1166">
        <f t="shared" si="77"/>
        <v>0</v>
      </c>
      <c r="S422" s="1166"/>
      <c r="T422" s="1166">
        <f t="shared" si="77"/>
        <v>0</v>
      </c>
      <c r="U422" s="1166">
        <f t="shared" si="77"/>
        <v>0</v>
      </c>
      <c r="V422" s="1166">
        <f t="shared" si="77"/>
        <v>0</v>
      </c>
      <c r="W422" s="1433" t="e">
        <f t="shared" si="73"/>
        <v>#DIV/0!</v>
      </c>
      <c r="X422" s="1432" t="s">
        <v>1578</v>
      </c>
      <c r="Y422" s="765"/>
    </row>
    <row r="423" spans="1:25" s="183" customFormat="1" ht="22.5" customHeight="1" thickTop="1" thickBot="1" x14ac:dyDescent="0.3">
      <c r="A423" s="1283" t="s">
        <v>1374</v>
      </c>
      <c r="B423" s="1283" t="s">
        <v>1378</v>
      </c>
      <c r="C423" s="1283" t="s">
        <v>1391</v>
      </c>
      <c r="D423" s="1283" t="s">
        <v>1415</v>
      </c>
      <c r="E423" s="1283" t="s">
        <v>1378</v>
      </c>
      <c r="F423" s="1283"/>
      <c r="G423" s="1283"/>
      <c r="H423" s="1283"/>
      <c r="I423" s="1283"/>
      <c r="J423" s="1283"/>
      <c r="K423" s="1284" t="s">
        <v>1579</v>
      </c>
      <c r="L423" s="1168">
        <f>+L424+L436+L448+L460+L472</f>
        <v>0</v>
      </c>
      <c r="M423" s="1168">
        <f t="shared" ref="M423:V423" si="78">+M424+M436+M448+M460+M472</f>
        <v>0</v>
      </c>
      <c r="N423" s="1168">
        <f t="shared" si="78"/>
        <v>0</v>
      </c>
      <c r="O423" s="1165">
        <f t="shared" si="72"/>
        <v>0</v>
      </c>
      <c r="P423" s="1168">
        <f t="shared" si="78"/>
        <v>0</v>
      </c>
      <c r="Q423" s="1168">
        <f t="shared" si="78"/>
        <v>0</v>
      </c>
      <c r="R423" s="1168">
        <f t="shared" si="78"/>
        <v>0</v>
      </c>
      <c r="S423" s="1168"/>
      <c r="T423" s="1168">
        <f t="shared" si="78"/>
        <v>0</v>
      </c>
      <c r="U423" s="1168">
        <f t="shared" si="78"/>
        <v>0</v>
      </c>
      <c r="V423" s="1168">
        <f t="shared" si="78"/>
        <v>0</v>
      </c>
      <c r="W423" s="1435" t="e">
        <f t="shared" si="73"/>
        <v>#DIV/0!</v>
      </c>
      <c r="X423" s="1432" t="s">
        <v>2034</v>
      </c>
      <c r="Y423" s="765" t="s">
        <v>2035</v>
      </c>
    </row>
    <row r="424" spans="1:25" s="183" customFormat="1" ht="22.5" customHeight="1" thickTop="1" thickBot="1" x14ac:dyDescent="0.3">
      <c r="A424" s="1285">
        <v>1</v>
      </c>
      <c r="B424" s="1286" t="s">
        <v>1378</v>
      </c>
      <c r="C424" s="1286" t="s">
        <v>1391</v>
      </c>
      <c r="D424" s="1286" t="s">
        <v>1415</v>
      </c>
      <c r="E424" s="1286" t="s">
        <v>1378</v>
      </c>
      <c r="F424" s="1286" t="s">
        <v>1378</v>
      </c>
      <c r="G424" s="1286"/>
      <c r="H424" s="1286"/>
      <c r="I424" s="1286"/>
      <c r="J424" s="1286"/>
      <c r="K424" s="753" t="s">
        <v>1582</v>
      </c>
      <c r="L424" s="1174">
        <f>SUM(L425:L435)</f>
        <v>0</v>
      </c>
      <c r="M424" s="1174">
        <f t="shared" ref="M424:V424" si="79">SUM(M425:M435)</f>
        <v>0</v>
      </c>
      <c r="N424" s="1174">
        <f t="shared" si="79"/>
        <v>0</v>
      </c>
      <c r="O424" s="1165">
        <f t="shared" si="72"/>
        <v>0</v>
      </c>
      <c r="P424" s="1174">
        <f t="shared" si="79"/>
        <v>0</v>
      </c>
      <c r="Q424" s="1174">
        <f t="shared" si="79"/>
        <v>0</v>
      </c>
      <c r="R424" s="1174">
        <f t="shared" si="79"/>
        <v>0</v>
      </c>
      <c r="S424" s="1174"/>
      <c r="T424" s="1174">
        <f t="shared" si="79"/>
        <v>0</v>
      </c>
      <c r="U424" s="1174">
        <f t="shared" si="79"/>
        <v>0</v>
      </c>
      <c r="V424" s="1174">
        <f t="shared" si="79"/>
        <v>0</v>
      </c>
      <c r="W424" s="1440" t="e">
        <f t="shared" si="73"/>
        <v>#DIV/0!</v>
      </c>
      <c r="X424" s="1432" t="s">
        <v>1583</v>
      </c>
      <c r="Y424" s="765" t="s">
        <v>1584</v>
      </c>
    </row>
    <row r="425" spans="1:25" s="183" customFormat="1" ht="22.5" customHeight="1" thickTop="1" thickBot="1" x14ac:dyDescent="0.3">
      <c r="A425" s="1287">
        <v>1</v>
      </c>
      <c r="B425" s="1288" t="s">
        <v>1378</v>
      </c>
      <c r="C425" s="1288" t="s">
        <v>1391</v>
      </c>
      <c r="D425" s="1288" t="s">
        <v>1415</v>
      </c>
      <c r="E425" s="1288" t="s">
        <v>1378</v>
      </c>
      <c r="F425" s="1288" t="s">
        <v>1378</v>
      </c>
      <c r="G425" s="1288" t="s">
        <v>1378</v>
      </c>
      <c r="H425" s="1288"/>
      <c r="I425" s="1288"/>
      <c r="J425" s="1288"/>
      <c r="K425" s="754" t="s">
        <v>2471</v>
      </c>
      <c r="L425" s="1174"/>
      <c r="M425" s="1174"/>
      <c r="N425" s="1174"/>
      <c r="O425" s="1165">
        <f t="shared" si="72"/>
        <v>0</v>
      </c>
      <c r="P425" s="1174"/>
      <c r="Q425" s="1174"/>
      <c r="R425" s="1174"/>
      <c r="S425" s="1174"/>
      <c r="T425" s="1174"/>
      <c r="U425" s="1174"/>
      <c r="V425" s="1174"/>
      <c r="W425" s="1440" t="e">
        <f t="shared" si="73"/>
        <v>#DIV/0!</v>
      </c>
      <c r="X425" s="1432"/>
      <c r="Y425" s="765"/>
    </row>
    <row r="426" spans="1:25" s="183" customFormat="1" ht="22.5" customHeight="1" thickTop="1" thickBot="1" x14ac:dyDescent="0.3">
      <c r="A426" s="1287">
        <v>1</v>
      </c>
      <c r="B426" s="1288" t="s">
        <v>1378</v>
      </c>
      <c r="C426" s="1288" t="s">
        <v>1391</v>
      </c>
      <c r="D426" s="1288" t="s">
        <v>1415</v>
      </c>
      <c r="E426" s="1288" t="s">
        <v>1378</v>
      </c>
      <c r="F426" s="1288" t="s">
        <v>1378</v>
      </c>
      <c r="G426" s="1288" t="s">
        <v>1391</v>
      </c>
      <c r="H426" s="1288"/>
      <c r="I426" s="1288"/>
      <c r="J426" s="1288"/>
      <c r="K426" s="754" t="s">
        <v>2472</v>
      </c>
      <c r="L426" s="1174"/>
      <c r="M426" s="1174"/>
      <c r="N426" s="1174"/>
      <c r="O426" s="1165">
        <f t="shared" si="72"/>
        <v>0</v>
      </c>
      <c r="P426" s="1174"/>
      <c r="Q426" s="1174"/>
      <c r="R426" s="1174"/>
      <c r="S426" s="1174"/>
      <c r="T426" s="1174"/>
      <c r="U426" s="1174"/>
      <c r="V426" s="1174"/>
      <c r="W426" s="1440" t="e">
        <f t="shared" si="73"/>
        <v>#DIV/0!</v>
      </c>
      <c r="X426" s="1432"/>
      <c r="Y426" s="765"/>
    </row>
    <row r="427" spans="1:25" s="183" customFormat="1" ht="22.5" customHeight="1" thickTop="1" thickBot="1" x14ac:dyDescent="0.3">
      <c r="A427" s="1287">
        <v>1</v>
      </c>
      <c r="B427" s="1288" t="s">
        <v>1378</v>
      </c>
      <c r="C427" s="1288" t="s">
        <v>1391</v>
      </c>
      <c r="D427" s="1288" t="s">
        <v>1415</v>
      </c>
      <c r="E427" s="1288" t="s">
        <v>1378</v>
      </c>
      <c r="F427" s="1288" t="s">
        <v>1378</v>
      </c>
      <c r="G427" s="1288" t="s">
        <v>1415</v>
      </c>
      <c r="H427" s="1288"/>
      <c r="I427" s="1288"/>
      <c r="J427" s="1288"/>
      <c r="K427" s="754" t="s">
        <v>2473</v>
      </c>
      <c r="L427" s="1174"/>
      <c r="M427" s="1174"/>
      <c r="N427" s="1174"/>
      <c r="O427" s="1165">
        <f t="shared" si="72"/>
        <v>0</v>
      </c>
      <c r="P427" s="1174"/>
      <c r="Q427" s="1174"/>
      <c r="R427" s="1174"/>
      <c r="S427" s="1174"/>
      <c r="T427" s="1174"/>
      <c r="U427" s="1174"/>
      <c r="V427" s="1174"/>
      <c r="W427" s="1440" t="e">
        <f t="shared" si="73"/>
        <v>#DIV/0!</v>
      </c>
      <c r="X427" s="1432"/>
      <c r="Y427" s="765"/>
    </row>
    <row r="428" spans="1:25" s="183" customFormat="1" ht="22.5" customHeight="1" thickTop="1" thickBot="1" x14ac:dyDescent="0.3">
      <c r="A428" s="1287">
        <v>1</v>
      </c>
      <c r="B428" s="1288" t="s">
        <v>1378</v>
      </c>
      <c r="C428" s="1288" t="s">
        <v>1391</v>
      </c>
      <c r="D428" s="1288" t="s">
        <v>1415</v>
      </c>
      <c r="E428" s="1288" t="s">
        <v>1378</v>
      </c>
      <c r="F428" s="1288" t="s">
        <v>1378</v>
      </c>
      <c r="G428" s="1288" t="s">
        <v>1419</v>
      </c>
      <c r="H428" s="1288"/>
      <c r="I428" s="1288"/>
      <c r="J428" s="1288"/>
      <c r="K428" s="754" t="s">
        <v>2474</v>
      </c>
      <c r="L428" s="1174"/>
      <c r="M428" s="1174"/>
      <c r="N428" s="1174"/>
      <c r="O428" s="1165">
        <f t="shared" si="72"/>
        <v>0</v>
      </c>
      <c r="P428" s="1174"/>
      <c r="Q428" s="1174"/>
      <c r="R428" s="1174"/>
      <c r="S428" s="1174"/>
      <c r="T428" s="1174"/>
      <c r="U428" s="1174"/>
      <c r="V428" s="1174"/>
      <c r="W428" s="1440" t="e">
        <f t="shared" si="73"/>
        <v>#DIV/0!</v>
      </c>
      <c r="X428" s="1432"/>
      <c r="Y428" s="765"/>
    </row>
    <row r="429" spans="1:25" s="183" customFormat="1" ht="22.5" customHeight="1" thickTop="1" thickBot="1" x14ac:dyDescent="0.3">
      <c r="A429" s="1287">
        <v>1</v>
      </c>
      <c r="B429" s="1288" t="s">
        <v>1378</v>
      </c>
      <c r="C429" s="1288" t="s">
        <v>1391</v>
      </c>
      <c r="D429" s="1288" t="s">
        <v>1415</v>
      </c>
      <c r="E429" s="1288" t="s">
        <v>1378</v>
      </c>
      <c r="F429" s="1288" t="s">
        <v>1378</v>
      </c>
      <c r="G429" s="1288" t="s">
        <v>1444</v>
      </c>
      <c r="H429" s="1288"/>
      <c r="I429" s="1288"/>
      <c r="J429" s="1288"/>
      <c r="K429" s="754" t="s">
        <v>2475</v>
      </c>
      <c r="L429" s="1174"/>
      <c r="M429" s="1174"/>
      <c r="N429" s="1174"/>
      <c r="O429" s="1165">
        <f t="shared" si="72"/>
        <v>0</v>
      </c>
      <c r="P429" s="1174"/>
      <c r="Q429" s="1174"/>
      <c r="R429" s="1174"/>
      <c r="S429" s="1174"/>
      <c r="T429" s="1174"/>
      <c r="U429" s="1174"/>
      <c r="V429" s="1174"/>
      <c r="W429" s="1440" t="e">
        <f t="shared" si="73"/>
        <v>#DIV/0!</v>
      </c>
      <c r="X429" s="1432"/>
      <c r="Y429" s="765"/>
    </row>
    <row r="430" spans="1:25" s="183" customFormat="1" ht="22.5" customHeight="1" thickTop="1" thickBot="1" x14ac:dyDescent="0.3">
      <c r="A430" s="1287">
        <v>1</v>
      </c>
      <c r="B430" s="1288" t="s">
        <v>1378</v>
      </c>
      <c r="C430" s="1288" t="s">
        <v>1391</v>
      </c>
      <c r="D430" s="1288" t="s">
        <v>1415</v>
      </c>
      <c r="E430" s="1288" t="s">
        <v>1378</v>
      </c>
      <c r="F430" s="1288" t="s">
        <v>1378</v>
      </c>
      <c r="G430" s="1288" t="s">
        <v>1467</v>
      </c>
      <c r="H430" s="1288"/>
      <c r="I430" s="1288"/>
      <c r="J430" s="1288"/>
      <c r="K430" s="754" t="s">
        <v>2476</v>
      </c>
      <c r="L430" s="1174"/>
      <c r="M430" s="1174"/>
      <c r="N430" s="1174"/>
      <c r="O430" s="1165">
        <f t="shared" si="72"/>
        <v>0</v>
      </c>
      <c r="P430" s="1174"/>
      <c r="Q430" s="1174"/>
      <c r="R430" s="1174"/>
      <c r="S430" s="1174"/>
      <c r="T430" s="1174"/>
      <c r="U430" s="1174"/>
      <c r="V430" s="1174"/>
      <c r="W430" s="1440" t="e">
        <f t="shared" si="73"/>
        <v>#DIV/0!</v>
      </c>
      <c r="X430" s="1432"/>
      <c r="Y430" s="765"/>
    </row>
    <row r="431" spans="1:25" s="183" customFormat="1" ht="22.5" customHeight="1" thickTop="1" thickBot="1" x14ac:dyDescent="0.3">
      <c r="A431" s="1287">
        <v>1</v>
      </c>
      <c r="B431" s="1288" t="s">
        <v>1378</v>
      </c>
      <c r="C431" s="1288" t="s">
        <v>1391</v>
      </c>
      <c r="D431" s="1288" t="s">
        <v>1415</v>
      </c>
      <c r="E431" s="1288" t="s">
        <v>1378</v>
      </c>
      <c r="F431" s="1288" t="s">
        <v>1378</v>
      </c>
      <c r="G431" s="1288" t="s">
        <v>1471</v>
      </c>
      <c r="H431" s="1288"/>
      <c r="I431" s="1288"/>
      <c r="J431" s="1288"/>
      <c r="K431" s="754" t="s">
        <v>2477</v>
      </c>
      <c r="L431" s="1174"/>
      <c r="M431" s="1174"/>
      <c r="N431" s="1174"/>
      <c r="O431" s="1165">
        <f t="shared" si="72"/>
        <v>0</v>
      </c>
      <c r="P431" s="1174"/>
      <c r="Q431" s="1174"/>
      <c r="R431" s="1174"/>
      <c r="S431" s="1174"/>
      <c r="T431" s="1174"/>
      <c r="U431" s="1174"/>
      <c r="V431" s="1174"/>
      <c r="W431" s="1440" t="e">
        <f t="shared" si="73"/>
        <v>#DIV/0!</v>
      </c>
      <c r="X431" s="1432"/>
      <c r="Y431" s="765"/>
    </row>
    <row r="432" spans="1:25" s="183" customFormat="1" ht="22.5" customHeight="1" thickTop="1" thickBot="1" x14ac:dyDescent="0.3">
      <c r="A432" s="1287">
        <v>1</v>
      </c>
      <c r="B432" s="1288" t="s">
        <v>1378</v>
      </c>
      <c r="C432" s="1288" t="s">
        <v>1391</v>
      </c>
      <c r="D432" s="1288" t="s">
        <v>1415</v>
      </c>
      <c r="E432" s="1288" t="s">
        <v>1378</v>
      </c>
      <c r="F432" s="1288" t="s">
        <v>1378</v>
      </c>
      <c r="G432" s="1288" t="s">
        <v>1475</v>
      </c>
      <c r="H432" s="1288"/>
      <c r="I432" s="1288"/>
      <c r="J432" s="1288"/>
      <c r="K432" s="754" t="s">
        <v>2478</v>
      </c>
      <c r="L432" s="1174"/>
      <c r="M432" s="1174"/>
      <c r="N432" s="1174"/>
      <c r="O432" s="1165">
        <f t="shared" si="72"/>
        <v>0</v>
      </c>
      <c r="P432" s="1174"/>
      <c r="Q432" s="1174"/>
      <c r="R432" s="1174"/>
      <c r="S432" s="1174"/>
      <c r="T432" s="1174"/>
      <c r="U432" s="1174"/>
      <c r="V432" s="1174"/>
      <c r="W432" s="1440" t="e">
        <f t="shared" si="73"/>
        <v>#DIV/0!</v>
      </c>
      <c r="X432" s="1432"/>
      <c r="Y432" s="765"/>
    </row>
    <row r="433" spans="1:25" s="183" customFormat="1" ht="22.5" customHeight="1" thickTop="1" thickBot="1" x14ac:dyDescent="0.3">
      <c r="A433" s="1287">
        <v>1</v>
      </c>
      <c r="B433" s="1288" t="s">
        <v>1378</v>
      </c>
      <c r="C433" s="1288" t="s">
        <v>1391</v>
      </c>
      <c r="D433" s="1288" t="s">
        <v>1415</v>
      </c>
      <c r="E433" s="1288" t="s">
        <v>1378</v>
      </c>
      <c r="F433" s="1288" t="s">
        <v>1378</v>
      </c>
      <c r="G433" s="1288" t="s">
        <v>1573</v>
      </c>
      <c r="H433" s="1288"/>
      <c r="I433" s="1288"/>
      <c r="J433" s="1288"/>
      <c r="K433" s="754" t="s">
        <v>2479</v>
      </c>
      <c r="L433" s="1174"/>
      <c r="M433" s="1174"/>
      <c r="N433" s="1174"/>
      <c r="O433" s="1165">
        <f t="shared" si="72"/>
        <v>0</v>
      </c>
      <c r="P433" s="1174"/>
      <c r="Q433" s="1174"/>
      <c r="R433" s="1174"/>
      <c r="S433" s="1174"/>
      <c r="T433" s="1174"/>
      <c r="U433" s="1174"/>
      <c r="V433" s="1174"/>
      <c r="W433" s="1440" t="e">
        <f t="shared" si="73"/>
        <v>#DIV/0!</v>
      </c>
      <c r="X433" s="1432"/>
      <c r="Y433" s="765"/>
    </row>
    <row r="434" spans="1:25" s="183" customFormat="1" ht="22.5" customHeight="1" thickTop="1" thickBot="1" x14ac:dyDescent="0.3">
      <c r="A434" s="1287">
        <v>1</v>
      </c>
      <c r="B434" s="1288" t="s">
        <v>1378</v>
      </c>
      <c r="C434" s="1288" t="s">
        <v>1391</v>
      </c>
      <c r="D434" s="1288" t="s">
        <v>1415</v>
      </c>
      <c r="E434" s="1288" t="s">
        <v>1378</v>
      </c>
      <c r="F434" s="1288" t="s">
        <v>1378</v>
      </c>
      <c r="G434" s="1288" t="s">
        <v>1574</v>
      </c>
      <c r="H434" s="1288"/>
      <c r="I434" s="1288"/>
      <c r="J434" s="1288"/>
      <c r="K434" s="754" t="s">
        <v>2480</v>
      </c>
      <c r="L434" s="1174"/>
      <c r="M434" s="1174"/>
      <c r="N434" s="1174"/>
      <c r="O434" s="1165">
        <f t="shared" si="72"/>
        <v>0</v>
      </c>
      <c r="P434" s="1174"/>
      <c r="Q434" s="1174"/>
      <c r="R434" s="1174"/>
      <c r="S434" s="1174"/>
      <c r="T434" s="1174"/>
      <c r="U434" s="1174"/>
      <c r="V434" s="1174"/>
      <c r="W434" s="1440" t="e">
        <f t="shared" si="73"/>
        <v>#DIV/0!</v>
      </c>
      <c r="X434" s="1432"/>
      <c r="Y434" s="765"/>
    </row>
    <row r="435" spans="1:25" s="183" customFormat="1" ht="22.5" customHeight="1" thickTop="1" thickBot="1" x14ac:dyDescent="0.3">
      <c r="A435" s="1287">
        <v>1</v>
      </c>
      <c r="B435" s="1288" t="s">
        <v>1378</v>
      </c>
      <c r="C435" s="1288" t="s">
        <v>1391</v>
      </c>
      <c r="D435" s="1288" t="s">
        <v>1415</v>
      </c>
      <c r="E435" s="1288" t="s">
        <v>1378</v>
      </c>
      <c r="F435" s="1288" t="s">
        <v>1378</v>
      </c>
      <c r="G435" s="1288" t="s">
        <v>1575</v>
      </c>
      <c r="H435" s="1288"/>
      <c r="I435" s="1288"/>
      <c r="J435" s="1288"/>
      <c r="K435" s="754" t="s">
        <v>2481</v>
      </c>
      <c r="L435" s="1174"/>
      <c r="M435" s="1174"/>
      <c r="N435" s="1174"/>
      <c r="O435" s="1165">
        <f t="shared" si="72"/>
        <v>0</v>
      </c>
      <c r="P435" s="1174"/>
      <c r="Q435" s="1174"/>
      <c r="R435" s="1174"/>
      <c r="S435" s="1174"/>
      <c r="T435" s="1174"/>
      <c r="U435" s="1174"/>
      <c r="V435" s="1174"/>
      <c r="W435" s="1440" t="e">
        <f t="shared" si="73"/>
        <v>#DIV/0!</v>
      </c>
      <c r="X435" s="1432"/>
      <c r="Y435" s="765"/>
    </row>
    <row r="436" spans="1:25" s="183" customFormat="1" ht="22.5" customHeight="1" thickTop="1" thickBot="1" x14ac:dyDescent="0.3">
      <c r="A436" s="1285">
        <v>1</v>
      </c>
      <c r="B436" s="1286" t="s">
        <v>1378</v>
      </c>
      <c r="C436" s="1286" t="s">
        <v>1391</v>
      </c>
      <c r="D436" s="1286" t="s">
        <v>1415</v>
      </c>
      <c r="E436" s="1286" t="s">
        <v>1378</v>
      </c>
      <c r="F436" s="1286" t="s">
        <v>1391</v>
      </c>
      <c r="G436" s="1286"/>
      <c r="H436" s="1286"/>
      <c r="I436" s="1286"/>
      <c r="J436" s="1286"/>
      <c r="K436" s="753" t="s">
        <v>1585</v>
      </c>
      <c r="L436" s="1174">
        <f>SUM(L437:L447)</f>
        <v>0</v>
      </c>
      <c r="M436" s="1174">
        <f t="shared" ref="M436:V436" si="80">SUM(M437:M447)</f>
        <v>0</v>
      </c>
      <c r="N436" s="1174">
        <f t="shared" si="80"/>
        <v>0</v>
      </c>
      <c r="O436" s="1165">
        <f t="shared" si="72"/>
        <v>0</v>
      </c>
      <c r="P436" s="1174">
        <f t="shared" si="80"/>
        <v>0</v>
      </c>
      <c r="Q436" s="1174">
        <f t="shared" si="80"/>
        <v>0</v>
      </c>
      <c r="R436" s="1174">
        <f t="shared" si="80"/>
        <v>0</v>
      </c>
      <c r="S436" s="1174"/>
      <c r="T436" s="1174">
        <f t="shared" si="80"/>
        <v>0</v>
      </c>
      <c r="U436" s="1174">
        <f t="shared" si="80"/>
        <v>0</v>
      </c>
      <c r="V436" s="1174">
        <f t="shared" si="80"/>
        <v>0</v>
      </c>
      <c r="W436" s="1440" t="e">
        <f t="shared" si="73"/>
        <v>#DIV/0!</v>
      </c>
      <c r="X436" s="1432" t="s">
        <v>1586</v>
      </c>
      <c r="Y436" s="765"/>
    </row>
    <row r="437" spans="1:25" s="183" customFormat="1" ht="22.5" customHeight="1" thickTop="1" thickBot="1" x14ac:dyDescent="0.3">
      <c r="A437" s="1287">
        <v>1</v>
      </c>
      <c r="B437" s="1288" t="s">
        <v>1378</v>
      </c>
      <c r="C437" s="1288" t="s">
        <v>1391</v>
      </c>
      <c r="D437" s="1288" t="s">
        <v>1415</v>
      </c>
      <c r="E437" s="1288" t="s">
        <v>1378</v>
      </c>
      <c r="F437" s="1288" t="s">
        <v>1391</v>
      </c>
      <c r="G437" s="1288" t="s">
        <v>1378</v>
      </c>
      <c r="H437" s="1288"/>
      <c r="I437" s="1288"/>
      <c r="J437" s="1288"/>
      <c r="K437" s="754" t="s">
        <v>2482</v>
      </c>
      <c r="L437" s="1174"/>
      <c r="M437" s="1174"/>
      <c r="N437" s="1174"/>
      <c r="O437" s="1165">
        <f t="shared" si="72"/>
        <v>0</v>
      </c>
      <c r="P437" s="1174"/>
      <c r="Q437" s="1174"/>
      <c r="R437" s="1174"/>
      <c r="S437" s="1174"/>
      <c r="T437" s="1174"/>
      <c r="U437" s="1174"/>
      <c r="V437" s="1174"/>
      <c r="W437" s="1440" t="e">
        <f t="shared" si="73"/>
        <v>#DIV/0!</v>
      </c>
      <c r="X437" s="1432"/>
      <c r="Y437" s="765"/>
    </row>
    <row r="438" spans="1:25" s="183" customFormat="1" ht="22.5" customHeight="1" thickTop="1" thickBot="1" x14ac:dyDescent="0.3">
      <c r="A438" s="1287">
        <v>1</v>
      </c>
      <c r="B438" s="1288" t="s">
        <v>1378</v>
      </c>
      <c r="C438" s="1288" t="s">
        <v>1391</v>
      </c>
      <c r="D438" s="1288" t="s">
        <v>1415</v>
      </c>
      <c r="E438" s="1288" t="s">
        <v>1378</v>
      </c>
      <c r="F438" s="1288" t="s">
        <v>1391</v>
      </c>
      <c r="G438" s="1288" t="s">
        <v>1391</v>
      </c>
      <c r="H438" s="1288"/>
      <c r="I438" s="1288"/>
      <c r="J438" s="1288"/>
      <c r="K438" s="754" t="s">
        <v>2483</v>
      </c>
      <c r="L438" s="1174"/>
      <c r="M438" s="1174"/>
      <c r="N438" s="1174"/>
      <c r="O438" s="1165">
        <f t="shared" si="72"/>
        <v>0</v>
      </c>
      <c r="P438" s="1174"/>
      <c r="Q438" s="1174"/>
      <c r="R438" s="1174"/>
      <c r="S438" s="1174"/>
      <c r="T438" s="1174"/>
      <c r="U438" s="1174"/>
      <c r="V438" s="1174"/>
      <c r="W438" s="1440" t="e">
        <f t="shared" si="73"/>
        <v>#DIV/0!</v>
      </c>
      <c r="X438" s="1432"/>
      <c r="Y438" s="765"/>
    </row>
    <row r="439" spans="1:25" s="183" customFormat="1" ht="22.5" customHeight="1" thickTop="1" thickBot="1" x14ac:dyDescent="0.3">
      <c r="A439" s="1287">
        <v>1</v>
      </c>
      <c r="B439" s="1288" t="s">
        <v>1378</v>
      </c>
      <c r="C439" s="1288" t="s">
        <v>1391</v>
      </c>
      <c r="D439" s="1288" t="s">
        <v>1415</v>
      </c>
      <c r="E439" s="1288" t="s">
        <v>1378</v>
      </c>
      <c r="F439" s="1288" t="s">
        <v>1391</v>
      </c>
      <c r="G439" s="1288" t="s">
        <v>1415</v>
      </c>
      <c r="H439" s="1288"/>
      <c r="I439" s="1288"/>
      <c r="J439" s="1288"/>
      <c r="K439" s="754" t="s">
        <v>2484</v>
      </c>
      <c r="L439" s="1174"/>
      <c r="M439" s="1174"/>
      <c r="N439" s="1174"/>
      <c r="O439" s="1165">
        <f t="shared" si="72"/>
        <v>0</v>
      </c>
      <c r="P439" s="1174"/>
      <c r="Q439" s="1174"/>
      <c r="R439" s="1174"/>
      <c r="S439" s="1174"/>
      <c r="T439" s="1174"/>
      <c r="U439" s="1174"/>
      <c r="V439" s="1174"/>
      <c r="W439" s="1440" t="e">
        <f t="shared" si="73"/>
        <v>#DIV/0!</v>
      </c>
      <c r="X439" s="1432"/>
      <c r="Y439" s="765"/>
    </row>
    <row r="440" spans="1:25" s="183" customFormat="1" ht="22.5" customHeight="1" thickTop="1" thickBot="1" x14ac:dyDescent="0.3">
      <c r="A440" s="1287">
        <v>1</v>
      </c>
      <c r="B440" s="1288" t="s">
        <v>1378</v>
      </c>
      <c r="C440" s="1288" t="s">
        <v>1391</v>
      </c>
      <c r="D440" s="1288" t="s">
        <v>1415</v>
      </c>
      <c r="E440" s="1288" t="s">
        <v>1378</v>
      </c>
      <c r="F440" s="1288" t="s">
        <v>1391</v>
      </c>
      <c r="G440" s="1288" t="s">
        <v>1419</v>
      </c>
      <c r="H440" s="1288"/>
      <c r="I440" s="1288"/>
      <c r="J440" s="1288"/>
      <c r="K440" s="754" t="s">
        <v>2485</v>
      </c>
      <c r="L440" s="1174"/>
      <c r="M440" s="1174"/>
      <c r="N440" s="1174"/>
      <c r="O440" s="1165">
        <f t="shared" si="72"/>
        <v>0</v>
      </c>
      <c r="P440" s="1174"/>
      <c r="Q440" s="1174"/>
      <c r="R440" s="1174"/>
      <c r="S440" s="1174"/>
      <c r="T440" s="1174"/>
      <c r="U440" s="1174"/>
      <c r="V440" s="1174"/>
      <c r="W440" s="1440" t="e">
        <f t="shared" si="73"/>
        <v>#DIV/0!</v>
      </c>
      <c r="X440" s="1432"/>
      <c r="Y440" s="765"/>
    </row>
    <row r="441" spans="1:25" s="183" customFormat="1" ht="22.5" customHeight="1" thickTop="1" thickBot="1" x14ac:dyDescent="0.3">
      <c r="A441" s="1287">
        <v>1</v>
      </c>
      <c r="B441" s="1288" t="s">
        <v>1378</v>
      </c>
      <c r="C441" s="1288" t="s">
        <v>1391</v>
      </c>
      <c r="D441" s="1288" t="s">
        <v>1415</v>
      </c>
      <c r="E441" s="1288" t="s">
        <v>1378</v>
      </c>
      <c r="F441" s="1288" t="s">
        <v>1391</v>
      </c>
      <c r="G441" s="1288" t="s">
        <v>1444</v>
      </c>
      <c r="H441" s="1288"/>
      <c r="I441" s="1288"/>
      <c r="J441" s="1288"/>
      <c r="K441" s="754" t="s">
        <v>2486</v>
      </c>
      <c r="L441" s="1174"/>
      <c r="M441" s="1174"/>
      <c r="N441" s="1174"/>
      <c r="O441" s="1165">
        <f t="shared" si="72"/>
        <v>0</v>
      </c>
      <c r="P441" s="1174"/>
      <c r="Q441" s="1174"/>
      <c r="R441" s="1174"/>
      <c r="S441" s="1174"/>
      <c r="T441" s="1174"/>
      <c r="U441" s="1174"/>
      <c r="V441" s="1174"/>
      <c r="W441" s="1440" t="e">
        <f t="shared" si="73"/>
        <v>#DIV/0!</v>
      </c>
      <c r="X441" s="1432"/>
      <c r="Y441" s="765"/>
    </row>
    <row r="442" spans="1:25" s="183" customFormat="1" ht="22.5" customHeight="1" thickTop="1" thickBot="1" x14ac:dyDescent="0.3">
      <c r="A442" s="1287">
        <v>1</v>
      </c>
      <c r="B442" s="1288" t="s">
        <v>1378</v>
      </c>
      <c r="C442" s="1288" t="s">
        <v>1391</v>
      </c>
      <c r="D442" s="1288" t="s">
        <v>1415</v>
      </c>
      <c r="E442" s="1288" t="s">
        <v>1378</v>
      </c>
      <c r="F442" s="1288" t="s">
        <v>1391</v>
      </c>
      <c r="G442" s="1288" t="s">
        <v>1467</v>
      </c>
      <c r="H442" s="1288"/>
      <c r="I442" s="1288"/>
      <c r="J442" s="1288"/>
      <c r="K442" s="754" t="s">
        <v>2487</v>
      </c>
      <c r="L442" s="1174"/>
      <c r="M442" s="1174"/>
      <c r="N442" s="1174"/>
      <c r="O442" s="1165">
        <f t="shared" si="72"/>
        <v>0</v>
      </c>
      <c r="P442" s="1174"/>
      <c r="Q442" s="1174"/>
      <c r="R442" s="1174"/>
      <c r="S442" s="1174"/>
      <c r="T442" s="1174"/>
      <c r="U442" s="1174"/>
      <c r="V442" s="1174"/>
      <c r="W442" s="1440" t="e">
        <f t="shared" si="73"/>
        <v>#DIV/0!</v>
      </c>
      <c r="X442" s="1432"/>
      <c r="Y442" s="765"/>
    </row>
    <row r="443" spans="1:25" s="183" customFormat="1" ht="22.5" customHeight="1" thickTop="1" thickBot="1" x14ac:dyDescent="0.3">
      <c r="A443" s="1287">
        <v>1</v>
      </c>
      <c r="B443" s="1288" t="s">
        <v>1378</v>
      </c>
      <c r="C443" s="1288" t="s">
        <v>1391</v>
      </c>
      <c r="D443" s="1288" t="s">
        <v>1415</v>
      </c>
      <c r="E443" s="1288" t="s">
        <v>1378</v>
      </c>
      <c r="F443" s="1288" t="s">
        <v>1391</v>
      </c>
      <c r="G443" s="1288" t="s">
        <v>1471</v>
      </c>
      <c r="H443" s="1288"/>
      <c r="I443" s="1288"/>
      <c r="J443" s="1288"/>
      <c r="K443" s="754" t="s">
        <v>2488</v>
      </c>
      <c r="L443" s="1174"/>
      <c r="M443" s="1174"/>
      <c r="N443" s="1174"/>
      <c r="O443" s="1165">
        <f t="shared" si="72"/>
        <v>0</v>
      </c>
      <c r="P443" s="1174"/>
      <c r="Q443" s="1174"/>
      <c r="R443" s="1174"/>
      <c r="S443" s="1174"/>
      <c r="T443" s="1174"/>
      <c r="U443" s="1174"/>
      <c r="V443" s="1174"/>
      <c r="W443" s="1440" t="e">
        <f t="shared" si="73"/>
        <v>#DIV/0!</v>
      </c>
      <c r="X443" s="1432"/>
      <c r="Y443" s="765"/>
    </row>
    <row r="444" spans="1:25" s="183" customFormat="1" ht="22.5" customHeight="1" thickTop="1" thickBot="1" x14ac:dyDescent="0.3">
      <c r="A444" s="1287">
        <v>1</v>
      </c>
      <c r="B444" s="1288" t="s">
        <v>1378</v>
      </c>
      <c r="C444" s="1288" t="s">
        <v>1391</v>
      </c>
      <c r="D444" s="1288" t="s">
        <v>1415</v>
      </c>
      <c r="E444" s="1288" t="s">
        <v>1378</v>
      </c>
      <c r="F444" s="1288" t="s">
        <v>1391</v>
      </c>
      <c r="G444" s="1288" t="s">
        <v>1475</v>
      </c>
      <c r="H444" s="1288"/>
      <c r="I444" s="1288"/>
      <c r="J444" s="1288"/>
      <c r="K444" s="754" t="s">
        <v>2489</v>
      </c>
      <c r="L444" s="1174"/>
      <c r="M444" s="1174"/>
      <c r="N444" s="1174"/>
      <c r="O444" s="1165">
        <f t="shared" si="72"/>
        <v>0</v>
      </c>
      <c r="P444" s="1174"/>
      <c r="Q444" s="1174"/>
      <c r="R444" s="1174"/>
      <c r="S444" s="1174"/>
      <c r="T444" s="1174"/>
      <c r="U444" s="1174"/>
      <c r="V444" s="1174"/>
      <c r="W444" s="1440" t="e">
        <f t="shared" si="73"/>
        <v>#DIV/0!</v>
      </c>
      <c r="X444" s="1432"/>
      <c r="Y444" s="765"/>
    </row>
    <row r="445" spans="1:25" s="183" customFormat="1" ht="22.5" customHeight="1" thickTop="1" thickBot="1" x14ac:dyDescent="0.3">
      <c r="A445" s="1287">
        <v>1</v>
      </c>
      <c r="B445" s="1288" t="s">
        <v>1378</v>
      </c>
      <c r="C445" s="1288" t="s">
        <v>1391</v>
      </c>
      <c r="D445" s="1288" t="s">
        <v>1415</v>
      </c>
      <c r="E445" s="1288" t="s">
        <v>1378</v>
      </c>
      <c r="F445" s="1288" t="s">
        <v>1391</v>
      </c>
      <c r="G445" s="1288" t="s">
        <v>1573</v>
      </c>
      <c r="H445" s="1288"/>
      <c r="I445" s="1288"/>
      <c r="J445" s="1288"/>
      <c r="K445" s="754" t="s">
        <v>2490</v>
      </c>
      <c r="L445" s="1174"/>
      <c r="M445" s="1174"/>
      <c r="N445" s="1174"/>
      <c r="O445" s="1165">
        <f t="shared" si="72"/>
        <v>0</v>
      </c>
      <c r="P445" s="1174"/>
      <c r="Q445" s="1174"/>
      <c r="R445" s="1174"/>
      <c r="S445" s="1174"/>
      <c r="T445" s="1174"/>
      <c r="U445" s="1174"/>
      <c r="V445" s="1174"/>
      <c r="W445" s="1440" t="e">
        <f t="shared" si="73"/>
        <v>#DIV/0!</v>
      </c>
      <c r="X445" s="1432"/>
      <c r="Y445" s="765"/>
    </row>
    <row r="446" spans="1:25" s="183" customFormat="1" ht="22.5" customHeight="1" thickTop="1" thickBot="1" x14ac:dyDescent="0.3">
      <c r="A446" s="1287">
        <v>1</v>
      </c>
      <c r="B446" s="1288" t="s">
        <v>1378</v>
      </c>
      <c r="C446" s="1288" t="s">
        <v>1391</v>
      </c>
      <c r="D446" s="1288" t="s">
        <v>1415</v>
      </c>
      <c r="E446" s="1288" t="s">
        <v>1378</v>
      </c>
      <c r="F446" s="1288" t="s">
        <v>1391</v>
      </c>
      <c r="G446" s="1288" t="s">
        <v>1574</v>
      </c>
      <c r="H446" s="1288"/>
      <c r="I446" s="1288"/>
      <c r="J446" s="1288"/>
      <c r="K446" s="754" t="s">
        <v>2491</v>
      </c>
      <c r="L446" s="1174"/>
      <c r="M446" s="1174"/>
      <c r="N446" s="1174"/>
      <c r="O446" s="1165">
        <f t="shared" si="72"/>
        <v>0</v>
      </c>
      <c r="P446" s="1174"/>
      <c r="Q446" s="1174"/>
      <c r="R446" s="1174"/>
      <c r="S446" s="1174"/>
      <c r="T446" s="1174"/>
      <c r="U446" s="1174"/>
      <c r="V446" s="1174"/>
      <c r="W446" s="1440" t="e">
        <f t="shared" si="73"/>
        <v>#DIV/0!</v>
      </c>
      <c r="X446" s="1432"/>
      <c r="Y446" s="765"/>
    </row>
    <row r="447" spans="1:25" s="183" customFormat="1" ht="22.5" customHeight="1" thickTop="1" thickBot="1" x14ac:dyDescent="0.3">
      <c r="A447" s="1287">
        <v>1</v>
      </c>
      <c r="B447" s="1288" t="s">
        <v>1378</v>
      </c>
      <c r="C447" s="1288" t="s">
        <v>1391</v>
      </c>
      <c r="D447" s="1288" t="s">
        <v>1415</v>
      </c>
      <c r="E447" s="1288" t="s">
        <v>1378</v>
      </c>
      <c r="F447" s="1288" t="s">
        <v>1391</v>
      </c>
      <c r="G447" s="1288" t="s">
        <v>1575</v>
      </c>
      <c r="H447" s="1288"/>
      <c r="I447" s="1288"/>
      <c r="J447" s="1288"/>
      <c r="K447" s="754" t="s">
        <v>2492</v>
      </c>
      <c r="L447" s="1174"/>
      <c r="M447" s="1174"/>
      <c r="N447" s="1174"/>
      <c r="O447" s="1165">
        <f t="shared" si="72"/>
        <v>0</v>
      </c>
      <c r="P447" s="1174"/>
      <c r="Q447" s="1174"/>
      <c r="R447" s="1174"/>
      <c r="S447" s="1174"/>
      <c r="T447" s="1174"/>
      <c r="U447" s="1174"/>
      <c r="V447" s="1174"/>
      <c r="W447" s="1440" t="e">
        <f t="shared" si="73"/>
        <v>#DIV/0!</v>
      </c>
      <c r="X447" s="1432"/>
      <c r="Y447" s="765"/>
    </row>
    <row r="448" spans="1:25" s="183" customFormat="1" ht="22.5" customHeight="1" thickTop="1" thickBot="1" x14ac:dyDescent="0.3">
      <c r="A448" s="1285">
        <v>1</v>
      </c>
      <c r="B448" s="1286" t="s">
        <v>1378</v>
      </c>
      <c r="C448" s="1286" t="s">
        <v>1391</v>
      </c>
      <c r="D448" s="1286" t="s">
        <v>1415</v>
      </c>
      <c r="E448" s="1286" t="s">
        <v>1378</v>
      </c>
      <c r="F448" s="1286" t="s">
        <v>1415</v>
      </c>
      <c r="G448" s="1286"/>
      <c r="H448" s="1286"/>
      <c r="I448" s="1286"/>
      <c r="J448" s="1286"/>
      <c r="K448" s="753" t="s">
        <v>2036</v>
      </c>
      <c r="L448" s="1174">
        <f>SUM(L449:L459)</f>
        <v>0</v>
      </c>
      <c r="M448" s="1174">
        <f t="shared" ref="M448:V448" si="81">SUM(M449:M459)</f>
        <v>0</v>
      </c>
      <c r="N448" s="1174">
        <f t="shared" si="81"/>
        <v>0</v>
      </c>
      <c r="O448" s="1165">
        <f t="shared" si="72"/>
        <v>0</v>
      </c>
      <c r="P448" s="1174">
        <f t="shared" si="81"/>
        <v>0</v>
      </c>
      <c r="Q448" s="1174">
        <f t="shared" si="81"/>
        <v>0</v>
      </c>
      <c r="R448" s="1174">
        <f t="shared" si="81"/>
        <v>0</v>
      </c>
      <c r="S448" s="1174"/>
      <c r="T448" s="1174">
        <f t="shared" si="81"/>
        <v>0</v>
      </c>
      <c r="U448" s="1174">
        <f t="shared" si="81"/>
        <v>0</v>
      </c>
      <c r="V448" s="1174">
        <f t="shared" si="81"/>
        <v>0</v>
      </c>
      <c r="W448" s="1440" t="e">
        <f t="shared" si="73"/>
        <v>#DIV/0!</v>
      </c>
      <c r="X448" s="1432" t="s">
        <v>2038</v>
      </c>
      <c r="Y448" s="765" t="s">
        <v>2039</v>
      </c>
    </row>
    <row r="449" spans="1:25" s="183" customFormat="1" ht="22.5" customHeight="1" thickTop="1" thickBot="1" x14ac:dyDescent="0.3">
      <c r="A449" s="1287">
        <v>1</v>
      </c>
      <c r="B449" s="1288" t="s">
        <v>1378</v>
      </c>
      <c r="C449" s="1288" t="s">
        <v>1391</v>
      </c>
      <c r="D449" s="1288" t="s">
        <v>1415</v>
      </c>
      <c r="E449" s="1288" t="s">
        <v>1378</v>
      </c>
      <c r="F449" s="1288" t="s">
        <v>1415</v>
      </c>
      <c r="G449" s="1288" t="s">
        <v>1378</v>
      </c>
      <c r="H449" s="1288"/>
      <c r="I449" s="1288"/>
      <c r="J449" s="1288"/>
      <c r="K449" s="754" t="s">
        <v>2493</v>
      </c>
      <c r="L449" s="1174"/>
      <c r="M449" s="1174"/>
      <c r="N449" s="1174"/>
      <c r="O449" s="1165">
        <f t="shared" si="72"/>
        <v>0</v>
      </c>
      <c r="P449" s="1174"/>
      <c r="Q449" s="1174"/>
      <c r="R449" s="1174"/>
      <c r="S449" s="1174"/>
      <c r="T449" s="1174"/>
      <c r="U449" s="1174"/>
      <c r="V449" s="1174"/>
      <c r="W449" s="1440" t="e">
        <f t="shared" si="73"/>
        <v>#DIV/0!</v>
      </c>
      <c r="X449" s="1432"/>
      <c r="Y449" s="765"/>
    </row>
    <row r="450" spans="1:25" s="183" customFormat="1" ht="22.5" customHeight="1" thickTop="1" thickBot="1" x14ac:dyDescent="0.3">
      <c r="A450" s="1287">
        <v>1</v>
      </c>
      <c r="B450" s="1288" t="s">
        <v>1378</v>
      </c>
      <c r="C450" s="1288" t="s">
        <v>1391</v>
      </c>
      <c r="D450" s="1288" t="s">
        <v>1415</v>
      </c>
      <c r="E450" s="1288" t="s">
        <v>1378</v>
      </c>
      <c r="F450" s="1288" t="s">
        <v>1415</v>
      </c>
      <c r="G450" s="1288" t="s">
        <v>1391</v>
      </c>
      <c r="H450" s="1288"/>
      <c r="I450" s="1288"/>
      <c r="J450" s="1288"/>
      <c r="K450" s="754" t="s">
        <v>2494</v>
      </c>
      <c r="L450" s="1174"/>
      <c r="M450" s="1174"/>
      <c r="N450" s="1174"/>
      <c r="O450" s="1165">
        <f t="shared" si="72"/>
        <v>0</v>
      </c>
      <c r="P450" s="1174"/>
      <c r="Q450" s="1174"/>
      <c r="R450" s="1174"/>
      <c r="S450" s="1174"/>
      <c r="T450" s="1174"/>
      <c r="U450" s="1174"/>
      <c r="V450" s="1174"/>
      <c r="W450" s="1440" t="e">
        <f t="shared" si="73"/>
        <v>#DIV/0!</v>
      </c>
      <c r="X450" s="1432"/>
      <c r="Y450" s="765"/>
    </row>
    <row r="451" spans="1:25" s="183" customFormat="1" ht="22.5" customHeight="1" thickTop="1" thickBot="1" x14ac:dyDescent="0.3">
      <c r="A451" s="1287">
        <v>1</v>
      </c>
      <c r="B451" s="1288" t="s">
        <v>1378</v>
      </c>
      <c r="C451" s="1288" t="s">
        <v>1391</v>
      </c>
      <c r="D451" s="1288" t="s">
        <v>1415</v>
      </c>
      <c r="E451" s="1288" t="s">
        <v>1378</v>
      </c>
      <c r="F451" s="1288" t="s">
        <v>1415</v>
      </c>
      <c r="G451" s="1288" t="s">
        <v>1415</v>
      </c>
      <c r="H451" s="1288"/>
      <c r="I451" s="1288"/>
      <c r="J451" s="1288"/>
      <c r="K451" s="754" t="s">
        <v>2495</v>
      </c>
      <c r="L451" s="1174"/>
      <c r="M451" s="1174"/>
      <c r="N451" s="1174"/>
      <c r="O451" s="1165">
        <f t="shared" si="72"/>
        <v>0</v>
      </c>
      <c r="P451" s="1174"/>
      <c r="Q451" s="1174"/>
      <c r="R451" s="1174"/>
      <c r="S451" s="1174"/>
      <c r="T451" s="1174"/>
      <c r="U451" s="1174"/>
      <c r="V451" s="1174"/>
      <c r="W451" s="1440" t="e">
        <f t="shared" si="73"/>
        <v>#DIV/0!</v>
      </c>
      <c r="X451" s="1432"/>
      <c r="Y451" s="765"/>
    </row>
    <row r="452" spans="1:25" s="183" customFormat="1" ht="22.5" customHeight="1" thickTop="1" thickBot="1" x14ac:dyDescent="0.3">
      <c r="A452" s="1287">
        <v>1</v>
      </c>
      <c r="B452" s="1288" t="s">
        <v>1378</v>
      </c>
      <c r="C452" s="1288" t="s">
        <v>1391</v>
      </c>
      <c r="D452" s="1288" t="s">
        <v>1415</v>
      </c>
      <c r="E452" s="1288" t="s">
        <v>1378</v>
      </c>
      <c r="F452" s="1288" t="s">
        <v>1415</v>
      </c>
      <c r="G452" s="1288" t="s">
        <v>1419</v>
      </c>
      <c r="H452" s="1288"/>
      <c r="I452" s="1288"/>
      <c r="J452" s="1288"/>
      <c r="K452" s="754" t="s">
        <v>2496</v>
      </c>
      <c r="L452" s="1174"/>
      <c r="M452" s="1174"/>
      <c r="N452" s="1174"/>
      <c r="O452" s="1165">
        <f t="shared" si="72"/>
        <v>0</v>
      </c>
      <c r="P452" s="1174"/>
      <c r="Q452" s="1174"/>
      <c r="R452" s="1174"/>
      <c r="S452" s="1174"/>
      <c r="T452" s="1174"/>
      <c r="U452" s="1174"/>
      <c r="V452" s="1174"/>
      <c r="W452" s="1440" t="e">
        <f t="shared" si="73"/>
        <v>#DIV/0!</v>
      </c>
      <c r="X452" s="1432"/>
      <c r="Y452" s="765"/>
    </row>
    <row r="453" spans="1:25" s="183" customFormat="1" ht="22.5" customHeight="1" thickTop="1" thickBot="1" x14ac:dyDescent="0.3">
      <c r="A453" s="1287">
        <v>1</v>
      </c>
      <c r="B453" s="1288" t="s">
        <v>1378</v>
      </c>
      <c r="C453" s="1288" t="s">
        <v>1391</v>
      </c>
      <c r="D453" s="1288" t="s">
        <v>1415</v>
      </c>
      <c r="E453" s="1288" t="s">
        <v>1378</v>
      </c>
      <c r="F453" s="1288" t="s">
        <v>1415</v>
      </c>
      <c r="G453" s="1288" t="s">
        <v>1444</v>
      </c>
      <c r="H453" s="1288"/>
      <c r="I453" s="1288"/>
      <c r="J453" s="1288"/>
      <c r="K453" s="754" t="s">
        <v>2497</v>
      </c>
      <c r="L453" s="1174"/>
      <c r="M453" s="1174"/>
      <c r="N453" s="1174"/>
      <c r="O453" s="1165">
        <f t="shared" si="72"/>
        <v>0</v>
      </c>
      <c r="P453" s="1174"/>
      <c r="Q453" s="1174"/>
      <c r="R453" s="1174"/>
      <c r="S453" s="1174"/>
      <c r="T453" s="1174"/>
      <c r="U453" s="1174"/>
      <c r="V453" s="1174"/>
      <c r="W453" s="1440" t="e">
        <f t="shared" si="73"/>
        <v>#DIV/0!</v>
      </c>
      <c r="X453" s="1432"/>
      <c r="Y453" s="765"/>
    </row>
    <row r="454" spans="1:25" s="183" customFormat="1" ht="22.5" customHeight="1" thickTop="1" thickBot="1" x14ac:dyDescent="0.3">
      <c r="A454" s="1287">
        <v>1</v>
      </c>
      <c r="B454" s="1288" t="s">
        <v>1378</v>
      </c>
      <c r="C454" s="1288" t="s">
        <v>1391</v>
      </c>
      <c r="D454" s="1288" t="s">
        <v>1415</v>
      </c>
      <c r="E454" s="1288" t="s">
        <v>1378</v>
      </c>
      <c r="F454" s="1288" t="s">
        <v>1415</v>
      </c>
      <c r="G454" s="1288" t="s">
        <v>1467</v>
      </c>
      <c r="H454" s="1288"/>
      <c r="I454" s="1288"/>
      <c r="J454" s="1288"/>
      <c r="K454" s="754" t="s">
        <v>2498</v>
      </c>
      <c r="L454" s="1174"/>
      <c r="M454" s="1174"/>
      <c r="N454" s="1174"/>
      <c r="O454" s="1165">
        <f t="shared" si="72"/>
        <v>0</v>
      </c>
      <c r="P454" s="1174"/>
      <c r="Q454" s="1174"/>
      <c r="R454" s="1174"/>
      <c r="S454" s="1174"/>
      <c r="T454" s="1174"/>
      <c r="U454" s="1174"/>
      <c r="V454" s="1174"/>
      <c r="W454" s="1440" t="e">
        <f t="shared" si="73"/>
        <v>#DIV/0!</v>
      </c>
      <c r="X454" s="1432"/>
      <c r="Y454" s="765"/>
    </row>
    <row r="455" spans="1:25" s="183" customFormat="1" ht="22.5" customHeight="1" thickTop="1" thickBot="1" x14ac:dyDescent="0.3">
      <c r="A455" s="1287">
        <v>1</v>
      </c>
      <c r="B455" s="1288" t="s">
        <v>1378</v>
      </c>
      <c r="C455" s="1288" t="s">
        <v>1391</v>
      </c>
      <c r="D455" s="1288" t="s">
        <v>1415</v>
      </c>
      <c r="E455" s="1288" t="s">
        <v>1378</v>
      </c>
      <c r="F455" s="1288" t="s">
        <v>1415</v>
      </c>
      <c r="G455" s="1288" t="s">
        <v>1471</v>
      </c>
      <c r="H455" s="1288"/>
      <c r="I455" s="1288"/>
      <c r="J455" s="1288"/>
      <c r="K455" s="754" t="s">
        <v>2499</v>
      </c>
      <c r="L455" s="1174"/>
      <c r="M455" s="1174"/>
      <c r="N455" s="1174"/>
      <c r="O455" s="1165">
        <f t="shared" si="72"/>
        <v>0</v>
      </c>
      <c r="P455" s="1174"/>
      <c r="Q455" s="1174"/>
      <c r="R455" s="1174"/>
      <c r="S455" s="1174"/>
      <c r="T455" s="1174"/>
      <c r="U455" s="1174"/>
      <c r="V455" s="1174"/>
      <c r="W455" s="1440" t="e">
        <f t="shared" si="73"/>
        <v>#DIV/0!</v>
      </c>
      <c r="X455" s="1432"/>
      <c r="Y455" s="765"/>
    </row>
    <row r="456" spans="1:25" s="183" customFormat="1" ht="22.5" customHeight="1" thickTop="1" thickBot="1" x14ac:dyDescent="0.3">
      <c r="A456" s="1287">
        <v>1</v>
      </c>
      <c r="B456" s="1288" t="s">
        <v>1378</v>
      </c>
      <c r="C456" s="1288" t="s">
        <v>1391</v>
      </c>
      <c r="D456" s="1288" t="s">
        <v>1415</v>
      </c>
      <c r="E456" s="1288" t="s">
        <v>1378</v>
      </c>
      <c r="F456" s="1288" t="s">
        <v>1415</v>
      </c>
      <c r="G456" s="1288" t="s">
        <v>1475</v>
      </c>
      <c r="H456" s="1288"/>
      <c r="I456" s="1288"/>
      <c r="J456" s="1288"/>
      <c r="K456" s="754" t="s">
        <v>2500</v>
      </c>
      <c r="L456" s="1174"/>
      <c r="M456" s="1174"/>
      <c r="N456" s="1174"/>
      <c r="O456" s="1165">
        <f t="shared" ref="O456:O519" si="82">L456+M456-N456</f>
        <v>0</v>
      </c>
      <c r="P456" s="1174"/>
      <c r="Q456" s="1174"/>
      <c r="R456" s="1174"/>
      <c r="S456" s="1174"/>
      <c r="T456" s="1174"/>
      <c r="U456" s="1174"/>
      <c r="V456" s="1174"/>
      <c r="W456" s="1440" t="e">
        <f t="shared" ref="W456:W519" si="83">V456/U456</f>
        <v>#DIV/0!</v>
      </c>
      <c r="X456" s="1432"/>
      <c r="Y456" s="765"/>
    </row>
    <row r="457" spans="1:25" s="183" customFormat="1" ht="22.5" customHeight="1" thickTop="1" thickBot="1" x14ac:dyDescent="0.3">
      <c r="A457" s="1287">
        <v>1</v>
      </c>
      <c r="B457" s="1288" t="s">
        <v>1378</v>
      </c>
      <c r="C457" s="1288" t="s">
        <v>1391</v>
      </c>
      <c r="D457" s="1288" t="s">
        <v>1415</v>
      </c>
      <c r="E457" s="1288" t="s">
        <v>1378</v>
      </c>
      <c r="F457" s="1288" t="s">
        <v>1415</v>
      </c>
      <c r="G457" s="1288" t="s">
        <v>1573</v>
      </c>
      <c r="H457" s="1288"/>
      <c r="I457" s="1288"/>
      <c r="J457" s="1288"/>
      <c r="K457" s="754" t="s">
        <v>2501</v>
      </c>
      <c r="L457" s="1174"/>
      <c r="M457" s="1174"/>
      <c r="N457" s="1174"/>
      <c r="O457" s="1165">
        <f t="shared" si="82"/>
        <v>0</v>
      </c>
      <c r="P457" s="1174"/>
      <c r="Q457" s="1174"/>
      <c r="R457" s="1174"/>
      <c r="S457" s="1174"/>
      <c r="T457" s="1174"/>
      <c r="U457" s="1174"/>
      <c r="V457" s="1174"/>
      <c r="W457" s="1440" t="e">
        <f t="shared" si="83"/>
        <v>#DIV/0!</v>
      </c>
      <c r="X457" s="1432"/>
      <c r="Y457" s="765"/>
    </row>
    <row r="458" spans="1:25" s="183" customFormat="1" ht="22.5" customHeight="1" thickTop="1" thickBot="1" x14ac:dyDescent="0.3">
      <c r="A458" s="1287">
        <v>1</v>
      </c>
      <c r="B458" s="1288" t="s">
        <v>1378</v>
      </c>
      <c r="C458" s="1288" t="s">
        <v>1391</v>
      </c>
      <c r="D458" s="1288" t="s">
        <v>1415</v>
      </c>
      <c r="E458" s="1288" t="s">
        <v>1378</v>
      </c>
      <c r="F458" s="1288" t="s">
        <v>1415</v>
      </c>
      <c r="G458" s="1288" t="s">
        <v>1574</v>
      </c>
      <c r="H458" s="1288"/>
      <c r="I458" s="1288"/>
      <c r="J458" s="1288"/>
      <c r="K458" s="754" t="s">
        <v>2502</v>
      </c>
      <c r="L458" s="1174"/>
      <c r="M458" s="1174"/>
      <c r="N458" s="1174"/>
      <c r="O458" s="1165">
        <f t="shared" si="82"/>
        <v>0</v>
      </c>
      <c r="P458" s="1174"/>
      <c r="Q458" s="1174"/>
      <c r="R458" s="1174"/>
      <c r="S458" s="1174"/>
      <c r="T458" s="1174"/>
      <c r="U458" s="1174"/>
      <c r="V458" s="1174"/>
      <c r="W458" s="1440" t="e">
        <f t="shared" si="83"/>
        <v>#DIV/0!</v>
      </c>
      <c r="X458" s="1432"/>
      <c r="Y458" s="765"/>
    </row>
    <row r="459" spans="1:25" s="183" customFormat="1" ht="22.5" customHeight="1" thickTop="1" thickBot="1" x14ac:dyDescent="0.3">
      <c r="A459" s="1287">
        <v>1</v>
      </c>
      <c r="B459" s="1288" t="s">
        <v>1378</v>
      </c>
      <c r="C459" s="1288" t="s">
        <v>1391</v>
      </c>
      <c r="D459" s="1288" t="s">
        <v>1415</v>
      </c>
      <c r="E459" s="1288" t="s">
        <v>1378</v>
      </c>
      <c r="F459" s="1288" t="s">
        <v>1415</v>
      </c>
      <c r="G459" s="1288" t="s">
        <v>1575</v>
      </c>
      <c r="H459" s="1288"/>
      <c r="I459" s="1288"/>
      <c r="J459" s="1288"/>
      <c r="K459" s="754" t="s">
        <v>2503</v>
      </c>
      <c r="L459" s="1174"/>
      <c r="M459" s="1174"/>
      <c r="N459" s="1174"/>
      <c r="O459" s="1165">
        <f t="shared" si="82"/>
        <v>0</v>
      </c>
      <c r="P459" s="1174"/>
      <c r="Q459" s="1174"/>
      <c r="R459" s="1174"/>
      <c r="S459" s="1174"/>
      <c r="T459" s="1174"/>
      <c r="U459" s="1174"/>
      <c r="V459" s="1174"/>
      <c r="W459" s="1440" t="e">
        <f t="shared" si="83"/>
        <v>#DIV/0!</v>
      </c>
      <c r="X459" s="1432"/>
      <c r="Y459" s="765"/>
    </row>
    <row r="460" spans="1:25" s="183" customFormat="1" ht="22.5" customHeight="1" thickTop="1" thickBot="1" x14ac:dyDescent="0.3">
      <c r="A460" s="1285">
        <v>1</v>
      </c>
      <c r="B460" s="1286" t="s">
        <v>1378</v>
      </c>
      <c r="C460" s="1286" t="s">
        <v>1391</v>
      </c>
      <c r="D460" s="1286" t="s">
        <v>1415</v>
      </c>
      <c r="E460" s="1286" t="s">
        <v>1378</v>
      </c>
      <c r="F460" s="1286" t="s">
        <v>1419</v>
      </c>
      <c r="G460" s="1286"/>
      <c r="H460" s="1286"/>
      <c r="I460" s="1286"/>
      <c r="J460" s="1286"/>
      <c r="K460" s="753" t="s">
        <v>2037</v>
      </c>
      <c r="L460" s="1174">
        <f>SUM(L461:L471)</f>
        <v>0</v>
      </c>
      <c r="M460" s="1174">
        <f t="shared" ref="M460:V460" si="84">SUM(M461:M471)</f>
        <v>0</v>
      </c>
      <c r="N460" s="1174">
        <f t="shared" si="84"/>
        <v>0</v>
      </c>
      <c r="O460" s="1165">
        <f t="shared" si="82"/>
        <v>0</v>
      </c>
      <c r="P460" s="1174">
        <f t="shared" si="84"/>
        <v>0</v>
      </c>
      <c r="Q460" s="1174">
        <f t="shared" si="84"/>
        <v>0</v>
      </c>
      <c r="R460" s="1174">
        <f t="shared" si="84"/>
        <v>0</v>
      </c>
      <c r="S460" s="1174"/>
      <c r="T460" s="1174">
        <f t="shared" si="84"/>
        <v>0</v>
      </c>
      <c r="U460" s="1174">
        <f t="shared" si="84"/>
        <v>0</v>
      </c>
      <c r="V460" s="1174">
        <f t="shared" si="84"/>
        <v>0</v>
      </c>
      <c r="W460" s="1440" t="e">
        <f t="shared" si="83"/>
        <v>#DIV/0!</v>
      </c>
      <c r="X460" s="1432" t="s">
        <v>2040</v>
      </c>
      <c r="Y460" s="765"/>
    </row>
    <row r="461" spans="1:25" s="183" customFormat="1" ht="22.5" customHeight="1" thickTop="1" thickBot="1" x14ac:dyDescent="0.3">
      <c r="A461" s="1287">
        <v>1</v>
      </c>
      <c r="B461" s="1288" t="s">
        <v>1378</v>
      </c>
      <c r="C461" s="1288" t="s">
        <v>1391</v>
      </c>
      <c r="D461" s="1288" t="s">
        <v>1415</v>
      </c>
      <c r="E461" s="1288" t="s">
        <v>1378</v>
      </c>
      <c r="F461" s="1288" t="s">
        <v>1419</v>
      </c>
      <c r="G461" s="1288" t="s">
        <v>1378</v>
      </c>
      <c r="H461" s="1288"/>
      <c r="I461" s="1288"/>
      <c r="J461" s="1288"/>
      <c r="K461" s="754" t="s">
        <v>2504</v>
      </c>
      <c r="L461" s="1174"/>
      <c r="M461" s="1174"/>
      <c r="N461" s="1174"/>
      <c r="O461" s="1165">
        <f t="shared" si="82"/>
        <v>0</v>
      </c>
      <c r="P461" s="1174"/>
      <c r="Q461" s="1174"/>
      <c r="R461" s="1174"/>
      <c r="S461" s="1174"/>
      <c r="T461" s="1174"/>
      <c r="U461" s="1174"/>
      <c r="V461" s="1174"/>
      <c r="W461" s="1440" t="e">
        <f t="shared" si="83"/>
        <v>#DIV/0!</v>
      </c>
      <c r="X461" s="1432"/>
      <c r="Y461" s="765"/>
    </row>
    <row r="462" spans="1:25" s="183" customFormat="1" ht="22.5" customHeight="1" thickTop="1" thickBot="1" x14ac:dyDescent="0.3">
      <c r="A462" s="1287">
        <v>1</v>
      </c>
      <c r="B462" s="1288" t="s">
        <v>1378</v>
      </c>
      <c r="C462" s="1288" t="s">
        <v>1391</v>
      </c>
      <c r="D462" s="1288" t="s">
        <v>1415</v>
      </c>
      <c r="E462" s="1288" t="s">
        <v>1378</v>
      </c>
      <c r="F462" s="1288" t="s">
        <v>1419</v>
      </c>
      <c r="G462" s="1288" t="s">
        <v>1391</v>
      </c>
      <c r="H462" s="1288"/>
      <c r="I462" s="1288"/>
      <c r="J462" s="1288"/>
      <c r="K462" s="754" t="s">
        <v>2505</v>
      </c>
      <c r="L462" s="1174"/>
      <c r="M462" s="1174"/>
      <c r="N462" s="1174"/>
      <c r="O462" s="1165">
        <f t="shared" si="82"/>
        <v>0</v>
      </c>
      <c r="P462" s="1174"/>
      <c r="Q462" s="1174"/>
      <c r="R462" s="1174"/>
      <c r="S462" s="1174"/>
      <c r="T462" s="1174"/>
      <c r="U462" s="1174"/>
      <c r="V462" s="1174"/>
      <c r="W462" s="1440" t="e">
        <f t="shared" si="83"/>
        <v>#DIV/0!</v>
      </c>
      <c r="X462" s="1432"/>
      <c r="Y462" s="765"/>
    </row>
    <row r="463" spans="1:25" s="183" customFormat="1" ht="22.5" customHeight="1" thickTop="1" thickBot="1" x14ac:dyDescent="0.3">
      <c r="A463" s="1287">
        <v>1</v>
      </c>
      <c r="B463" s="1288" t="s">
        <v>1378</v>
      </c>
      <c r="C463" s="1288" t="s">
        <v>1391</v>
      </c>
      <c r="D463" s="1288" t="s">
        <v>1415</v>
      </c>
      <c r="E463" s="1288" t="s">
        <v>1378</v>
      </c>
      <c r="F463" s="1288" t="s">
        <v>1419</v>
      </c>
      <c r="G463" s="1288" t="s">
        <v>1415</v>
      </c>
      <c r="H463" s="1288"/>
      <c r="I463" s="1288"/>
      <c r="J463" s="1288"/>
      <c r="K463" s="754" t="s">
        <v>2506</v>
      </c>
      <c r="L463" s="1174"/>
      <c r="M463" s="1174"/>
      <c r="N463" s="1174"/>
      <c r="O463" s="1165">
        <f t="shared" si="82"/>
        <v>0</v>
      </c>
      <c r="P463" s="1174"/>
      <c r="Q463" s="1174"/>
      <c r="R463" s="1174"/>
      <c r="S463" s="1174"/>
      <c r="T463" s="1174"/>
      <c r="U463" s="1174"/>
      <c r="V463" s="1174"/>
      <c r="W463" s="1440" t="e">
        <f t="shared" si="83"/>
        <v>#DIV/0!</v>
      </c>
      <c r="X463" s="1432"/>
      <c r="Y463" s="765"/>
    </row>
    <row r="464" spans="1:25" s="183" customFormat="1" ht="22.5" customHeight="1" thickTop="1" thickBot="1" x14ac:dyDescent="0.3">
      <c r="A464" s="1287">
        <v>1</v>
      </c>
      <c r="B464" s="1288" t="s">
        <v>1378</v>
      </c>
      <c r="C464" s="1288" t="s">
        <v>1391</v>
      </c>
      <c r="D464" s="1288" t="s">
        <v>1415</v>
      </c>
      <c r="E464" s="1288" t="s">
        <v>1378</v>
      </c>
      <c r="F464" s="1288" t="s">
        <v>1419</v>
      </c>
      <c r="G464" s="1288" t="s">
        <v>1419</v>
      </c>
      <c r="H464" s="1288"/>
      <c r="I464" s="1288"/>
      <c r="J464" s="1288"/>
      <c r="K464" s="754" t="s">
        <v>2507</v>
      </c>
      <c r="L464" s="1174"/>
      <c r="M464" s="1174"/>
      <c r="N464" s="1174"/>
      <c r="O464" s="1165">
        <f t="shared" si="82"/>
        <v>0</v>
      </c>
      <c r="P464" s="1174"/>
      <c r="Q464" s="1174"/>
      <c r="R464" s="1174"/>
      <c r="S464" s="1174"/>
      <c r="T464" s="1174"/>
      <c r="U464" s="1174"/>
      <c r="V464" s="1174"/>
      <c r="W464" s="1440" t="e">
        <f t="shared" si="83"/>
        <v>#DIV/0!</v>
      </c>
      <c r="X464" s="1432"/>
      <c r="Y464" s="765"/>
    </row>
    <row r="465" spans="1:25" s="183" customFormat="1" ht="22.5" customHeight="1" thickTop="1" thickBot="1" x14ac:dyDescent="0.3">
      <c r="A465" s="1287">
        <v>1</v>
      </c>
      <c r="B465" s="1288" t="s">
        <v>1378</v>
      </c>
      <c r="C465" s="1288" t="s">
        <v>1391</v>
      </c>
      <c r="D465" s="1288" t="s">
        <v>1415</v>
      </c>
      <c r="E465" s="1288" t="s">
        <v>1378</v>
      </c>
      <c r="F465" s="1288" t="s">
        <v>1419</v>
      </c>
      <c r="G465" s="1288" t="s">
        <v>1444</v>
      </c>
      <c r="H465" s="1288"/>
      <c r="I465" s="1288"/>
      <c r="J465" s="1288"/>
      <c r="K465" s="754" t="s">
        <v>2508</v>
      </c>
      <c r="L465" s="1174"/>
      <c r="M465" s="1174"/>
      <c r="N465" s="1174"/>
      <c r="O465" s="1165">
        <f t="shared" si="82"/>
        <v>0</v>
      </c>
      <c r="P465" s="1174"/>
      <c r="Q465" s="1174"/>
      <c r="R465" s="1174"/>
      <c r="S465" s="1174"/>
      <c r="T465" s="1174"/>
      <c r="U465" s="1174"/>
      <c r="V465" s="1174"/>
      <c r="W465" s="1440" t="e">
        <f t="shared" si="83"/>
        <v>#DIV/0!</v>
      </c>
      <c r="X465" s="1432"/>
      <c r="Y465" s="765"/>
    </row>
    <row r="466" spans="1:25" s="183" customFormat="1" ht="22.5" customHeight="1" thickTop="1" thickBot="1" x14ac:dyDescent="0.3">
      <c r="A466" s="1287">
        <v>1</v>
      </c>
      <c r="B466" s="1288" t="s">
        <v>1378</v>
      </c>
      <c r="C466" s="1288" t="s">
        <v>1391</v>
      </c>
      <c r="D466" s="1288" t="s">
        <v>1415</v>
      </c>
      <c r="E466" s="1288" t="s">
        <v>1378</v>
      </c>
      <c r="F466" s="1288" t="s">
        <v>1419</v>
      </c>
      <c r="G466" s="1288" t="s">
        <v>1467</v>
      </c>
      <c r="H466" s="1288"/>
      <c r="I466" s="1288"/>
      <c r="J466" s="1288"/>
      <c r="K466" s="754" t="s">
        <v>2509</v>
      </c>
      <c r="L466" s="1174"/>
      <c r="M466" s="1174"/>
      <c r="N466" s="1174"/>
      <c r="O466" s="1165">
        <f t="shared" si="82"/>
        <v>0</v>
      </c>
      <c r="P466" s="1174"/>
      <c r="Q466" s="1174"/>
      <c r="R466" s="1174"/>
      <c r="S466" s="1174"/>
      <c r="T466" s="1174"/>
      <c r="U466" s="1174"/>
      <c r="V466" s="1174"/>
      <c r="W466" s="1440" t="e">
        <f t="shared" si="83"/>
        <v>#DIV/0!</v>
      </c>
      <c r="X466" s="1432"/>
      <c r="Y466" s="765"/>
    </row>
    <row r="467" spans="1:25" s="183" customFormat="1" ht="22.5" customHeight="1" thickTop="1" thickBot="1" x14ac:dyDescent="0.3">
      <c r="A467" s="1287">
        <v>1</v>
      </c>
      <c r="B467" s="1288" t="s">
        <v>1378</v>
      </c>
      <c r="C467" s="1288" t="s">
        <v>1391</v>
      </c>
      <c r="D467" s="1288" t="s">
        <v>1415</v>
      </c>
      <c r="E467" s="1288" t="s">
        <v>1378</v>
      </c>
      <c r="F467" s="1288" t="s">
        <v>1419</v>
      </c>
      <c r="G467" s="1288" t="s">
        <v>1471</v>
      </c>
      <c r="H467" s="1288"/>
      <c r="I467" s="1288"/>
      <c r="J467" s="1288"/>
      <c r="K467" s="754" t="s">
        <v>2510</v>
      </c>
      <c r="L467" s="1174"/>
      <c r="M467" s="1174"/>
      <c r="N467" s="1174"/>
      <c r="O467" s="1165">
        <f t="shared" si="82"/>
        <v>0</v>
      </c>
      <c r="P467" s="1174"/>
      <c r="Q467" s="1174"/>
      <c r="R467" s="1174"/>
      <c r="S467" s="1174"/>
      <c r="T467" s="1174"/>
      <c r="U467" s="1174"/>
      <c r="V467" s="1174"/>
      <c r="W467" s="1440" t="e">
        <f t="shared" si="83"/>
        <v>#DIV/0!</v>
      </c>
      <c r="X467" s="1432"/>
      <c r="Y467" s="765"/>
    </row>
    <row r="468" spans="1:25" s="183" customFormat="1" ht="22.5" customHeight="1" thickTop="1" thickBot="1" x14ac:dyDescent="0.3">
      <c r="A468" s="1287">
        <v>1</v>
      </c>
      <c r="B468" s="1288" t="s">
        <v>1378</v>
      </c>
      <c r="C468" s="1288" t="s">
        <v>1391</v>
      </c>
      <c r="D468" s="1288" t="s">
        <v>1415</v>
      </c>
      <c r="E468" s="1288" t="s">
        <v>1378</v>
      </c>
      <c r="F468" s="1288" t="s">
        <v>1419</v>
      </c>
      <c r="G468" s="1288" t="s">
        <v>1475</v>
      </c>
      <c r="H468" s="1288"/>
      <c r="I468" s="1288"/>
      <c r="J468" s="1288"/>
      <c r="K468" s="754" t="s">
        <v>2511</v>
      </c>
      <c r="L468" s="1174"/>
      <c r="M468" s="1174"/>
      <c r="N468" s="1174"/>
      <c r="O468" s="1165">
        <f t="shared" si="82"/>
        <v>0</v>
      </c>
      <c r="P468" s="1174"/>
      <c r="Q468" s="1174"/>
      <c r="R468" s="1174"/>
      <c r="S468" s="1174"/>
      <c r="T468" s="1174"/>
      <c r="U468" s="1174"/>
      <c r="V468" s="1174"/>
      <c r="W468" s="1440" t="e">
        <f t="shared" si="83"/>
        <v>#DIV/0!</v>
      </c>
      <c r="X468" s="1432"/>
      <c r="Y468" s="765"/>
    </row>
    <row r="469" spans="1:25" s="183" customFormat="1" ht="22.5" customHeight="1" thickTop="1" thickBot="1" x14ac:dyDescent="0.3">
      <c r="A469" s="1287">
        <v>1</v>
      </c>
      <c r="B469" s="1288" t="s">
        <v>1378</v>
      </c>
      <c r="C469" s="1288" t="s">
        <v>1391</v>
      </c>
      <c r="D469" s="1288" t="s">
        <v>1415</v>
      </c>
      <c r="E469" s="1288" t="s">
        <v>1378</v>
      </c>
      <c r="F469" s="1288" t="s">
        <v>1419</v>
      </c>
      <c r="G469" s="1288" t="s">
        <v>1573</v>
      </c>
      <c r="H469" s="1288"/>
      <c r="I469" s="1288"/>
      <c r="J469" s="1288"/>
      <c r="K469" s="754" t="s">
        <v>2512</v>
      </c>
      <c r="L469" s="1174"/>
      <c r="M469" s="1174"/>
      <c r="N469" s="1174"/>
      <c r="O469" s="1165">
        <f t="shared" si="82"/>
        <v>0</v>
      </c>
      <c r="P469" s="1174"/>
      <c r="Q469" s="1174"/>
      <c r="R469" s="1174"/>
      <c r="S469" s="1174"/>
      <c r="T469" s="1174"/>
      <c r="U469" s="1174"/>
      <c r="V469" s="1174"/>
      <c r="W469" s="1440" t="e">
        <f t="shared" si="83"/>
        <v>#DIV/0!</v>
      </c>
      <c r="X469" s="1432"/>
      <c r="Y469" s="765"/>
    </row>
    <row r="470" spans="1:25" s="183" customFormat="1" ht="22.5" customHeight="1" thickTop="1" thickBot="1" x14ac:dyDescent="0.3">
      <c r="A470" s="1287">
        <v>1</v>
      </c>
      <c r="B470" s="1288" t="s">
        <v>1378</v>
      </c>
      <c r="C470" s="1288" t="s">
        <v>1391</v>
      </c>
      <c r="D470" s="1288" t="s">
        <v>1415</v>
      </c>
      <c r="E470" s="1288" t="s">
        <v>1378</v>
      </c>
      <c r="F470" s="1288" t="s">
        <v>1419</v>
      </c>
      <c r="G470" s="1288" t="s">
        <v>1574</v>
      </c>
      <c r="H470" s="1288"/>
      <c r="I470" s="1288"/>
      <c r="J470" s="1288"/>
      <c r="K470" s="754" t="s">
        <v>2513</v>
      </c>
      <c r="L470" s="1174"/>
      <c r="M470" s="1174"/>
      <c r="N470" s="1174"/>
      <c r="O470" s="1165">
        <f t="shared" si="82"/>
        <v>0</v>
      </c>
      <c r="P470" s="1174"/>
      <c r="Q470" s="1174"/>
      <c r="R470" s="1174"/>
      <c r="S470" s="1174"/>
      <c r="T470" s="1174"/>
      <c r="U470" s="1174"/>
      <c r="V470" s="1174"/>
      <c r="W470" s="1440" t="e">
        <f t="shared" si="83"/>
        <v>#DIV/0!</v>
      </c>
      <c r="X470" s="1432"/>
      <c r="Y470" s="765"/>
    </row>
    <row r="471" spans="1:25" s="183" customFormat="1" ht="22.5" customHeight="1" thickTop="1" thickBot="1" x14ac:dyDescent="0.3">
      <c r="A471" s="1287">
        <v>1</v>
      </c>
      <c r="B471" s="1288" t="s">
        <v>1378</v>
      </c>
      <c r="C471" s="1288" t="s">
        <v>1391</v>
      </c>
      <c r="D471" s="1288" t="s">
        <v>1415</v>
      </c>
      <c r="E471" s="1288" t="s">
        <v>1378</v>
      </c>
      <c r="F471" s="1288" t="s">
        <v>1419</v>
      </c>
      <c r="G471" s="1288" t="s">
        <v>1575</v>
      </c>
      <c r="H471" s="1288"/>
      <c r="I471" s="1288"/>
      <c r="J471" s="1288"/>
      <c r="K471" s="754" t="s">
        <v>2514</v>
      </c>
      <c r="L471" s="1174"/>
      <c r="M471" s="1174"/>
      <c r="N471" s="1174"/>
      <c r="O471" s="1165">
        <f t="shared" si="82"/>
        <v>0</v>
      </c>
      <c r="P471" s="1174"/>
      <c r="Q471" s="1174"/>
      <c r="R471" s="1174"/>
      <c r="S471" s="1174"/>
      <c r="T471" s="1174"/>
      <c r="U471" s="1174"/>
      <c r="V471" s="1174"/>
      <c r="W471" s="1440" t="e">
        <f t="shared" si="83"/>
        <v>#DIV/0!</v>
      </c>
      <c r="X471" s="1432"/>
      <c r="Y471" s="765"/>
    </row>
    <row r="472" spans="1:25" s="183" customFormat="1" ht="22.5" customHeight="1" thickTop="1" thickBot="1" x14ac:dyDescent="0.3">
      <c r="A472" s="1285">
        <v>1</v>
      </c>
      <c r="B472" s="1286" t="s">
        <v>1378</v>
      </c>
      <c r="C472" s="1286" t="s">
        <v>1391</v>
      </c>
      <c r="D472" s="1286" t="s">
        <v>1415</v>
      </c>
      <c r="E472" s="1286" t="s">
        <v>1378</v>
      </c>
      <c r="F472" s="1286" t="s">
        <v>1444</v>
      </c>
      <c r="G472" s="1286"/>
      <c r="H472" s="1286"/>
      <c r="I472" s="1286"/>
      <c r="J472" s="1286"/>
      <c r="K472" s="753" t="s">
        <v>2029</v>
      </c>
      <c r="L472" s="1174">
        <f>SUM(L473:L483)</f>
        <v>0</v>
      </c>
      <c r="M472" s="1174">
        <f t="shared" ref="M472:V472" si="85">SUM(M473:M483)</f>
        <v>0</v>
      </c>
      <c r="N472" s="1174">
        <f t="shared" si="85"/>
        <v>0</v>
      </c>
      <c r="O472" s="1165">
        <f t="shared" si="82"/>
        <v>0</v>
      </c>
      <c r="P472" s="1174">
        <f t="shared" si="85"/>
        <v>0</v>
      </c>
      <c r="Q472" s="1174">
        <f t="shared" si="85"/>
        <v>0</v>
      </c>
      <c r="R472" s="1174">
        <f t="shared" si="85"/>
        <v>0</v>
      </c>
      <c r="S472" s="1174"/>
      <c r="T472" s="1174">
        <f t="shared" si="85"/>
        <v>0</v>
      </c>
      <c r="U472" s="1174">
        <f t="shared" si="85"/>
        <v>0</v>
      </c>
      <c r="V472" s="1174">
        <f t="shared" si="85"/>
        <v>0</v>
      </c>
      <c r="W472" s="1440" t="e">
        <f t="shared" si="83"/>
        <v>#DIV/0!</v>
      </c>
      <c r="X472" s="1432" t="s">
        <v>2041</v>
      </c>
      <c r="Y472" s="765"/>
    </row>
    <row r="473" spans="1:25" s="183" customFormat="1" ht="22.5" customHeight="1" thickTop="1" thickBot="1" x14ac:dyDescent="0.3">
      <c r="A473" s="1287">
        <v>1</v>
      </c>
      <c r="B473" s="1288" t="s">
        <v>1378</v>
      </c>
      <c r="C473" s="1288" t="s">
        <v>1391</v>
      </c>
      <c r="D473" s="1288" t="s">
        <v>1415</v>
      </c>
      <c r="E473" s="1288" t="s">
        <v>1378</v>
      </c>
      <c r="F473" s="1288" t="s">
        <v>1444</v>
      </c>
      <c r="G473" s="1288" t="s">
        <v>1378</v>
      </c>
      <c r="H473" s="1288"/>
      <c r="I473" s="1288"/>
      <c r="J473" s="1288"/>
      <c r="K473" s="754" t="s">
        <v>2515</v>
      </c>
      <c r="L473" s="1174"/>
      <c r="M473" s="1174"/>
      <c r="N473" s="1174"/>
      <c r="O473" s="1165">
        <f t="shared" si="82"/>
        <v>0</v>
      </c>
      <c r="P473" s="1174"/>
      <c r="Q473" s="1174"/>
      <c r="R473" s="1174"/>
      <c r="S473" s="1174"/>
      <c r="T473" s="1174"/>
      <c r="U473" s="1174"/>
      <c r="V473" s="1174"/>
      <c r="W473" s="1440" t="e">
        <f t="shared" si="83"/>
        <v>#DIV/0!</v>
      </c>
      <c r="X473" s="1432"/>
      <c r="Y473" s="765"/>
    </row>
    <row r="474" spans="1:25" s="183" customFormat="1" ht="22.5" customHeight="1" thickTop="1" thickBot="1" x14ac:dyDescent="0.3">
      <c r="A474" s="1287">
        <v>1</v>
      </c>
      <c r="B474" s="1288" t="s">
        <v>1378</v>
      </c>
      <c r="C474" s="1288" t="s">
        <v>1391</v>
      </c>
      <c r="D474" s="1288" t="s">
        <v>1415</v>
      </c>
      <c r="E474" s="1288" t="s">
        <v>1378</v>
      </c>
      <c r="F474" s="1288" t="s">
        <v>1444</v>
      </c>
      <c r="G474" s="1288" t="s">
        <v>1391</v>
      </c>
      <c r="H474" s="1288"/>
      <c r="I474" s="1288"/>
      <c r="J474" s="1288"/>
      <c r="K474" s="754" t="s">
        <v>2516</v>
      </c>
      <c r="L474" s="1174"/>
      <c r="M474" s="1174"/>
      <c r="N474" s="1174"/>
      <c r="O474" s="1165">
        <f t="shared" si="82"/>
        <v>0</v>
      </c>
      <c r="P474" s="1174"/>
      <c r="Q474" s="1174"/>
      <c r="R474" s="1174"/>
      <c r="S474" s="1174"/>
      <c r="T474" s="1174"/>
      <c r="U474" s="1174"/>
      <c r="V474" s="1174"/>
      <c r="W474" s="1440" t="e">
        <f t="shared" si="83"/>
        <v>#DIV/0!</v>
      </c>
      <c r="X474" s="1432"/>
      <c r="Y474" s="765"/>
    </row>
    <row r="475" spans="1:25" s="183" customFormat="1" ht="22.5" customHeight="1" thickTop="1" thickBot="1" x14ac:dyDescent="0.3">
      <c r="A475" s="1287">
        <v>1</v>
      </c>
      <c r="B475" s="1288" t="s">
        <v>1378</v>
      </c>
      <c r="C475" s="1288" t="s">
        <v>1391</v>
      </c>
      <c r="D475" s="1288" t="s">
        <v>1415</v>
      </c>
      <c r="E475" s="1288" t="s">
        <v>1378</v>
      </c>
      <c r="F475" s="1288" t="s">
        <v>1444</v>
      </c>
      <c r="G475" s="1288" t="s">
        <v>1415</v>
      </c>
      <c r="H475" s="1288"/>
      <c r="I475" s="1288"/>
      <c r="J475" s="1288"/>
      <c r="K475" s="754" t="s">
        <v>2517</v>
      </c>
      <c r="L475" s="1174"/>
      <c r="M475" s="1174"/>
      <c r="N475" s="1174"/>
      <c r="O475" s="1165">
        <f t="shared" si="82"/>
        <v>0</v>
      </c>
      <c r="P475" s="1174"/>
      <c r="Q475" s="1174"/>
      <c r="R475" s="1174"/>
      <c r="S475" s="1174"/>
      <c r="T475" s="1174"/>
      <c r="U475" s="1174"/>
      <c r="V475" s="1174"/>
      <c r="W475" s="1440" t="e">
        <f t="shared" si="83"/>
        <v>#DIV/0!</v>
      </c>
      <c r="X475" s="1432"/>
      <c r="Y475" s="765"/>
    </row>
    <row r="476" spans="1:25" s="183" customFormat="1" ht="22.5" customHeight="1" thickTop="1" thickBot="1" x14ac:dyDescent="0.3">
      <c r="A476" s="1287">
        <v>1</v>
      </c>
      <c r="B476" s="1288" t="s">
        <v>1378</v>
      </c>
      <c r="C476" s="1288" t="s">
        <v>1391</v>
      </c>
      <c r="D476" s="1288" t="s">
        <v>1415</v>
      </c>
      <c r="E476" s="1288" t="s">
        <v>1378</v>
      </c>
      <c r="F476" s="1288" t="s">
        <v>1444</v>
      </c>
      <c r="G476" s="1288" t="s">
        <v>1419</v>
      </c>
      <c r="H476" s="1288"/>
      <c r="I476" s="1288"/>
      <c r="J476" s="1288"/>
      <c r="K476" s="754" t="s">
        <v>2518</v>
      </c>
      <c r="L476" s="1174"/>
      <c r="M476" s="1174"/>
      <c r="N476" s="1174"/>
      <c r="O476" s="1165">
        <f t="shared" si="82"/>
        <v>0</v>
      </c>
      <c r="P476" s="1174"/>
      <c r="Q476" s="1174"/>
      <c r="R476" s="1174"/>
      <c r="S476" s="1174"/>
      <c r="T476" s="1174"/>
      <c r="U476" s="1174"/>
      <c r="V476" s="1174"/>
      <c r="W476" s="1440" t="e">
        <f t="shared" si="83"/>
        <v>#DIV/0!</v>
      </c>
      <c r="X476" s="1432"/>
      <c r="Y476" s="765"/>
    </row>
    <row r="477" spans="1:25" s="183" customFormat="1" ht="22.5" customHeight="1" thickTop="1" thickBot="1" x14ac:dyDescent="0.3">
      <c r="A477" s="1287">
        <v>1</v>
      </c>
      <c r="B477" s="1288" t="s">
        <v>1378</v>
      </c>
      <c r="C477" s="1288" t="s">
        <v>1391</v>
      </c>
      <c r="D477" s="1288" t="s">
        <v>1415</v>
      </c>
      <c r="E477" s="1288" t="s">
        <v>1378</v>
      </c>
      <c r="F477" s="1288" t="s">
        <v>1444</v>
      </c>
      <c r="G477" s="1288" t="s">
        <v>1444</v>
      </c>
      <c r="H477" s="1288"/>
      <c r="I477" s="1288"/>
      <c r="J477" s="1288"/>
      <c r="K477" s="754" t="s">
        <v>2519</v>
      </c>
      <c r="L477" s="1174"/>
      <c r="M477" s="1174"/>
      <c r="N477" s="1174"/>
      <c r="O477" s="1165">
        <f t="shared" si="82"/>
        <v>0</v>
      </c>
      <c r="P477" s="1174"/>
      <c r="Q477" s="1174"/>
      <c r="R477" s="1174"/>
      <c r="S477" s="1174"/>
      <c r="T477" s="1174"/>
      <c r="U477" s="1174"/>
      <c r="V477" s="1174"/>
      <c r="W477" s="1440" t="e">
        <f t="shared" si="83"/>
        <v>#DIV/0!</v>
      </c>
      <c r="X477" s="1432"/>
      <c r="Y477" s="765"/>
    </row>
    <row r="478" spans="1:25" s="183" customFormat="1" ht="22.5" customHeight="1" thickTop="1" thickBot="1" x14ac:dyDescent="0.3">
      <c r="A478" s="1287">
        <v>1</v>
      </c>
      <c r="B478" s="1288" t="s">
        <v>1378</v>
      </c>
      <c r="C478" s="1288" t="s">
        <v>1391</v>
      </c>
      <c r="D478" s="1288" t="s">
        <v>1415</v>
      </c>
      <c r="E478" s="1288" t="s">
        <v>1378</v>
      </c>
      <c r="F478" s="1288" t="s">
        <v>1444</v>
      </c>
      <c r="G478" s="1288" t="s">
        <v>1467</v>
      </c>
      <c r="H478" s="1288"/>
      <c r="I478" s="1288"/>
      <c r="J478" s="1288"/>
      <c r="K478" s="754" t="s">
        <v>2520</v>
      </c>
      <c r="L478" s="1174"/>
      <c r="M478" s="1174"/>
      <c r="N478" s="1174"/>
      <c r="O478" s="1165">
        <f t="shared" si="82"/>
        <v>0</v>
      </c>
      <c r="P478" s="1174"/>
      <c r="Q478" s="1174"/>
      <c r="R478" s="1174"/>
      <c r="S478" s="1174"/>
      <c r="T478" s="1174"/>
      <c r="U478" s="1174"/>
      <c r="V478" s="1174"/>
      <c r="W478" s="1440" t="e">
        <f t="shared" si="83"/>
        <v>#DIV/0!</v>
      </c>
      <c r="X478" s="1432"/>
      <c r="Y478" s="765"/>
    </row>
    <row r="479" spans="1:25" s="183" customFormat="1" ht="22.5" customHeight="1" thickTop="1" thickBot="1" x14ac:dyDescent="0.3">
      <c r="A479" s="1287">
        <v>1</v>
      </c>
      <c r="B479" s="1288" t="s">
        <v>1378</v>
      </c>
      <c r="C479" s="1288" t="s">
        <v>1391</v>
      </c>
      <c r="D479" s="1288" t="s">
        <v>1415</v>
      </c>
      <c r="E479" s="1288" t="s">
        <v>1378</v>
      </c>
      <c r="F479" s="1288" t="s">
        <v>1444</v>
      </c>
      <c r="G479" s="1288" t="s">
        <v>1471</v>
      </c>
      <c r="H479" s="1288"/>
      <c r="I479" s="1288"/>
      <c r="J479" s="1288"/>
      <c r="K479" s="754" t="s">
        <v>2521</v>
      </c>
      <c r="L479" s="1174"/>
      <c r="M479" s="1174"/>
      <c r="N479" s="1174"/>
      <c r="O479" s="1165">
        <f t="shared" si="82"/>
        <v>0</v>
      </c>
      <c r="P479" s="1174"/>
      <c r="Q479" s="1174"/>
      <c r="R479" s="1174"/>
      <c r="S479" s="1174"/>
      <c r="T479" s="1174"/>
      <c r="U479" s="1174"/>
      <c r="V479" s="1174"/>
      <c r="W479" s="1440" t="e">
        <f t="shared" si="83"/>
        <v>#DIV/0!</v>
      </c>
      <c r="X479" s="1432"/>
      <c r="Y479" s="765"/>
    </row>
    <row r="480" spans="1:25" s="183" customFormat="1" ht="22.5" customHeight="1" thickTop="1" thickBot="1" x14ac:dyDescent="0.3">
      <c r="A480" s="1287">
        <v>1</v>
      </c>
      <c r="B480" s="1288" t="s">
        <v>1378</v>
      </c>
      <c r="C480" s="1288" t="s">
        <v>1391</v>
      </c>
      <c r="D480" s="1288" t="s">
        <v>1415</v>
      </c>
      <c r="E480" s="1288" t="s">
        <v>1378</v>
      </c>
      <c r="F480" s="1288" t="s">
        <v>1444</v>
      </c>
      <c r="G480" s="1288" t="s">
        <v>1475</v>
      </c>
      <c r="H480" s="1288"/>
      <c r="I480" s="1288"/>
      <c r="J480" s="1288"/>
      <c r="K480" s="754" t="s">
        <v>2522</v>
      </c>
      <c r="L480" s="1174"/>
      <c r="M480" s="1174"/>
      <c r="N480" s="1174"/>
      <c r="O480" s="1165">
        <f t="shared" si="82"/>
        <v>0</v>
      </c>
      <c r="P480" s="1174"/>
      <c r="Q480" s="1174"/>
      <c r="R480" s="1174"/>
      <c r="S480" s="1174"/>
      <c r="T480" s="1174"/>
      <c r="U480" s="1174"/>
      <c r="V480" s="1174"/>
      <c r="W480" s="1440" t="e">
        <f t="shared" si="83"/>
        <v>#DIV/0!</v>
      </c>
      <c r="X480" s="1432"/>
      <c r="Y480" s="765"/>
    </row>
    <row r="481" spans="1:25" s="183" customFormat="1" ht="22.5" customHeight="1" thickTop="1" thickBot="1" x14ac:dyDescent="0.3">
      <c r="A481" s="1287">
        <v>1</v>
      </c>
      <c r="B481" s="1288" t="s">
        <v>1378</v>
      </c>
      <c r="C481" s="1288" t="s">
        <v>1391</v>
      </c>
      <c r="D481" s="1288" t="s">
        <v>1415</v>
      </c>
      <c r="E481" s="1288" t="s">
        <v>1378</v>
      </c>
      <c r="F481" s="1288" t="s">
        <v>1444</v>
      </c>
      <c r="G481" s="1288" t="s">
        <v>1573</v>
      </c>
      <c r="H481" s="1288"/>
      <c r="I481" s="1288"/>
      <c r="J481" s="1288"/>
      <c r="K481" s="754" t="s">
        <v>2523</v>
      </c>
      <c r="L481" s="1174"/>
      <c r="M481" s="1174"/>
      <c r="N481" s="1174"/>
      <c r="O481" s="1165">
        <f t="shared" si="82"/>
        <v>0</v>
      </c>
      <c r="P481" s="1174"/>
      <c r="Q481" s="1174"/>
      <c r="R481" s="1174"/>
      <c r="S481" s="1174"/>
      <c r="T481" s="1174"/>
      <c r="U481" s="1174"/>
      <c r="V481" s="1174"/>
      <c r="W481" s="1440" t="e">
        <f t="shared" si="83"/>
        <v>#DIV/0!</v>
      </c>
      <c r="X481" s="1432"/>
      <c r="Y481" s="765"/>
    </row>
    <row r="482" spans="1:25" s="183" customFormat="1" ht="22.5" customHeight="1" thickTop="1" thickBot="1" x14ac:dyDescent="0.3">
      <c r="A482" s="1287">
        <v>1</v>
      </c>
      <c r="B482" s="1288" t="s">
        <v>1378</v>
      </c>
      <c r="C482" s="1288" t="s">
        <v>1391</v>
      </c>
      <c r="D482" s="1288" t="s">
        <v>1415</v>
      </c>
      <c r="E482" s="1288" t="s">
        <v>1378</v>
      </c>
      <c r="F482" s="1288" t="s">
        <v>1444</v>
      </c>
      <c r="G482" s="1288" t="s">
        <v>1574</v>
      </c>
      <c r="H482" s="1288"/>
      <c r="I482" s="1288"/>
      <c r="J482" s="1288"/>
      <c r="K482" s="754" t="s">
        <v>2524</v>
      </c>
      <c r="L482" s="1174"/>
      <c r="M482" s="1174"/>
      <c r="N482" s="1174"/>
      <c r="O482" s="1165">
        <f t="shared" si="82"/>
        <v>0</v>
      </c>
      <c r="P482" s="1174"/>
      <c r="Q482" s="1174"/>
      <c r="R482" s="1174"/>
      <c r="S482" s="1174"/>
      <c r="T482" s="1174"/>
      <c r="U482" s="1174"/>
      <c r="V482" s="1174"/>
      <c r="W482" s="1440" t="e">
        <f t="shared" si="83"/>
        <v>#DIV/0!</v>
      </c>
      <c r="X482" s="1432"/>
      <c r="Y482" s="765"/>
    </row>
    <row r="483" spans="1:25" s="183" customFormat="1" ht="22.5" customHeight="1" thickTop="1" thickBot="1" x14ac:dyDescent="0.3">
      <c r="A483" s="1287">
        <v>1</v>
      </c>
      <c r="B483" s="1288" t="s">
        <v>1378</v>
      </c>
      <c r="C483" s="1288" t="s">
        <v>1391</v>
      </c>
      <c r="D483" s="1288" t="s">
        <v>1415</v>
      </c>
      <c r="E483" s="1288" t="s">
        <v>1378</v>
      </c>
      <c r="F483" s="1288" t="s">
        <v>1444</v>
      </c>
      <c r="G483" s="1288" t="s">
        <v>1575</v>
      </c>
      <c r="H483" s="1288"/>
      <c r="I483" s="1288"/>
      <c r="J483" s="1288"/>
      <c r="K483" s="754" t="s">
        <v>2525</v>
      </c>
      <c r="L483" s="1174"/>
      <c r="M483" s="1174"/>
      <c r="N483" s="1174"/>
      <c r="O483" s="1165">
        <f t="shared" si="82"/>
        <v>0</v>
      </c>
      <c r="P483" s="1174"/>
      <c r="Q483" s="1174"/>
      <c r="R483" s="1174"/>
      <c r="S483" s="1174"/>
      <c r="T483" s="1174"/>
      <c r="U483" s="1174"/>
      <c r="V483" s="1174"/>
      <c r="W483" s="1440" t="e">
        <f t="shared" si="83"/>
        <v>#DIV/0!</v>
      </c>
      <c r="X483" s="1432"/>
      <c r="Y483" s="765"/>
    </row>
    <row r="484" spans="1:25" s="183" customFormat="1" ht="22.5" customHeight="1" thickTop="1" thickBot="1" x14ac:dyDescent="0.3">
      <c r="A484" s="1279">
        <v>1</v>
      </c>
      <c r="B484" s="1280" t="s">
        <v>1378</v>
      </c>
      <c r="C484" s="1280" t="s">
        <v>1391</v>
      </c>
      <c r="D484" s="1280" t="s">
        <v>1419</v>
      </c>
      <c r="E484" s="1280"/>
      <c r="F484" s="1280"/>
      <c r="G484" s="1280"/>
      <c r="H484" s="1280"/>
      <c r="I484" s="1280"/>
      <c r="J484" s="1280"/>
      <c r="K484" s="1281" t="s">
        <v>1592</v>
      </c>
      <c r="L484" s="1167">
        <f>+L485</f>
        <v>0</v>
      </c>
      <c r="M484" s="1167">
        <f t="shared" ref="M484:V484" si="86">+M485</f>
        <v>0</v>
      </c>
      <c r="N484" s="1167">
        <f t="shared" si="86"/>
        <v>0</v>
      </c>
      <c r="O484" s="1165">
        <f t="shared" si="82"/>
        <v>0</v>
      </c>
      <c r="P484" s="1167">
        <f t="shared" si="86"/>
        <v>0</v>
      </c>
      <c r="Q484" s="1167">
        <f t="shared" si="86"/>
        <v>0</v>
      </c>
      <c r="R484" s="1167">
        <f t="shared" si="86"/>
        <v>0</v>
      </c>
      <c r="S484" s="1167"/>
      <c r="T484" s="1167">
        <f t="shared" si="86"/>
        <v>0</v>
      </c>
      <c r="U484" s="1167">
        <f t="shared" si="86"/>
        <v>0</v>
      </c>
      <c r="V484" s="1167">
        <f t="shared" si="86"/>
        <v>0</v>
      </c>
      <c r="W484" s="1434" t="e">
        <f t="shared" si="83"/>
        <v>#DIV/0!</v>
      </c>
      <c r="X484" s="1432" t="s">
        <v>2042</v>
      </c>
      <c r="Y484" s="765" t="s">
        <v>2035</v>
      </c>
    </row>
    <row r="485" spans="1:25" s="183" customFormat="1" ht="22.5" customHeight="1" thickTop="1" thickBot="1" x14ac:dyDescent="0.3">
      <c r="A485" s="1282">
        <v>1</v>
      </c>
      <c r="B485" s="1283" t="s">
        <v>1378</v>
      </c>
      <c r="C485" s="1283" t="s">
        <v>1391</v>
      </c>
      <c r="D485" s="1283" t="s">
        <v>1419</v>
      </c>
      <c r="E485" s="1283" t="s">
        <v>1378</v>
      </c>
      <c r="F485" s="1283"/>
      <c r="G485" s="1283"/>
      <c r="H485" s="1283"/>
      <c r="I485" s="1283"/>
      <c r="J485" s="1283"/>
      <c r="K485" s="1284" t="s">
        <v>1594</v>
      </c>
      <c r="L485" s="1168">
        <f>+L486+L498+L510+L522+L534+L546+L558</f>
        <v>0</v>
      </c>
      <c r="M485" s="1168">
        <f t="shared" ref="M485:V485" si="87">+M486+M498+M510+M522+M534+M546+M558</f>
        <v>0</v>
      </c>
      <c r="N485" s="1168">
        <f t="shared" si="87"/>
        <v>0</v>
      </c>
      <c r="O485" s="1165">
        <f t="shared" si="82"/>
        <v>0</v>
      </c>
      <c r="P485" s="1168">
        <f t="shared" si="87"/>
        <v>0</v>
      </c>
      <c r="Q485" s="1168">
        <f t="shared" si="87"/>
        <v>0</v>
      </c>
      <c r="R485" s="1168">
        <f t="shared" si="87"/>
        <v>0</v>
      </c>
      <c r="S485" s="1168"/>
      <c r="T485" s="1168">
        <f t="shared" si="87"/>
        <v>0</v>
      </c>
      <c r="U485" s="1168">
        <f t="shared" si="87"/>
        <v>0</v>
      </c>
      <c r="V485" s="1168">
        <f t="shared" si="87"/>
        <v>0</v>
      </c>
      <c r="W485" s="1435" t="e">
        <f t="shared" si="83"/>
        <v>#DIV/0!</v>
      </c>
      <c r="X485" s="1432" t="s">
        <v>2043</v>
      </c>
      <c r="Y485" s="765" t="s">
        <v>2044</v>
      </c>
    </row>
    <row r="486" spans="1:25" s="183" customFormat="1" ht="22.5" customHeight="1" thickTop="1" thickBot="1" x14ac:dyDescent="0.3">
      <c r="A486" s="1285">
        <v>1</v>
      </c>
      <c r="B486" s="1286" t="s">
        <v>1378</v>
      </c>
      <c r="C486" s="1286" t="s">
        <v>1391</v>
      </c>
      <c r="D486" s="1286" t="s">
        <v>1419</v>
      </c>
      <c r="E486" s="1286" t="s">
        <v>1378</v>
      </c>
      <c r="F486" s="1286" t="s">
        <v>1378</v>
      </c>
      <c r="G486" s="1286"/>
      <c r="H486" s="1286"/>
      <c r="I486" s="1286"/>
      <c r="J486" s="1286"/>
      <c r="K486" s="753" t="s">
        <v>2025</v>
      </c>
      <c r="L486" s="1174">
        <f>SUM(L487:L497)</f>
        <v>0</v>
      </c>
      <c r="M486" s="1174">
        <f t="shared" ref="M486:V486" si="88">SUM(M487:M497)</f>
        <v>0</v>
      </c>
      <c r="N486" s="1174">
        <f t="shared" si="88"/>
        <v>0</v>
      </c>
      <c r="O486" s="1165">
        <f t="shared" si="82"/>
        <v>0</v>
      </c>
      <c r="P486" s="1174">
        <f t="shared" si="88"/>
        <v>0</v>
      </c>
      <c r="Q486" s="1174">
        <f t="shared" si="88"/>
        <v>0</v>
      </c>
      <c r="R486" s="1174">
        <f t="shared" si="88"/>
        <v>0</v>
      </c>
      <c r="S486" s="1174"/>
      <c r="T486" s="1174">
        <f t="shared" si="88"/>
        <v>0</v>
      </c>
      <c r="U486" s="1174">
        <f t="shared" si="88"/>
        <v>0</v>
      </c>
      <c r="V486" s="1174">
        <f t="shared" si="88"/>
        <v>0</v>
      </c>
      <c r="W486" s="1440" t="e">
        <f t="shared" si="83"/>
        <v>#DIV/0!</v>
      </c>
      <c r="X486" s="1432" t="s">
        <v>1598</v>
      </c>
      <c r="Y486" s="765" t="s">
        <v>1584</v>
      </c>
    </row>
    <row r="487" spans="1:25" s="183" customFormat="1" ht="22.5" customHeight="1" thickTop="1" thickBot="1" x14ac:dyDescent="0.3">
      <c r="A487" s="1287">
        <v>1</v>
      </c>
      <c r="B487" s="1288" t="s">
        <v>1378</v>
      </c>
      <c r="C487" s="1288" t="s">
        <v>1391</v>
      </c>
      <c r="D487" s="1288" t="s">
        <v>1419</v>
      </c>
      <c r="E487" s="1288" t="s">
        <v>1378</v>
      </c>
      <c r="F487" s="1288" t="s">
        <v>1378</v>
      </c>
      <c r="G487" s="1288" t="s">
        <v>1378</v>
      </c>
      <c r="H487" s="1288"/>
      <c r="I487" s="1288"/>
      <c r="J487" s="1288"/>
      <c r="K487" s="754" t="s">
        <v>2550</v>
      </c>
      <c r="L487" s="1174"/>
      <c r="M487" s="1174"/>
      <c r="N487" s="1174"/>
      <c r="O487" s="1165">
        <f t="shared" si="82"/>
        <v>0</v>
      </c>
      <c r="P487" s="1174"/>
      <c r="Q487" s="1174"/>
      <c r="R487" s="1174"/>
      <c r="S487" s="1174"/>
      <c r="T487" s="1174"/>
      <c r="U487" s="1174"/>
      <c r="V487" s="1174"/>
      <c r="W487" s="1440" t="e">
        <f t="shared" si="83"/>
        <v>#DIV/0!</v>
      </c>
      <c r="X487" s="1432"/>
      <c r="Y487" s="765"/>
    </row>
    <row r="488" spans="1:25" s="183" customFormat="1" ht="22.5" customHeight="1" thickTop="1" thickBot="1" x14ac:dyDescent="0.3">
      <c r="A488" s="1287">
        <v>1</v>
      </c>
      <c r="B488" s="1288" t="s">
        <v>1378</v>
      </c>
      <c r="C488" s="1288" t="s">
        <v>1391</v>
      </c>
      <c r="D488" s="1288" t="s">
        <v>1419</v>
      </c>
      <c r="E488" s="1288" t="s">
        <v>1378</v>
      </c>
      <c r="F488" s="1288" t="s">
        <v>1378</v>
      </c>
      <c r="G488" s="1288" t="s">
        <v>1391</v>
      </c>
      <c r="H488" s="1288"/>
      <c r="I488" s="1288"/>
      <c r="J488" s="1288"/>
      <c r="K488" s="754" t="s">
        <v>2551</v>
      </c>
      <c r="L488" s="1174"/>
      <c r="M488" s="1174"/>
      <c r="N488" s="1174"/>
      <c r="O488" s="1165">
        <f t="shared" si="82"/>
        <v>0</v>
      </c>
      <c r="P488" s="1174"/>
      <c r="Q488" s="1174"/>
      <c r="R488" s="1174"/>
      <c r="S488" s="1174"/>
      <c r="T488" s="1174"/>
      <c r="U488" s="1174"/>
      <c r="V488" s="1174"/>
      <c r="W488" s="1440" t="e">
        <f t="shared" si="83"/>
        <v>#DIV/0!</v>
      </c>
      <c r="X488" s="1432"/>
      <c r="Y488" s="765"/>
    </row>
    <row r="489" spans="1:25" s="183" customFormat="1" ht="22.5" customHeight="1" thickTop="1" thickBot="1" x14ac:dyDescent="0.3">
      <c r="A489" s="1287">
        <v>1</v>
      </c>
      <c r="B489" s="1288" t="s">
        <v>1378</v>
      </c>
      <c r="C489" s="1288" t="s">
        <v>1391</v>
      </c>
      <c r="D489" s="1288" t="s">
        <v>1419</v>
      </c>
      <c r="E489" s="1288" t="s">
        <v>1378</v>
      </c>
      <c r="F489" s="1288" t="s">
        <v>1378</v>
      </c>
      <c r="G489" s="1288" t="s">
        <v>1415</v>
      </c>
      <c r="H489" s="1288"/>
      <c r="I489" s="1288"/>
      <c r="J489" s="1288"/>
      <c r="K489" s="754" t="s">
        <v>2552</v>
      </c>
      <c r="L489" s="1174"/>
      <c r="M489" s="1174"/>
      <c r="N489" s="1174"/>
      <c r="O489" s="1165">
        <f t="shared" si="82"/>
        <v>0</v>
      </c>
      <c r="P489" s="1174"/>
      <c r="Q489" s="1174"/>
      <c r="R489" s="1174"/>
      <c r="S489" s="1174"/>
      <c r="T489" s="1174"/>
      <c r="U489" s="1174"/>
      <c r="V489" s="1174"/>
      <c r="W489" s="1440" t="e">
        <f t="shared" si="83"/>
        <v>#DIV/0!</v>
      </c>
      <c r="X489" s="1432"/>
      <c r="Y489" s="765"/>
    </row>
    <row r="490" spans="1:25" s="183" customFormat="1" ht="22.5" customHeight="1" thickTop="1" thickBot="1" x14ac:dyDescent="0.3">
      <c r="A490" s="1287">
        <v>1</v>
      </c>
      <c r="B490" s="1288" t="s">
        <v>1378</v>
      </c>
      <c r="C490" s="1288" t="s">
        <v>1391</v>
      </c>
      <c r="D490" s="1288" t="s">
        <v>1419</v>
      </c>
      <c r="E490" s="1288" t="s">
        <v>1378</v>
      </c>
      <c r="F490" s="1288" t="s">
        <v>1378</v>
      </c>
      <c r="G490" s="1288" t="s">
        <v>1419</v>
      </c>
      <c r="H490" s="1288"/>
      <c r="I490" s="1288"/>
      <c r="J490" s="1288"/>
      <c r="K490" s="754" t="s">
        <v>2553</v>
      </c>
      <c r="L490" s="1174"/>
      <c r="M490" s="1174"/>
      <c r="N490" s="1174"/>
      <c r="O490" s="1165">
        <f t="shared" si="82"/>
        <v>0</v>
      </c>
      <c r="P490" s="1174"/>
      <c r="Q490" s="1174"/>
      <c r="R490" s="1174"/>
      <c r="S490" s="1174"/>
      <c r="T490" s="1174"/>
      <c r="U490" s="1174"/>
      <c r="V490" s="1174"/>
      <c r="W490" s="1440" t="e">
        <f t="shared" si="83"/>
        <v>#DIV/0!</v>
      </c>
      <c r="X490" s="1432"/>
      <c r="Y490" s="765"/>
    </row>
    <row r="491" spans="1:25" s="183" customFormat="1" ht="22.5" customHeight="1" thickTop="1" thickBot="1" x14ac:dyDescent="0.3">
      <c r="A491" s="1287">
        <v>1</v>
      </c>
      <c r="B491" s="1288" t="s">
        <v>1378</v>
      </c>
      <c r="C491" s="1288" t="s">
        <v>1391</v>
      </c>
      <c r="D491" s="1288" t="s">
        <v>1419</v>
      </c>
      <c r="E491" s="1288" t="s">
        <v>1378</v>
      </c>
      <c r="F491" s="1288" t="s">
        <v>1378</v>
      </c>
      <c r="G491" s="1288" t="s">
        <v>1444</v>
      </c>
      <c r="H491" s="1288"/>
      <c r="I491" s="1288"/>
      <c r="J491" s="1288"/>
      <c r="K491" s="754" t="s">
        <v>2554</v>
      </c>
      <c r="L491" s="1174"/>
      <c r="M491" s="1174"/>
      <c r="N491" s="1174"/>
      <c r="O491" s="1165">
        <f t="shared" si="82"/>
        <v>0</v>
      </c>
      <c r="P491" s="1174"/>
      <c r="Q491" s="1174"/>
      <c r="R491" s="1174"/>
      <c r="S491" s="1174"/>
      <c r="T491" s="1174"/>
      <c r="U491" s="1174"/>
      <c r="V491" s="1174"/>
      <c r="W491" s="1440" t="e">
        <f t="shared" si="83"/>
        <v>#DIV/0!</v>
      </c>
      <c r="X491" s="1432"/>
      <c r="Y491" s="765"/>
    </row>
    <row r="492" spans="1:25" s="183" customFormat="1" ht="22.5" customHeight="1" thickTop="1" thickBot="1" x14ac:dyDescent="0.3">
      <c r="A492" s="1287">
        <v>1</v>
      </c>
      <c r="B492" s="1288" t="s">
        <v>1378</v>
      </c>
      <c r="C492" s="1288" t="s">
        <v>1391</v>
      </c>
      <c r="D492" s="1288" t="s">
        <v>1419</v>
      </c>
      <c r="E492" s="1288" t="s">
        <v>1378</v>
      </c>
      <c r="F492" s="1288" t="s">
        <v>1378</v>
      </c>
      <c r="G492" s="1288" t="s">
        <v>1467</v>
      </c>
      <c r="H492" s="1288"/>
      <c r="I492" s="1288"/>
      <c r="J492" s="1288"/>
      <c r="K492" s="754" t="s">
        <v>2555</v>
      </c>
      <c r="L492" s="1174"/>
      <c r="M492" s="1174"/>
      <c r="N492" s="1174"/>
      <c r="O492" s="1165">
        <f t="shared" si="82"/>
        <v>0</v>
      </c>
      <c r="P492" s="1174"/>
      <c r="Q492" s="1174"/>
      <c r="R492" s="1174"/>
      <c r="S492" s="1174"/>
      <c r="T492" s="1174"/>
      <c r="U492" s="1174"/>
      <c r="V492" s="1174"/>
      <c r="W492" s="1440" t="e">
        <f t="shared" si="83"/>
        <v>#DIV/0!</v>
      </c>
      <c r="X492" s="1432"/>
      <c r="Y492" s="765"/>
    </row>
    <row r="493" spans="1:25" s="183" customFormat="1" ht="22.5" customHeight="1" thickTop="1" thickBot="1" x14ac:dyDescent="0.3">
      <c r="A493" s="1287">
        <v>1</v>
      </c>
      <c r="B493" s="1288" t="s">
        <v>1378</v>
      </c>
      <c r="C493" s="1288" t="s">
        <v>1391</v>
      </c>
      <c r="D493" s="1288" t="s">
        <v>1419</v>
      </c>
      <c r="E493" s="1288" t="s">
        <v>1378</v>
      </c>
      <c r="F493" s="1288" t="s">
        <v>1378</v>
      </c>
      <c r="G493" s="1288" t="s">
        <v>1471</v>
      </c>
      <c r="H493" s="1288"/>
      <c r="I493" s="1288"/>
      <c r="J493" s="1288"/>
      <c r="K493" s="754" t="s">
        <v>2556</v>
      </c>
      <c r="L493" s="1174"/>
      <c r="M493" s="1174"/>
      <c r="N493" s="1174"/>
      <c r="O493" s="1165">
        <f t="shared" si="82"/>
        <v>0</v>
      </c>
      <c r="P493" s="1174"/>
      <c r="Q493" s="1174"/>
      <c r="R493" s="1174"/>
      <c r="S493" s="1174"/>
      <c r="T493" s="1174"/>
      <c r="U493" s="1174"/>
      <c r="V493" s="1174"/>
      <c r="W493" s="1440" t="e">
        <f t="shared" si="83"/>
        <v>#DIV/0!</v>
      </c>
      <c r="X493" s="1432"/>
      <c r="Y493" s="765"/>
    </row>
    <row r="494" spans="1:25" s="183" customFormat="1" ht="22.5" customHeight="1" thickTop="1" thickBot="1" x14ac:dyDescent="0.3">
      <c r="A494" s="1287">
        <v>1</v>
      </c>
      <c r="B494" s="1288" t="s">
        <v>1378</v>
      </c>
      <c r="C494" s="1288" t="s">
        <v>1391</v>
      </c>
      <c r="D494" s="1288" t="s">
        <v>1419</v>
      </c>
      <c r="E494" s="1288" t="s">
        <v>1378</v>
      </c>
      <c r="F494" s="1288" t="s">
        <v>1378</v>
      </c>
      <c r="G494" s="1288" t="s">
        <v>1475</v>
      </c>
      <c r="H494" s="1288"/>
      <c r="I494" s="1288"/>
      <c r="J494" s="1288"/>
      <c r="K494" s="754" t="s">
        <v>2557</v>
      </c>
      <c r="L494" s="1174"/>
      <c r="M494" s="1174"/>
      <c r="N494" s="1174"/>
      <c r="O494" s="1165">
        <f t="shared" si="82"/>
        <v>0</v>
      </c>
      <c r="P494" s="1174"/>
      <c r="Q494" s="1174"/>
      <c r="R494" s="1174"/>
      <c r="S494" s="1174"/>
      <c r="T494" s="1174"/>
      <c r="U494" s="1174"/>
      <c r="V494" s="1174"/>
      <c r="W494" s="1440" t="e">
        <f t="shared" si="83"/>
        <v>#DIV/0!</v>
      </c>
      <c r="X494" s="1432"/>
      <c r="Y494" s="765"/>
    </row>
    <row r="495" spans="1:25" s="183" customFormat="1" ht="22.5" customHeight="1" thickTop="1" thickBot="1" x14ac:dyDescent="0.3">
      <c r="A495" s="1287">
        <v>1</v>
      </c>
      <c r="B495" s="1288" t="s">
        <v>1378</v>
      </c>
      <c r="C495" s="1288" t="s">
        <v>1391</v>
      </c>
      <c r="D495" s="1288" t="s">
        <v>1419</v>
      </c>
      <c r="E495" s="1288" t="s">
        <v>1378</v>
      </c>
      <c r="F495" s="1288" t="s">
        <v>1378</v>
      </c>
      <c r="G495" s="1288" t="s">
        <v>1573</v>
      </c>
      <c r="H495" s="1288"/>
      <c r="I495" s="1288"/>
      <c r="J495" s="1288"/>
      <c r="K495" s="754" t="s">
        <v>2558</v>
      </c>
      <c r="L495" s="1174"/>
      <c r="M495" s="1174"/>
      <c r="N495" s="1174"/>
      <c r="O495" s="1165">
        <f t="shared" si="82"/>
        <v>0</v>
      </c>
      <c r="P495" s="1174"/>
      <c r="Q495" s="1174"/>
      <c r="R495" s="1174"/>
      <c r="S495" s="1174"/>
      <c r="T495" s="1174"/>
      <c r="U495" s="1174"/>
      <c r="V495" s="1174"/>
      <c r="W495" s="1440" t="e">
        <f t="shared" si="83"/>
        <v>#DIV/0!</v>
      </c>
      <c r="X495" s="1432"/>
      <c r="Y495" s="765"/>
    </row>
    <row r="496" spans="1:25" s="183" customFormat="1" ht="22.5" customHeight="1" thickTop="1" thickBot="1" x14ac:dyDescent="0.3">
      <c r="A496" s="1287">
        <v>1</v>
      </c>
      <c r="B496" s="1288" t="s">
        <v>1378</v>
      </c>
      <c r="C496" s="1288" t="s">
        <v>1391</v>
      </c>
      <c r="D496" s="1288" t="s">
        <v>1419</v>
      </c>
      <c r="E496" s="1288" t="s">
        <v>1378</v>
      </c>
      <c r="F496" s="1288" t="s">
        <v>1378</v>
      </c>
      <c r="G496" s="1288" t="s">
        <v>1574</v>
      </c>
      <c r="H496" s="1288"/>
      <c r="I496" s="1288"/>
      <c r="J496" s="1288"/>
      <c r="K496" s="754" t="s">
        <v>2559</v>
      </c>
      <c r="L496" s="1174"/>
      <c r="M496" s="1174"/>
      <c r="N496" s="1174"/>
      <c r="O496" s="1165">
        <f t="shared" si="82"/>
        <v>0</v>
      </c>
      <c r="P496" s="1174"/>
      <c r="Q496" s="1174"/>
      <c r="R496" s="1174"/>
      <c r="S496" s="1174"/>
      <c r="T496" s="1174"/>
      <c r="U496" s="1174"/>
      <c r="V496" s="1174"/>
      <c r="W496" s="1440" t="e">
        <f t="shared" si="83"/>
        <v>#DIV/0!</v>
      </c>
      <c r="X496" s="1432"/>
      <c r="Y496" s="765"/>
    </row>
    <row r="497" spans="1:25" s="183" customFormat="1" ht="22.5" customHeight="1" thickTop="1" thickBot="1" x14ac:dyDescent="0.3">
      <c r="A497" s="1287">
        <v>1</v>
      </c>
      <c r="B497" s="1288" t="s">
        <v>1378</v>
      </c>
      <c r="C497" s="1288" t="s">
        <v>1391</v>
      </c>
      <c r="D497" s="1288" t="s">
        <v>1419</v>
      </c>
      <c r="E497" s="1288" t="s">
        <v>1378</v>
      </c>
      <c r="F497" s="1288" t="s">
        <v>1378</v>
      </c>
      <c r="G497" s="1288" t="s">
        <v>1575</v>
      </c>
      <c r="H497" s="1288"/>
      <c r="I497" s="1288"/>
      <c r="J497" s="1288"/>
      <c r="K497" s="754" t="s">
        <v>2560</v>
      </c>
      <c r="L497" s="1174"/>
      <c r="M497" s="1174"/>
      <c r="N497" s="1174"/>
      <c r="O497" s="1165">
        <f t="shared" si="82"/>
        <v>0</v>
      </c>
      <c r="P497" s="1174"/>
      <c r="Q497" s="1174"/>
      <c r="R497" s="1174"/>
      <c r="S497" s="1174"/>
      <c r="T497" s="1174"/>
      <c r="U497" s="1174"/>
      <c r="V497" s="1174"/>
      <c r="W497" s="1440" t="e">
        <f t="shared" si="83"/>
        <v>#DIV/0!</v>
      </c>
      <c r="X497" s="1432"/>
      <c r="Y497" s="765"/>
    </row>
    <row r="498" spans="1:25" s="183" customFormat="1" ht="22.5" customHeight="1" thickTop="1" thickBot="1" x14ac:dyDescent="0.3">
      <c r="A498" s="1285">
        <v>1</v>
      </c>
      <c r="B498" s="1286" t="s">
        <v>1378</v>
      </c>
      <c r="C498" s="1286" t="s">
        <v>1391</v>
      </c>
      <c r="D498" s="1286" t="s">
        <v>1419</v>
      </c>
      <c r="E498" s="1286" t="s">
        <v>1378</v>
      </c>
      <c r="F498" s="1286" t="s">
        <v>1391</v>
      </c>
      <c r="G498" s="1286"/>
      <c r="H498" s="1286"/>
      <c r="I498" s="1286"/>
      <c r="J498" s="1286"/>
      <c r="K498" s="753" t="s">
        <v>2026</v>
      </c>
      <c r="L498" s="1174">
        <f>SUM(L499:L509)</f>
        <v>0</v>
      </c>
      <c r="M498" s="1174">
        <f t="shared" ref="M498:V498" si="89">SUM(M499:M509)</f>
        <v>0</v>
      </c>
      <c r="N498" s="1174">
        <f t="shared" si="89"/>
        <v>0</v>
      </c>
      <c r="O498" s="1165">
        <f t="shared" si="82"/>
        <v>0</v>
      </c>
      <c r="P498" s="1174">
        <f t="shared" si="89"/>
        <v>0</v>
      </c>
      <c r="Q498" s="1174">
        <f t="shared" si="89"/>
        <v>0</v>
      </c>
      <c r="R498" s="1174">
        <f t="shared" si="89"/>
        <v>0</v>
      </c>
      <c r="S498" s="1174"/>
      <c r="T498" s="1174">
        <f t="shared" si="89"/>
        <v>0</v>
      </c>
      <c r="U498" s="1174">
        <f t="shared" si="89"/>
        <v>0</v>
      </c>
      <c r="V498" s="1174">
        <f t="shared" si="89"/>
        <v>0</v>
      </c>
      <c r="W498" s="1440" t="e">
        <f t="shared" si="83"/>
        <v>#DIV/0!</v>
      </c>
      <c r="X498" s="1432" t="s">
        <v>1606</v>
      </c>
      <c r="Y498" s="765"/>
    </row>
    <row r="499" spans="1:25" ht="22.5" customHeight="1" thickTop="1" thickBot="1" x14ac:dyDescent="0.3">
      <c r="A499" s="1287">
        <v>1</v>
      </c>
      <c r="B499" s="1288" t="s">
        <v>1378</v>
      </c>
      <c r="C499" s="1288" t="s">
        <v>1391</v>
      </c>
      <c r="D499" s="1288" t="s">
        <v>1419</v>
      </c>
      <c r="E499" s="1288" t="s">
        <v>1378</v>
      </c>
      <c r="F499" s="1288" t="s">
        <v>1391</v>
      </c>
      <c r="G499" s="1288" t="s">
        <v>1378</v>
      </c>
      <c r="H499" s="1288"/>
      <c r="I499" s="1288"/>
      <c r="J499" s="1288"/>
      <c r="K499" s="754" t="s">
        <v>2561</v>
      </c>
      <c r="L499" s="1173"/>
      <c r="M499" s="1173"/>
      <c r="N499" s="1173"/>
      <c r="O499" s="1165">
        <f t="shared" si="82"/>
        <v>0</v>
      </c>
      <c r="P499" s="1173"/>
      <c r="Q499" s="1173"/>
      <c r="R499" s="1173"/>
      <c r="S499" s="1173"/>
      <c r="T499" s="1173"/>
      <c r="U499" s="1173"/>
      <c r="V499" s="1173"/>
      <c r="W499" s="1439" t="e">
        <f t="shared" si="83"/>
        <v>#DIV/0!</v>
      </c>
      <c r="X499" s="1432"/>
      <c r="Y499" s="765"/>
    </row>
    <row r="500" spans="1:25" ht="22.5" customHeight="1" thickTop="1" thickBot="1" x14ac:dyDescent="0.3">
      <c r="A500" s="1287">
        <v>1</v>
      </c>
      <c r="B500" s="1288" t="s">
        <v>1378</v>
      </c>
      <c r="C500" s="1288" t="s">
        <v>1391</v>
      </c>
      <c r="D500" s="1288" t="s">
        <v>1419</v>
      </c>
      <c r="E500" s="1288" t="s">
        <v>1378</v>
      </c>
      <c r="F500" s="1288" t="s">
        <v>1391</v>
      </c>
      <c r="G500" s="1288" t="s">
        <v>1391</v>
      </c>
      <c r="H500" s="1288"/>
      <c r="I500" s="1288"/>
      <c r="J500" s="1288"/>
      <c r="K500" s="754" t="s">
        <v>2562</v>
      </c>
      <c r="L500" s="1173"/>
      <c r="M500" s="1173"/>
      <c r="N500" s="1173"/>
      <c r="O500" s="1165">
        <f t="shared" si="82"/>
        <v>0</v>
      </c>
      <c r="P500" s="1173"/>
      <c r="Q500" s="1173"/>
      <c r="R500" s="1173"/>
      <c r="S500" s="1173"/>
      <c r="T500" s="1173"/>
      <c r="U500" s="1173"/>
      <c r="V500" s="1173"/>
      <c r="W500" s="1439" t="e">
        <f t="shared" si="83"/>
        <v>#DIV/0!</v>
      </c>
      <c r="X500" s="1432"/>
      <c r="Y500" s="765"/>
    </row>
    <row r="501" spans="1:25" ht="22.5" customHeight="1" thickTop="1" thickBot="1" x14ac:dyDescent="0.3">
      <c r="A501" s="1287">
        <v>1</v>
      </c>
      <c r="B501" s="1288" t="s">
        <v>1378</v>
      </c>
      <c r="C501" s="1288" t="s">
        <v>1391</v>
      </c>
      <c r="D501" s="1288" t="s">
        <v>1419</v>
      </c>
      <c r="E501" s="1288" t="s">
        <v>1378</v>
      </c>
      <c r="F501" s="1288" t="s">
        <v>1391</v>
      </c>
      <c r="G501" s="1288" t="s">
        <v>1415</v>
      </c>
      <c r="H501" s="1288"/>
      <c r="I501" s="1288"/>
      <c r="J501" s="1288"/>
      <c r="K501" s="754" t="s">
        <v>2563</v>
      </c>
      <c r="L501" s="1173"/>
      <c r="M501" s="1173"/>
      <c r="N501" s="1173"/>
      <c r="O501" s="1165">
        <f t="shared" si="82"/>
        <v>0</v>
      </c>
      <c r="P501" s="1173"/>
      <c r="Q501" s="1173"/>
      <c r="R501" s="1173"/>
      <c r="S501" s="1173"/>
      <c r="T501" s="1173"/>
      <c r="U501" s="1173"/>
      <c r="V501" s="1173"/>
      <c r="W501" s="1439" t="e">
        <f t="shared" si="83"/>
        <v>#DIV/0!</v>
      </c>
      <c r="X501" s="1432"/>
      <c r="Y501" s="765"/>
    </row>
    <row r="502" spans="1:25" ht="22.5" customHeight="1" thickTop="1" thickBot="1" x14ac:dyDescent="0.3">
      <c r="A502" s="1287">
        <v>1</v>
      </c>
      <c r="B502" s="1288" t="s">
        <v>1378</v>
      </c>
      <c r="C502" s="1288" t="s">
        <v>1391</v>
      </c>
      <c r="D502" s="1288" t="s">
        <v>1419</v>
      </c>
      <c r="E502" s="1288" t="s">
        <v>1378</v>
      </c>
      <c r="F502" s="1288" t="s">
        <v>1391</v>
      </c>
      <c r="G502" s="1288" t="s">
        <v>1419</v>
      </c>
      <c r="H502" s="1288"/>
      <c r="I502" s="1288"/>
      <c r="J502" s="1288"/>
      <c r="K502" s="754" t="s">
        <v>2564</v>
      </c>
      <c r="L502" s="1173"/>
      <c r="M502" s="1173"/>
      <c r="N502" s="1173"/>
      <c r="O502" s="1165">
        <f t="shared" si="82"/>
        <v>0</v>
      </c>
      <c r="P502" s="1173"/>
      <c r="Q502" s="1173"/>
      <c r="R502" s="1173"/>
      <c r="S502" s="1173"/>
      <c r="T502" s="1173"/>
      <c r="U502" s="1173"/>
      <c r="V502" s="1173"/>
      <c r="W502" s="1439" t="e">
        <f t="shared" si="83"/>
        <v>#DIV/0!</v>
      </c>
      <c r="X502" s="1432"/>
      <c r="Y502" s="765"/>
    </row>
    <row r="503" spans="1:25" ht="22.5" customHeight="1" thickTop="1" thickBot="1" x14ac:dyDescent="0.3">
      <c r="A503" s="1287">
        <v>1</v>
      </c>
      <c r="B503" s="1288" t="s">
        <v>1378</v>
      </c>
      <c r="C503" s="1288" t="s">
        <v>1391</v>
      </c>
      <c r="D503" s="1288" t="s">
        <v>1419</v>
      </c>
      <c r="E503" s="1288" t="s">
        <v>1378</v>
      </c>
      <c r="F503" s="1288" t="s">
        <v>1391</v>
      </c>
      <c r="G503" s="1288" t="s">
        <v>1444</v>
      </c>
      <c r="H503" s="1288"/>
      <c r="I503" s="1288"/>
      <c r="J503" s="1288"/>
      <c r="K503" s="754" t="s">
        <v>2565</v>
      </c>
      <c r="L503" s="1173"/>
      <c r="M503" s="1173"/>
      <c r="N503" s="1173"/>
      <c r="O503" s="1165">
        <f t="shared" si="82"/>
        <v>0</v>
      </c>
      <c r="P503" s="1173"/>
      <c r="Q503" s="1173"/>
      <c r="R503" s="1173"/>
      <c r="S503" s="1173"/>
      <c r="T503" s="1173"/>
      <c r="U503" s="1173"/>
      <c r="V503" s="1173"/>
      <c r="W503" s="1439" t="e">
        <f t="shared" si="83"/>
        <v>#DIV/0!</v>
      </c>
      <c r="X503" s="1432"/>
      <c r="Y503" s="765"/>
    </row>
    <row r="504" spans="1:25" ht="22.5" customHeight="1" thickTop="1" thickBot="1" x14ac:dyDescent="0.3">
      <c r="A504" s="1287">
        <v>1</v>
      </c>
      <c r="B504" s="1288" t="s">
        <v>1378</v>
      </c>
      <c r="C504" s="1288" t="s">
        <v>1391</v>
      </c>
      <c r="D504" s="1288" t="s">
        <v>1419</v>
      </c>
      <c r="E504" s="1288" t="s">
        <v>1378</v>
      </c>
      <c r="F504" s="1288" t="s">
        <v>1391</v>
      </c>
      <c r="G504" s="1288" t="s">
        <v>1467</v>
      </c>
      <c r="H504" s="1288"/>
      <c r="I504" s="1288"/>
      <c r="J504" s="1288"/>
      <c r="K504" s="754" t="s">
        <v>2566</v>
      </c>
      <c r="L504" s="1173"/>
      <c r="M504" s="1173"/>
      <c r="N504" s="1173"/>
      <c r="O504" s="1165">
        <f t="shared" si="82"/>
        <v>0</v>
      </c>
      <c r="P504" s="1173"/>
      <c r="Q504" s="1173"/>
      <c r="R504" s="1173"/>
      <c r="S504" s="1173"/>
      <c r="T504" s="1173"/>
      <c r="U504" s="1173"/>
      <c r="V504" s="1173"/>
      <c r="W504" s="1439" t="e">
        <f t="shared" si="83"/>
        <v>#DIV/0!</v>
      </c>
      <c r="X504" s="1432"/>
      <c r="Y504" s="765"/>
    </row>
    <row r="505" spans="1:25" ht="22.5" customHeight="1" thickTop="1" thickBot="1" x14ac:dyDescent="0.3">
      <c r="A505" s="1287">
        <v>1</v>
      </c>
      <c r="B505" s="1288" t="s">
        <v>1378</v>
      </c>
      <c r="C505" s="1288" t="s">
        <v>1391</v>
      </c>
      <c r="D505" s="1288" t="s">
        <v>1419</v>
      </c>
      <c r="E505" s="1288" t="s">
        <v>1378</v>
      </c>
      <c r="F505" s="1288" t="s">
        <v>1391</v>
      </c>
      <c r="G505" s="1288" t="s">
        <v>1471</v>
      </c>
      <c r="H505" s="1288"/>
      <c r="I505" s="1288"/>
      <c r="J505" s="1288"/>
      <c r="K505" s="754" t="s">
        <v>2567</v>
      </c>
      <c r="L505" s="1173"/>
      <c r="M505" s="1173"/>
      <c r="N505" s="1173"/>
      <c r="O505" s="1165">
        <f t="shared" si="82"/>
        <v>0</v>
      </c>
      <c r="P505" s="1173"/>
      <c r="Q505" s="1173"/>
      <c r="R505" s="1173"/>
      <c r="S505" s="1173"/>
      <c r="T505" s="1173"/>
      <c r="U505" s="1173"/>
      <c r="V505" s="1173"/>
      <c r="W505" s="1439" t="e">
        <f t="shared" si="83"/>
        <v>#DIV/0!</v>
      </c>
      <c r="X505" s="1432"/>
      <c r="Y505" s="765"/>
    </row>
    <row r="506" spans="1:25" ht="22.5" customHeight="1" thickTop="1" thickBot="1" x14ac:dyDescent="0.3">
      <c r="A506" s="1287">
        <v>1</v>
      </c>
      <c r="B506" s="1288" t="s">
        <v>1378</v>
      </c>
      <c r="C506" s="1288" t="s">
        <v>1391</v>
      </c>
      <c r="D506" s="1288" t="s">
        <v>1419</v>
      </c>
      <c r="E506" s="1288" t="s">
        <v>1378</v>
      </c>
      <c r="F506" s="1288" t="s">
        <v>1391</v>
      </c>
      <c r="G506" s="1288" t="s">
        <v>1475</v>
      </c>
      <c r="H506" s="1288"/>
      <c r="I506" s="1288"/>
      <c r="J506" s="1288"/>
      <c r="K506" s="754" t="s">
        <v>2568</v>
      </c>
      <c r="L506" s="1173"/>
      <c r="M506" s="1173"/>
      <c r="N506" s="1173"/>
      <c r="O506" s="1165">
        <f t="shared" si="82"/>
        <v>0</v>
      </c>
      <c r="P506" s="1173"/>
      <c r="Q506" s="1173"/>
      <c r="R506" s="1173"/>
      <c r="S506" s="1173"/>
      <c r="T506" s="1173"/>
      <c r="U506" s="1173"/>
      <c r="V506" s="1173"/>
      <c r="W506" s="1439" t="e">
        <f t="shared" si="83"/>
        <v>#DIV/0!</v>
      </c>
      <c r="X506" s="1432"/>
      <c r="Y506" s="765"/>
    </row>
    <row r="507" spans="1:25" ht="22.5" customHeight="1" thickTop="1" thickBot="1" x14ac:dyDescent="0.3">
      <c r="A507" s="1287">
        <v>1</v>
      </c>
      <c r="B507" s="1288" t="s">
        <v>1378</v>
      </c>
      <c r="C507" s="1288" t="s">
        <v>1391</v>
      </c>
      <c r="D507" s="1288" t="s">
        <v>1419</v>
      </c>
      <c r="E507" s="1288" t="s">
        <v>1378</v>
      </c>
      <c r="F507" s="1288" t="s">
        <v>1391</v>
      </c>
      <c r="G507" s="1288" t="s">
        <v>1573</v>
      </c>
      <c r="H507" s="1288"/>
      <c r="I507" s="1288"/>
      <c r="J507" s="1288"/>
      <c r="K507" s="754" t="s">
        <v>2569</v>
      </c>
      <c r="L507" s="1173"/>
      <c r="M507" s="1173"/>
      <c r="N507" s="1173"/>
      <c r="O507" s="1165">
        <f t="shared" si="82"/>
        <v>0</v>
      </c>
      <c r="P507" s="1173"/>
      <c r="Q507" s="1173"/>
      <c r="R507" s="1173"/>
      <c r="S507" s="1173"/>
      <c r="T507" s="1173"/>
      <c r="U507" s="1173"/>
      <c r="V507" s="1173"/>
      <c r="W507" s="1439" t="e">
        <f t="shared" si="83"/>
        <v>#DIV/0!</v>
      </c>
      <c r="X507" s="1432"/>
      <c r="Y507" s="765"/>
    </row>
    <row r="508" spans="1:25" ht="22.5" customHeight="1" thickTop="1" thickBot="1" x14ac:dyDescent="0.3">
      <c r="A508" s="1287">
        <v>1</v>
      </c>
      <c r="B508" s="1288" t="s">
        <v>1378</v>
      </c>
      <c r="C508" s="1288" t="s">
        <v>1391</v>
      </c>
      <c r="D508" s="1288" t="s">
        <v>1419</v>
      </c>
      <c r="E508" s="1288" t="s">
        <v>1378</v>
      </c>
      <c r="F508" s="1288" t="s">
        <v>1391</v>
      </c>
      <c r="G508" s="1288" t="s">
        <v>1574</v>
      </c>
      <c r="H508" s="1288"/>
      <c r="I508" s="1288"/>
      <c r="J508" s="1288"/>
      <c r="K508" s="754" t="s">
        <v>2570</v>
      </c>
      <c r="L508" s="1173"/>
      <c r="M508" s="1173"/>
      <c r="N508" s="1173"/>
      <c r="O508" s="1165">
        <f t="shared" si="82"/>
        <v>0</v>
      </c>
      <c r="P508" s="1173"/>
      <c r="Q508" s="1173"/>
      <c r="R508" s="1173"/>
      <c r="S508" s="1173"/>
      <c r="T508" s="1173"/>
      <c r="U508" s="1173"/>
      <c r="V508" s="1173"/>
      <c r="W508" s="1439" t="e">
        <f t="shared" si="83"/>
        <v>#DIV/0!</v>
      </c>
      <c r="X508" s="1432"/>
      <c r="Y508" s="765"/>
    </row>
    <row r="509" spans="1:25" ht="22.5" customHeight="1" thickTop="1" thickBot="1" x14ac:dyDescent="0.3">
      <c r="A509" s="1287">
        <v>1</v>
      </c>
      <c r="B509" s="1288" t="s">
        <v>1378</v>
      </c>
      <c r="C509" s="1288" t="s">
        <v>1391</v>
      </c>
      <c r="D509" s="1288" t="s">
        <v>1419</v>
      </c>
      <c r="E509" s="1288" t="s">
        <v>1378</v>
      </c>
      <c r="F509" s="1288" t="s">
        <v>1391</v>
      </c>
      <c r="G509" s="1288" t="s">
        <v>1575</v>
      </c>
      <c r="H509" s="1288"/>
      <c r="I509" s="1288"/>
      <c r="J509" s="1288"/>
      <c r="K509" s="754" t="s">
        <v>2571</v>
      </c>
      <c r="L509" s="1173"/>
      <c r="M509" s="1173"/>
      <c r="N509" s="1173"/>
      <c r="O509" s="1165">
        <f t="shared" si="82"/>
        <v>0</v>
      </c>
      <c r="P509" s="1173"/>
      <c r="Q509" s="1173"/>
      <c r="R509" s="1173"/>
      <c r="S509" s="1173"/>
      <c r="T509" s="1173"/>
      <c r="U509" s="1173"/>
      <c r="V509" s="1173"/>
      <c r="W509" s="1439" t="e">
        <f t="shared" si="83"/>
        <v>#DIV/0!</v>
      </c>
      <c r="X509" s="1432"/>
      <c r="Y509" s="765"/>
    </row>
    <row r="510" spans="1:25" s="183" customFormat="1" ht="22.5" customHeight="1" thickTop="1" thickBot="1" x14ac:dyDescent="0.3">
      <c r="A510" s="1285">
        <v>1</v>
      </c>
      <c r="B510" s="1286" t="s">
        <v>1378</v>
      </c>
      <c r="C510" s="1286" t="s">
        <v>1391</v>
      </c>
      <c r="D510" s="1286" t="s">
        <v>1419</v>
      </c>
      <c r="E510" s="1286" t="s">
        <v>1378</v>
      </c>
      <c r="F510" s="1286" t="s">
        <v>1415</v>
      </c>
      <c r="G510" s="1286"/>
      <c r="H510" s="1286"/>
      <c r="I510" s="1286"/>
      <c r="J510" s="1286"/>
      <c r="K510" s="753" t="s">
        <v>2027</v>
      </c>
      <c r="L510" s="1174">
        <f>SUM(L511:L521)</f>
        <v>0</v>
      </c>
      <c r="M510" s="1174">
        <f t="shared" ref="M510:V510" si="90">SUM(M511:M521)</f>
        <v>0</v>
      </c>
      <c r="N510" s="1174">
        <f t="shared" si="90"/>
        <v>0</v>
      </c>
      <c r="O510" s="1165">
        <f t="shared" si="82"/>
        <v>0</v>
      </c>
      <c r="P510" s="1174">
        <f t="shared" si="90"/>
        <v>0</v>
      </c>
      <c r="Q510" s="1174">
        <f t="shared" si="90"/>
        <v>0</v>
      </c>
      <c r="R510" s="1174">
        <f t="shared" si="90"/>
        <v>0</v>
      </c>
      <c r="S510" s="1174"/>
      <c r="T510" s="1174">
        <f t="shared" si="90"/>
        <v>0</v>
      </c>
      <c r="U510" s="1174">
        <f t="shared" si="90"/>
        <v>0</v>
      </c>
      <c r="V510" s="1174">
        <f t="shared" si="90"/>
        <v>0</v>
      </c>
      <c r="W510" s="1440" t="e">
        <f t="shared" si="83"/>
        <v>#DIV/0!</v>
      </c>
      <c r="X510" s="1432" t="s">
        <v>2045</v>
      </c>
      <c r="Y510" s="765"/>
    </row>
    <row r="511" spans="1:25" ht="22.5" customHeight="1" thickTop="1" thickBot="1" x14ac:dyDescent="0.3">
      <c r="A511" s="1287">
        <v>1</v>
      </c>
      <c r="B511" s="1288" t="s">
        <v>1378</v>
      </c>
      <c r="C511" s="1288" t="s">
        <v>1391</v>
      </c>
      <c r="D511" s="1288" t="s">
        <v>1419</v>
      </c>
      <c r="E511" s="1288" t="s">
        <v>1378</v>
      </c>
      <c r="F511" s="1288" t="s">
        <v>1415</v>
      </c>
      <c r="G511" s="1288" t="s">
        <v>1378</v>
      </c>
      <c r="H511" s="1288"/>
      <c r="I511" s="1288"/>
      <c r="J511" s="1288"/>
      <c r="K511" s="754" t="s">
        <v>2572</v>
      </c>
      <c r="L511" s="1173"/>
      <c r="M511" s="1173"/>
      <c r="N511" s="1173"/>
      <c r="O511" s="1165">
        <f t="shared" si="82"/>
        <v>0</v>
      </c>
      <c r="P511" s="1173"/>
      <c r="Q511" s="1173"/>
      <c r="R511" s="1173"/>
      <c r="S511" s="1173"/>
      <c r="T511" s="1173"/>
      <c r="U511" s="1173"/>
      <c r="V511" s="1173"/>
      <c r="W511" s="1439" t="e">
        <f t="shared" si="83"/>
        <v>#DIV/0!</v>
      </c>
      <c r="X511" s="1432"/>
      <c r="Y511" s="765"/>
    </row>
    <row r="512" spans="1:25" ht="22.5" customHeight="1" thickTop="1" thickBot="1" x14ac:dyDescent="0.3">
      <c r="A512" s="1287">
        <v>1</v>
      </c>
      <c r="B512" s="1288" t="s">
        <v>1378</v>
      </c>
      <c r="C512" s="1288" t="s">
        <v>1391</v>
      </c>
      <c r="D512" s="1288" t="s">
        <v>1419</v>
      </c>
      <c r="E512" s="1288" t="s">
        <v>1378</v>
      </c>
      <c r="F512" s="1288" t="s">
        <v>1415</v>
      </c>
      <c r="G512" s="1288" t="s">
        <v>1391</v>
      </c>
      <c r="H512" s="1288"/>
      <c r="I512" s="1288"/>
      <c r="J512" s="1288"/>
      <c r="K512" s="754" t="s">
        <v>2573</v>
      </c>
      <c r="L512" s="1173"/>
      <c r="M512" s="1173"/>
      <c r="N512" s="1173"/>
      <c r="O512" s="1165">
        <f t="shared" si="82"/>
        <v>0</v>
      </c>
      <c r="P512" s="1173"/>
      <c r="Q512" s="1173"/>
      <c r="R512" s="1173"/>
      <c r="S512" s="1173"/>
      <c r="T512" s="1173"/>
      <c r="U512" s="1173"/>
      <c r="V512" s="1173"/>
      <c r="W512" s="1439" t="e">
        <f t="shared" si="83"/>
        <v>#DIV/0!</v>
      </c>
      <c r="X512" s="1432"/>
      <c r="Y512" s="765"/>
    </row>
    <row r="513" spans="1:25" ht="22.5" customHeight="1" thickTop="1" thickBot="1" x14ac:dyDescent="0.3">
      <c r="A513" s="1287">
        <v>1</v>
      </c>
      <c r="B513" s="1288" t="s">
        <v>1378</v>
      </c>
      <c r="C513" s="1288" t="s">
        <v>1391</v>
      </c>
      <c r="D513" s="1288" t="s">
        <v>1419</v>
      </c>
      <c r="E513" s="1288" t="s">
        <v>1378</v>
      </c>
      <c r="F513" s="1288" t="s">
        <v>1415</v>
      </c>
      <c r="G513" s="1288" t="s">
        <v>1415</v>
      </c>
      <c r="H513" s="1288"/>
      <c r="I513" s="1288"/>
      <c r="J513" s="1288"/>
      <c r="K513" s="754" t="s">
        <v>2574</v>
      </c>
      <c r="L513" s="1173"/>
      <c r="M513" s="1173"/>
      <c r="N513" s="1173"/>
      <c r="O513" s="1165">
        <f t="shared" si="82"/>
        <v>0</v>
      </c>
      <c r="P513" s="1173"/>
      <c r="Q513" s="1173"/>
      <c r="R513" s="1173"/>
      <c r="S513" s="1173"/>
      <c r="T513" s="1173"/>
      <c r="U513" s="1173"/>
      <c r="V513" s="1173"/>
      <c r="W513" s="1439" t="e">
        <f t="shared" si="83"/>
        <v>#DIV/0!</v>
      </c>
      <c r="X513" s="1432"/>
      <c r="Y513" s="765"/>
    </row>
    <row r="514" spans="1:25" ht="22.5" customHeight="1" thickTop="1" thickBot="1" x14ac:dyDescent="0.3">
      <c r="A514" s="1287">
        <v>1</v>
      </c>
      <c r="B514" s="1288" t="s">
        <v>1378</v>
      </c>
      <c r="C514" s="1288" t="s">
        <v>1391</v>
      </c>
      <c r="D514" s="1288" t="s">
        <v>1419</v>
      </c>
      <c r="E514" s="1288" t="s">
        <v>1378</v>
      </c>
      <c r="F514" s="1288" t="s">
        <v>1415</v>
      </c>
      <c r="G514" s="1288" t="s">
        <v>1419</v>
      </c>
      <c r="H514" s="1288"/>
      <c r="I514" s="1288"/>
      <c r="J514" s="1288"/>
      <c r="K514" s="754" t="s">
        <v>2575</v>
      </c>
      <c r="L514" s="1173"/>
      <c r="M514" s="1173"/>
      <c r="N514" s="1173"/>
      <c r="O514" s="1165">
        <f t="shared" si="82"/>
        <v>0</v>
      </c>
      <c r="P514" s="1173"/>
      <c r="Q514" s="1173"/>
      <c r="R514" s="1173"/>
      <c r="S514" s="1173"/>
      <c r="T514" s="1173"/>
      <c r="U514" s="1173"/>
      <c r="V514" s="1173"/>
      <c r="W514" s="1439" t="e">
        <f t="shared" si="83"/>
        <v>#DIV/0!</v>
      </c>
      <c r="X514" s="1432"/>
      <c r="Y514" s="765"/>
    </row>
    <row r="515" spans="1:25" ht="22.5" customHeight="1" thickTop="1" thickBot="1" x14ac:dyDescent="0.3">
      <c r="A515" s="1287">
        <v>1</v>
      </c>
      <c r="B515" s="1288" t="s">
        <v>1378</v>
      </c>
      <c r="C515" s="1288" t="s">
        <v>1391</v>
      </c>
      <c r="D515" s="1288" t="s">
        <v>1419</v>
      </c>
      <c r="E515" s="1288" t="s">
        <v>1378</v>
      </c>
      <c r="F515" s="1288" t="s">
        <v>1415</v>
      </c>
      <c r="G515" s="1288" t="s">
        <v>1444</v>
      </c>
      <c r="H515" s="1288"/>
      <c r="I515" s="1288"/>
      <c r="J515" s="1288"/>
      <c r="K515" s="754" t="s">
        <v>2576</v>
      </c>
      <c r="L515" s="1173"/>
      <c r="M515" s="1173"/>
      <c r="N515" s="1173"/>
      <c r="O515" s="1165">
        <f t="shared" si="82"/>
        <v>0</v>
      </c>
      <c r="P515" s="1173"/>
      <c r="Q515" s="1173"/>
      <c r="R515" s="1173"/>
      <c r="S515" s="1173"/>
      <c r="T515" s="1173"/>
      <c r="U515" s="1173"/>
      <c r="V515" s="1173"/>
      <c r="W515" s="1439" t="e">
        <f t="shared" si="83"/>
        <v>#DIV/0!</v>
      </c>
      <c r="X515" s="1432"/>
      <c r="Y515" s="765"/>
    </row>
    <row r="516" spans="1:25" ht="22.5" customHeight="1" thickTop="1" thickBot="1" x14ac:dyDescent="0.3">
      <c r="A516" s="1287">
        <v>1</v>
      </c>
      <c r="B516" s="1288" t="s">
        <v>1378</v>
      </c>
      <c r="C516" s="1288" t="s">
        <v>1391</v>
      </c>
      <c r="D516" s="1288" t="s">
        <v>1419</v>
      </c>
      <c r="E516" s="1288" t="s">
        <v>1378</v>
      </c>
      <c r="F516" s="1288" t="s">
        <v>1415</v>
      </c>
      <c r="G516" s="1288" t="s">
        <v>1467</v>
      </c>
      <c r="H516" s="1288"/>
      <c r="I516" s="1288"/>
      <c r="J516" s="1288"/>
      <c r="K516" s="754" t="s">
        <v>2577</v>
      </c>
      <c r="L516" s="1173"/>
      <c r="M516" s="1173"/>
      <c r="N516" s="1173"/>
      <c r="O516" s="1165">
        <f t="shared" si="82"/>
        <v>0</v>
      </c>
      <c r="P516" s="1173"/>
      <c r="Q516" s="1173"/>
      <c r="R516" s="1173"/>
      <c r="S516" s="1173"/>
      <c r="T516" s="1173"/>
      <c r="U516" s="1173"/>
      <c r="V516" s="1173"/>
      <c r="W516" s="1439" t="e">
        <f t="shared" si="83"/>
        <v>#DIV/0!</v>
      </c>
      <c r="X516" s="1432"/>
      <c r="Y516" s="765"/>
    </row>
    <row r="517" spans="1:25" ht="22.5" customHeight="1" thickTop="1" thickBot="1" x14ac:dyDescent="0.3">
      <c r="A517" s="1287">
        <v>1</v>
      </c>
      <c r="B517" s="1288" t="s">
        <v>1378</v>
      </c>
      <c r="C517" s="1288" t="s">
        <v>1391</v>
      </c>
      <c r="D517" s="1288" t="s">
        <v>1419</v>
      </c>
      <c r="E517" s="1288" t="s">
        <v>1378</v>
      </c>
      <c r="F517" s="1288" t="s">
        <v>1415</v>
      </c>
      <c r="G517" s="1288" t="s">
        <v>1471</v>
      </c>
      <c r="H517" s="1288"/>
      <c r="I517" s="1288"/>
      <c r="J517" s="1288"/>
      <c r="K517" s="754" t="s">
        <v>2578</v>
      </c>
      <c r="L517" s="1173"/>
      <c r="M517" s="1173"/>
      <c r="N517" s="1173"/>
      <c r="O517" s="1165">
        <f t="shared" si="82"/>
        <v>0</v>
      </c>
      <c r="P517" s="1173"/>
      <c r="Q517" s="1173"/>
      <c r="R517" s="1173"/>
      <c r="S517" s="1173"/>
      <c r="T517" s="1173"/>
      <c r="U517" s="1173"/>
      <c r="V517" s="1173"/>
      <c r="W517" s="1439" t="e">
        <f t="shared" si="83"/>
        <v>#DIV/0!</v>
      </c>
      <c r="X517" s="1432"/>
      <c r="Y517" s="765"/>
    </row>
    <row r="518" spans="1:25" ht="22.5" customHeight="1" thickTop="1" thickBot="1" x14ac:dyDescent="0.3">
      <c r="A518" s="1287">
        <v>1</v>
      </c>
      <c r="B518" s="1288" t="s">
        <v>1378</v>
      </c>
      <c r="C518" s="1288" t="s">
        <v>1391</v>
      </c>
      <c r="D518" s="1288" t="s">
        <v>1419</v>
      </c>
      <c r="E518" s="1288" t="s">
        <v>1378</v>
      </c>
      <c r="F518" s="1288" t="s">
        <v>1415</v>
      </c>
      <c r="G518" s="1288" t="s">
        <v>1475</v>
      </c>
      <c r="H518" s="1288"/>
      <c r="I518" s="1288"/>
      <c r="J518" s="1288"/>
      <c r="K518" s="754" t="s">
        <v>2579</v>
      </c>
      <c r="L518" s="1173"/>
      <c r="M518" s="1173"/>
      <c r="N518" s="1173"/>
      <c r="O518" s="1165">
        <f t="shared" si="82"/>
        <v>0</v>
      </c>
      <c r="P518" s="1173"/>
      <c r="Q518" s="1173"/>
      <c r="R518" s="1173"/>
      <c r="S518" s="1173"/>
      <c r="T518" s="1173"/>
      <c r="U518" s="1173"/>
      <c r="V518" s="1173"/>
      <c r="W518" s="1439" t="e">
        <f t="shared" si="83"/>
        <v>#DIV/0!</v>
      </c>
      <c r="X518" s="1432"/>
      <c r="Y518" s="765"/>
    </row>
    <row r="519" spans="1:25" ht="22.5" customHeight="1" thickTop="1" thickBot="1" x14ac:dyDescent="0.3">
      <c r="A519" s="1287">
        <v>1</v>
      </c>
      <c r="B519" s="1288" t="s">
        <v>1378</v>
      </c>
      <c r="C519" s="1288" t="s">
        <v>1391</v>
      </c>
      <c r="D519" s="1288" t="s">
        <v>1419</v>
      </c>
      <c r="E519" s="1288" t="s">
        <v>1378</v>
      </c>
      <c r="F519" s="1288" t="s">
        <v>1415</v>
      </c>
      <c r="G519" s="1288" t="s">
        <v>1573</v>
      </c>
      <c r="H519" s="1288"/>
      <c r="I519" s="1288"/>
      <c r="J519" s="1288"/>
      <c r="K519" s="754" t="s">
        <v>2580</v>
      </c>
      <c r="L519" s="1173"/>
      <c r="M519" s="1173"/>
      <c r="N519" s="1173"/>
      <c r="O519" s="1165">
        <f t="shared" si="82"/>
        <v>0</v>
      </c>
      <c r="P519" s="1173"/>
      <c r="Q519" s="1173"/>
      <c r="R519" s="1173"/>
      <c r="S519" s="1173"/>
      <c r="T519" s="1173"/>
      <c r="U519" s="1173"/>
      <c r="V519" s="1173"/>
      <c r="W519" s="1439" t="e">
        <f t="shared" si="83"/>
        <v>#DIV/0!</v>
      </c>
      <c r="X519" s="1432"/>
      <c r="Y519" s="765"/>
    </row>
    <row r="520" spans="1:25" ht="22.5" customHeight="1" thickTop="1" thickBot="1" x14ac:dyDescent="0.3">
      <c r="A520" s="1287">
        <v>1</v>
      </c>
      <c r="B520" s="1288" t="s">
        <v>1378</v>
      </c>
      <c r="C520" s="1288" t="s">
        <v>1391</v>
      </c>
      <c r="D520" s="1288" t="s">
        <v>1419</v>
      </c>
      <c r="E520" s="1288" t="s">
        <v>1378</v>
      </c>
      <c r="F520" s="1288" t="s">
        <v>1415</v>
      </c>
      <c r="G520" s="1288" t="s">
        <v>1574</v>
      </c>
      <c r="H520" s="1288"/>
      <c r="I520" s="1288"/>
      <c r="J520" s="1288"/>
      <c r="K520" s="754" t="s">
        <v>2581</v>
      </c>
      <c r="L520" s="1173"/>
      <c r="M520" s="1173"/>
      <c r="N520" s="1173"/>
      <c r="O520" s="1165">
        <f t="shared" ref="O520:O583" si="91">L520+M520-N520</f>
        <v>0</v>
      </c>
      <c r="P520" s="1173"/>
      <c r="Q520" s="1173"/>
      <c r="R520" s="1173"/>
      <c r="S520" s="1173"/>
      <c r="T520" s="1173"/>
      <c r="U520" s="1173"/>
      <c r="V520" s="1173"/>
      <c r="W520" s="1439" t="e">
        <f t="shared" ref="W520:W583" si="92">V520/U520</f>
        <v>#DIV/0!</v>
      </c>
      <c r="X520" s="1432"/>
      <c r="Y520" s="765"/>
    </row>
    <row r="521" spans="1:25" ht="22.5" customHeight="1" thickTop="1" thickBot="1" x14ac:dyDescent="0.3">
      <c r="A521" s="1287">
        <v>1</v>
      </c>
      <c r="B521" s="1288" t="s">
        <v>1378</v>
      </c>
      <c r="C521" s="1288" t="s">
        <v>1391</v>
      </c>
      <c r="D521" s="1288" t="s">
        <v>1419</v>
      </c>
      <c r="E521" s="1288" t="s">
        <v>1378</v>
      </c>
      <c r="F521" s="1288" t="s">
        <v>1415</v>
      </c>
      <c r="G521" s="1288" t="s">
        <v>1575</v>
      </c>
      <c r="H521" s="1288"/>
      <c r="I521" s="1288"/>
      <c r="J521" s="1288"/>
      <c r="K521" s="754" t="s">
        <v>2582</v>
      </c>
      <c r="L521" s="1173"/>
      <c r="M521" s="1173"/>
      <c r="N521" s="1173"/>
      <c r="O521" s="1165">
        <f t="shared" si="91"/>
        <v>0</v>
      </c>
      <c r="P521" s="1173"/>
      <c r="Q521" s="1173"/>
      <c r="R521" s="1173"/>
      <c r="S521" s="1173"/>
      <c r="T521" s="1173"/>
      <c r="U521" s="1173"/>
      <c r="V521" s="1173"/>
      <c r="W521" s="1439" t="e">
        <f t="shared" si="92"/>
        <v>#DIV/0!</v>
      </c>
      <c r="X521" s="1432"/>
      <c r="Y521" s="765"/>
    </row>
    <row r="522" spans="1:25" s="183" customFormat="1" ht="22.5" customHeight="1" thickTop="1" thickBot="1" x14ac:dyDescent="0.3">
      <c r="A522" s="1287">
        <v>1</v>
      </c>
      <c r="B522" s="1288" t="s">
        <v>1378</v>
      </c>
      <c r="C522" s="1288" t="s">
        <v>1391</v>
      </c>
      <c r="D522" s="1288" t="s">
        <v>1419</v>
      </c>
      <c r="E522" s="1288" t="s">
        <v>1378</v>
      </c>
      <c r="F522" s="1288" t="s">
        <v>1419</v>
      </c>
      <c r="G522" s="1286"/>
      <c r="H522" s="1288"/>
      <c r="I522" s="1288"/>
      <c r="J522" s="1288"/>
      <c r="K522" s="754" t="s">
        <v>2028</v>
      </c>
      <c r="L522" s="1174">
        <f>SUM(L523:L533)</f>
        <v>0</v>
      </c>
      <c r="M522" s="1174">
        <f t="shared" ref="M522:V522" si="93">SUM(M523:M533)</f>
        <v>0</v>
      </c>
      <c r="N522" s="1174">
        <f t="shared" si="93"/>
        <v>0</v>
      </c>
      <c r="O522" s="1165">
        <f t="shared" si="91"/>
        <v>0</v>
      </c>
      <c r="P522" s="1174">
        <f t="shared" si="93"/>
        <v>0</v>
      </c>
      <c r="Q522" s="1174">
        <f t="shared" si="93"/>
        <v>0</v>
      </c>
      <c r="R522" s="1174">
        <f t="shared" si="93"/>
        <v>0</v>
      </c>
      <c r="S522" s="1174"/>
      <c r="T522" s="1174">
        <f t="shared" si="93"/>
        <v>0</v>
      </c>
      <c r="U522" s="1174">
        <f t="shared" si="93"/>
        <v>0</v>
      </c>
      <c r="V522" s="1174">
        <f t="shared" si="93"/>
        <v>0</v>
      </c>
      <c r="W522" s="1440" t="e">
        <f t="shared" si="92"/>
        <v>#DIV/0!</v>
      </c>
      <c r="X522" s="1432" t="s">
        <v>1612</v>
      </c>
      <c r="Y522" s="765"/>
    </row>
    <row r="523" spans="1:25" s="183" customFormat="1" ht="22.5" customHeight="1" thickTop="1" thickBot="1" x14ac:dyDescent="0.3">
      <c r="A523" s="1287">
        <v>1</v>
      </c>
      <c r="B523" s="1288" t="s">
        <v>1378</v>
      </c>
      <c r="C523" s="1288" t="s">
        <v>1391</v>
      </c>
      <c r="D523" s="1288" t="s">
        <v>1419</v>
      </c>
      <c r="E523" s="1288" t="s">
        <v>1378</v>
      </c>
      <c r="F523" s="1288" t="s">
        <v>1419</v>
      </c>
      <c r="G523" s="1288" t="s">
        <v>1378</v>
      </c>
      <c r="H523" s="1288"/>
      <c r="I523" s="1288"/>
      <c r="J523" s="1288"/>
      <c r="K523" s="754" t="s">
        <v>2583</v>
      </c>
      <c r="L523" s="1174"/>
      <c r="M523" s="1174"/>
      <c r="N523" s="1174"/>
      <c r="O523" s="1165">
        <f t="shared" si="91"/>
        <v>0</v>
      </c>
      <c r="P523" s="1174"/>
      <c r="Q523" s="1174"/>
      <c r="R523" s="1174"/>
      <c r="S523" s="1174"/>
      <c r="T523" s="1174"/>
      <c r="U523" s="1174"/>
      <c r="V523" s="1174"/>
      <c r="W523" s="1440" t="e">
        <f t="shared" si="92"/>
        <v>#DIV/0!</v>
      </c>
      <c r="X523" s="1432"/>
      <c r="Y523" s="765"/>
    </row>
    <row r="524" spans="1:25" s="183" customFormat="1" ht="22.5" customHeight="1" thickTop="1" thickBot="1" x14ac:dyDescent="0.3">
      <c r="A524" s="1287">
        <v>1</v>
      </c>
      <c r="B524" s="1288" t="s">
        <v>1378</v>
      </c>
      <c r="C524" s="1288" t="s">
        <v>1391</v>
      </c>
      <c r="D524" s="1288" t="s">
        <v>1419</v>
      </c>
      <c r="E524" s="1288" t="s">
        <v>1378</v>
      </c>
      <c r="F524" s="1288" t="s">
        <v>1419</v>
      </c>
      <c r="G524" s="1288" t="s">
        <v>1391</v>
      </c>
      <c r="H524" s="1288"/>
      <c r="I524" s="1288"/>
      <c r="J524" s="1288"/>
      <c r="K524" s="754" t="s">
        <v>2584</v>
      </c>
      <c r="L524" s="1174"/>
      <c r="M524" s="1174"/>
      <c r="N524" s="1174"/>
      <c r="O524" s="1165">
        <f t="shared" si="91"/>
        <v>0</v>
      </c>
      <c r="P524" s="1174"/>
      <c r="Q524" s="1174"/>
      <c r="R524" s="1174"/>
      <c r="S524" s="1174"/>
      <c r="T524" s="1174"/>
      <c r="U524" s="1174"/>
      <c r="V524" s="1174"/>
      <c r="W524" s="1440" t="e">
        <f t="shared" si="92"/>
        <v>#DIV/0!</v>
      </c>
      <c r="X524" s="1432"/>
      <c r="Y524" s="765"/>
    </row>
    <row r="525" spans="1:25" s="183" customFormat="1" ht="22.5" customHeight="1" thickTop="1" thickBot="1" x14ac:dyDescent="0.3">
      <c r="A525" s="1287">
        <v>1</v>
      </c>
      <c r="B525" s="1288" t="s">
        <v>1378</v>
      </c>
      <c r="C525" s="1288" t="s">
        <v>1391</v>
      </c>
      <c r="D525" s="1288" t="s">
        <v>1419</v>
      </c>
      <c r="E525" s="1288" t="s">
        <v>1378</v>
      </c>
      <c r="F525" s="1288" t="s">
        <v>1419</v>
      </c>
      <c r="G525" s="1288" t="s">
        <v>1415</v>
      </c>
      <c r="H525" s="1288"/>
      <c r="I525" s="1288"/>
      <c r="J525" s="1288"/>
      <c r="K525" s="754" t="s">
        <v>2585</v>
      </c>
      <c r="L525" s="1174"/>
      <c r="M525" s="1174"/>
      <c r="N525" s="1174"/>
      <c r="O525" s="1165">
        <f t="shared" si="91"/>
        <v>0</v>
      </c>
      <c r="P525" s="1174"/>
      <c r="Q525" s="1174"/>
      <c r="R525" s="1174"/>
      <c r="S525" s="1174"/>
      <c r="T525" s="1174"/>
      <c r="U525" s="1174"/>
      <c r="V525" s="1174"/>
      <c r="W525" s="1440" t="e">
        <f t="shared" si="92"/>
        <v>#DIV/0!</v>
      </c>
      <c r="X525" s="1432"/>
      <c r="Y525" s="765"/>
    </row>
    <row r="526" spans="1:25" s="183" customFormat="1" ht="22.5" customHeight="1" thickTop="1" thickBot="1" x14ac:dyDescent="0.3">
      <c r="A526" s="1287">
        <v>1</v>
      </c>
      <c r="B526" s="1288" t="s">
        <v>1378</v>
      </c>
      <c r="C526" s="1288" t="s">
        <v>1391</v>
      </c>
      <c r="D526" s="1288" t="s">
        <v>1419</v>
      </c>
      <c r="E526" s="1288" t="s">
        <v>1378</v>
      </c>
      <c r="F526" s="1288" t="s">
        <v>1419</v>
      </c>
      <c r="G526" s="1288" t="s">
        <v>1419</v>
      </c>
      <c r="H526" s="1288"/>
      <c r="I526" s="1288"/>
      <c r="J526" s="1288"/>
      <c r="K526" s="754" t="s">
        <v>2586</v>
      </c>
      <c r="L526" s="1174"/>
      <c r="M526" s="1174"/>
      <c r="N526" s="1174"/>
      <c r="O526" s="1165">
        <f t="shared" si="91"/>
        <v>0</v>
      </c>
      <c r="P526" s="1174"/>
      <c r="Q526" s="1174"/>
      <c r="R526" s="1174"/>
      <c r="S526" s="1174"/>
      <c r="T526" s="1174"/>
      <c r="U526" s="1174"/>
      <c r="V526" s="1174"/>
      <c r="W526" s="1440" t="e">
        <f t="shared" si="92"/>
        <v>#DIV/0!</v>
      </c>
      <c r="X526" s="1432"/>
      <c r="Y526" s="765"/>
    </row>
    <row r="527" spans="1:25" s="183" customFormat="1" ht="22.5" customHeight="1" thickTop="1" thickBot="1" x14ac:dyDescent="0.3">
      <c r="A527" s="1287">
        <v>1</v>
      </c>
      <c r="B527" s="1288" t="s">
        <v>1378</v>
      </c>
      <c r="C527" s="1288" t="s">
        <v>1391</v>
      </c>
      <c r="D527" s="1288" t="s">
        <v>1419</v>
      </c>
      <c r="E527" s="1288" t="s">
        <v>1378</v>
      </c>
      <c r="F527" s="1288" t="s">
        <v>1419</v>
      </c>
      <c r="G527" s="1288" t="s">
        <v>1444</v>
      </c>
      <c r="H527" s="1288"/>
      <c r="I527" s="1288"/>
      <c r="J527" s="1288"/>
      <c r="K527" s="754" t="s">
        <v>2587</v>
      </c>
      <c r="L527" s="1174"/>
      <c r="M527" s="1174"/>
      <c r="N527" s="1174"/>
      <c r="O527" s="1165">
        <f t="shared" si="91"/>
        <v>0</v>
      </c>
      <c r="P527" s="1174"/>
      <c r="Q527" s="1174"/>
      <c r="R527" s="1174"/>
      <c r="S527" s="1174"/>
      <c r="T527" s="1174"/>
      <c r="U527" s="1174"/>
      <c r="V527" s="1174"/>
      <c r="W527" s="1440" t="e">
        <f t="shared" si="92"/>
        <v>#DIV/0!</v>
      </c>
      <c r="X527" s="1432"/>
      <c r="Y527" s="765"/>
    </row>
    <row r="528" spans="1:25" s="183" customFormat="1" ht="22.5" customHeight="1" thickTop="1" thickBot="1" x14ac:dyDescent="0.3">
      <c r="A528" s="1287">
        <v>1</v>
      </c>
      <c r="B528" s="1288" t="s">
        <v>1378</v>
      </c>
      <c r="C528" s="1288" t="s">
        <v>1391</v>
      </c>
      <c r="D528" s="1288" t="s">
        <v>1419</v>
      </c>
      <c r="E528" s="1288" t="s">
        <v>1378</v>
      </c>
      <c r="F528" s="1288" t="s">
        <v>1419</v>
      </c>
      <c r="G528" s="1288" t="s">
        <v>1467</v>
      </c>
      <c r="H528" s="1288"/>
      <c r="I528" s="1288"/>
      <c r="J528" s="1288"/>
      <c r="K528" s="754" t="s">
        <v>2588</v>
      </c>
      <c r="L528" s="1174"/>
      <c r="M528" s="1174"/>
      <c r="N528" s="1174"/>
      <c r="O528" s="1165">
        <f t="shared" si="91"/>
        <v>0</v>
      </c>
      <c r="P528" s="1174"/>
      <c r="Q528" s="1174"/>
      <c r="R528" s="1174"/>
      <c r="S528" s="1174"/>
      <c r="T528" s="1174"/>
      <c r="U528" s="1174"/>
      <c r="V528" s="1174"/>
      <c r="W528" s="1440" t="e">
        <f t="shared" si="92"/>
        <v>#DIV/0!</v>
      </c>
      <c r="X528" s="1432"/>
      <c r="Y528" s="765"/>
    </row>
    <row r="529" spans="1:25" s="183" customFormat="1" ht="22.5" customHeight="1" thickTop="1" thickBot="1" x14ac:dyDescent="0.3">
      <c r="A529" s="1287">
        <v>1</v>
      </c>
      <c r="B529" s="1288" t="s">
        <v>1378</v>
      </c>
      <c r="C529" s="1288" t="s">
        <v>1391</v>
      </c>
      <c r="D529" s="1288" t="s">
        <v>1419</v>
      </c>
      <c r="E529" s="1288" t="s">
        <v>1378</v>
      </c>
      <c r="F529" s="1288" t="s">
        <v>1419</v>
      </c>
      <c r="G529" s="1288" t="s">
        <v>1471</v>
      </c>
      <c r="H529" s="1288"/>
      <c r="I529" s="1288"/>
      <c r="J529" s="1288"/>
      <c r="K529" s="754" t="s">
        <v>2589</v>
      </c>
      <c r="L529" s="1174"/>
      <c r="M529" s="1174"/>
      <c r="N529" s="1174"/>
      <c r="O529" s="1165">
        <f t="shared" si="91"/>
        <v>0</v>
      </c>
      <c r="P529" s="1174"/>
      <c r="Q529" s="1174"/>
      <c r="R529" s="1174"/>
      <c r="S529" s="1174"/>
      <c r="T529" s="1174"/>
      <c r="U529" s="1174"/>
      <c r="V529" s="1174"/>
      <c r="W529" s="1440" t="e">
        <f t="shared" si="92"/>
        <v>#DIV/0!</v>
      </c>
      <c r="X529" s="1432"/>
      <c r="Y529" s="765"/>
    </row>
    <row r="530" spans="1:25" s="183" customFormat="1" ht="22.5" customHeight="1" thickTop="1" thickBot="1" x14ac:dyDescent="0.3">
      <c r="A530" s="1287">
        <v>1</v>
      </c>
      <c r="B530" s="1288" t="s">
        <v>1378</v>
      </c>
      <c r="C530" s="1288" t="s">
        <v>1391</v>
      </c>
      <c r="D530" s="1288" t="s">
        <v>1419</v>
      </c>
      <c r="E530" s="1288" t="s">
        <v>1378</v>
      </c>
      <c r="F530" s="1288" t="s">
        <v>1419</v>
      </c>
      <c r="G530" s="1288" t="s">
        <v>1475</v>
      </c>
      <c r="H530" s="1288"/>
      <c r="I530" s="1288"/>
      <c r="J530" s="1288"/>
      <c r="K530" s="754" t="s">
        <v>2590</v>
      </c>
      <c r="L530" s="1174"/>
      <c r="M530" s="1174"/>
      <c r="N530" s="1174"/>
      <c r="O530" s="1165">
        <f t="shared" si="91"/>
        <v>0</v>
      </c>
      <c r="P530" s="1174"/>
      <c r="Q530" s="1174"/>
      <c r="R530" s="1174"/>
      <c r="S530" s="1174"/>
      <c r="T530" s="1174"/>
      <c r="U530" s="1174"/>
      <c r="V530" s="1174"/>
      <c r="W530" s="1440" t="e">
        <f t="shared" si="92"/>
        <v>#DIV/0!</v>
      </c>
      <c r="X530" s="1432"/>
      <c r="Y530" s="765"/>
    </row>
    <row r="531" spans="1:25" s="183" customFormat="1" ht="22.5" customHeight="1" thickTop="1" thickBot="1" x14ac:dyDescent="0.3">
      <c r="A531" s="1287">
        <v>1</v>
      </c>
      <c r="B531" s="1288" t="s">
        <v>1378</v>
      </c>
      <c r="C531" s="1288" t="s">
        <v>1391</v>
      </c>
      <c r="D531" s="1288" t="s">
        <v>1419</v>
      </c>
      <c r="E531" s="1288" t="s">
        <v>1378</v>
      </c>
      <c r="F531" s="1288" t="s">
        <v>1419</v>
      </c>
      <c r="G531" s="1288" t="s">
        <v>1573</v>
      </c>
      <c r="H531" s="1288"/>
      <c r="I531" s="1288"/>
      <c r="J531" s="1288"/>
      <c r="K531" s="754" t="s">
        <v>2591</v>
      </c>
      <c r="L531" s="1174"/>
      <c r="M531" s="1174"/>
      <c r="N531" s="1174"/>
      <c r="O531" s="1165">
        <f t="shared" si="91"/>
        <v>0</v>
      </c>
      <c r="P531" s="1174"/>
      <c r="Q531" s="1174"/>
      <c r="R531" s="1174"/>
      <c r="S531" s="1174"/>
      <c r="T531" s="1174"/>
      <c r="U531" s="1174"/>
      <c r="V531" s="1174"/>
      <c r="W531" s="1440" t="e">
        <f t="shared" si="92"/>
        <v>#DIV/0!</v>
      </c>
      <c r="X531" s="1432"/>
      <c r="Y531" s="765"/>
    </row>
    <row r="532" spans="1:25" s="183" customFormat="1" ht="22.5" customHeight="1" thickTop="1" thickBot="1" x14ac:dyDescent="0.3">
      <c r="A532" s="1287">
        <v>1</v>
      </c>
      <c r="B532" s="1288" t="s">
        <v>1378</v>
      </c>
      <c r="C532" s="1288" t="s">
        <v>1391</v>
      </c>
      <c r="D532" s="1288" t="s">
        <v>1419</v>
      </c>
      <c r="E532" s="1288" t="s">
        <v>1378</v>
      </c>
      <c r="F532" s="1288" t="s">
        <v>1419</v>
      </c>
      <c r="G532" s="1288" t="s">
        <v>1574</v>
      </c>
      <c r="H532" s="1288"/>
      <c r="I532" s="1288"/>
      <c r="J532" s="1288"/>
      <c r="K532" s="754" t="s">
        <v>2592</v>
      </c>
      <c r="L532" s="1174"/>
      <c r="M532" s="1174"/>
      <c r="N532" s="1174"/>
      <c r="O532" s="1165">
        <f t="shared" si="91"/>
        <v>0</v>
      </c>
      <c r="P532" s="1174"/>
      <c r="Q532" s="1174"/>
      <c r="R532" s="1174"/>
      <c r="S532" s="1174"/>
      <c r="T532" s="1174"/>
      <c r="U532" s="1174"/>
      <c r="V532" s="1174"/>
      <c r="W532" s="1440" t="e">
        <f t="shared" si="92"/>
        <v>#DIV/0!</v>
      </c>
      <c r="X532" s="1432"/>
      <c r="Y532" s="765"/>
    </row>
    <row r="533" spans="1:25" s="183" customFormat="1" ht="22.5" customHeight="1" thickTop="1" thickBot="1" x14ac:dyDescent="0.3">
      <c r="A533" s="1287">
        <v>1</v>
      </c>
      <c r="B533" s="1288" t="s">
        <v>1378</v>
      </c>
      <c r="C533" s="1288" t="s">
        <v>1391</v>
      </c>
      <c r="D533" s="1288" t="s">
        <v>1419</v>
      </c>
      <c r="E533" s="1288" t="s">
        <v>1378</v>
      </c>
      <c r="F533" s="1288" t="s">
        <v>1419</v>
      </c>
      <c r="G533" s="1288" t="s">
        <v>1575</v>
      </c>
      <c r="H533" s="1288"/>
      <c r="I533" s="1288"/>
      <c r="J533" s="1288"/>
      <c r="K533" s="754" t="s">
        <v>2593</v>
      </c>
      <c r="L533" s="1174"/>
      <c r="M533" s="1174"/>
      <c r="N533" s="1174"/>
      <c r="O533" s="1165">
        <f t="shared" si="91"/>
        <v>0</v>
      </c>
      <c r="P533" s="1174"/>
      <c r="Q533" s="1174"/>
      <c r="R533" s="1174"/>
      <c r="S533" s="1174"/>
      <c r="T533" s="1174"/>
      <c r="U533" s="1174"/>
      <c r="V533" s="1174"/>
      <c r="W533" s="1440" t="e">
        <f t="shared" si="92"/>
        <v>#DIV/0!</v>
      </c>
      <c r="X533" s="1432"/>
      <c r="Y533" s="765"/>
    </row>
    <row r="534" spans="1:25" ht="22.5" customHeight="1" thickTop="1" thickBot="1" x14ac:dyDescent="0.3">
      <c r="A534" s="1287">
        <v>1</v>
      </c>
      <c r="B534" s="1288" t="s">
        <v>1378</v>
      </c>
      <c r="C534" s="1288" t="s">
        <v>1391</v>
      </c>
      <c r="D534" s="1288" t="s">
        <v>1419</v>
      </c>
      <c r="E534" s="1288" t="s">
        <v>1378</v>
      </c>
      <c r="F534" s="1288" t="s">
        <v>1444</v>
      </c>
      <c r="G534" s="1288"/>
      <c r="H534" s="1288"/>
      <c r="I534" s="1288"/>
      <c r="J534" s="1288"/>
      <c r="K534" s="754" t="s">
        <v>1613</v>
      </c>
      <c r="L534" s="1173">
        <f>SUM(L535:L545)</f>
        <v>0</v>
      </c>
      <c r="M534" s="1173">
        <f t="shared" ref="M534:V534" si="94">SUM(M535:M545)</f>
        <v>0</v>
      </c>
      <c r="N534" s="1173">
        <f t="shared" si="94"/>
        <v>0</v>
      </c>
      <c r="O534" s="1165">
        <f t="shared" si="91"/>
        <v>0</v>
      </c>
      <c r="P534" s="1173">
        <f t="shared" si="94"/>
        <v>0</v>
      </c>
      <c r="Q534" s="1173">
        <f t="shared" si="94"/>
        <v>0</v>
      </c>
      <c r="R534" s="1173">
        <f t="shared" si="94"/>
        <v>0</v>
      </c>
      <c r="S534" s="1173"/>
      <c r="T534" s="1173">
        <f t="shared" si="94"/>
        <v>0</v>
      </c>
      <c r="U534" s="1173">
        <f t="shared" si="94"/>
        <v>0</v>
      </c>
      <c r="V534" s="1173">
        <f t="shared" si="94"/>
        <v>0</v>
      </c>
      <c r="W534" s="1439" t="e">
        <f t="shared" si="92"/>
        <v>#DIV/0!</v>
      </c>
      <c r="X534" s="1432" t="s">
        <v>1614</v>
      </c>
      <c r="Y534" s="765" t="s">
        <v>1615</v>
      </c>
    </row>
    <row r="535" spans="1:25" ht="22.5" customHeight="1" thickTop="1" thickBot="1" x14ac:dyDescent="0.3">
      <c r="A535" s="1287">
        <v>1</v>
      </c>
      <c r="B535" s="1288" t="s">
        <v>1378</v>
      </c>
      <c r="C535" s="1288" t="s">
        <v>1391</v>
      </c>
      <c r="D535" s="1288" t="s">
        <v>1419</v>
      </c>
      <c r="E535" s="1288" t="s">
        <v>1378</v>
      </c>
      <c r="F535" s="1288" t="s">
        <v>1444</v>
      </c>
      <c r="G535" s="1288" t="s">
        <v>1378</v>
      </c>
      <c r="H535" s="1288"/>
      <c r="I535" s="1288"/>
      <c r="J535" s="1288"/>
      <c r="K535" s="754" t="s">
        <v>2594</v>
      </c>
      <c r="L535" s="1173"/>
      <c r="M535" s="1173"/>
      <c r="N535" s="1173"/>
      <c r="O535" s="1165">
        <f t="shared" si="91"/>
        <v>0</v>
      </c>
      <c r="P535" s="1173"/>
      <c r="Q535" s="1173"/>
      <c r="R535" s="1173"/>
      <c r="S535" s="1173"/>
      <c r="T535" s="1173"/>
      <c r="U535" s="1173"/>
      <c r="V535" s="1173"/>
      <c r="W535" s="1439" t="e">
        <f t="shared" si="92"/>
        <v>#DIV/0!</v>
      </c>
      <c r="X535" s="1432"/>
      <c r="Y535" s="765"/>
    </row>
    <row r="536" spans="1:25" ht="22.5" customHeight="1" thickTop="1" thickBot="1" x14ac:dyDescent="0.3">
      <c r="A536" s="1287">
        <v>1</v>
      </c>
      <c r="B536" s="1288" t="s">
        <v>1378</v>
      </c>
      <c r="C536" s="1288" t="s">
        <v>1391</v>
      </c>
      <c r="D536" s="1288" t="s">
        <v>1419</v>
      </c>
      <c r="E536" s="1288" t="s">
        <v>1378</v>
      </c>
      <c r="F536" s="1288" t="s">
        <v>1444</v>
      </c>
      <c r="G536" s="1288" t="s">
        <v>1391</v>
      </c>
      <c r="H536" s="1288"/>
      <c r="I536" s="1288"/>
      <c r="J536" s="1288"/>
      <c r="K536" s="754" t="s">
        <v>2595</v>
      </c>
      <c r="L536" s="1173"/>
      <c r="M536" s="1173"/>
      <c r="N536" s="1173"/>
      <c r="O536" s="1165">
        <f t="shared" si="91"/>
        <v>0</v>
      </c>
      <c r="P536" s="1173"/>
      <c r="Q536" s="1173"/>
      <c r="R536" s="1173"/>
      <c r="S536" s="1173"/>
      <c r="T536" s="1173"/>
      <c r="U536" s="1173"/>
      <c r="V536" s="1173"/>
      <c r="W536" s="1439" t="e">
        <f t="shared" si="92"/>
        <v>#DIV/0!</v>
      </c>
      <c r="X536" s="1432"/>
      <c r="Y536" s="765"/>
    </row>
    <row r="537" spans="1:25" ht="22.5" customHeight="1" thickTop="1" thickBot="1" x14ac:dyDescent="0.3">
      <c r="A537" s="1287">
        <v>1</v>
      </c>
      <c r="B537" s="1288" t="s">
        <v>1378</v>
      </c>
      <c r="C537" s="1288" t="s">
        <v>1391</v>
      </c>
      <c r="D537" s="1288" t="s">
        <v>1419</v>
      </c>
      <c r="E537" s="1288" t="s">
        <v>1378</v>
      </c>
      <c r="F537" s="1288" t="s">
        <v>1444</v>
      </c>
      <c r="G537" s="1288" t="s">
        <v>1415</v>
      </c>
      <c r="H537" s="1288"/>
      <c r="I537" s="1288"/>
      <c r="J537" s="1288"/>
      <c r="K537" s="754" t="s">
        <v>2596</v>
      </c>
      <c r="L537" s="1173"/>
      <c r="M537" s="1173"/>
      <c r="N537" s="1173"/>
      <c r="O537" s="1165">
        <f t="shared" si="91"/>
        <v>0</v>
      </c>
      <c r="P537" s="1173"/>
      <c r="Q537" s="1173"/>
      <c r="R537" s="1173"/>
      <c r="S537" s="1173"/>
      <c r="T537" s="1173"/>
      <c r="U537" s="1173"/>
      <c r="V537" s="1173"/>
      <c r="W537" s="1439" t="e">
        <f t="shared" si="92"/>
        <v>#DIV/0!</v>
      </c>
      <c r="X537" s="1432"/>
      <c r="Y537" s="765"/>
    </row>
    <row r="538" spans="1:25" ht="22.5" customHeight="1" thickTop="1" thickBot="1" x14ac:dyDescent="0.3">
      <c r="A538" s="1287">
        <v>1</v>
      </c>
      <c r="B538" s="1288" t="s">
        <v>1378</v>
      </c>
      <c r="C538" s="1288" t="s">
        <v>1391</v>
      </c>
      <c r="D538" s="1288" t="s">
        <v>1419</v>
      </c>
      <c r="E538" s="1288" t="s">
        <v>1378</v>
      </c>
      <c r="F538" s="1288" t="s">
        <v>1444</v>
      </c>
      <c r="G538" s="1288" t="s">
        <v>1419</v>
      </c>
      <c r="H538" s="1288"/>
      <c r="I538" s="1288"/>
      <c r="J538" s="1288"/>
      <c r="K538" s="754" t="s">
        <v>2597</v>
      </c>
      <c r="L538" s="1173"/>
      <c r="M538" s="1173"/>
      <c r="N538" s="1173"/>
      <c r="O538" s="1165">
        <f t="shared" si="91"/>
        <v>0</v>
      </c>
      <c r="P538" s="1173"/>
      <c r="Q538" s="1173"/>
      <c r="R538" s="1173"/>
      <c r="S538" s="1173"/>
      <c r="T538" s="1173"/>
      <c r="U538" s="1173"/>
      <c r="V538" s="1173"/>
      <c r="W538" s="1439" t="e">
        <f t="shared" si="92"/>
        <v>#DIV/0!</v>
      </c>
      <c r="X538" s="1432"/>
      <c r="Y538" s="765"/>
    </row>
    <row r="539" spans="1:25" ht="22.5" customHeight="1" thickTop="1" thickBot="1" x14ac:dyDescent="0.3">
      <c r="A539" s="1287">
        <v>1</v>
      </c>
      <c r="B539" s="1288" t="s">
        <v>1378</v>
      </c>
      <c r="C539" s="1288" t="s">
        <v>1391</v>
      </c>
      <c r="D539" s="1288" t="s">
        <v>1419</v>
      </c>
      <c r="E539" s="1288" t="s">
        <v>1378</v>
      </c>
      <c r="F539" s="1288" t="s">
        <v>1444</v>
      </c>
      <c r="G539" s="1288" t="s">
        <v>1444</v>
      </c>
      <c r="H539" s="1288"/>
      <c r="I539" s="1288"/>
      <c r="J539" s="1288"/>
      <c r="K539" s="754" t="s">
        <v>2598</v>
      </c>
      <c r="L539" s="1173"/>
      <c r="M539" s="1173"/>
      <c r="N539" s="1173"/>
      <c r="O539" s="1165">
        <f t="shared" si="91"/>
        <v>0</v>
      </c>
      <c r="P539" s="1173"/>
      <c r="Q539" s="1173"/>
      <c r="R539" s="1173"/>
      <c r="S539" s="1173"/>
      <c r="T539" s="1173"/>
      <c r="U539" s="1173"/>
      <c r="V539" s="1173"/>
      <c r="W539" s="1439" t="e">
        <f t="shared" si="92"/>
        <v>#DIV/0!</v>
      </c>
      <c r="X539" s="1432"/>
      <c r="Y539" s="765"/>
    </row>
    <row r="540" spans="1:25" ht="22.5" customHeight="1" thickTop="1" thickBot="1" x14ac:dyDescent="0.3">
      <c r="A540" s="1287">
        <v>1</v>
      </c>
      <c r="B540" s="1288" t="s">
        <v>1378</v>
      </c>
      <c r="C540" s="1288" t="s">
        <v>1391</v>
      </c>
      <c r="D540" s="1288" t="s">
        <v>1419</v>
      </c>
      <c r="E540" s="1288" t="s">
        <v>1378</v>
      </c>
      <c r="F540" s="1288" t="s">
        <v>1444</v>
      </c>
      <c r="G540" s="1288" t="s">
        <v>1467</v>
      </c>
      <c r="H540" s="1288"/>
      <c r="I540" s="1288"/>
      <c r="J540" s="1288"/>
      <c r="K540" s="754" t="s">
        <v>2599</v>
      </c>
      <c r="L540" s="1173"/>
      <c r="M540" s="1173"/>
      <c r="N540" s="1173"/>
      <c r="O540" s="1165">
        <f t="shared" si="91"/>
        <v>0</v>
      </c>
      <c r="P540" s="1173"/>
      <c r="Q540" s="1173"/>
      <c r="R540" s="1173"/>
      <c r="S540" s="1173"/>
      <c r="T540" s="1173"/>
      <c r="U540" s="1173"/>
      <c r="V540" s="1173"/>
      <c r="W540" s="1439" t="e">
        <f t="shared" si="92"/>
        <v>#DIV/0!</v>
      </c>
      <c r="X540" s="1432"/>
      <c r="Y540" s="765"/>
    </row>
    <row r="541" spans="1:25" ht="22.5" customHeight="1" thickTop="1" thickBot="1" x14ac:dyDescent="0.3">
      <c r="A541" s="1287">
        <v>1</v>
      </c>
      <c r="B541" s="1288" t="s">
        <v>1378</v>
      </c>
      <c r="C541" s="1288" t="s">
        <v>1391</v>
      </c>
      <c r="D541" s="1288" t="s">
        <v>1419</v>
      </c>
      <c r="E541" s="1288" t="s">
        <v>1378</v>
      </c>
      <c r="F541" s="1288" t="s">
        <v>1444</v>
      </c>
      <c r="G541" s="1288" t="s">
        <v>1471</v>
      </c>
      <c r="H541" s="1288"/>
      <c r="I541" s="1288"/>
      <c r="J541" s="1288"/>
      <c r="K541" s="754" t="s">
        <v>2600</v>
      </c>
      <c r="L541" s="1173"/>
      <c r="M541" s="1173"/>
      <c r="N541" s="1173"/>
      <c r="O541" s="1165">
        <f t="shared" si="91"/>
        <v>0</v>
      </c>
      <c r="P541" s="1173"/>
      <c r="Q541" s="1173"/>
      <c r="R541" s="1173"/>
      <c r="S541" s="1173"/>
      <c r="T541" s="1173"/>
      <c r="U541" s="1173"/>
      <c r="V541" s="1173"/>
      <c r="W541" s="1439" t="e">
        <f t="shared" si="92"/>
        <v>#DIV/0!</v>
      </c>
      <c r="X541" s="1432"/>
      <c r="Y541" s="765"/>
    </row>
    <row r="542" spans="1:25" ht="22.5" customHeight="1" thickTop="1" thickBot="1" x14ac:dyDescent="0.3">
      <c r="A542" s="1287">
        <v>1</v>
      </c>
      <c r="B542" s="1288" t="s">
        <v>1378</v>
      </c>
      <c r="C542" s="1288" t="s">
        <v>1391</v>
      </c>
      <c r="D542" s="1288" t="s">
        <v>1419</v>
      </c>
      <c r="E542" s="1288" t="s">
        <v>1378</v>
      </c>
      <c r="F542" s="1288" t="s">
        <v>1444</v>
      </c>
      <c r="G542" s="1288" t="s">
        <v>1475</v>
      </c>
      <c r="H542" s="1288"/>
      <c r="I542" s="1288"/>
      <c r="J542" s="1288"/>
      <c r="K542" s="754" t="s">
        <v>2601</v>
      </c>
      <c r="L542" s="1173"/>
      <c r="M542" s="1173"/>
      <c r="N542" s="1173"/>
      <c r="O542" s="1165">
        <f t="shared" si="91"/>
        <v>0</v>
      </c>
      <c r="P542" s="1173"/>
      <c r="Q542" s="1173"/>
      <c r="R542" s="1173"/>
      <c r="S542" s="1173"/>
      <c r="T542" s="1173"/>
      <c r="U542" s="1173"/>
      <c r="V542" s="1173"/>
      <c r="W542" s="1439" t="e">
        <f t="shared" si="92"/>
        <v>#DIV/0!</v>
      </c>
      <c r="X542" s="1432"/>
      <c r="Y542" s="765"/>
    </row>
    <row r="543" spans="1:25" ht="22.5" customHeight="1" thickTop="1" thickBot="1" x14ac:dyDescent="0.3">
      <c r="A543" s="1287">
        <v>1</v>
      </c>
      <c r="B543" s="1288" t="s">
        <v>1378</v>
      </c>
      <c r="C543" s="1288" t="s">
        <v>1391</v>
      </c>
      <c r="D543" s="1288" t="s">
        <v>1419</v>
      </c>
      <c r="E543" s="1288" t="s">
        <v>1378</v>
      </c>
      <c r="F543" s="1288" t="s">
        <v>1444</v>
      </c>
      <c r="G543" s="1288" t="s">
        <v>1573</v>
      </c>
      <c r="H543" s="1288"/>
      <c r="I543" s="1288"/>
      <c r="J543" s="1288"/>
      <c r="K543" s="754" t="s">
        <v>2602</v>
      </c>
      <c r="L543" s="1173"/>
      <c r="M543" s="1173"/>
      <c r="N543" s="1173"/>
      <c r="O543" s="1165">
        <f t="shared" si="91"/>
        <v>0</v>
      </c>
      <c r="P543" s="1173"/>
      <c r="Q543" s="1173"/>
      <c r="R543" s="1173"/>
      <c r="S543" s="1173"/>
      <c r="T543" s="1173"/>
      <c r="U543" s="1173"/>
      <c r="V543" s="1173"/>
      <c r="W543" s="1439" t="e">
        <f t="shared" si="92"/>
        <v>#DIV/0!</v>
      </c>
      <c r="X543" s="1432"/>
      <c r="Y543" s="765"/>
    </row>
    <row r="544" spans="1:25" ht="22.5" customHeight="1" thickTop="1" thickBot="1" x14ac:dyDescent="0.3">
      <c r="A544" s="1287">
        <v>1</v>
      </c>
      <c r="B544" s="1288" t="s">
        <v>1378</v>
      </c>
      <c r="C544" s="1288" t="s">
        <v>1391</v>
      </c>
      <c r="D544" s="1288" t="s">
        <v>1419</v>
      </c>
      <c r="E544" s="1288" t="s">
        <v>1378</v>
      </c>
      <c r="F544" s="1288" t="s">
        <v>1444</v>
      </c>
      <c r="G544" s="1288" t="s">
        <v>1574</v>
      </c>
      <c r="H544" s="1288"/>
      <c r="I544" s="1288"/>
      <c r="J544" s="1288"/>
      <c r="K544" s="754" t="s">
        <v>2603</v>
      </c>
      <c r="L544" s="1173"/>
      <c r="M544" s="1173"/>
      <c r="N544" s="1173"/>
      <c r="O544" s="1165">
        <f t="shared" si="91"/>
        <v>0</v>
      </c>
      <c r="P544" s="1173"/>
      <c r="Q544" s="1173"/>
      <c r="R544" s="1173"/>
      <c r="S544" s="1173"/>
      <c r="T544" s="1173"/>
      <c r="U544" s="1173"/>
      <c r="V544" s="1173"/>
      <c r="W544" s="1439" t="e">
        <f t="shared" si="92"/>
        <v>#DIV/0!</v>
      </c>
      <c r="X544" s="1432"/>
      <c r="Y544" s="765"/>
    </row>
    <row r="545" spans="1:25" ht="22.5" customHeight="1" thickTop="1" thickBot="1" x14ac:dyDescent="0.3">
      <c r="A545" s="1287">
        <v>1</v>
      </c>
      <c r="B545" s="1288" t="s">
        <v>1378</v>
      </c>
      <c r="C545" s="1288" t="s">
        <v>1391</v>
      </c>
      <c r="D545" s="1288" t="s">
        <v>1419</v>
      </c>
      <c r="E545" s="1288" t="s">
        <v>1378</v>
      </c>
      <c r="F545" s="1288" t="s">
        <v>1444</v>
      </c>
      <c r="G545" s="1288" t="s">
        <v>1575</v>
      </c>
      <c r="H545" s="1288"/>
      <c r="I545" s="1288"/>
      <c r="J545" s="1288"/>
      <c r="K545" s="754" t="s">
        <v>2604</v>
      </c>
      <c r="L545" s="1173"/>
      <c r="M545" s="1173"/>
      <c r="N545" s="1173"/>
      <c r="O545" s="1165">
        <f t="shared" si="91"/>
        <v>0</v>
      </c>
      <c r="P545" s="1173"/>
      <c r="Q545" s="1173"/>
      <c r="R545" s="1173"/>
      <c r="S545" s="1173"/>
      <c r="T545" s="1173"/>
      <c r="U545" s="1173"/>
      <c r="V545" s="1173"/>
      <c r="W545" s="1439" t="e">
        <f t="shared" si="92"/>
        <v>#DIV/0!</v>
      </c>
      <c r="X545" s="1432"/>
      <c r="Y545" s="765"/>
    </row>
    <row r="546" spans="1:25" ht="22.5" customHeight="1" thickTop="1" thickBot="1" x14ac:dyDescent="0.3">
      <c r="A546" s="1287">
        <v>1</v>
      </c>
      <c r="B546" s="1288" t="s">
        <v>1378</v>
      </c>
      <c r="C546" s="1288" t="s">
        <v>1391</v>
      </c>
      <c r="D546" s="1288" t="s">
        <v>1419</v>
      </c>
      <c r="E546" s="1288" t="s">
        <v>1378</v>
      </c>
      <c r="F546" s="1288" t="s">
        <v>1467</v>
      </c>
      <c r="G546" s="1288"/>
      <c r="H546" s="1288"/>
      <c r="I546" s="1288"/>
      <c r="J546" s="1288"/>
      <c r="K546" s="754" t="s">
        <v>2029</v>
      </c>
      <c r="L546" s="1173">
        <f>SUM(L547:L557)</f>
        <v>0</v>
      </c>
      <c r="M546" s="1173">
        <f t="shared" ref="M546:V546" si="95">SUM(M547:M557)</f>
        <v>0</v>
      </c>
      <c r="N546" s="1173">
        <f t="shared" si="95"/>
        <v>0</v>
      </c>
      <c r="O546" s="1165">
        <f t="shared" si="91"/>
        <v>0</v>
      </c>
      <c r="P546" s="1173">
        <f t="shared" si="95"/>
        <v>0</v>
      </c>
      <c r="Q546" s="1173">
        <f t="shared" si="95"/>
        <v>0</v>
      </c>
      <c r="R546" s="1173">
        <f t="shared" si="95"/>
        <v>0</v>
      </c>
      <c r="S546" s="1173"/>
      <c r="T546" s="1173">
        <f t="shared" si="95"/>
        <v>0</v>
      </c>
      <c r="U546" s="1173">
        <f t="shared" si="95"/>
        <v>0</v>
      </c>
      <c r="V546" s="1173">
        <f t="shared" si="95"/>
        <v>0</v>
      </c>
      <c r="W546" s="1439" t="e">
        <f t="shared" si="92"/>
        <v>#DIV/0!</v>
      </c>
      <c r="X546" s="1432" t="s">
        <v>1617</v>
      </c>
      <c r="Y546" s="765"/>
    </row>
    <row r="547" spans="1:25" ht="22.5" customHeight="1" thickTop="1" thickBot="1" x14ac:dyDescent="0.3">
      <c r="A547" s="1287">
        <v>1</v>
      </c>
      <c r="B547" s="1288" t="s">
        <v>1378</v>
      </c>
      <c r="C547" s="1288" t="s">
        <v>1391</v>
      </c>
      <c r="D547" s="1288" t="s">
        <v>1419</v>
      </c>
      <c r="E547" s="1288" t="s">
        <v>1378</v>
      </c>
      <c r="F547" s="1288" t="s">
        <v>1467</v>
      </c>
      <c r="G547" s="1288" t="s">
        <v>1378</v>
      </c>
      <c r="H547" s="1288"/>
      <c r="I547" s="1288"/>
      <c r="J547" s="1288"/>
      <c r="K547" s="754" t="s">
        <v>2515</v>
      </c>
      <c r="L547" s="1173"/>
      <c r="M547" s="1173"/>
      <c r="N547" s="1173"/>
      <c r="O547" s="1165">
        <f t="shared" si="91"/>
        <v>0</v>
      </c>
      <c r="P547" s="1173"/>
      <c r="Q547" s="1173"/>
      <c r="R547" s="1173"/>
      <c r="S547" s="1173"/>
      <c r="T547" s="1173"/>
      <c r="U547" s="1173"/>
      <c r="V547" s="1173"/>
      <c r="W547" s="1439" t="e">
        <f t="shared" si="92"/>
        <v>#DIV/0!</v>
      </c>
      <c r="X547" s="1432"/>
      <c r="Y547" s="765"/>
    </row>
    <row r="548" spans="1:25" ht="22.5" customHeight="1" thickTop="1" thickBot="1" x14ac:dyDescent="0.3">
      <c r="A548" s="1287">
        <v>1</v>
      </c>
      <c r="B548" s="1288" t="s">
        <v>1378</v>
      </c>
      <c r="C548" s="1288" t="s">
        <v>1391</v>
      </c>
      <c r="D548" s="1288" t="s">
        <v>1419</v>
      </c>
      <c r="E548" s="1288" t="s">
        <v>1378</v>
      </c>
      <c r="F548" s="1288" t="s">
        <v>1467</v>
      </c>
      <c r="G548" s="1288" t="s">
        <v>1391</v>
      </c>
      <c r="H548" s="1288"/>
      <c r="I548" s="1288"/>
      <c r="J548" s="1288"/>
      <c r="K548" s="754" t="s">
        <v>2516</v>
      </c>
      <c r="L548" s="1173"/>
      <c r="M548" s="1173"/>
      <c r="N548" s="1173"/>
      <c r="O548" s="1165">
        <f t="shared" si="91"/>
        <v>0</v>
      </c>
      <c r="P548" s="1173"/>
      <c r="Q548" s="1173"/>
      <c r="R548" s="1173"/>
      <c r="S548" s="1173"/>
      <c r="T548" s="1173"/>
      <c r="U548" s="1173"/>
      <c r="V548" s="1173"/>
      <c r="W548" s="1439" t="e">
        <f t="shared" si="92"/>
        <v>#DIV/0!</v>
      </c>
      <c r="X548" s="1432"/>
      <c r="Y548" s="765"/>
    </row>
    <row r="549" spans="1:25" ht="22.5" customHeight="1" thickTop="1" thickBot="1" x14ac:dyDescent="0.3">
      <c r="A549" s="1287">
        <v>1</v>
      </c>
      <c r="B549" s="1288" t="s">
        <v>1378</v>
      </c>
      <c r="C549" s="1288" t="s">
        <v>1391</v>
      </c>
      <c r="D549" s="1288" t="s">
        <v>1419</v>
      </c>
      <c r="E549" s="1288" t="s">
        <v>1378</v>
      </c>
      <c r="F549" s="1288" t="s">
        <v>1467</v>
      </c>
      <c r="G549" s="1288" t="s">
        <v>1415</v>
      </c>
      <c r="H549" s="1288"/>
      <c r="I549" s="1288"/>
      <c r="J549" s="1288"/>
      <c r="K549" s="754" t="s">
        <v>2517</v>
      </c>
      <c r="L549" s="1173"/>
      <c r="M549" s="1173"/>
      <c r="N549" s="1173"/>
      <c r="O549" s="1165">
        <f t="shared" si="91"/>
        <v>0</v>
      </c>
      <c r="P549" s="1173"/>
      <c r="Q549" s="1173"/>
      <c r="R549" s="1173"/>
      <c r="S549" s="1173"/>
      <c r="T549" s="1173"/>
      <c r="U549" s="1173"/>
      <c r="V549" s="1173"/>
      <c r="W549" s="1439" t="e">
        <f t="shared" si="92"/>
        <v>#DIV/0!</v>
      </c>
      <c r="X549" s="1432"/>
      <c r="Y549" s="765"/>
    </row>
    <row r="550" spans="1:25" ht="22.5" customHeight="1" thickTop="1" thickBot="1" x14ac:dyDescent="0.3">
      <c r="A550" s="1287">
        <v>1</v>
      </c>
      <c r="B550" s="1288" t="s">
        <v>1378</v>
      </c>
      <c r="C550" s="1288" t="s">
        <v>1391</v>
      </c>
      <c r="D550" s="1288" t="s">
        <v>1419</v>
      </c>
      <c r="E550" s="1288" t="s">
        <v>1378</v>
      </c>
      <c r="F550" s="1288" t="s">
        <v>1467</v>
      </c>
      <c r="G550" s="1288" t="s">
        <v>1419</v>
      </c>
      <c r="H550" s="1288"/>
      <c r="I550" s="1288"/>
      <c r="J550" s="1288"/>
      <c r="K550" s="754" t="s">
        <v>2518</v>
      </c>
      <c r="L550" s="1173"/>
      <c r="M550" s="1173"/>
      <c r="N550" s="1173"/>
      <c r="O550" s="1165">
        <f t="shared" si="91"/>
        <v>0</v>
      </c>
      <c r="P550" s="1173"/>
      <c r="Q550" s="1173"/>
      <c r="R550" s="1173"/>
      <c r="S550" s="1173"/>
      <c r="T550" s="1173"/>
      <c r="U550" s="1173"/>
      <c r="V550" s="1173"/>
      <c r="W550" s="1439" t="e">
        <f t="shared" si="92"/>
        <v>#DIV/0!</v>
      </c>
      <c r="X550" s="1432"/>
      <c r="Y550" s="765"/>
    </row>
    <row r="551" spans="1:25" ht="22.5" customHeight="1" thickTop="1" thickBot="1" x14ac:dyDescent="0.3">
      <c r="A551" s="1287">
        <v>1</v>
      </c>
      <c r="B551" s="1288" t="s">
        <v>1378</v>
      </c>
      <c r="C551" s="1288" t="s">
        <v>1391</v>
      </c>
      <c r="D551" s="1288" t="s">
        <v>1419</v>
      </c>
      <c r="E551" s="1288" t="s">
        <v>1378</v>
      </c>
      <c r="F551" s="1288" t="s">
        <v>1467</v>
      </c>
      <c r="G551" s="1288" t="s">
        <v>1444</v>
      </c>
      <c r="H551" s="1288"/>
      <c r="I551" s="1288"/>
      <c r="J551" s="1288"/>
      <c r="K551" s="754" t="s">
        <v>2519</v>
      </c>
      <c r="L551" s="1173"/>
      <c r="M551" s="1173"/>
      <c r="N551" s="1173"/>
      <c r="O551" s="1165">
        <f t="shared" si="91"/>
        <v>0</v>
      </c>
      <c r="P551" s="1173"/>
      <c r="Q551" s="1173"/>
      <c r="R551" s="1173"/>
      <c r="S551" s="1173"/>
      <c r="T551" s="1173"/>
      <c r="U551" s="1173"/>
      <c r="V551" s="1173"/>
      <c r="W551" s="1439" t="e">
        <f t="shared" si="92"/>
        <v>#DIV/0!</v>
      </c>
      <c r="X551" s="1432"/>
      <c r="Y551" s="765"/>
    </row>
    <row r="552" spans="1:25" ht="22.5" customHeight="1" thickTop="1" thickBot="1" x14ac:dyDescent="0.3">
      <c r="A552" s="1287">
        <v>1</v>
      </c>
      <c r="B552" s="1288" t="s">
        <v>1378</v>
      </c>
      <c r="C552" s="1288" t="s">
        <v>1391</v>
      </c>
      <c r="D552" s="1288" t="s">
        <v>1419</v>
      </c>
      <c r="E552" s="1288" t="s">
        <v>1378</v>
      </c>
      <c r="F552" s="1288" t="s">
        <v>1467</v>
      </c>
      <c r="G552" s="1288" t="s">
        <v>1467</v>
      </c>
      <c r="H552" s="1288"/>
      <c r="I552" s="1288"/>
      <c r="J552" s="1288"/>
      <c r="K552" s="754" t="s">
        <v>2520</v>
      </c>
      <c r="L552" s="1173"/>
      <c r="M552" s="1173"/>
      <c r="N552" s="1173"/>
      <c r="O552" s="1165">
        <f t="shared" si="91"/>
        <v>0</v>
      </c>
      <c r="P552" s="1173"/>
      <c r="Q552" s="1173"/>
      <c r="R552" s="1173"/>
      <c r="S552" s="1173"/>
      <c r="T552" s="1173"/>
      <c r="U552" s="1173"/>
      <c r="V552" s="1173"/>
      <c r="W552" s="1439" t="e">
        <f t="shared" si="92"/>
        <v>#DIV/0!</v>
      </c>
      <c r="X552" s="1432"/>
      <c r="Y552" s="765"/>
    </row>
    <row r="553" spans="1:25" ht="22.5" customHeight="1" thickTop="1" thickBot="1" x14ac:dyDescent="0.3">
      <c r="A553" s="1287">
        <v>1</v>
      </c>
      <c r="B553" s="1288" t="s">
        <v>1378</v>
      </c>
      <c r="C553" s="1288" t="s">
        <v>1391</v>
      </c>
      <c r="D553" s="1288" t="s">
        <v>1419</v>
      </c>
      <c r="E553" s="1288" t="s">
        <v>1378</v>
      </c>
      <c r="F553" s="1288" t="s">
        <v>1467</v>
      </c>
      <c r="G553" s="1288" t="s">
        <v>1471</v>
      </c>
      <c r="H553" s="1288"/>
      <c r="I553" s="1288"/>
      <c r="J553" s="1288"/>
      <c r="K553" s="754" t="s">
        <v>2521</v>
      </c>
      <c r="L553" s="1173"/>
      <c r="M553" s="1173"/>
      <c r="N553" s="1173"/>
      <c r="O553" s="1165">
        <f t="shared" si="91"/>
        <v>0</v>
      </c>
      <c r="P553" s="1173"/>
      <c r="Q553" s="1173"/>
      <c r="R553" s="1173"/>
      <c r="S553" s="1173"/>
      <c r="T553" s="1173"/>
      <c r="U553" s="1173"/>
      <c r="V553" s="1173"/>
      <c r="W553" s="1439" t="e">
        <f t="shared" si="92"/>
        <v>#DIV/0!</v>
      </c>
      <c r="X553" s="1432"/>
      <c r="Y553" s="765"/>
    </row>
    <row r="554" spans="1:25" ht="22.5" customHeight="1" thickTop="1" thickBot="1" x14ac:dyDescent="0.3">
      <c r="A554" s="1287">
        <v>1</v>
      </c>
      <c r="B554" s="1288" t="s">
        <v>1378</v>
      </c>
      <c r="C554" s="1288" t="s">
        <v>1391</v>
      </c>
      <c r="D554" s="1288" t="s">
        <v>1419</v>
      </c>
      <c r="E554" s="1288" t="s">
        <v>1378</v>
      </c>
      <c r="F554" s="1288" t="s">
        <v>1467</v>
      </c>
      <c r="G554" s="1288" t="s">
        <v>1475</v>
      </c>
      <c r="H554" s="1288"/>
      <c r="I554" s="1288"/>
      <c r="J554" s="1288"/>
      <c r="K554" s="754" t="s">
        <v>2522</v>
      </c>
      <c r="L554" s="1173"/>
      <c r="M554" s="1173"/>
      <c r="N554" s="1173"/>
      <c r="O554" s="1165">
        <f t="shared" si="91"/>
        <v>0</v>
      </c>
      <c r="P554" s="1173"/>
      <c r="Q554" s="1173"/>
      <c r="R554" s="1173"/>
      <c r="S554" s="1173"/>
      <c r="T554" s="1173"/>
      <c r="U554" s="1173"/>
      <c r="V554" s="1173"/>
      <c r="W554" s="1439" t="e">
        <f t="shared" si="92"/>
        <v>#DIV/0!</v>
      </c>
      <c r="X554" s="1432"/>
      <c r="Y554" s="765"/>
    </row>
    <row r="555" spans="1:25" ht="22.5" customHeight="1" thickTop="1" thickBot="1" x14ac:dyDescent="0.3">
      <c r="A555" s="1287">
        <v>1</v>
      </c>
      <c r="B555" s="1288" t="s">
        <v>1378</v>
      </c>
      <c r="C555" s="1288" t="s">
        <v>1391</v>
      </c>
      <c r="D555" s="1288" t="s">
        <v>1419</v>
      </c>
      <c r="E555" s="1288" t="s">
        <v>1378</v>
      </c>
      <c r="F555" s="1288" t="s">
        <v>1467</v>
      </c>
      <c r="G555" s="1288" t="s">
        <v>1573</v>
      </c>
      <c r="H555" s="1288"/>
      <c r="I555" s="1288"/>
      <c r="J555" s="1288"/>
      <c r="K555" s="754" t="s">
        <v>2523</v>
      </c>
      <c r="L555" s="1173"/>
      <c r="M555" s="1173"/>
      <c r="N555" s="1173"/>
      <c r="O555" s="1165">
        <f t="shared" si="91"/>
        <v>0</v>
      </c>
      <c r="P555" s="1173"/>
      <c r="Q555" s="1173"/>
      <c r="R555" s="1173"/>
      <c r="S555" s="1173"/>
      <c r="T555" s="1173"/>
      <c r="U555" s="1173"/>
      <c r="V555" s="1173"/>
      <c r="W555" s="1439" t="e">
        <f t="shared" si="92"/>
        <v>#DIV/0!</v>
      </c>
      <c r="X555" s="1432"/>
      <c r="Y555" s="765"/>
    </row>
    <row r="556" spans="1:25" ht="22.5" customHeight="1" thickTop="1" thickBot="1" x14ac:dyDescent="0.3">
      <c r="A556" s="1287">
        <v>1</v>
      </c>
      <c r="B556" s="1288" t="s">
        <v>1378</v>
      </c>
      <c r="C556" s="1288" t="s">
        <v>1391</v>
      </c>
      <c r="D556" s="1288" t="s">
        <v>1419</v>
      </c>
      <c r="E556" s="1288" t="s">
        <v>1378</v>
      </c>
      <c r="F556" s="1288" t="s">
        <v>1467</v>
      </c>
      <c r="G556" s="1288" t="s">
        <v>1574</v>
      </c>
      <c r="H556" s="1288"/>
      <c r="I556" s="1288"/>
      <c r="J556" s="1288"/>
      <c r="K556" s="754" t="s">
        <v>2524</v>
      </c>
      <c r="L556" s="1173"/>
      <c r="M556" s="1173"/>
      <c r="N556" s="1173"/>
      <c r="O556" s="1165">
        <f t="shared" si="91"/>
        <v>0</v>
      </c>
      <c r="P556" s="1173"/>
      <c r="Q556" s="1173"/>
      <c r="R556" s="1173"/>
      <c r="S556" s="1173"/>
      <c r="T556" s="1173"/>
      <c r="U556" s="1173"/>
      <c r="V556" s="1173"/>
      <c r="W556" s="1439" t="e">
        <f t="shared" si="92"/>
        <v>#DIV/0!</v>
      </c>
      <c r="X556" s="1432"/>
      <c r="Y556" s="765"/>
    </row>
    <row r="557" spans="1:25" ht="22.5" customHeight="1" thickTop="1" thickBot="1" x14ac:dyDescent="0.3">
      <c r="A557" s="1287">
        <v>1</v>
      </c>
      <c r="B557" s="1288" t="s">
        <v>1378</v>
      </c>
      <c r="C557" s="1288" t="s">
        <v>1391</v>
      </c>
      <c r="D557" s="1288" t="s">
        <v>1419</v>
      </c>
      <c r="E557" s="1288" t="s">
        <v>1378</v>
      </c>
      <c r="F557" s="1288" t="s">
        <v>1467</v>
      </c>
      <c r="G557" s="1288" t="s">
        <v>1575</v>
      </c>
      <c r="H557" s="1288"/>
      <c r="I557" s="1288"/>
      <c r="J557" s="1288"/>
      <c r="K557" s="754" t="s">
        <v>2525</v>
      </c>
      <c r="L557" s="1173"/>
      <c r="M557" s="1173"/>
      <c r="N557" s="1173"/>
      <c r="O557" s="1165">
        <f t="shared" si="91"/>
        <v>0</v>
      </c>
      <c r="P557" s="1173"/>
      <c r="Q557" s="1173"/>
      <c r="R557" s="1173"/>
      <c r="S557" s="1173"/>
      <c r="T557" s="1173"/>
      <c r="U557" s="1173"/>
      <c r="V557" s="1173"/>
      <c r="W557" s="1439" t="e">
        <f t="shared" si="92"/>
        <v>#DIV/0!</v>
      </c>
      <c r="X557" s="1432"/>
      <c r="Y557" s="765"/>
    </row>
    <row r="558" spans="1:25" ht="22.5" customHeight="1" thickTop="1" thickBot="1" x14ac:dyDescent="0.3">
      <c r="A558" s="1287">
        <v>1</v>
      </c>
      <c r="B558" s="1288" t="s">
        <v>1378</v>
      </c>
      <c r="C558" s="1288" t="s">
        <v>1391</v>
      </c>
      <c r="D558" s="1288" t="s">
        <v>1419</v>
      </c>
      <c r="E558" s="1288" t="s">
        <v>1378</v>
      </c>
      <c r="F558" s="1288" t="s">
        <v>1471</v>
      </c>
      <c r="G558" s="1288"/>
      <c r="H558" s="1288"/>
      <c r="I558" s="1288"/>
      <c r="J558" s="1288"/>
      <c r="K558" s="754" t="s">
        <v>2030</v>
      </c>
      <c r="L558" s="1173">
        <f>SUM(L559:L569)</f>
        <v>0</v>
      </c>
      <c r="M558" s="1173">
        <f t="shared" ref="M558:V558" si="96">SUM(M559:M569)</f>
        <v>0</v>
      </c>
      <c r="N558" s="1173">
        <f t="shared" si="96"/>
        <v>0</v>
      </c>
      <c r="O558" s="1165">
        <f t="shared" si="91"/>
        <v>0</v>
      </c>
      <c r="P558" s="1173">
        <f t="shared" si="96"/>
        <v>0</v>
      </c>
      <c r="Q558" s="1173">
        <f t="shared" si="96"/>
        <v>0</v>
      </c>
      <c r="R558" s="1173">
        <f t="shared" si="96"/>
        <v>0</v>
      </c>
      <c r="S558" s="1173"/>
      <c r="T558" s="1173">
        <f t="shared" si="96"/>
        <v>0</v>
      </c>
      <c r="U558" s="1173">
        <f t="shared" si="96"/>
        <v>0</v>
      </c>
      <c r="V558" s="1173">
        <f t="shared" si="96"/>
        <v>0</v>
      </c>
      <c r="W558" s="1439" t="e">
        <f t="shared" si="92"/>
        <v>#DIV/0!</v>
      </c>
      <c r="X558" s="1432"/>
      <c r="Y558" s="765"/>
    </row>
    <row r="559" spans="1:25" ht="22.5" customHeight="1" thickTop="1" thickBot="1" x14ac:dyDescent="0.3">
      <c r="A559" s="1287">
        <v>1</v>
      </c>
      <c r="B559" s="1288" t="s">
        <v>1378</v>
      </c>
      <c r="C559" s="1288" t="s">
        <v>1391</v>
      </c>
      <c r="D559" s="1288" t="s">
        <v>1419</v>
      </c>
      <c r="E559" s="1288" t="s">
        <v>1378</v>
      </c>
      <c r="F559" s="1288" t="s">
        <v>1471</v>
      </c>
      <c r="G559" s="1288" t="s">
        <v>1378</v>
      </c>
      <c r="H559" s="1288"/>
      <c r="I559" s="1288"/>
      <c r="J559" s="1288"/>
      <c r="K559" s="754" t="s">
        <v>2605</v>
      </c>
      <c r="L559" s="1173"/>
      <c r="M559" s="1173"/>
      <c r="N559" s="1173"/>
      <c r="O559" s="1165">
        <f t="shared" si="91"/>
        <v>0</v>
      </c>
      <c r="P559" s="1173"/>
      <c r="Q559" s="1173"/>
      <c r="R559" s="1173"/>
      <c r="S559" s="1173"/>
      <c r="T559" s="1173"/>
      <c r="U559" s="1173"/>
      <c r="V559" s="1173"/>
      <c r="W559" s="1439" t="e">
        <f t="shared" si="92"/>
        <v>#DIV/0!</v>
      </c>
      <c r="X559" s="1432"/>
      <c r="Y559" s="765"/>
    </row>
    <row r="560" spans="1:25" ht="22.5" customHeight="1" thickTop="1" thickBot="1" x14ac:dyDescent="0.3">
      <c r="A560" s="1287">
        <v>1</v>
      </c>
      <c r="B560" s="1288" t="s">
        <v>1378</v>
      </c>
      <c r="C560" s="1288" t="s">
        <v>1391</v>
      </c>
      <c r="D560" s="1288" t="s">
        <v>1419</v>
      </c>
      <c r="E560" s="1288" t="s">
        <v>1378</v>
      </c>
      <c r="F560" s="1288" t="s">
        <v>1471</v>
      </c>
      <c r="G560" s="1288" t="s">
        <v>1391</v>
      </c>
      <c r="H560" s="1288"/>
      <c r="I560" s="1288"/>
      <c r="J560" s="1288"/>
      <c r="K560" s="754" t="s">
        <v>2606</v>
      </c>
      <c r="L560" s="1173"/>
      <c r="M560" s="1173"/>
      <c r="N560" s="1173"/>
      <c r="O560" s="1165">
        <f t="shared" si="91"/>
        <v>0</v>
      </c>
      <c r="P560" s="1173"/>
      <c r="Q560" s="1173"/>
      <c r="R560" s="1173"/>
      <c r="S560" s="1173"/>
      <c r="T560" s="1173"/>
      <c r="U560" s="1173"/>
      <c r="V560" s="1173"/>
      <c r="W560" s="1439" t="e">
        <f t="shared" si="92"/>
        <v>#DIV/0!</v>
      </c>
      <c r="X560" s="1432"/>
      <c r="Y560" s="765"/>
    </row>
    <row r="561" spans="1:25" ht="22.5" customHeight="1" thickTop="1" thickBot="1" x14ac:dyDescent="0.3">
      <c r="A561" s="1287">
        <v>1</v>
      </c>
      <c r="B561" s="1288" t="s">
        <v>1378</v>
      </c>
      <c r="C561" s="1288" t="s">
        <v>1391</v>
      </c>
      <c r="D561" s="1288" t="s">
        <v>1419</v>
      </c>
      <c r="E561" s="1288" t="s">
        <v>1378</v>
      </c>
      <c r="F561" s="1288" t="s">
        <v>1471</v>
      </c>
      <c r="G561" s="1288" t="s">
        <v>1415</v>
      </c>
      <c r="H561" s="1288"/>
      <c r="I561" s="1288"/>
      <c r="J561" s="1288"/>
      <c r="K561" s="754" t="s">
        <v>2607</v>
      </c>
      <c r="L561" s="1173"/>
      <c r="M561" s="1173"/>
      <c r="N561" s="1173"/>
      <c r="O561" s="1165">
        <f t="shared" si="91"/>
        <v>0</v>
      </c>
      <c r="P561" s="1173"/>
      <c r="Q561" s="1173"/>
      <c r="R561" s="1173"/>
      <c r="S561" s="1173"/>
      <c r="T561" s="1173"/>
      <c r="U561" s="1173"/>
      <c r="V561" s="1173"/>
      <c r="W561" s="1439" t="e">
        <f t="shared" si="92"/>
        <v>#DIV/0!</v>
      </c>
      <c r="X561" s="1432"/>
      <c r="Y561" s="765"/>
    </row>
    <row r="562" spans="1:25" ht="22.5" customHeight="1" thickTop="1" thickBot="1" x14ac:dyDescent="0.3">
      <c r="A562" s="1287">
        <v>1</v>
      </c>
      <c r="B562" s="1288" t="s">
        <v>1378</v>
      </c>
      <c r="C562" s="1288" t="s">
        <v>1391</v>
      </c>
      <c r="D562" s="1288" t="s">
        <v>1419</v>
      </c>
      <c r="E562" s="1288" t="s">
        <v>1378</v>
      </c>
      <c r="F562" s="1288" t="s">
        <v>1471</v>
      </c>
      <c r="G562" s="1288" t="s">
        <v>1419</v>
      </c>
      <c r="H562" s="1288"/>
      <c r="I562" s="1288"/>
      <c r="J562" s="1288"/>
      <c r="K562" s="754" t="s">
        <v>2608</v>
      </c>
      <c r="L562" s="1173"/>
      <c r="M562" s="1173"/>
      <c r="N562" s="1173"/>
      <c r="O562" s="1165">
        <f t="shared" si="91"/>
        <v>0</v>
      </c>
      <c r="P562" s="1173"/>
      <c r="Q562" s="1173"/>
      <c r="R562" s="1173"/>
      <c r="S562" s="1173"/>
      <c r="T562" s="1173"/>
      <c r="U562" s="1173"/>
      <c r="V562" s="1173"/>
      <c r="W562" s="1439" t="e">
        <f t="shared" si="92"/>
        <v>#DIV/0!</v>
      </c>
      <c r="X562" s="1432"/>
      <c r="Y562" s="765"/>
    </row>
    <row r="563" spans="1:25" ht="22.5" customHeight="1" thickTop="1" thickBot="1" x14ac:dyDescent="0.3">
      <c r="A563" s="1287">
        <v>1</v>
      </c>
      <c r="B563" s="1288" t="s">
        <v>1378</v>
      </c>
      <c r="C563" s="1288" t="s">
        <v>1391</v>
      </c>
      <c r="D563" s="1288" t="s">
        <v>1419</v>
      </c>
      <c r="E563" s="1288" t="s">
        <v>1378</v>
      </c>
      <c r="F563" s="1288" t="s">
        <v>1471</v>
      </c>
      <c r="G563" s="1288" t="s">
        <v>1444</v>
      </c>
      <c r="H563" s="1288"/>
      <c r="I563" s="1288"/>
      <c r="J563" s="1288"/>
      <c r="K563" s="754" t="s">
        <v>2609</v>
      </c>
      <c r="L563" s="1173"/>
      <c r="M563" s="1173"/>
      <c r="N563" s="1173"/>
      <c r="O563" s="1165">
        <f t="shared" si="91"/>
        <v>0</v>
      </c>
      <c r="P563" s="1173"/>
      <c r="Q563" s="1173"/>
      <c r="R563" s="1173"/>
      <c r="S563" s="1173"/>
      <c r="T563" s="1173"/>
      <c r="U563" s="1173"/>
      <c r="V563" s="1173"/>
      <c r="W563" s="1439" t="e">
        <f t="shared" si="92"/>
        <v>#DIV/0!</v>
      </c>
      <c r="X563" s="1432"/>
      <c r="Y563" s="765"/>
    </row>
    <row r="564" spans="1:25" ht="22.5" customHeight="1" thickTop="1" thickBot="1" x14ac:dyDescent="0.3">
      <c r="A564" s="1287">
        <v>1</v>
      </c>
      <c r="B564" s="1288" t="s">
        <v>1378</v>
      </c>
      <c r="C564" s="1288" t="s">
        <v>1391</v>
      </c>
      <c r="D564" s="1288" t="s">
        <v>1419</v>
      </c>
      <c r="E564" s="1288" t="s">
        <v>1378</v>
      </c>
      <c r="F564" s="1288" t="s">
        <v>1471</v>
      </c>
      <c r="G564" s="1288" t="s">
        <v>1467</v>
      </c>
      <c r="H564" s="1288"/>
      <c r="I564" s="1288"/>
      <c r="J564" s="1288"/>
      <c r="K564" s="754" t="s">
        <v>2610</v>
      </c>
      <c r="L564" s="1173"/>
      <c r="M564" s="1173"/>
      <c r="N564" s="1173"/>
      <c r="O564" s="1165">
        <f t="shared" si="91"/>
        <v>0</v>
      </c>
      <c r="P564" s="1173"/>
      <c r="Q564" s="1173"/>
      <c r="R564" s="1173"/>
      <c r="S564" s="1173"/>
      <c r="T564" s="1173"/>
      <c r="U564" s="1173"/>
      <c r="V564" s="1173"/>
      <c r="W564" s="1439" t="e">
        <f t="shared" si="92"/>
        <v>#DIV/0!</v>
      </c>
      <c r="X564" s="1432"/>
      <c r="Y564" s="765"/>
    </row>
    <row r="565" spans="1:25" ht="22.5" customHeight="1" thickTop="1" thickBot="1" x14ac:dyDescent="0.3">
      <c r="A565" s="1287">
        <v>1</v>
      </c>
      <c r="B565" s="1288" t="s">
        <v>1378</v>
      </c>
      <c r="C565" s="1288" t="s">
        <v>1391</v>
      </c>
      <c r="D565" s="1288" t="s">
        <v>1419</v>
      </c>
      <c r="E565" s="1288" t="s">
        <v>1378</v>
      </c>
      <c r="F565" s="1288" t="s">
        <v>1471</v>
      </c>
      <c r="G565" s="1288" t="s">
        <v>1471</v>
      </c>
      <c r="H565" s="1288"/>
      <c r="I565" s="1288"/>
      <c r="J565" s="1288"/>
      <c r="K565" s="754" t="s">
        <v>2611</v>
      </c>
      <c r="L565" s="1173"/>
      <c r="M565" s="1173"/>
      <c r="N565" s="1173"/>
      <c r="O565" s="1165">
        <f t="shared" si="91"/>
        <v>0</v>
      </c>
      <c r="P565" s="1173"/>
      <c r="Q565" s="1173"/>
      <c r="R565" s="1173"/>
      <c r="S565" s="1173"/>
      <c r="T565" s="1173"/>
      <c r="U565" s="1173"/>
      <c r="V565" s="1173"/>
      <c r="W565" s="1439" t="e">
        <f t="shared" si="92"/>
        <v>#DIV/0!</v>
      </c>
      <c r="X565" s="1432"/>
      <c r="Y565" s="765"/>
    </row>
    <row r="566" spans="1:25" ht="22.5" customHeight="1" thickTop="1" thickBot="1" x14ac:dyDescent="0.3">
      <c r="A566" s="1287">
        <v>1</v>
      </c>
      <c r="B566" s="1288" t="s">
        <v>1378</v>
      </c>
      <c r="C566" s="1288" t="s">
        <v>1391</v>
      </c>
      <c r="D566" s="1288" t="s">
        <v>1419</v>
      </c>
      <c r="E566" s="1288" t="s">
        <v>1378</v>
      </c>
      <c r="F566" s="1288" t="s">
        <v>1471</v>
      </c>
      <c r="G566" s="1288" t="s">
        <v>1475</v>
      </c>
      <c r="H566" s="1288"/>
      <c r="I566" s="1288"/>
      <c r="J566" s="1288"/>
      <c r="K566" s="754" t="s">
        <v>2612</v>
      </c>
      <c r="L566" s="1173"/>
      <c r="M566" s="1173"/>
      <c r="N566" s="1173"/>
      <c r="O566" s="1165">
        <f t="shared" si="91"/>
        <v>0</v>
      </c>
      <c r="P566" s="1173"/>
      <c r="Q566" s="1173"/>
      <c r="R566" s="1173"/>
      <c r="S566" s="1173"/>
      <c r="T566" s="1173"/>
      <c r="U566" s="1173"/>
      <c r="V566" s="1173"/>
      <c r="W566" s="1439" t="e">
        <f t="shared" si="92"/>
        <v>#DIV/0!</v>
      </c>
      <c r="X566" s="1432"/>
      <c r="Y566" s="765"/>
    </row>
    <row r="567" spans="1:25" ht="22.5" customHeight="1" thickTop="1" thickBot="1" x14ac:dyDescent="0.3">
      <c r="A567" s="1287">
        <v>1</v>
      </c>
      <c r="B567" s="1288" t="s">
        <v>1378</v>
      </c>
      <c r="C567" s="1288" t="s">
        <v>1391</v>
      </c>
      <c r="D567" s="1288" t="s">
        <v>1419</v>
      </c>
      <c r="E567" s="1288" t="s">
        <v>1378</v>
      </c>
      <c r="F567" s="1288" t="s">
        <v>1471</v>
      </c>
      <c r="G567" s="1288" t="s">
        <v>1573</v>
      </c>
      <c r="H567" s="1288"/>
      <c r="I567" s="1288"/>
      <c r="J567" s="1288"/>
      <c r="K567" s="754" t="s">
        <v>2613</v>
      </c>
      <c r="L567" s="1173"/>
      <c r="M567" s="1173"/>
      <c r="N567" s="1173"/>
      <c r="O567" s="1165">
        <f t="shared" si="91"/>
        <v>0</v>
      </c>
      <c r="P567" s="1173"/>
      <c r="Q567" s="1173"/>
      <c r="R567" s="1173"/>
      <c r="S567" s="1173"/>
      <c r="T567" s="1173"/>
      <c r="U567" s="1173"/>
      <c r="V567" s="1173"/>
      <c r="W567" s="1439" t="e">
        <f t="shared" si="92"/>
        <v>#DIV/0!</v>
      </c>
      <c r="X567" s="1432"/>
      <c r="Y567" s="765"/>
    </row>
    <row r="568" spans="1:25" ht="22.5" customHeight="1" thickTop="1" thickBot="1" x14ac:dyDescent="0.3">
      <c r="A568" s="1287">
        <v>1</v>
      </c>
      <c r="B568" s="1288" t="s">
        <v>1378</v>
      </c>
      <c r="C568" s="1288" t="s">
        <v>1391</v>
      </c>
      <c r="D568" s="1288" t="s">
        <v>1419</v>
      </c>
      <c r="E568" s="1288" t="s">
        <v>1378</v>
      </c>
      <c r="F568" s="1288" t="s">
        <v>1471</v>
      </c>
      <c r="G568" s="1288" t="s">
        <v>1574</v>
      </c>
      <c r="H568" s="1288"/>
      <c r="I568" s="1288"/>
      <c r="J568" s="1288"/>
      <c r="K568" s="754" t="s">
        <v>2614</v>
      </c>
      <c r="L568" s="1173"/>
      <c r="M568" s="1173"/>
      <c r="N568" s="1173"/>
      <c r="O568" s="1165">
        <f t="shared" si="91"/>
        <v>0</v>
      </c>
      <c r="P568" s="1173"/>
      <c r="Q568" s="1173"/>
      <c r="R568" s="1173"/>
      <c r="S568" s="1173"/>
      <c r="T568" s="1173"/>
      <c r="U568" s="1173"/>
      <c r="V568" s="1173"/>
      <c r="W568" s="1439" t="e">
        <f t="shared" si="92"/>
        <v>#DIV/0!</v>
      </c>
      <c r="X568" s="1432"/>
      <c r="Y568" s="765"/>
    </row>
    <row r="569" spans="1:25" ht="22.5" customHeight="1" thickTop="1" thickBot="1" x14ac:dyDescent="0.3">
      <c r="A569" s="1287">
        <v>1</v>
      </c>
      <c r="B569" s="1288" t="s">
        <v>1378</v>
      </c>
      <c r="C569" s="1288" t="s">
        <v>1391</v>
      </c>
      <c r="D569" s="1288" t="s">
        <v>1419</v>
      </c>
      <c r="E569" s="1288" t="s">
        <v>1378</v>
      </c>
      <c r="F569" s="1288" t="s">
        <v>1471</v>
      </c>
      <c r="G569" s="1288" t="s">
        <v>1575</v>
      </c>
      <c r="H569" s="1288"/>
      <c r="I569" s="1288"/>
      <c r="J569" s="1288"/>
      <c r="K569" s="754" t="s">
        <v>2615</v>
      </c>
      <c r="L569" s="1173"/>
      <c r="M569" s="1173"/>
      <c r="N569" s="1173"/>
      <c r="O569" s="1165">
        <f t="shared" si="91"/>
        <v>0</v>
      </c>
      <c r="P569" s="1173"/>
      <c r="Q569" s="1173"/>
      <c r="R569" s="1173"/>
      <c r="S569" s="1173"/>
      <c r="T569" s="1173"/>
      <c r="U569" s="1173"/>
      <c r="V569" s="1173"/>
      <c r="W569" s="1439" t="e">
        <f t="shared" si="92"/>
        <v>#DIV/0!</v>
      </c>
      <c r="X569" s="1432"/>
      <c r="Y569" s="765"/>
    </row>
    <row r="570" spans="1:25" s="183" customFormat="1" ht="22.5" customHeight="1" thickTop="1" thickBot="1" x14ac:dyDescent="0.3">
      <c r="A570" s="1279">
        <v>1</v>
      </c>
      <c r="B570" s="1280" t="s">
        <v>1378</v>
      </c>
      <c r="C570" s="1280" t="s">
        <v>1391</v>
      </c>
      <c r="D570" s="1280" t="s">
        <v>1444</v>
      </c>
      <c r="E570" s="1280"/>
      <c r="F570" s="1280"/>
      <c r="G570" s="1280"/>
      <c r="H570" s="1280"/>
      <c r="I570" s="1280"/>
      <c r="J570" s="1280"/>
      <c r="K570" s="656" t="s">
        <v>1632</v>
      </c>
      <c r="L570" s="1176">
        <f>+L571+L659</f>
        <v>0</v>
      </c>
      <c r="M570" s="1176">
        <f t="shared" ref="M570:V570" si="97">+M571+M659</f>
        <v>0</v>
      </c>
      <c r="N570" s="1176">
        <f t="shared" si="97"/>
        <v>0</v>
      </c>
      <c r="O570" s="1165">
        <f t="shared" si="91"/>
        <v>0</v>
      </c>
      <c r="P570" s="1176">
        <f t="shared" si="97"/>
        <v>0</v>
      </c>
      <c r="Q570" s="1176">
        <f t="shared" si="97"/>
        <v>0</v>
      </c>
      <c r="R570" s="1176">
        <f t="shared" si="97"/>
        <v>0</v>
      </c>
      <c r="S570" s="1176"/>
      <c r="T570" s="1176">
        <f t="shared" si="97"/>
        <v>0</v>
      </c>
      <c r="U570" s="1176">
        <f t="shared" si="97"/>
        <v>0</v>
      </c>
      <c r="V570" s="1176">
        <f t="shared" si="97"/>
        <v>0</v>
      </c>
      <c r="W570" s="1442" t="e">
        <f t="shared" si="92"/>
        <v>#DIV/0!</v>
      </c>
      <c r="X570" s="1432" t="s">
        <v>2046</v>
      </c>
      <c r="Y570" s="765"/>
    </row>
    <row r="571" spans="1:25" s="183" customFormat="1" ht="22.5" customHeight="1" thickTop="1" thickBot="1" x14ac:dyDescent="0.3">
      <c r="A571" s="1285">
        <v>1</v>
      </c>
      <c r="B571" s="1286" t="s">
        <v>1378</v>
      </c>
      <c r="C571" s="1286" t="s">
        <v>1391</v>
      </c>
      <c r="D571" s="1286" t="s">
        <v>1444</v>
      </c>
      <c r="E571" s="1286" t="s">
        <v>1378</v>
      </c>
      <c r="F571" s="1286"/>
      <c r="G571" s="1286"/>
      <c r="H571" s="1286"/>
      <c r="I571" s="1286"/>
      <c r="J571" s="1286"/>
      <c r="K571" s="753" t="s">
        <v>1297</v>
      </c>
      <c r="L571" s="1177">
        <f>+L572+L597+L622</f>
        <v>0</v>
      </c>
      <c r="M571" s="1177">
        <f t="shared" ref="M571:V571" si="98">+M572+M597+M622</f>
        <v>0</v>
      </c>
      <c r="N571" s="1177">
        <f t="shared" si="98"/>
        <v>0</v>
      </c>
      <c r="O571" s="1165">
        <f t="shared" si="91"/>
        <v>0</v>
      </c>
      <c r="P571" s="1177">
        <f t="shared" si="98"/>
        <v>0</v>
      </c>
      <c r="Q571" s="1177">
        <f t="shared" si="98"/>
        <v>0</v>
      </c>
      <c r="R571" s="1177">
        <f t="shared" si="98"/>
        <v>0</v>
      </c>
      <c r="S571" s="1177"/>
      <c r="T571" s="1177">
        <f t="shared" si="98"/>
        <v>0</v>
      </c>
      <c r="U571" s="1177">
        <f t="shared" si="98"/>
        <v>0</v>
      </c>
      <c r="V571" s="1177">
        <f t="shared" si="98"/>
        <v>0</v>
      </c>
      <c r="W571" s="1443" t="e">
        <f t="shared" si="92"/>
        <v>#DIV/0!</v>
      </c>
      <c r="X571" s="1432" t="s">
        <v>1650</v>
      </c>
      <c r="Y571" s="765"/>
    </row>
    <row r="572" spans="1:25" s="183" customFormat="1" ht="22.5" customHeight="1" thickTop="1" thickBot="1" x14ac:dyDescent="0.3">
      <c r="A572" s="1285">
        <v>1</v>
      </c>
      <c r="B572" s="1286" t="s">
        <v>1378</v>
      </c>
      <c r="C572" s="1286" t="s">
        <v>1391</v>
      </c>
      <c r="D572" s="1286" t="s">
        <v>1444</v>
      </c>
      <c r="E572" s="1286" t="s">
        <v>1378</v>
      </c>
      <c r="F572" s="1286" t="s">
        <v>1378</v>
      </c>
      <c r="G572" s="1286"/>
      <c r="H572" s="1286"/>
      <c r="I572" s="1286"/>
      <c r="J572" s="1286"/>
      <c r="K572" s="753" t="s">
        <v>2031</v>
      </c>
      <c r="L572" s="1177">
        <f>+L573+L585</f>
        <v>0</v>
      </c>
      <c r="M572" s="1177">
        <f t="shared" ref="M572:V572" si="99">+M573+M585</f>
        <v>0</v>
      </c>
      <c r="N572" s="1177">
        <f t="shared" si="99"/>
        <v>0</v>
      </c>
      <c r="O572" s="1165">
        <f t="shared" si="91"/>
        <v>0</v>
      </c>
      <c r="P572" s="1177">
        <f t="shared" si="99"/>
        <v>0</v>
      </c>
      <c r="Q572" s="1177">
        <f t="shared" si="99"/>
        <v>0</v>
      </c>
      <c r="R572" s="1177">
        <f t="shared" si="99"/>
        <v>0</v>
      </c>
      <c r="S572" s="1177"/>
      <c r="T572" s="1177">
        <f t="shared" si="99"/>
        <v>0</v>
      </c>
      <c r="U572" s="1177">
        <f t="shared" si="99"/>
        <v>0</v>
      </c>
      <c r="V572" s="1177">
        <f t="shared" si="99"/>
        <v>0</v>
      </c>
      <c r="W572" s="1443" t="e">
        <f t="shared" si="92"/>
        <v>#DIV/0!</v>
      </c>
      <c r="X572" s="1432" t="s">
        <v>1652</v>
      </c>
      <c r="Y572" s="765"/>
    </row>
    <row r="573" spans="1:25" s="183" customFormat="1" ht="22.5" customHeight="1" thickTop="1" thickBot="1" x14ac:dyDescent="0.3">
      <c r="A573" s="1287">
        <v>1</v>
      </c>
      <c r="B573" s="1288" t="s">
        <v>1378</v>
      </c>
      <c r="C573" s="1288" t="s">
        <v>1391</v>
      </c>
      <c r="D573" s="1288" t="s">
        <v>1444</v>
      </c>
      <c r="E573" s="1288" t="s">
        <v>1378</v>
      </c>
      <c r="F573" s="1288" t="s">
        <v>1378</v>
      </c>
      <c r="G573" s="1288" t="s">
        <v>1378</v>
      </c>
      <c r="H573" s="1288"/>
      <c r="I573" s="1288"/>
      <c r="J573" s="1288"/>
      <c r="K573" s="754" t="s">
        <v>2305</v>
      </c>
      <c r="L573" s="1178">
        <f>SUM(L574:L584)</f>
        <v>0</v>
      </c>
      <c r="M573" s="1178">
        <f t="shared" ref="M573:V573" si="100">SUM(M574:M584)</f>
        <v>0</v>
      </c>
      <c r="N573" s="1178">
        <f t="shared" si="100"/>
        <v>0</v>
      </c>
      <c r="O573" s="1165">
        <f t="shared" si="91"/>
        <v>0</v>
      </c>
      <c r="P573" s="1178">
        <f t="shared" si="100"/>
        <v>0</v>
      </c>
      <c r="Q573" s="1178">
        <f t="shared" si="100"/>
        <v>0</v>
      </c>
      <c r="R573" s="1178">
        <f t="shared" si="100"/>
        <v>0</v>
      </c>
      <c r="S573" s="1178"/>
      <c r="T573" s="1178">
        <f t="shared" si="100"/>
        <v>0</v>
      </c>
      <c r="U573" s="1178">
        <f t="shared" si="100"/>
        <v>0</v>
      </c>
      <c r="V573" s="1178">
        <f t="shared" si="100"/>
        <v>0</v>
      </c>
      <c r="W573" s="1444" t="e">
        <f t="shared" si="92"/>
        <v>#DIV/0!</v>
      </c>
      <c r="X573" s="1432" t="s">
        <v>2050</v>
      </c>
      <c r="Y573" s="765"/>
    </row>
    <row r="574" spans="1:25" s="183" customFormat="1" ht="22.5" customHeight="1" thickTop="1" thickBot="1" x14ac:dyDescent="0.3">
      <c r="A574" s="1287">
        <v>1</v>
      </c>
      <c r="B574" s="1288" t="s">
        <v>1378</v>
      </c>
      <c r="C574" s="1288" t="s">
        <v>1391</v>
      </c>
      <c r="D574" s="1288" t="s">
        <v>1444</v>
      </c>
      <c r="E574" s="1288" t="s">
        <v>1378</v>
      </c>
      <c r="F574" s="1288" t="s">
        <v>1378</v>
      </c>
      <c r="G574" s="1288" t="s">
        <v>1378</v>
      </c>
      <c r="H574" s="1288" t="s">
        <v>1378</v>
      </c>
      <c r="I574" s="1288"/>
      <c r="J574" s="1288"/>
      <c r="K574" s="754" t="s">
        <v>2526</v>
      </c>
      <c r="L574" s="1178"/>
      <c r="M574" s="1178"/>
      <c r="N574" s="1178"/>
      <c r="O574" s="1165">
        <f t="shared" si="91"/>
        <v>0</v>
      </c>
      <c r="P574" s="1178"/>
      <c r="Q574" s="1178"/>
      <c r="R574" s="1178"/>
      <c r="S574" s="1178"/>
      <c r="T574" s="1178"/>
      <c r="U574" s="1178"/>
      <c r="V574" s="1178"/>
      <c r="W574" s="1444" t="e">
        <f t="shared" si="92"/>
        <v>#DIV/0!</v>
      </c>
      <c r="X574" s="1432"/>
      <c r="Y574" s="765"/>
    </row>
    <row r="575" spans="1:25" s="183" customFormat="1" ht="22.5" customHeight="1" thickTop="1" thickBot="1" x14ac:dyDescent="0.3">
      <c r="A575" s="1287">
        <v>1</v>
      </c>
      <c r="B575" s="1288" t="s">
        <v>1378</v>
      </c>
      <c r="C575" s="1288" t="s">
        <v>1391</v>
      </c>
      <c r="D575" s="1288" t="s">
        <v>1444</v>
      </c>
      <c r="E575" s="1288" t="s">
        <v>1378</v>
      </c>
      <c r="F575" s="1288" t="s">
        <v>1378</v>
      </c>
      <c r="G575" s="1288" t="s">
        <v>1378</v>
      </c>
      <c r="H575" s="1288" t="s">
        <v>1391</v>
      </c>
      <c r="I575" s="1288"/>
      <c r="J575" s="1288"/>
      <c r="K575" s="754" t="s">
        <v>2527</v>
      </c>
      <c r="L575" s="1178"/>
      <c r="M575" s="1178"/>
      <c r="N575" s="1178"/>
      <c r="O575" s="1165">
        <f t="shared" si="91"/>
        <v>0</v>
      </c>
      <c r="P575" s="1178"/>
      <c r="Q575" s="1178"/>
      <c r="R575" s="1178"/>
      <c r="S575" s="1178"/>
      <c r="T575" s="1178"/>
      <c r="U575" s="1178"/>
      <c r="V575" s="1178"/>
      <c r="W575" s="1444" t="e">
        <f t="shared" si="92"/>
        <v>#DIV/0!</v>
      </c>
      <c r="X575" s="1432"/>
      <c r="Y575" s="765"/>
    </row>
    <row r="576" spans="1:25" s="183" customFormat="1" ht="22.5" customHeight="1" thickTop="1" thickBot="1" x14ac:dyDescent="0.3">
      <c r="A576" s="1287">
        <v>1</v>
      </c>
      <c r="B576" s="1288" t="s">
        <v>1378</v>
      </c>
      <c r="C576" s="1288" t="s">
        <v>1391</v>
      </c>
      <c r="D576" s="1288" t="s">
        <v>1444</v>
      </c>
      <c r="E576" s="1288" t="s">
        <v>1378</v>
      </c>
      <c r="F576" s="1288" t="s">
        <v>1378</v>
      </c>
      <c r="G576" s="1288" t="s">
        <v>1378</v>
      </c>
      <c r="H576" s="1288" t="s">
        <v>1415</v>
      </c>
      <c r="I576" s="1288"/>
      <c r="J576" s="1288"/>
      <c r="K576" s="754" t="s">
        <v>2528</v>
      </c>
      <c r="L576" s="1178"/>
      <c r="M576" s="1178"/>
      <c r="N576" s="1178"/>
      <c r="O576" s="1165">
        <f t="shared" si="91"/>
        <v>0</v>
      </c>
      <c r="P576" s="1178"/>
      <c r="Q576" s="1178"/>
      <c r="R576" s="1178"/>
      <c r="S576" s="1178"/>
      <c r="T576" s="1178"/>
      <c r="U576" s="1178"/>
      <c r="V576" s="1178"/>
      <c r="W576" s="1444" t="e">
        <f t="shared" si="92"/>
        <v>#DIV/0!</v>
      </c>
      <c r="X576" s="1432"/>
      <c r="Y576" s="765"/>
    </row>
    <row r="577" spans="1:25" s="183" customFormat="1" ht="22.5" customHeight="1" thickTop="1" thickBot="1" x14ac:dyDescent="0.3">
      <c r="A577" s="1287">
        <v>1</v>
      </c>
      <c r="B577" s="1288" t="s">
        <v>1378</v>
      </c>
      <c r="C577" s="1288" t="s">
        <v>1391</v>
      </c>
      <c r="D577" s="1288" t="s">
        <v>1444</v>
      </c>
      <c r="E577" s="1288" t="s">
        <v>1378</v>
      </c>
      <c r="F577" s="1288" t="s">
        <v>1378</v>
      </c>
      <c r="G577" s="1288" t="s">
        <v>1378</v>
      </c>
      <c r="H577" s="1288" t="s">
        <v>1419</v>
      </c>
      <c r="I577" s="1288"/>
      <c r="J577" s="1288"/>
      <c r="K577" s="754" t="s">
        <v>2529</v>
      </c>
      <c r="L577" s="1178"/>
      <c r="M577" s="1178"/>
      <c r="N577" s="1178"/>
      <c r="O577" s="1165">
        <f t="shared" si="91"/>
        <v>0</v>
      </c>
      <c r="P577" s="1178"/>
      <c r="Q577" s="1178"/>
      <c r="R577" s="1178"/>
      <c r="S577" s="1178"/>
      <c r="T577" s="1178"/>
      <c r="U577" s="1178"/>
      <c r="V577" s="1178"/>
      <c r="W577" s="1444" t="e">
        <f t="shared" si="92"/>
        <v>#DIV/0!</v>
      </c>
      <c r="X577" s="1432"/>
      <c r="Y577" s="765"/>
    </row>
    <row r="578" spans="1:25" s="183" customFormat="1" ht="22.5" customHeight="1" thickTop="1" thickBot="1" x14ac:dyDescent="0.3">
      <c r="A578" s="1287">
        <v>1</v>
      </c>
      <c r="B578" s="1288" t="s">
        <v>1378</v>
      </c>
      <c r="C578" s="1288" t="s">
        <v>1391</v>
      </c>
      <c r="D578" s="1288" t="s">
        <v>1444</v>
      </c>
      <c r="E578" s="1288" t="s">
        <v>1378</v>
      </c>
      <c r="F578" s="1288" t="s">
        <v>1378</v>
      </c>
      <c r="G578" s="1288" t="s">
        <v>1378</v>
      </c>
      <c r="H578" s="1288" t="s">
        <v>1444</v>
      </c>
      <c r="I578" s="1288"/>
      <c r="J578" s="1288"/>
      <c r="K578" s="754" t="s">
        <v>2530</v>
      </c>
      <c r="L578" s="1178"/>
      <c r="M578" s="1178"/>
      <c r="N578" s="1178"/>
      <c r="O578" s="1165">
        <f t="shared" si="91"/>
        <v>0</v>
      </c>
      <c r="P578" s="1178"/>
      <c r="Q578" s="1178"/>
      <c r="R578" s="1178"/>
      <c r="S578" s="1178"/>
      <c r="T578" s="1178"/>
      <c r="U578" s="1178"/>
      <c r="V578" s="1178"/>
      <c r="W578" s="1444" t="e">
        <f t="shared" si="92"/>
        <v>#DIV/0!</v>
      </c>
      <c r="X578" s="1432"/>
      <c r="Y578" s="765"/>
    </row>
    <row r="579" spans="1:25" s="183" customFormat="1" ht="22.5" customHeight="1" thickTop="1" thickBot="1" x14ac:dyDescent="0.3">
      <c r="A579" s="1287">
        <v>1</v>
      </c>
      <c r="B579" s="1288" t="s">
        <v>1378</v>
      </c>
      <c r="C579" s="1288" t="s">
        <v>1391</v>
      </c>
      <c r="D579" s="1288" t="s">
        <v>1444</v>
      </c>
      <c r="E579" s="1288" t="s">
        <v>1378</v>
      </c>
      <c r="F579" s="1288" t="s">
        <v>1378</v>
      </c>
      <c r="G579" s="1288" t="s">
        <v>1378</v>
      </c>
      <c r="H579" s="1288" t="s">
        <v>1467</v>
      </c>
      <c r="I579" s="1288"/>
      <c r="J579" s="1288"/>
      <c r="K579" s="754" t="s">
        <v>2531</v>
      </c>
      <c r="L579" s="1178"/>
      <c r="M579" s="1178"/>
      <c r="N579" s="1178"/>
      <c r="O579" s="1165">
        <f t="shared" si="91"/>
        <v>0</v>
      </c>
      <c r="P579" s="1178"/>
      <c r="Q579" s="1178"/>
      <c r="R579" s="1178"/>
      <c r="S579" s="1178"/>
      <c r="T579" s="1178"/>
      <c r="U579" s="1178"/>
      <c r="V579" s="1178"/>
      <c r="W579" s="1444" t="e">
        <f t="shared" si="92"/>
        <v>#DIV/0!</v>
      </c>
      <c r="X579" s="1432"/>
      <c r="Y579" s="765"/>
    </row>
    <row r="580" spans="1:25" s="183" customFormat="1" ht="22.5" customHeight="1" thickTop="1" thickBot="1" x14ac:dyDescent="0.3">
      <c r="A580" s="1287">
        <v>1</v>
      </c>
      <c r="B580" s="1288" t="s">
        <v>1378</v>
      </c>
      <c r="C580" s="1288" t="s">
        <v>1391</v>
      </c>
      <c r="D580" s="1288" t="s">
        <v>1444</v>
      </c>
      <c r="E580" s="1288" t="s">
        <v>1378</v>
      </c>
      <c r="F580" s="1288" t="s">
        <v>1378</v>
      </c>
      <c r="G580" s="1288" t="s">
        <v>1378</v>
      </c>
      <c r="H580" s="1288" t="s">
        <v>1471</v>
      </c>
      <c r="I580" s="1288"/>
      <c r="J580" s="1288"/>
      <c r="K580" s="754" t="s">
        <v>2532</v>
      </c>
      <c r="L580" s="1178"/>
      <c r="M580" s="1178"/>
      <c r="N580" s="1178"/>
      <c r="O580" s="1165">
        <f t="shared" si="91"/>
        <v>0</v>
      </c>
      <c r="P580" s="1178"/>
      <c r="Q580" s="1178"/>
      <c r="R580" s="1178"/>
      <c r="S580" s="1178"/>
      <c r="T580" s="1178"/>
      <c r="U580" s="1178"/>
      <c r="V580" s="1178"/>
      <c r="W580" s="1444" t="e">
        <f t="shared" si="92"/>
        <v>#DIV/0!</v>
      </c>
      <c r="X580" s="1432"/>
      <c r="Y580" s="765"/>
    </row>
    <row r="581" spans="1:25" s="183" customFormat="1" ht="22.5" customHeight="1" thickTop="1" thickBot="1" x14ac:dyDescent="0.3">
      <c r="A581" s="1287">
        <v>1</v>
      </c>
      <c r="B581" s="1288" t="s">
        <v>1378</v>
      </c>
      <c r="C581" s="1288" t="s">
        <v>1391</v>
      </c>
      <c r="D581" s="1288" t="s">
        <v>1444</v>
      </c>
      <c r="E581" s="1288" t="s">
        <v>1378</v>
      </c>
      <c r="F581" s="1288" t="s">
        <v>1378</v>
      </c>
      <c r="G581" s="1288" t="s">
        <v>1378</v>
      </c>
      <c r="H581" s="1288" t="s">
        <v>1475</v>
      </c>
      <c r="I581" s="1288"/>
      <c r="J581" s="1288"/>
      <c r="K581" s="754" t="s">
        <v>2533</v>
      </c>
      <c r="L581" s="1178"/>
      <c r="M581" s="1178"/>
      <c r="N581" s="1178"/>
      <c r="O581" s="1165">
        <f t="shared" si="91"/>
        <v>0</v>
      </c>
      <c r="P581" s="1178"/>
      <c r="Q581" s="1178"/>
      <c r="R581" s="1178"/>
      <c r="S581" s="1178"/>
      <c r="T581" s="1178"/>
      <c r="U581" s="1178"/>
      <c r="V581" s="1178"/>
      <c r="W581" s="1444" t="e">
        <f t="shared" si="92"/>
        <v>#DIV/0!</v>
      </c>
      <c r="X581" s="1432"/>
      <c r="Y581" s="765"/>
    </row>
    <row r="582" spans="1:25" s="183" customFormat="1" ht="22.5" customHeight="1" thickTop="1" thickBot="1" x14ac:dyDescent="0.3">
      <c r="A582" s="1287">
        <v>1</v>
      </c>
      <c r="B582" s="1288" t="s">
        <v>1378</v>
      </c>
      <c r="C582" s="1288" t="s">
        <v>1391</v>
      </c>
      <c r="D582" s="1288" t="s">
        <v>1444</v>
      </c>
      <c r="E582" s="1288" t="s">
        <v>1378</v>
      </c>
      <c r="F582" s="1288" t="s">
        <v>1378</v>
      </c>
      <c r="G582" s="1288" t="s">
        <v>1378</v>
      </c>
      <c r="H582" s="1288" t="s">
        <v>1573</v>
      </c>
      <c r="I582" s="1288"/>
      <c r="J582" s="1288"/>
      <c r="K582" s="754" t="s">
        <v>2534</v>
      </c>
      <c r="L582" s="1178"/>
      <c r="M582" s="1178"/>
      <c r="N582" s="1178"/>
      <c r="O582" s="1165">
        <f t="shared" si="91"/>
        <v>0</v>
      </c>
      <c r="P582" s="1178"/>
      <c r="Q582" s="1178"/>
      <c r="R582" s="1178"/>
      <c r="S582" s="1178"/>
      <c r="T582" s="1178"/>
      <c r="U582" s="1178"/>
      <c r="V582" s="1178"/>
      <c r="W582" s="1444" t="e">
        <f t="shared" si="92"/>
        <v>#DIV/0!</v>
      </c>
      <c r="X582" s="1432"/>
      <c r="Y582" s="765"/>
    </row>
    <row r="583" spans="1:25" s="183" customFormat="1" ht="22.5" customHeight="1" thickTop="1" thickBot="1" x14ac:dyDescent="0.3">
      <c r="A583" s="1287">
        <v>1</v>
      </c>
      <c r="B583" s="1288" t="s">
        <v>1378</v>
      </c>
      <c r="C583" s="1288" t="s">
        <v>1391</v>
      </c>
      <c r="D583" s="1288" t="s">
        <v>1444</v>
      </c>
      <c r="E583" s="1288" t="s">
        <v>1378</v>
      </c>
      <c r="F583" s="1288" t="s">
        <v>1378</v>
      </c>
      <c r="G583" s="1288" t="s">
        <v>1378</v>
      </c>
      <c r="H583" s="1288" t="s">
        <v>1574</v>
      </c>
      <c r="I583" s="1288"/>
      <c r="J583" s="1288"/>
      <c r="K583" s="754" t="s">
        <v>2535</v>
      </c>
      <c r="L583" s="1178"/>
      <c r="M583" s="1178"/>
      <c r="N583" s="1178"/>
      <c r="O583" s="1165">
        <f t="shared" si="91"/>
        <v>0</v>
      </c>
      <c r="P583" s="1178"/>
      <c r="Q583" s="1178"/>
      <c r="R583" s="1178"/>
      <c r="S583" s="1178"/>
      <c r="T583" s="1178"/>
      <c r="U583" s="1178"/>
      <c r="V583" s="1178"/>
      <c r="W583" s="1444" t="e">
        <f t="shared" si="92"/>
        <v>#DIV/0!</v>
      </c>
      <c r="X583" s="1432"/>
      <c r="Y583" s="765"/>
    </row>
    <row r="584" spans="1:25" s="183" customFormat="1" ht="22.5" customHeight="1" thickTop="1" thickBot="1" x14ac:dyDescent="0.3">
      <c r="A584" s="1287">
        <v>1</v>
      </c>
      <c r="B584" s="1288" t="s">
        <v>1378</v>
      </c>
      <c r="C584" s="1288" t="s">
        <v>1391</v>
      </c>
      <c r="D584" s="1288" t="s">
        <v>1444</v>
      </c>
      <c r="E584" s="1288" t="s">
        <v>1378</v>
      </c>
      <c r="F584" s="1288" t="s">
        <v>1378</v>
      </c>
      <c r="G584" s="1288" t="s">
        <v>1378</v>
      </c>
      <c r="H584" s="1288" t="s">
        <v>1575</v>
      </c>
      <c r="I584" s="1288"/>
      <c r="J584" s="1288"/>
      <c r="K584" s="754" t="s">
        <v>2536</v>
      </c>
      <c r="L584" s="1178"/>
      <c r="M584" s="1178"/>
      <c r="N584" s="1178"/>
      <c r="O584" s="1165">
        <f t="shared" ref="O584:O647" si="101">L584+M584-N584</f>
        <v>0</v>
      </c>
      <c r="P584" s="1178"/>
      <c r="Q584" s="1178"/>
      <c r="R584" s="1178"/>
      <c r="S584" s="1178"/>
      <c r="T584" s="1178"/>
      <c r="U584" s="1178"/>
      <c r="V584" s="1178"/>
      <c r="W584" s="1444" t="e">
        <f t="shared" ref="W584:W647" si="102">V584/U584</f>
        <v>#DIV/0!</v>
      </c>
      <c r="X584" s="1432"/>
      <c r="Y584" s="765"/>
    </row>
    <row r="585" spans="1:25" s="183" customFormat="1" ht="22.5" customHeight="1" thickTop="1" thickBot="1" x14ac:dyDescent="0.3">
      <c r="A585" s="1287">
        <v>1</v>
      </c>
      <c r="B585" s="1288" t="s">
        <v>1378</v>
      </c>
      <c r="C585" s="1288" t="s">
        <v>1391</v>
      </c>
      <c r="D585" s="1288" t="s">
        <v>1444</v>
      </c>
      <c r="E585" s="1288" t="s">
        <v>1378</v>
      </c>
      <c r="F585" s="1288" t="s">
        <v>1378</v>
      </c>
      <c r="G585" s="1288" t="s">
        <v>1391</v>
      </c>
      <c r="H585" s="1288"/>
      <c r="I585" s="1288"/>
      <c r="J585" s="1288"/>
      <c r="K585" s="754" t="s">
        <v>2306</v>
      </c>
      <c r="L585" s="1178">
        <f>SUM(L586:L596)</f>
        <v>0</v>
      </c>
      <c r="M585" s="1178">
        <f t="shared" ref="M585:V585" si="103">SUM(M586:M596)</f>
        <v>0</v>
      </c>
      <c r="N585" s="1178">
        <f t="shared" si="103"/>
        <v>0</v>
      </c>
      <c r="O585" s="1165">
        <f t="shared" si="101"/>
        <v>0</v>
      </c>
      <c r="P585" s="1178">
        <f t="shared" si="103"/>
        <v>0</v>
      </c>
      <c r="Q585" s="1178">
        <f t="shared" si="103"/>
        <v>0</v>
      </c>
      <c r="R585" s="1178">
        <f t="shared" si="103"/>
        <v>0</v>
      </c>
      <c r="S585" s="1178"/>
      <c r="T585" s="1178">
        <f t="shared" si="103"/>
        <v>0</v>
      </c>
      <c r="U585" s="1178">
        <f t="shared" si="103"/>
        <v>0</v>
      </c>
      <c r="V585" s="1178">
        <f t="shared" si="103"/>
        <v>0</v>
      </c>
      <c r="W585" s="1444" t="e">
        <f t="shared" si="102"/>
        <v>#DIV/0!</v>
      </c>
      <c r="X585" s="1432" t="s">
        <v>2051</v>
      </c>
      <c r="Y585" s="765"/>
    </row>
    <row r="586" spans="1:25" s="183" customFormat="1" ht="22.5" customHeight="1" thickTop="1" thickBot="1" x14ac:dyDescent="0.3">
      <c r="A586" s="1287">
        <v>1</v>
      </c>
      <c r="B586" s="1288" t="s">
        <v>1378</v>
      </c>
      <c r="C586" s="1288" t="s">
        <v>1391</v>
      </c>
      <c r="D586" s="1288" t="s">
        <v>1444</v>
      </c>
      <c r="E586" s="1288" t="s">
        <v>1378</v>
      </c>
      <c r="F586" s="1288" t="s">
        <v>1378</v>
      </c>
      <c r="G586" s="1288" t="s">
        <v>1391</v>
      </c>
      <c r="H586" s="1288" t="s">
        <v>1378</v>
      </c>
      <c r="I586" s="1288"/>
      <c r="J586" s="1288"/>
      <c r="K586" s="754" t="s">
        <v>2295</v>
      </c>
      <c r="L586" s="1178"/>
      <c r="M586" s="1178"/>
      <c r="N586" s="1178"/>
      <c r="O586" s="1165">
        <f t="shared" si="101"/>
        <v>0</v>
      </c>
      <c r="P586" s="1178"/>
      <c r="Q586" s="1178"/>
      <c r="R586" s="1178"/>
      <c r="S586" s="1178"/>
      <c r="T586" s="1178"/>
      <c r="U586" s="1178"/>
      <c r="V586" s="1178"/>
      <c r="W586" s="1444" t="e">
        <f t="shared" si="102"/>
        <v>#DIV/0!</v>
      </c>
      <c r="X586" s="1432"/>
      <c r="Y586" s="765"/>
    </row>
    <row r="587" spans="1:25" s="183" customFormat="1" ht="22.5" customHeight="1" thickTop="1" thickBot="1" x14ac:dyDescent="0.3">
      <c r="A587" s="1287">
        <v>1</v>
      </c>
      <c r="B587" s="1288" t="s">
        <v>1378</v>
      </c>
      <c r="C587" s="1288" t="s">
        <v>1391</v>
      </c>
      <c r="D587" s="1288" t="s">
        <v>1444</v>
      </c>
      <c r="E587" s="1288" t="s">
        <v>1378</v>
      </c>
      <c r="F587" s="1288" t="s">
        <v>1378</v>
      </c>
      <c r="G587" s="1288" t="s">
        <v>1391</v>
      </c>
      <c r="H587" s="1288" t="s">
        <v>1391</v>
      </c>
      <c r="I587" s="1288"/>
      <c r="J587" s="1288"/>
      <c r="K587" s="754" t="s">
        <v>2296</v>
      </c>
      <c r="L587" s="1178"/>
      <c r="M587" s="1178"/>
      <c r="N587" s="1178"/>
      <c r="O587" s="1165">
        <f t="shared" si="101"/>
        <v>0</v>
      </c>
      <c r="P587" s="1178"/>
      <c r="Q587" s="1178"/>
      <c r="R587" s="1178"/>
      <c r="S587" s="1178"/>
      <c r="T587" s="1178"/>
      <c r="U587" s="1178"/>
      <c r="V587" s="1178"/>
      <c r="W587" s="1444" t="e">
        <f t="shared" si="102"/>
        <v>#DIV/0!</v>
      </c>
      <c r="X587" s="1432"/>
      <c r="Y587" s="765"/>
    </row>
    <row r="588" spans="1:25" s="183" customFormat="1" ht="22.5" customHeight="1" thickTop="1" thickBot="1" x14ac:dyDescent="0.3">
      <c r="A588" s="1287">
        <v>1</v>
      </c>
      <c r="B588" s="1288" t="s">
        <v>1378</v>
      </c>
      <c r="C588" s="1288" t="s">
        <v>1391</v>
      </c>
      <c r="D588" s="1288" t="s">
        <v>1444</v>
      </c>
      <c r="E588" s="1288" t="s">
        <v>1378</v>
      </c>
      <c r="F588" s="1288" t="s">
        <v>1378</v>
      </c>
      <c r="G588" s="1288" t="s">
        <v>1391</v>
      </c>
      <c r="H588" s="1288" t="s">
        <v>1415</v>
      </c>
      <c r="I588" s="1288"/>
      <c r="J588" s="1288"/>
      <c r="K588" s="754" t="s">
        <v>2297</v>
      </c>
      <c r="L588" s="1178"/>
      <c r="M588" s="1178"/>
      <c r="N588" s="1178"/>
      <c r="O588" s="1165">
        <f t="shared" si="101"/>
        <v>0</v>
      </c>
      <c r="P588" s="1178"/>
      <c r="Q588" s="1178"/>
      <c r="R588" s="1178"/>
      <c r="S588" s="1178"/>
      <c r="T588" s="1178"/>
      <c r="U588" s="1178"/>
      <c r="V588" s="1178"/>
      <c r="W588" s="1444" t="e">
        <f t="shared" si="102"/>
        <v>#DIV/0!</v>
      </c>
      <c r="X588" s="1432"/>
      <c r="Y588" s="765"/>
    </row>
    <row r="589" spans="1:25" s="183" customFormat="1" ht="22.5" customHeight="1" thickTop="1" thickBot="1" x14ac:dyDescent="0.3">
      <c r="A589" s="1287">
        <v>1</v>
      </c>
      <c r="B589" s="1288" t="s">
        <v>1378</v>
      </c>
      <c r="C589" s="1288" t="s">
        <v>1391</v>
      </c>
      <c r="D589" s="1288" t="s">
        <v>1444</v>
      </c>
      <c r="E589" s="1288" t="s">
        <v>1378</v>
      </c>
      <c r="F589" s="1288" t="s">
        <v>1378</v>
      </c>
      <c r="G589" s="1288" t="s">
        <v>1391</v>
      </c>
      <c r="H589" s="1288" t="s">
        <v>1419</v>
      </c>
      <c r="I589" s="1288"/>
      <c r="J589" s="1288"/>
      <c r="K589" s="754" t="s">
        <v>2537</v>
      </c>
      <c r="L589" s="1178"/>
      <c r="M589" s="1178"/>
      <c r="N589" s="1178"/>
      <c r="O589" s="1165">
        <f t="shared" si="101"/>
        <v>0</v>
      </c>
      <c r="P589" s="1178"/>
      <c r="Q589" s="1178"/>
      <c r="R589" s="1178"/>
      <c r="S589" s="1178"/>
      <c r="T589" s="1178"/>
      <c r="U589" s="1178"/>
      <c r="V589" s="1178"/>
      <c r="W589" s="1444" t="e">
        <f t="shared" si="102"/>
        <v>#DIV/0!</v>
      </c>
      <c r="X589" s="1432"/>
      <c r="Y589" s="765"/>
    </row>
    <row r="590" spans="1:25" s="183" customFormat="1" ht="22.5" customHeight="1" thickTop="1" thickBot="1" x14ac:dyDescent="0.3">
      <c r="A590" s="1287">
        <v>1</v>
      </c>
      <c r="B590" s="1288" t="s">
        <v>1378</v>
      </c>
      <c r="C590" s="1288" t="s">
        <v>1391</v>
      </c>
      <c r="D590" s="1288" t="s">
        <v>1444</v>
      </c>
      <c r="E590" s="1288" t="s">
        <v>1378</v>
      </c>
      <c r="F590" s="1288" t="s">
        <v>1378</v>
      </c>
      <c r="G590" s="1288" t="s">
        <v>1391</v>
      </c>
      <c r="H590" s="1288" t="s">
        <v>1444</v>
      </c>
      <c r="I590" s="1288"/>
      <c r="J590" s="1288"/>
      <c r="K590" s="754" t="s">
        <v>2298</v>
      </c>
      <c r="L590" s="1178"/>
      <c r="M590" s="1178"/>
      <c r="N590" s="1178"/>
      <c r="O590" s="1165">
        <f t="shared" si="101"/>
        <v>0</v>
      </c>
      <c r="P590" s="1178"/>
      <c r="Q590" s="1178"/>
      <c r="R590" s="1178"/>
      <c r="S590" s="1178"/>
      <c r="T590" s="1178"/>
      <c r="U590" s="1178"/>
      <c r="V590" s="1178"/>
      <c r="W590" s="1444" t="e">
        <f t="shared" si="102"/>
        <v>#DIV/0!</v>
      </c>
      <c r="X590" s="1432"/>
      <c r="Y590" s="765"/>
    </row>
    <row r="591" spans="1:25" s="183" customFormat="1" ht="22.5" customHeight="1" thickTop="1" thickBot="1" x14ac:dyDescent="0.3">
      <c r="A591" s="1287">
        <v>1</v>
      </c>
      <c r="B591" s="1288" t="s">
        <v>1378</v>
      </c>
      <c r="C591" s="1288" t="s">
        <v>1391</v>
      </c>
      <c r="D591" s="1288" t="s">
        <v>1444</v>
      </c>
      <c r="E591" s="1288" t="s">
        <v>1378</v>
      </c>
      <c r="F591" s="1288" t="s">
        <v>1378</v>
      </c>
      <c r="G591" s="1288" t="s">
        <v>1391</v>
      </c>
      <c r="H591" s="1288" t="s">
        <v>1467</v>
      </c>
      <c r="I591" s="1288"/>
      <c r="J591" s="1288"/>
      <c r="K591" s="754" t="s">
        <v>2299</v>
      </c>
      <c r="L591" s="1178"/>
      <c r="M591" s="1178"/>
      <c r="N591" s="1178"/>
      <c r="O591" s="1165">
        <f t="shared" si="101"/>
        <v>0</v>
      </c>
      <c r="P591" s="1178"/>
      <c r="Q591" s="1178"/>
      <c r="R591" s="1178"/>
      <c r="S591" s="1178"/>
      <c r="T591" s="1178"/>
      <c r="U591" s="1178"/>
      <c r="V591" s="1178"/>
      <c r="W591" s="1444" t="e">
        <f t="shared" si="102"/>
        <v>#DIV/0!</v>
      </c>
      <c r="X591" s="1432"/>
      <c r="Y591" s="765"/>
    </row>
    <row r="592" spans="1:25" s="183" customFormat="1" ht="22.5" customHeight="1" thickTop="1" thickBot="1" x14ac:dyDescent="0.3">
      <c r="A592" s="1287">
        <v>1</v>
      </c>
      <c r="B592" s="1288" t="s">
        <v>1378</v>
      </c>
      <c r="C592" s="1288" t="s">
        <v>1391</v>
      </c>
      <c r="D592" s="1288" t="s">
        <v>1444</v>
      </c>
      <c r="E592" s="1288" t="s">
        <v>1378</v>
      </c>
      <c r="F592" s="1288" t="s">
        <v>1378</v>
      </c>
      <c r="G592" s="1288" t="s">
        <v>1391</v>
      </c>
      <c r="H592" s="1288" t="s">
        <v>1471</v>
      </c>
      <c r="I592" s="1288"/>
      <c r="J592" s="1288"/>
      <c r="K592" s="754" t="s">
        <v>2300</v>
      </c>
      <c r="L592" s="1178"/>
      <c r="M592" s="1178"/>
      <c r="N592" s="1178"/>
      <c r="O592" s="1165">
        <f t="shared" si="101"/>
        <v>0</v>
      </c>
      <c r="P592" s="1178"/>
      <c r="Q592" s="1178"/>
      <c r="R592" s="1178"/>
      <c r="S592" s="1178"/>
      <c r="T592" s="1178"/>
      <c r="U592" s="1178"/>
      <c r="V592" s="1178"/>
      <c r="W592" s="1444" t="e">
        <f t="shared" si="102"/>
        <v>#DIV/0!</v>
      </c>
      <c r="X592" s="1432"/>
      <c r="Y592" s="765"/>
    </row>
    <row r="593" spans="1:25" s="183" customFormat="1" ht="22.5" customHeight="1" thickTop="1" thickBot="1" x14ac:dyDescent="0.3">
      <c r="A593" s="1287">
        <v>1</v>
      </c>
      <c r="B593" s="1288" t="s">
        <v>1378</v>
      </c>
      <c r="C593" s="1288" t="s">
        <v>1391</v>
      </c>
      <c r="D593" s="1288" t="s">
        <v>1444</v>
      </c>
      <c r="E593" s="1288" t="s">
        <v>1378</v>
      </c>
      <c r="F593" s="1288" t="s">
        <v>1378</v>
      </c>
      <c r="G593" s="1288" t="s">
        <v>1391</v>
      </c>
      <c r="H593" s="1288" t="s">
        <v>1475</v>
      </c>
      <c r="I593" s="1288"/>
      <c r="J593" s="1288"/>
      <c r="K593" s="754" t="s">
        <v>2301</v>
      </c>
      <c r="L593" s="1178"/>
      <c r="M593" s="1178"/>
      <c r="N593" s="1178"/>
      <c r="O593" s="1165">
        <f t="shared" si="101"/>
        <v>0</v>
      </c>
      <c r="P593" s="1178"/>
      <c r="Q593" s="1178"/>
      <c r="R593" s="1178"/>
      <c r="S593" s="1178"/>
      <c r="T593" s="1178"/>
      <c r="U593" s="1178"/>
      <c r="V593" s="1178"/>
      <c r="W593" s="1444" t="e">
        <f t="shared" si="102"/>
        <v>#DIV/0!</v>
      </c>
      <c r="X593" s="1432"/>
      <c r="Y593" s="765"/>
    </row>
    <row r="594" spans="1:25" s="183" customFormat="1" ht="22.5" customHeight="1" thickTop="1" thickBot="1" x14ac:dyDescent="0.3">
      <c r="A594" s="1287">
        <v>1</v>
      </c>
      <c r="B594" s="1288" t="s">
        <v>1378</v>
      </c>
      <c r="C594" s="1288" t="s">
        <v>1391</v>
      </c>
      <c r="D594" s="1288" t="s">
        <v>1444</v>
      </c>
      <c r="E594" s="1288" t="s">
        <v>1378</v>
      </c>
      <c r="F594" s="1288" t="s">
        <v>1378</v>
      </c>
      <c r="G594" s="1288" t="s">
        <v>1391</v>
      </c>
      <c r="H594" s="1288" t="s">
        <v>1573</v>
      </c>
      <c r="I594" s="1288"/>
      <c r="J594" s="1288"/>
      <c r="K594" s="754" t="s">
        <v>2302</v>
      </c>
      <c r="L594" s="1178"/>
      <c r="M594" s="1178"/>
      <c r="N594" s="1178"/>
      <c r="O594" s="1165">
        <f t="shared" si="101"/>
        <v>0</v>
      </c>
      <c r="P594" s="1178"/>
      <c r="Q594" s="1178"/>
      <c r="R594" s="1178"/>
      <c r="S594" s="1178"/>
      <c r="T594" s="1178"/>
      <c r="U594" s="1178"/>
      <c r="V594" s="1178"/>
      <c r="W594" s="1444" t="e">
        <f t="shared" si="102"/>
        <v>#DIV/0!</v>
      </c>
      <c r="X594" s="1432"/>
      <c r="Y594" s="765"/>
    </row>
    <row r="595" spans="1:25" s="183" customFormat="1" ht="22.5" customHeight="1" thickTop="1" thickBot="1" x14ac:dyDescent="0.3">
      <c r="A595" s="1287">
        <v>1</v>
      </c>
      <c r="B595" s="1288" t="s">
        <v>1378</v>
      </c>
      <c r="C595" s="1288" t="s">
        <v>1391</v>
      </c>
      <c r="D595" s="1288" t="s">
        <v>1444</v>
      </c>
      <c r="E595" s="1288" t="s">
        <v>1378</v>
      </c>
      <c r="F595" s="1288" t="s">
        <v>1378</v>
      </c>
      <c r="G595" s="1288" t="s">
        <v>1391</v>
      </c>
      <c r="H595" s="1288" t="s">
        <v>1574</v>
      </c>
      <c r="I595" s="1288"/>
      <c r="J595" s="1288"/>
      <c r="K595" s="754" t="s">
        <v>2303</v>
      </c>
      <c r="L595" s="1178"/>
      <c r="M595" s="1178"/>
      <c r="N595" s="1178"/>
      <c r="O595" s="1165">
        <f t="shared" si="101"/>
        <v>0</v>
      </c>
      <c r="P595" s="1178"/>
      <c r="Q595" s="1178"/>
      <c r="R595" s="1178"/>
      <c r="S595" s="1178"/>
      <c r="T595" s="1178"/>
      <c r="U595" s="1178"/>
      <c r="V595" s="1178"/>
      <c r="W595" s="1444" t="e">
        <f t="shared" si="102"/>
        <v>#DIV/0!</v>
      </c>
      <c r="X595" s="1432"/>
      <c r="Y595" s="765"/>
    </row>
    <row r="596" spans="1:25" s="183" customFormat="1" ht="22.5" customHeight="1" thickTop="1" thickBot="1" x14ac:dyDescent="0.3">
      <c r="A596" s="1287">
        <v>1</v>
      </c>
      <c r="B596" s="1288" t="s">
        <v>1378</v>
      </c>
      <c r="C596" s="1288" t="s">
        <v>1391</v>
      </c>
      <c r="D596" s="1288" t="s">
        <v>1444</v>
      </c>
      <c r="E596" s="1288" t="s">
        <v>1378</v>
      </c>
      <c r="F596" s="1288" t="s">
        <v>1378</v>
      </c>
      <c r="G596" s="1288" t="s">
        <v>1391</v>
      </c>
      <c r="H596" s="1288" t="s">
        <v>1575</v>
      </c>
      <c r="I596" s="1288"/>
      <c r="J596" s="1288"/>
      <c r="K596" s="754" t="s">
        <v>2304</v>
      </c>
      <c r="L596" s="1178"/>
      <c r="M596" s="1178"/>
      <c r="N596" s="1178"/>
      <c r="O596" s="1165">
        <f t="shared" si="101"/>
        <v>0</v>
      </c>
      <c r="P596" s="1178"/>
      <c r="Q596" s="1178"/>
      <c r="R596" s="1178"/>
      <c r="S596" s="1178"/>
      <c r="T596" s="1178"/>
      <c r="U596" s="1178"/>
      <c r="V596" s="1178"/>
      <c r="W596" s="1444" t="e">
        <f t="shared" si="102"/>
        <v>#DIV/0!</v>
      </c>
      <c r="X596" s="1432"/>
      <c r="Y596" s="765"/>
    </row>
    <row r="597" spans="1:25" s="183" customFormat="1" ht="22.5" customHeight="1" thickTop="1" thickBot="1" x14ac:dyDescent="0.3">
      <c r="A597" s="1285">
        <v>1</v>
      </c>
      <c r="B597" s="1286" t="s">
        <v>1378</v>
      </c>
      <c r="C597" s="1286" t="s">
        <v>1391</v>
      </c>
      <c r="D597" s="1286" t="s">
        <v>1444</v>
      </c>
      <c r="E597" s="1286" t="s">
        <v>1378</v>
      </c>
      <c r="F597" s="1286" t="s">
        <v>1391</v>
      </c>
      <c r="G597" s="1286"/>
      <c r="H597" s="1286"/>
      <c r="I597" s="1286"/>
      <c r="J597" s="1286"/>
      <c r="K597" s="753" t="s">
        <v>2032</v>
      </c>
      <c r="L597" s="1177">
        <f>+L598+L610</f>
        <v>0</v>
      </c>
      <c r="M597" s="1177">
        <f t="shared" ref="M597:V597" si="104">+M598+M610</f>
        <v>0</v>
      </c>
      <c r="N597" s="1177">
        <f t="shared" si="104"/>
        <v>0</v>
      </c>
      <c r="O597" s="1165">
        <f t="shared" si="101"/>
        <v>0</v>
      </c>
      <c r="P597" s="1177">
        <f t="shared" si="104"/>
        <v>0</v>
      </c>
      <c r="Q597" s="1177">
        <f t="shared" si="104"/>
        <v>0</v>
      </c>
      <c r="R597" s="1177">
        <f t="shared" si="104"/>
        <v>0</v>
      </c>
      <c r="S597" s="1177"/>
      <c r="T597" s="1177">
        <f t="shared" si="104"/>
        <v>0</v>
      </c>
      <c r="U597" s="1177">
        <f t="shared" si="104"/>
        <v>0</v>
      </c>
      <c r="V597" s="1177">
        <f t="shared" si="104"/>
        <v>0</v>
      </c>
      <c r="W597" s="1443" t="e">
        <f t="shared" si="102"/>
        <v>#DIV/0!</v>
      </c>
      <c r="X597" s="1432" t="s">
        <v>1654</v>
      </c>
      <c r="Y597" s="765"/>
    </row>
    <row r="598" spans="1:25" s="183" customFormat="1" ht="22.5" customHeight="1" thickTop="1" thickBot="1" x14ac:dyDescent="0.3">
      <c r="A598" s="1287">
        <v>1</v>
      </c>
      <c r="B598" s="1288" t="s">
        <v>1378</v>
      </c>
      <c r="C598" s="1288" t="s">
        <v>1391</v>
      </c>
      <c r="D598" s="1288" t="s">
        <v>1444</v>
      </c>
      <c r="E598" s="1288" t="s">
        <v>1378</v>
      </c>
      <c r="F598" s="1288" t="s">
        <v>1391</v>
      </c>
      <c r="G598" s="1288" t="s">
        <v>1378</v>
      </c>
      <c r="H598" s="1288"/>
      <c r="I598" s="1288"/>
      <c r="J598" s="1288"/>
      <c r="K598" s="754" t="s">
        <v>2305</v>
      </c>
      <c r="L598" s="1178">
        <f>SUM(L599:L609)</f>
        <v>0</v>
      </c>
      <c r="M598" s="1178">
        <f t="shared" ref="M598:V598" si="105">SUM(M599:M609)</f>
        <v>0</v>
      </c>
      <c r="N598" s="1178">
        <f t="shared" si="105"/>
        <v>0</v>
      </c>
      <c r="O598" s="1165">
        <f t="shared" si="101"/>
        <v>0</v>
      </c>
      <c r="P598" s="1178">
        <f t="shared" si="105"/>
        <v>0</v>
      </c>
      <c r="Q598" s="1178">
        <f t="shared" si="105"/>
        <v>0</v>
      </c>
      <c r="R598" s="1178">
        <f t="shared" si="105"/>
        <v>0</v>
      </c>
      <c r="S598" s="1178"/>
      <c r="T598" s="1178">
        <f t="shared" si="105"/>
        <v>0</v>
      </c>
      <c r="U598" s="1178">
        <f t="shared" si="105"/>
        <v>0</v>
      </c>
      <c r="V598" s="1178">
        <f t="shared" si="105"/>
        <v>0</v>
      </c>
      <c r="W598" s="1444" t="e">
        <f t="shared" si="102"/>
        <v>#DIV/0!</v>
      </c>
      <c r="X598" s="1432" t="s">
        <v>2052</v>
      </c>
      <c r="Y598" s="765"/>
    </row>
    <row r="599" spans="1:25" s="183" customFormat="1" ht="22.5" customHeight="1" thickTop="1" thickBot="1" x14ac:dyDescent="0.3">
      <c r="A599" s="1287">
        <v>1</v>
      </c>
      <c r="B599" s="1288" t="s">
        <v>1378</v>
      </c>
      <c r="C599" s="1288" t="s">
        <v>1391</v>
      </c>
      <c r="D599" s="1288" t="s">
        <v>1444</v>
      </c>
      <c r="E599" s="1288" t="s">
        <v>1378</v>
      </c>
      <c r="F599" s="1288" t="s">
        <v>1391</v>
      </c>
      <c r="G599" s="1288" t="s">
        <v>1378</v>
      </c>
      <c r="H599" s="1288" t="s">
        <v>1378</v>
      </c>
      <c r="I599" s="1288"/>
      <c r="J599" s="1288"/>
      <c r="K599" s="754" t="s">
        <v>2307</v>
      </c>
      <c r="L599" s="1178"/>
      <c r="M599" s="1178"/>
      <c r="N599" s="1178"/>
      <c r="O599" s="1165">
        <f t="shared" si="101"/>
        <v>0</v>
      </c>
      <c r="P599" s="1178"/>
      <c r="Q599" s="1178"/>
      <c r="R599" s="1178"/>
      <c r="S599" s="1178"/>
      <c r="T599" s="1178"/>
      <c r="U599" s="1178"/>
      <c r="V599" s="1178"/>
      <c r="W599" s="1444" t="e">
        <f t="shared" si="102"/>
        <v>#DIV/0!</v>
      </c>
      <c r="X599" s="1432"/>
      <c r="Y599" s="765"/>
    </row>
    <row r="600" spans="1:25" s="183" customFormat="1" ht="22.5" customHeight="1" thickTop="1" thickBot="1" x14ac:dyDescent="0.3">
      <c r="A600" s="1287">
        <v>1</v>
      </c>
      <c r="B600" s="1288" t="s">
        <v>1378</v>
      </c>
      <c r="C600" s="1288" t="s">
        <v>1391</v>
      </c>
      <c r="D600" s="1288" t="s">
        <v>1444</v>
      </c>
      <c r="E600" s="1288" t="s">
        <v>1378</v>
      </c>
      <c r="F600" s="1288" t="s">
        <v>1391</v>
      </c>
      <c r="G600" s="1288" t="s">
        <v>1378</v>
      </c>
      <c r="H600" s="1288" t="s">
        <v>1391</v>
      </c>
      <c r="I600" s="1288"/>
      <c r="J600" s="1288"/>
      <c r="K600" s="754" t="s">
        <v>2308</v>
      </c>
      <c r="L600" s="1178"/>
      <c r="M600" s="1178"/>
      <c r="N600" s="1178"/>
      <c r="O600" s="1165">
        <f t="shared" si="101"/>
        <v>0</v>
      </c>
      <c r="P600" s="1178"/>
      <c r="Q600" s="1178"/>
      <c r="R600" s="1178"/>
      <c r="S600" s="1178"/>
      <c r="T600" s="1178"/>
      <c r="U600" s="1178"/>
      <c r="V600" s="1178"/>
      <c r="W600" s="1444" t="e">
        <f t="shared" si="102"/>
        <v>#DIV/0!</v>
      </c>
      <c r="X600" s="1432"/>
      <c r="Y600" s="765"/>
    </row>
    <row r="601" spans="1:25" s="183" customFormat="1" ht="22.5" customHeight="1" thickTop="1" thickBot="1" x14ac:dyDescent="0.3">
      <c r="A601" s="1287">
        <v>1</v>
      </c>
      <c r="B601" s="1288" t="s">
        <v>1378</v>
      </c>
      <c r="C601" s="1288" t="s">
        <v>1391</v>
      </c>
      <c r="D601" s="1288" t="s">
        <v>1444</v>
      </c>
      <c r="E601" s="1288" t="s">
        <v>1378</v>
      </c>
      <c r="F601" s="1288" t="s">
        <v>1391</v>
      </c>
      <c r="G601" s="1288" t="s">
        <v>1378</v>
      </c>
      <c r="H601" s="1288" t="s">
        <v>1415</v>
      </c>
      <c r="I601" s="1288"/>
      <c r="J601" s="1288"/>
      <c r="K601" s="754" t="s">
        <v>2309</v>
      </c>
      <c r="L601" s="1178"/>
      <c r="M601" s="1178"/>
      <c r="N601" s="1178"/>
      <c r="O601" s="1165">
        <f t="shared" si="101"/>
        <v>0</v>
      </c>
      <c r="P601" s="1178"/>
      <c r="Q601" s="1178"/>
      <c r="R601" s="1178"/>
      <c r="S601" s="1178"/>
      <c r="T601" s="1178"/>
      <c r="U601" s="1178"/>
      <c r="V601" s="1178"/>
      <c r="W601" s="1444" t="e">
        <f t="shared" si="102"/>
        <v>#DIV/0!</v>
      </c>
      <c r="X601" s="1432"/>
      <c r="Y601" s="765"/>
    </row>
    <row r="602" spans="1:25" s="183" customFormat="1" ht="22.5" customHeight="1" thickTop="1" thickBot="1" x14ac:dyDescent="0.3">
      <c r="A602" s="1287">
        <v>1</v>
      </c>
      <c r="B602" s="1288" t="s">
        <v>1378</v>
      </c>
      <c r="C602" s="1288" t="s">
        <v>1391</v>
      </c>
      <c r="D602" s="1288" t="s">
        <v>1444</v>
      </c>
      <c r="E602" s="1288" t="s">
        <v>1378</v>
      </c>
      <c r="F602" s="1288" t="s">
        <v>1391</v>
      </c>
      <c r="G602" s="1288" t="s">
        <v>1378</v>
      </c>
      <c r="H602" s="1288" t="s">
        <v>1419</v>
      </c>
      <c r="I602" s="1288"/>
      <c r="J602" s="1288"/>
      <c r="K602" s="754" t="s">
        <v>2538</v>
      </c>
      <c r="L602" s="1178"/>
      <c r="M602" s="1178"/>
      <c r="N602" s="1178"/>
      <c r="O602" s="1165">
        <f t="shared" si="101"/>
        <v>0</v>
      </c>
      <c r="P602" s="1178"/>
      <c r="Q602" s="1178"/>
      <c r="R602" s="1178"/>
      <c r="S602" s="1178"/>
      <c r="T602" s="1178"/>
      <c r="U602" s="1178"/>
      <c r="V602" s="1178"/>
      <c r="W602" s="1444" t="e">
        <f t="shared" si="102"/>
        <v>#DIV/0!</v>
      </c>
      <c r="X602" s="1432"/>
      <c r="Y602" s="765"/>
    </row>
    <row r="603" spans="1:25" s="183" customFormat="1" ht="22.5" customHeight="1" thickTop="1" thickBot="1" x14ac:dyDescent="0.3">
      <c r="A603" s="1287">
        <v>1</v>
      </c>
      <c r="B603" s="1288" t="s">
        <v>1378</v>
      </c>
      <c r="C603" s="1288" t="s">
        <v>1391</v>
      </c>
      <c r="D603" s="1288" t="s">
        <v>1444</v>
      </c>
      <c r="E603" s="1288" t="s">
        <v>1378</v>
      </c>
      <c r="F603" s="1288" t="s">
        <v>1391</v>
      </c>
      <c r="G603" s="1288" t="s">
        <v>1378</v>
      </c>
      <c r="H603" s="1288" t="s">
        <v>1444</v>
      </c>
      <c r="I603" s="1288"/>
      <c r="J603" s="1288"/>
      <c r="K603" s="754" t="s">
        <v>2311</v>
      </c>
      <c r="L603" s="1178"/>
      <c r="M603" s="1178"/>
      <c r="N603" s="1178"/>
      <c r="O603" s="1165">
        <f t="shared" si="101"/>
        <v>0</v>
      </c>
      <c r="P603" s="1178"/>
      <c r="Q603" s="1178"/>
      <c r="R603" s="1178"/>
      <c r="S603" s="1178"/>
      <c r="T603" s="1178"/>
      <c r="U603" s="1178"/>
      <c r="V603" s="1178"/>
      <c r="W603" s="1444" t="e">
        <f t="shared" si="102"/>
        <v>#DIV/0!</v>
      </c>
      <c r="X603" s="1432"/>
      <c r="Y603" s="765"/>
    </row>
    <row r="604" spans="1:25" s="183" customFormat="1" ht="22.5" customHeight="1" thickTop="1" thickBot="1" x14ac:dyDescent="0.3">
      <c r="A604" s="1287">
        <v>1</v>
      </c>
      <c r="B604" s="1288" t="s">
        <v>1378</v>
      </c>
      <c r="C604" s="1288" t="s">
        <v>1391</v>
      </c>
      <c r="D604" s="1288" t="s">
        <v>1444</v>
      </c>
      <c r="E604" s="1288" t="s">
        <v>1378</v>
      </c>
      <c r="F604" s="1288" t="s">
        <v>1391</v>
      </c>
      <c r="G604" s="1288" t="s">
        <v>1378</v>
      </c>
      <c r="H604" s="1288" t="s">
        <v>1467</v>
      </c>
      <c r="I604" s="1288"/>
      <c r="J604" s="1288"/>
      <c r="K604" s="754" t="s">
        <v>2312</v>
      </c>
      <c r="L604" s="1178"/>
      <c r="M604" s="1178"/>
      <c r="N604" s="1178"/>
      <c r="O604" s="1165">
        <f t="shared" si="101"/>
        <v>0</v>
      </c>
      <c r="P604" s="1178"/>
      <c r="Q604" s="1178"/>
      <c r="R604" s="1178"/>
      <c r="S604" s="1178"/>
      <c r="T604" s="1178"/>
      <c r="U604" s="1178"/>
      <c r="V604" s="1178"/>
      <c r="W604" s="1444" t="e">
        <f t="shared" si="102"/>
        <v>#DIV/0!</v>
      </c>
      <c r="X604" s="1432"/>
      <c r="Y604" s="765"/>
    </row>
    <row r="605" spans="1:25" s="183" customFormat="1" ht="22.5" customHeight="1" thickTop="1" thickBot="1" x14ac:dyDescent="0.3">
      <c r="A605" s="1287">
        <v>1</v>
      </c>
      <c r="B605" s="1288" t="s">
        <v>1378</v>
      </c>
      <c r="C605" s="1288" t="s">
        <v>1391</v>
      </c>
      <c r="D605" s="1288" t="s">
        <v>1444</v>
      </c>
      <c r="E605" s="1288" t="s">
        <v>1378</v>
      </c>
      <c r="F605" s="1288" t="s">
        <v>1391</v>
      </c>
      <c r="G605" s="1288" t="s">
        <v>1378</v>
      </c>
      <c r="H605" s="1288" t="s">
        <v>1471</v>
      </c>
      <c r="I605" s="1288"/>
      <c r="J605" s="1288"/>
      <c r="K605" s="754" t="s">
        <v>2313</v>
      </c>
      <c r="L605" s="1178"/>
      <c r="M605" s="1178"/>
      <c r="N605" s="1178"/>
      <c r="O605" s="1165">
        <f t="shared" si="101"/>
        <v>0</v>
      </c>
      <c r="P605" s="1178"/>
      <c r="Q605" s="1178"/>
      <c r="R605" s="1178"/>
      <c r="S605" s="1178"/>
      <c r="T605" s="1178"/>
      <c r="U605" s="1178"/>
      <c r="V605" s="1178"/>
      <c r="W605" s="1444" t="e">
        <f t="shared" si="102"/>
        <v>#DIV/0!</v>
      </c>
      <c r="X605" s="1432"/>
      <c r="Y605" s="765"/>
    </row>
    <row r="606" spans="1:25" s="183" customFormat="1" ht="22.5" customHeight="1" thickTop="1" thickBot="1" x14ac:dyDescent="0.3">
      <c r="A606" s="1287">
        <v>1</v>
      </c>
      <c r="B606" s="1288" t="s">
        <v>1378</v>
      </c>
      <c r="C606" s="1288" t="s">
        <v>1391</v>
      </c>
      <c r="D606" s="1288" t="s">
        <v>1444</v>
      </c>
      <c r="E606" s="1288" t="s">
        <v>1378</v>
      </c>
      <c r="F606" s="1288" t="s">
        <v>1391</v>
      </c>
      <c r="G606" s="1288" t="s">
        <v>1378</v>
      </c>
      <c r="H606" s="1288" t="s">
        <v>1475</v>
      </c>
      <c r="I606" s="1288"/>
      <c r="J606" s="1288"/>
      <c r="K606" s="754" t="s">
        <v>2314</v>
      </c>
      <c r="L606" s="1178"/>
      <c r="M606" s="1178"/>
      <c r="N606" s="1178"/>
      <c r="O606" s="1165">
        <f t="shared" si="101"/>
        <v>0</v>
      </c>
      <c r="P606" s="1178"/>
      <c r="Q606" s="1178"/>
      <c r="R606" s="1178"/>
      <c r="S606" s="1178"/>
      <c r="T606" s="1178"/>
      <c r="U606" s="1178"/>
      <c r="V606" s="1178"/>
      <c r="W606" s="1444" t="e">
        <f t="shared" si="102"/>
        <v>#DIV/0!</v>
      </c>
      <c r="X606" s="1432"/>
      <c r="Y606" s="765"/>
    </row>
    <row r="607" spans="1:25" s="183" customFormat="1" ht="22.5" customHeight="1" thickTop="1" thickBot="1" x14ac:dyDescent="0.3">
      <c r="A607" s="1287">
        <v>1</v>
      </c>
      <c r="B607" s="1288" t="s">
        <v>1378</v>
      </c>
      <c r="C607" s="1288" t="s">
        <v>1391</v>
      </c>
      <c r="D607" s="1288" t="s">
        <v>1444</v>
      </c>
      <c r="E607" s="1288" t="s">
        <v>1378</v>
      </c>
      <c r="F607" s="1288" t="s">
        <v>1391</v>
      </c>
      <c r="G607" s="1288" t="s">
        <v>1378</v>
      </c>
      <c r="H607" s="1288" t="s">
        <v>1573</v>
      </c>
      <c r="I607" s="1288"/>
      <c r="J607" s="1288"/>
      <c r="K607" s="754" t="s">
        <v>2315</v>
      </c>
      <c r="L607" s="1178"/>
      <c r="M607" s="1178"/>
      <c r="N607" s="1178"/>
      <c r="O607" s="1165">
        <f t="shared" si="101"/>
        <v>0</v>
      </c>
      <c r="P607" s="1178"/>
      <c r="Q607" s="1178"/>
      <c r="R607" s="1178"/>
      <c r="S607" s="1178"/>
      <c r="T607" s="1178"/>
      <c r="U607" s="1178"/>
      <c r="V607" s="1178"/>
      <c r="W607" s="1444" t="e">
        <f t="shared" si="102"/>
        <v>#DIV/0!</v>
      </c>
      <c r="X607" s="1432"/>
      <c r="Y607" s="765"/>
    </row>
    <row r="608" spans="1:25" s="183" customFormat="1" ht="22.5" customHeight="1" thickTop="1" thickBot="1" x14ac:dyDescent="0.3">
      <c r="A608" s="1287">
        <v>1</v>
      </c>
      <c r="B608" s="1288" t="s">
        <v>1378</v>
      </c>
      <c r="C608" s="1288" t="s">
        <v>1391</v>
      </c>
      <c r="D608" s="1288" t="s">
        <v>1444</v>
      </c>
      <c r="E608" s="1288" t="s">
        <v>1378</v>
      </c>
      <c r="F608" s="1288" t="s">
        <v>1391</v>
      </c>
      <c r="G608" s="1288" t="s">
        <v>1378</v>
      </c>
      <c r="H608" s="1288" t="s">
        <v>1574</v>
      </c>
      <c r="I608" s="1288"/>
      <c r="J608" s="1288"/>
      <c r="K608" s="754" t="s">
        <v>2316</v>
      </c>
      <c r="L608" s="1178"/>
      <c r="M608" s="1178"/>
      <c r="N608" s="1178"/>
      <c r="O608" s="1165">
        <f t="shared" si="101"/>
        <v>0</v>
      </c>
      <c r="P608" s="1178"/>
      <c r="Q608" s="1178"/>
      <c r="R608" s="1178"/>
      <c r="S608" s="1178"/>
      <c r="T608" s="1178"/>
      <c r="U608" s="1178"/>
      <c r="V608" s="1178"/>
      <c r="W608" s="1444" t="e">
        <f t="shared" si="102"/>
        <v>#DIV/0!</v>
      </c>
      <c r="X608" s="1432"/>
      <c r="Y608" s="765"/>
    </row>
    <row r="609" spans="1:25" s="183" customFormat="1" ht="22.5" customHeight="1" thickTop="1" thickBot="1" x14ac:dyDescent="0.3">
      <c r="A609" s="1287">
        <v>1</v>
      </c>
      <c r="B609" s="1288" t="s">
        <v>1378</v>
      </c>
      <c r="C609" s="1288" t="s">
        <v>1391</v>
      </c>
      <c r="D609" s="1288" t="s">
        <v>1444</v>
      </c>
      <c r="E609" s="1288" t="s">
        <v>1378</v>
      </c>
      <c r="F609" s="1288" t="s">
        <v>1391</v>
      </c>
      <c r="G609" s="1288" t="s">
        <v>1378</v>
      </c>
      <c r="H609" s="1288" t="s">
        <v>1575</v>
      </c>
      <c r="I609" s="1288"/>
      <c r="J609" s="1288"/>
      <c r="K609" s="754" t="s">
        <v>2317</v>
      </c>
      <c r="L609" s="1178"/>
      <c r="M609" s="1178"/>
      <c r="N609" s="1178"/>
      <c r="O609" s="1165">
        <f t="shared" si="101"/>
        <v>0</v>
      </c>
      <c r="P609" s="1178"/>
      <c r="Q609" s="1178"/>
      <c r="R609" s="1178"/>
      <c r="S609" s="1178"/>
      <c r="T609" s="1178"/>
      <c r="U609" s="1178"/>
      <c r="V609" s="1178"/>
      <c r="W609" s="1444" t="e">
        <f t="shared" si="102"/>
        <v>#DIV/0!</v>
      </c>
      <c r="X609" s="1432"/>
      <c r="Y609" s="765"/>
    </row>
    <row r="610" spans="1:25" s="183" customFormat="1" ht="22.5" customHeight="1" thickTop="1" thickBot="1" x14ac:dyDescent="0.3">
      <c r="A610" s="1287">
        <v>1</v>
      </c>
      <c r="B610" s="1288" t="s">
        <v>1378</v>
      </c>
      <c r="C610" s="1288" t="s">
        <v>1391</v>
      </c>
      <c r="D610" s="1288" t="s">
        <v>1444</v>
      </c>
      <c r="E610" s="1288" t="s">
        <v>1378</v>
      </c>
      <c r="F610" s="1288" t="s">
        <v>1391</v>
      </c>
      <c r="G610" s="1288" t="s">
        <v>1391</v>
      </c>
      <c r="H610" s="1288"/>
      <c r="I610" s="1288"/>
      <c r="J610" s="1288"/>
      <c r="K610" s="754" t="s">
        <v>2306</v>
      </c>
      <c r="L610" s="1178">
        <f>SUM(L611:L621)</f>
        <v>0</v>
      </c>
      <c r="M610" s="1178">
        <f t="shared" ref="M610:V610" si="106">SUM(M611:M621)</f>
        <v>0</v>
      </c>
      <c r="N610" s="1178">
        <f t="shared" si="106"/>
        <v>0</v>
      </c>
      <c r="O610" s="1165">
        <f t="shared" si="101"/>
        <v>0</v>
      </c>
      <c r="P610" s="1178">
        <f t="shared" si="106"/>
        <v>0</v>
      </c>
      <c r="Q610" s="1178">
        <f t="shared" si="106"/>
        <v>0</v>
      </c>
      <c r="R610" s="1178">
        <f t="shared" si="106"/>
        <v>0</v>
      </c>
      <c r="S610" s="1178"/>
      <c r="T610" s="1178">
        <f t="shared" si="106"/>
        <v>0</v>
      </c>
      <c r="U610" s="1178">
        <f t="shared" si="106"/>
        <v>0</v>
      </c>
      <c r="V610" s="1178">
        <f t="shared" si="106"/>
        <v>0</v>
      </c>
      <c r="W610" s="1444" t="e">
        <f t="shared" si="102"/>
        <v>#DIV/0!</v>
      </c>
      <c r="X610" s="1432" t="s">
        <v>2053</v>
      </c>
      <c r="Y610" s="765"/>
    </row>
    <row r="611" spans="1:25" s="183" customFormat="1" ht="22.5" customHeight="1" thickTop="1" thickBot="1" x14ac:dyDescent="0.3">
      <c r="A611" s="1287">
        <v>1</v>
      </c>
      <c r="B611" s="1288" t="s">
        <v>1378</v>
      </c>
      <c r="C611" s="1288" t="s">
        <v>1391</v>
      </c>
      <c r="D611" s="1288" t="s">
        <v>1444</v>
      </c>
      <c r="E611" s="1288" t="s">
        <v>1378</v>
      </c>
      <c r="F611" s="1288" t="s">
        <v>1391</v>
      </c>
      <c r="G611" s="1288" t="s">
        <v>1391</v>
      </c>
      <c r="H611" s="1288" t="s">
        <v>1378</v>
      </c>
      <c r="I611" s="1288"/>
      <c r="J611" s="1288"/>
      <c r="K611" s="754" t="s">
        <v>2539</v>
      </c>
      <c r="L611" s="1178"/>
      <c r="M611" s="1178"/>
      <c r="N611" s="1178"/>
      <c r="O611" s="1165">
        <f t="shared" si="101"/>
        <v>0</v>
      </c>
      <c r="P611" s="1178"/>
      <c r="Q611" s="1178"/>
      <c r="R611" s="1178"/>
      <c r="S611" s="1178"/>
      <c r="T611" s="1178"/>
      <c r="U611" s="1178"/>
      <c r="V611" s="1178"/>
      <c r="W611" s="1444" t="e">
        <f t="shared" si="102"/>
        <v>#DIV/0!</v>
      </c>
      <c r="X611" s="1432"/>
      <c r="Y611" s="765"/>
    </row>
    <row r="612" spans="1:25" s="183" customFormat="1" ht="22.5" customHeight="1" thickTop="1" thickBot="1" x14ac:dyDescent="0.3">
      <c r="A612" s="1287">
        <v>1</v>
      </c>
      <c r="B612" s="1288" t="s">
        <v>1378</v>
      </c>
      <c r="C612" s="1288" t="s">
        <v>1391</v>
      </c>
      <c r="D612" s="1288" t="s">
        <v>1444</v>
      </c>
      <c r="E612" s="1288" t="s">
        <v>1378</v>
      </c>
      <c r="F612" s="1288" t="s">
        <v>1391</v>
      </c>
      <c r="G612" s="1288" t="s">
        <v>1391</v>
      </c>
      <c r="H612" s="1288" t="s">
        <v>1391</v>
      </c>
      <c r="I612" s="1288"/>
      <c r="J612" s="1288"/>
      <c r="K612" s="754" t="s">
        <v>2540</v>
      </c>
      <c r="L612" s="1178"/>
      <c r="M612" s="1178"/>
      <c r="N612" s="1178"/>
      <c r="O612" s="1165">
        <f t="shared" si="101"/>
        <v>0</v>
      </c>
      <c r="P612" s="1178"/>
      <c r="Q612" s="1178"/>
      <c r="R612" s="1178"/>
      <c r="S612" s="1178"/>
      <c r="T612" s="1178"/>
      <c r="U612" s="1178"/>
      <c r="V612" s="1178"/>
      <c r="W612" s="1444" t="e">
        <f t="shared" si="102"/>
        <v>#DIV/0!</v>
      </c>
      <c r="X612" s="1432"/>
      <c r="Y612" s="765"/>
    </row>
    <row r="613" spans="1:25" s="183" customFormat="1" ht="22.5" customHeight="1" thickTop="1" thickBot="1" x14ac:dyDescent="0.3">
      <c r="A613" s="1287">
        <v>1</v>
      </c>
      <c r="B613" s="1288" t="s">
        <v>1378</v>
      </c>
      <c r="C613" s="1288" t="s">
        <v>1391</v>
      </c>
      <c r="D613" s="1288" t="s">
        <v>1444</v>
      </c>
      <c r="E613" s="1288" t="s">
        <v>1378</v>
      </c>
      <c r="F613" s="1288" t="s">
        <v>1391</v>
      </c>
      <c r="G613" s="1288" t="s">
        <v>1391</v>
      </c>
      <c r="H613" s="1288" t="s">
        <v>1415</v>
      </c>
      <c r="I613" s="1288"/>
      <c r="J613" s="1288"/>
      <c r="K613" s="754" t="s">
        <v>2541</v>
      </c>
      <c r="L613" s="1178"/>
      <c r="M613" s="1178"/>
      <c r="N613" s="1178"/>
      <c r="O613" s="1165">
        <f t="shared" si="101"/>
        <v>0</v>
      </c>
      <c r="P613" s="1178"/>
      <c r="Q613" s="1178"/>
      <c r="R613" s="1178"/>
      <c r="S613" s="1178"/>
      <c r="T613" s="1178"/>
      <c r="U613" s="1178"/>
      <c r="V613" s="1178"/>
      <c r="W613" s="1444" t="e">
        <f t="shared" si="102"/>
        <v>#DIV/0!</v>
      </c>
      <c r="X613" s="1432"/>
      <c r="Y613" s="765"/>
    </row>
    <row r="614" spans="1:25" s="183" customFormat="1" ht="22.5" customHeight="1" thickTop="1" thickBot="1" x14ac:dyDescent="0.3">
      <c r="A614" s="1287">
        <v>1</v>
      </c>
      <c r="B614" s="1288" t="s">
        <v>1378</v>
      </c>
      <c r="C614" s="1288" t="s">
        <v>1391</v>
      </c>
      <c r="D614" s="1288" t="s">
        <v>1444</v>
      </c>
      <c r="E614" s="1288" t="s">
        <v>1378</v>
      </c>
      <c r="F614" s="1288" t="s">
        <v>1391</v>
      </c>
      <c r="G614" s="1288" t="s">
        <v>1391</v>
      </c>
      <c r="H614" s="1288" t="s">
        <v>1419</v>
      </c>
      <c r="I614" s="1288"/>
      <c r="J614" s="1288"/>
      <c r="K614" s="754" t="s">
        <v>2542</v>
      </c>
      <c r="L614" s="1178"/>
      <c r="M614" s="1178"/>
      <c r="N614" s="1178"/>
      <c r="O614" s="1165">
        <f t="shared" si="101"/>
        <v>0</v>
      </c>
      <c r="P614" s="1178"/>
      <c r="Q614" s="1178"/>
      <c r="R614" s="1178"/>
      <c r="S614" s="1178"/>
      <c r="T614" s="1178"/>
      <c r="U614" s="1178"/>
      <c r="V614" s="1178"/>
      <c r="W614" s="1444" t="e">
        <f t="shared" si="102"/>
        <v>#DIV/0!</v>
      </c>
      <c r="X614" s="1432"/>
      <c r="Y614" s="765"/>
    </row>
    <row r="615" spans="1:25" s="183" customFormat="1" ht="22.5" customHeight="1" thickTop="1" thickBot="1" x14ac:dyDescent="0.3">
      <c r="A615" s="1287">
        <v>1</v>
      </c>
      <c r="B615" s="1288" t="s">
        <v>1378</v>
      </c>
      <c r="C615" s="1288" t="s">
        <v>1391</v>
      </c>
      <c r="D615" s="1288" t="s">
        <v>1444</v>
      </c>
      <c r="E615" s="1288" t="s">
        <v>1378</v>
      </c>
      <c r="F615" s="1288" t="s">
        <v>1391</v>
      </c>
      <c r="G615" s="1288" t="s">
        <v>1391</v>
      </c>
      <c r="H615" s="1288" t="s">
        <v>1444</v>
      </c>
      <c r="I615" s="1288"/>
      <c r="J615" s="1288"/>
      <c r="K615" s="754" t="s">
        <v>2543</v>
      </c>
      <c r="L615" s="1178"/>
      <c r="M615" s="1178"/>
      <c r="N615" s="1178"/>
      <c r="O615" s="1165">
        <f t="shared" si="101"/>
        <v>0</v>
      </c>
      <c r="P615" s="1178"/>
      <c r="Q615" s="1178"/>
      <c r="R615" s="1178"/>
      <c r="S615" s="1178"/>
      <c r="T615" s="1178"/>
      <c r="U615" s="1178"/>
      <c r="V615" s="1178"/>
      <c r="W615" s="1444" t="e">
        <f t="shared" si="102"/>
        <v>#DIV/0!</v>
      </c>
      <c r="X615" s="1432"/>
      <c r="Y615" s="765"/>
    </row>
    <row r="616" spans="1:25" s="183" customFormat="1" ht="22.5" customHeight="1" thickTop="1" thickBot="1" x14ac:dyDescent="0.3">
      <c r="A616" s="1287">
        <v>1</v>
      </c>
      <c r="B616" s="1288" t="s">
        <v>1378</v>
      </c>
      <c r="C616" s="1288" t="s">
        <v>1391</v>
      </c>
      <c r="D616" s="1288" t="s">
        <v>1444</v>
      </c>
      <c r="E616" s="1288" t="s">
        <v>1378</v>
      </c>
      <c r="F616" s="1288" t="s">
        <v>1391</v>
      </c>
      <c r="G616" s="1288" t="s">
        <v>1391</v>
      </c>
      <c r="H616" s="1288" t="s">
        <v>1467</v>
      </c>
      <c r="I616" s="1288"/>
      <c r="J616" s="1288"/>
      <c r="K616" s="754" t="s">
        <v>2544</v>
      </c>
      <c r="L616" s="1178"/>
      <c r="M616" s="1178"/>
      <c r="N616" s="1178"/>
      <c r="O616" s="1165">
        <f t="shared" si="101"/>
        <v>0</v>
      </c>
      <c r="P616" s="1178"/>
      <c r="Q616" s="1178"/>
      <c r="R616" s="1178"/>
      <c r="S616" s="1178"/>
      <c r="T616" s="1178"/>
      <c r="U616" s="1178"/>
      <c r="V616" s="1178"/>
      <c r="W616" s="1444" t="e">
        <f t="shared" si="102"/>
        <v>#DIV/0!</v>
      </c>
      <c r="X616" s="1432"/>
      <c r="Y616" s="765"/>
    </row>
    <row r="617" spans="1:25" s="183" customFormat="1" ht="22.5" customHeight="1" thickTop="1" thickBot="1" x14ac:dyDescent="0.3">
      <c r="A617" s="1287">
        <v>1</v>
      </c>
      <c r="B617" s="1288" t="s">
        <v>1378</v>
      </c>
      <c r="C617" s="1288" t="s">
        <v>1391</v>
      </c>
      <c r="D617" s="1288" t="s">
        <v>1444</v>
      </c>
      <c r="E617" s="1288" t="s">
        <v>1378</v>
      </c>
      <c r="F617" s="1288" t="s">
        <v>1391</v>
      </c>
      <c r="G617" s="1288" t="s">
        <v>1391</v>
      </c>
      <c r="H617" s="1288" t="s">
        <v>1471</v>
      </c>
      <c r="I617" s="1288"/>
      <c r="J617" s="1288"/>
      <c r="K617" s="754" t="s">
        <v>2545</v>
      </c>
      <c r="L617" s="1178"/>
      <c r="M617" s="1178"/>
      <c r="N617" s="1178"/>
      <c r="O617" s="1165">
        <f t="shared" si="101"/>
        <v>0</v>
      </c>
      <c r="P617" s="1178"/>
      <c r="Q617" s="1178"/>
      <c r="R617" s="1178"/>
      <c r="S617" s="1178"/>
      <c r="T617" s="1178"/>
      <c r="U617" s="1178"/>
      <c r="V617" s="1178"/>
      <c r="W617" s="1444" t="e">
        <f t="shared" si="102"/>
        <v>#DIV/0!</v>
      </c>
      <c r="X617" s="1432"/>
      <c r="Y617" s="765"/>
    </row>
    <row r="618" spans="1:25" s="183" customFormat="1" ht="22.5" customHeight="1" thickTop="1" thickBot="1" x14ac:dyDescent="0.3">
      <c r="A618" s="1287">
        <v>1</v>
      </c>
      <c r="B618" s="1288" t="s">
        <v>1378</v>
      </c>
      <c r="C618" s="1288" t="s">
        <v>1391</v>
      </c>
      <c r="D618" s="1288" t="s">
        <v>1444</v>
      </c>
      <c r="E618" s="1288" t="s">
        <v>1378</v>
      </c>
      <c r="F618" s="1288" t="s">
        <v>1391</v>
      </c>
      <c r="G618" s="1288" t="s">
        <v>1391</v>
      </c>
      <c r="H618" s="1288" t="s">
        <v>1475</v>
      </c>
      <c r="I618" s="1288"/>
      <c r="J618" s="1288"/>
      <c r="K618" s="754" t="s">
        <v>2546</v>
      </c>
      <c r="L618" s="1178"/>
      <c r="M618" s="1178"/>
      <c r="N618" s="1178"/>
      <c r="O618" s="1165">
        <f t="shared" si="101"/>
        <v>0</v>
      </c>
      <c r="P618" s="1178"/>
      <c r="Q618" s="1178"/>
      <c r="R618" s="1178"/>
      <c r="S618" s="1178"/>
      <c r="T618" s="1178"/>
      <c r="U618" s="1178"/>
      <c r="V618" s="1178"/>
      <c r="W618" s="1444" t="e">
        <f t="shared" si="102"/>
        <v>#DIV/0!</v>
      </c>
      <c r="X618" s="1432"/>
      <c r="Y618" s="765"/>
    </row>
    <row r="619" spans="1:25" s="183" customFormat="1" ht="22.5" customHeight="1" thickTop="1" thickBot="1" x14ac:dyDescent="0.3">
      <c r="A619" s="1287">
        <v>1</v>
      </c>
      <c r="B619" s="1288" t="s">
        <v>1378</v>
      </c>
      <c r="C619" s="1288" t="s">
        <v>1391</v>
      </c>
      <c r="D619" s="1288" t="s">
        <v>1444</v>
      </c>
      <c r="E619" s="1288" t="s">
        <v>1378</v>
      </c>
      <c r="F619" s="1288" t="s">
        <v>1391</v>
      </c>
      <c r="G619" s="1288" t="s">
        <v>1391</v>
      </c>
      <c r="H619" s="1288" t="s">
        <v>1573</v>
      </c>
      <c r="I619" s="1288"/>
      <c r="J619" s="1288"/>
      <c r="K619" s="754" t="s">
        <v>2547</v>
      </c>
      <c r="L619" s="1178"/>
      <c r="M619" s="1178"/>
      <c r="N619" s="1178"/>
      <c r="O619" s="1165">
        <f t="shared" si="101"/>
        <v>0</v>
      </c>
      <c r="P619" s="1178"/>
      <c r="Q619" s="1178"/>
      <c r="R619" s="1178"/>
      <c r="S619" s="1178"/>
      <c r="T619" s="1178"/>
      <c r="U619" s="1178"/>
      <c r="V619" s="1178"/>
      <c r="W619" s="1444" t="e">
        <f t="shared" si="102"/>
        <v>#DIV/0!</v>
      </c>
      <c r="X619" s="1432"/>
      <c r="Y619" s="765"/>
    </row>
    <row r="620" spans="1:25" s="183" customFormat="1" ht="22.5" customHeight="1" thickTop="1" thickBot="1" x14ac:dyDescent="0.3">
      <c r="A620" s="1287">
        <v>1</v>
      </c>
      <c r="B620" s="1288" t="s">
        <v>1378</v>
      </c>
      <c r="C620" s="1288" t="s">
        <v>1391</v>
      </c>
      <c r="D620" s="1288" t="s">
        <v>1444</v>
      </c>
      <c r="E620" s="1288" t="s">
        <v>1378</v>
      </c>
      <c r="F620" s="1288" t="s">
        <v>1391</v>
      </c>
      <c r="G620" s="1288" t="s">
        <v>1391</v>
      </c>
      <c r="H620" s="1288" t="s">
        <v>1574</v>
      </c>
      <c r="I620" s="1288"/>
      <c r="J620" s="1288"/>
      <c r="K620" s="754" t="s">
        <v>2548</v>
      </c>
      <c r="L620" s="1178"/>
      <c r="M620" s="1178"/>
      <c r="N620" s="1178"/>
      <c r="O620" s="1165">
        <f t="shared" si="101"/>
        <v>0</v>
      </c>
      <c r="P620" s="1178"/>
      <c r="Q620" s="1178"/>
      <c r="R620" s="1178"/>
      <c r="S620" s="1178"/>
      <c r="T620" s="1178"/>
      <c r="U620" s="1178"/>
      <c r="V620" s="1178"/>
      <c r="W620" s="1444" t="e">
        <f t="shared" si="102"/>
        <v>#DIV/0!</v>
      </c>
      <c r="X620" s="1432"/>
      <c r="Y620" s="765"/>
    </row>
    <row r="621" spans="1:25" s="183" customFormat="1" ht="22.5" customHeight="1" thickTop="1" thickBot="1" x14ac:dyDescent="0.3">
      <c r="A621" s="1287">
        <v>1</v>
      </c>
      <c r="B621" s="1288" t="s">
        <v>1378</v>
      </c>
      <c r="C621" s="1288" t="s">
        <v>1391</v>
      </c>
      <c r="D621" s="1288" t="s">
        <v>1444</v>
      </c>
      <c r="E621" s="1288" t="s">
        <v>1378</v>
      </c>
      <c r="F621" s="1288" t="s">
        <v>1391</v>
      </c>
      <c r="G621" s="1288" t="s">
        <v>1391</v>
      </c>
      <c r="H621" s="1288" t="s">
        <v>1575</v>
      </c>
      <c r="I621" s="1288"/>
      <c r="J621" s="1288"/>
      <c r="K621" s="754" t="s">
        <v>2549</v>
      </c>
      <c r="L621" s="1178"/>
      <c r="M621" s="1178"/>
      <c r="N621" s="1178"/>
      <c r="O621" s="1165">
        <f t="shared" si="101"/>
        <v>0</v>
      </c>
      <c r="P621" s="1178"/>
      <c r="Q621" s="1178"/>
      <c r="R621" s="1178"/>
      <c r="S621" s="1178"/>
      <c r="T621" s="1178"/>
      <c r="U621" s="1178"/>
      <c r="V621" s="1178"/>
      <c r="W621" s="1444" t="e">
        <f t="shared" si="102"/>
        <v>#DIV/0!</v>
      </c>
      <c r="X621" s="1432"/>
      <c r="Y621" s="765"/>
    </row>
    <row r="622" spans="1:25" s="183" customFormat="1" ht="22.5" customHeight="1" thickTop="1" thickBot="1" x14ac:dyDescent="0.3">
      <c r="A622" s="1285">
        <v>1</v>
      </c>
      <c r="B622" s="1286" t="s">
        <v>1378</v>
      </c>
      <c r="C622" s="1286" t="s">
        <v>1391</v>
      </c>
      <c r="D622" s="1286" t="s">
        <v>1444</v>
      </c>
      <c r="E622" s="1286" t="s">
        <v>1378</v>
      </c>
      <c r="F622" s="1286" t="s">
        <v>1415</v>
      </c>
      <c r="G622" s="1286"/>
      <c r="H622" s="1286"/>
      <c r="I622" s="1286"/>
      <c r="J622" s="1286"/>
      <c r="K622" s="753" t="s">
        <v>2033</v>
      </c>
      <c r="L622" s="1177">
        <f>+L623+L635+L647</f>
        <v>0</v>
      </c>
      <c r="M622" s="1177">
        <f t="shared" ref="M622:V622" si="107">+M623+M635+M647</f>
        <v>0</v>
      </c>
      <c r="N622" s="1177">
        <f t="shared" si="107"/>
        <v>0</v>
      </c>
      <c r="O622" s="1165">
        <f t="shared" si="101"/>
        <v>0</v>
      </c>
      <c r="P622" s="1177">
        <f t="shared" si="107"/>
        <v>0</v>
      </c>
      <c r="Q622" s="1177">
        <f t="shared" si="107"/>
        <v>0</v>
      </c>
      <c r="R622" s="1177">
        <f t="shared" si="107"/>
        <v>0</v>
      </c>
      <c r="S622" s="1177"/>
      <c r="T622" s="1177">
        <f t="shared" si="107"/>
        <v>0</v>
      </c>
      <c r="U622" s="1177">
        <f t="shared" si="107"/>
        <v>0</v>
      </c>
      <c r="V622" s="1177">
        <f t="shared" si="107"/>
        <v>0</v>
      </c>
      <c r="W622" s="1443" t="e">
        <f t="shared" si="102"/>
        <v>#DIV/0!</v>
      </c>
      <c r="X622" s="1432" t="s">
        <v>2054</v>
      </c>
      <c r="Y622" s="765"/>
    </row>
    <row r="623" spans="1:25" s="183" customFormat="1" ht="22.5" customHeight="1" thickTop="1" thickBot="1" x14ac:dyDescent="0.3">
      <c r="A623" s="1287">
        <v>1</v>
      </c>
      <c r="B623" s="1288" t="s">
        <v>1378</v>
      </c>
      <c r="C623" s="1288" t="s">
        <v>1391</v>
      </c>
      <c r="D623" s="1288" t="s">
        <v>1444</v>
      </c>
      <c r="E623" s="1288" t="s">
        <v>1378</v>
      </c>
      <c r="F623" s="1288" t="s">
        <v>1415</v>
      </c>
      <c r="G623" s="1288" t="s">
        <v>1378</v>
      </c>
      <c r="H623" s="1288"/>
      <c r="I623" s="1288"/>
      <c r="J623" s="1288"/>
      <c r="K623" s="754" t="s">
        <v>2305</v>
      </c>
      <c r="L623" s="1178">
        <f>SUM(L624:L634)</f>
        <v>0</v>
      </c>
      <c r="M623" s="1178">
        <f t="shared" ref="M623:V623" si="108">SUM(M624:M634)</f>
        <v>0</v>
      </c>
      <c r="N623" s="1178">
        <f t="shared" si="108"/>
        <v>0</v>
      </c>
      <c r="O623" s="1165">
        <f t="shared" si="101"/>
        <v>0</v>
      </c>
      <c r="P623" s="1178">
        <f t="shared" si="108"/>
        <v>0</v>
      </c>
      <c r="Q623" s="1178">
        <f t="shared" si="108"/>
        <v>0</v>
      </c>
      <c r="R623" s="1178">
        <f t="shared" si="108"/>
        <v>0</v>
      </c>
      <c r="S623" s="1178"/>
      <c r="T623" s="1178">
        <f t="shared" si="108"/>
        <v>0</v>
      </c>
      <c r="U623" s="1178">
        <f t="shared" si="108"/>
        <v>0</v>
      </c>
      <c r="V623" s="1178">
        <f t="shared" si="108"/>
        <v>0</v>
      </c>
      <c r="W623" s="1444" t="e">
        <f t="shared" si="102"/>
        <v>#DIV/0!</v>
      </c>
      <c r="X623" s="1432" t="s">
        <v>2055</v>
      </c>
      <c r="Y623" s="765"/>
    </row>
    <row r="624" spans="1:25" s="183" customFormat="1" ht="22.5" customHeight="1" thickTop="1" thickBot="1" x14ac:dyDescent="0.3">
      <c r="A624" s="1287">
        <v>1</v>
      </c>
      <c r="B624" s="1288" t="s">
        <v>1378</v>
      </c>
      <c r="C624" s="1288" t="s">
        <v>1391</v>
      </c>
      <c r="D624" s="1288" t="s">
        <v>1444</v>
      </c>
      <c r="E624" s="1288" t="s">
        <v>1378</v>
      </c>
      <c r="F624" s="1288" t="s">
        <v>1415</v>
      </c>
      <c r="G624" s="1288" t="s">
        <v>1378</v>
      </c>
      <c r="H624" s="1288" t="s">
        <v>1378</v>
      </c>
      <c r="I624" s="1288"/>
      <c r="J624" s="1288"/>
      <c r="K624" s="754" t="s">
        <v>2307</v>
      </c>
      <c r="L624" s="1178"/>
      <c r="M624" s="1178"/>
      <c r="N624" s="1178"/>
      <c r="O624" s="1165">
        <f t="shared" si="101"/>
        <v>0</v>
      </c>
      <c r="P624" s="1178"/>
      <c r="Q624" s="1178"/>
      <c r="R624" s="1178"/>
      <c r="S624" s="1178"/>
      <c r="T624" s="1178"/>
      <c r="U624" s="1178"/>
      <c r="V624" s="1178"/>
      <c r="W624" s="1444" t="e">
        <f t="shared" si="102"/>
        <v>#DIV/0!</v>
      </c>
      <c r="X624" s="1432"/>
      <c r="Y624" s="765"/>
    </row>
    <row r="625" spans="1:25" s="183" customFormat="1" ht="22.5" customHeight="1" thickTop="1" thickBot="1" x14ac:dyDescent="0.3">
      <c r="A625" s="1287">
        <v>1</v>
      </c>
      <c r="B625" s="1288" t="s">
        <v>1378</v>
      </c>
      <c r="C625" s="1288" t="s">
        <v>1391</v>
      </c>
      <c r="D625" s="1288" t="s">
        <v>1444</v>
      </c>
      <c r="E625" s="1288" t="s">
        <v>1378</v>
      </c>
      <c r="F625" s="1288" t="s">
        <v>1415</v>
      </c>
      <c r="G625" s="1288" t="s">
        <v>1378</v>
      </c>
      <c r="H625" s="1288" t="s">
        <v>1391</v>
      </c>
      <c r="I625" s="1288"/>
      <c r="J625" s="1288"/>
      <c r="K625" s="754" t="s">
        <v>2308</v>
      </c>
      <c r="L625" s="1178"/>
      <c r="M625" s="1178"/>
      <c r="N625" s="1178"/>
      <c r="O625" s="1165">
        <f t="shared" si="101"/>
        <v>0</v>
      </c>
      <c r="P625" s="1178"/>
      <c r="Q625" s="1178"/>
      <c r="R625" s="1178"/>
      <c r="S625" s="1178"/>
      <c r="T625" s="1178"/>
      <c r="U625" s="1178"/>
      <c r="V625" s="1178"/>
      <c r="W625" s="1444" t="e">
        <f t="shared" si="102"/>
        <v>#DIV/0!</v>
      </c>
      <c r="X625" s="1432"/>
      <c r="Y625" s="765"/>
    </row>
    <row r="626" spans="1:25" s="183" customFormat="1" ht="22.5" customHeight="1" thickTop="1" thickBot="1" x14ac:dyDescent="0.3">
      <c r="A626" s="1287">
        <v>1</v>
      </c>
      <c r="B626" s="1288" t="s">
        <v>1378</v>
      </c>
      <c r="C626" s="1288" t="s">
        <v>1391</v>
      </c>
      <c r="D626" s="1288" t="s">
        <v>1444</v>
      </c>
      <c r="E626" s="1288" t="s">
        <v>1378</v>
      </c>
      <c r="F626" s="1288" t="s">
        <v>1415</v>
      </c>
      <c r="G626" s="1288" t="s">
        <v>1378</v>
      </c>
      <c r="H626" s="1288" t="s">
        <v>1415</v>
      </c>
      <c r="I626" s="1288"/>
      <c r="J626" s="1288"/>
      <c r="K626" s="754" t="s">
        <v>2309</v>
      </c>
      <c r="L626" s="1178"/>
      <c r="M626" s="1178"/>
      <c r="N626" s="1178"/>
      <c r="O626" s="1165">
        <f t="shared" si="101"/>
        <v>0</v>
      </c>
      <c r="P626" s="1178"/>
      <c r="Q626" s="1178"/>
      <c r="R626" s="1178"/>
      <c r="S626" s="1178"/>
      <c r="T626" s="1178"/>
      <c r="U626" s="1178"/>
      <c r="V626" s="1178"/>
      <c r="W626" s="1444" t="e">
        <f t="shared" si="102"/>
        <v>#DIV/0!</v>
      </c>
      <c r="X626" s="1432"/>
      <c r="Y626" s="765"/>
    </row>
    <row r="627" spans="1:25" s="183" customFormat="1" ht="22.5" customHeight="1" thickTop="1" thickBot="1" x14ac:dyDescent="0.3">
      <c r="A627" s="1287">
        <v>1</v>
      </c>
      <c r="B627" s="1288" t="s">
        <v>1378</v>
      </c>
      <c r="C627" s="1288" t="s">
        <v>1391</v>
      </c>
      <c r="D627" s="1288" t="s">
        <v>1444</v>
      </c>
      <c r="E627" s="1288" t="s">
        <v>1378</v>
      </c>
      <c r="F627" s="1288" t="s">
        <v>1415</v>
      </c>
      <c r="G627" s="1288" t="s">
        <v>1378</v>
      </c>
      <c r="H627" s="1288" t="s">
        <v>1419</v>
      </c>
      <c r="I627" s="1288"/>
      <c r="J627" s="1288"/>
      <c r="K627" s="754" t="s">
        <v>2310</v>
      </c>
      <c r="L627" s="1178"/>
      <c r="M627" s="1178"/>
      <c r="N627" s="1178"/>
      <c r="O627" s="1165">
        <f t="shared" si="101"/>
        <v>0</v>
      </c>
      <c r="P627" s="1178"/>
      <c r="Q627" s="1178"/>
      <c r="R627" s="1178"/>
      <c r="S627" s="1178"/>
      <c r="T627" s="1178"/>
      <c r="U627" s="1178"/>
      <c r="V627" s="1178"/>
      <c r="W627" s="1444" t="e">
        <f t="shared" si="102"/>
        <v>#DIV/0!</v>
      </c>
      <c r="X627" s="1432"/>
      <c r="Y627" s="765"/>
    </row>
    <row r="628" spans="1:25" s="183" customFormat="1" ht="22.5" customHeight="1" thickTop="1" thickBot="1" x14ac:dyDescent="0.3">
      <c r="A628" s="1287">
        <v>1</v>
      </c>
      <c r="B628" s="1288" t="s">
        <v>1378</v>
      </c>
      <c r="C628" s="1288" t="s">
        <v>1391</v>
      </c>
      <c r="D628" s="1288" t="s">
        <v>1444</v>
      </c>
      <c r="E628" s="1288" t="s">
        <v>1378</v>
      </c>
      <c r="F628" s="1288" t="s">
        <v>1415</v>
      </c>
      <c r="G628" s="1288" t="s">
        <v>1378</v>
      </c>
      <c r="H628" s="1288" t="s">
        <v>1444</v>
      </c>
      <c r="I628" s="1288"/>
      <c r="J628" s="1288"/>
      <c r="K628" s="754" t="s">
        <v>2311</v>
      </c>
      <c r="L628" s="1178"/>
      <c r="M628" s="1178"/>
      <c r="N628" s="1178"/>
      <c r="O628" s="1165">
        <f t="shared" si="101"/>
        <v>0</v>
      </c>
      <c r="P628" s="1178"/>
      <c r="Q628" s="1178"/>
      <c r="R628" s="1178"/>
      <c r="S628" s="1178"/>
      <c r="T628" s="1178"/>
      <c r="U628" s="1178"/>
      <c r="V628" s="1178"/>
      <c r="W628" s="1444" t="e">
        <f t="shared" si="102"/>
        <v>#DIV/0!</v>
      </c>
      <c r="X628" s="1432"/>
      <c r="Y628" s="765"/>
    </row>
    <row r="629" spans="1:25" s="183" customFormat="1" ht="22.5" customHeight="1" thickTop="1" thickBot="1" x14ac:dyDescent="0.3">
      <c r="A629" s="1287">
        <v>1</v>
      </c>
      <c r="B629" s="1288" t="s">
        <v>1378</v>
      </c>
      <c r="C629" s="1288" t="s">
        <v>1391</v>
      </c>
      <c r="D629" s="1288" t="s">
        <v>1444</v>
      </c>
      <c r="E629" s="1288" t="s">
        <v>1378</v>
      </c>
      <c r="F629" s="1288" t="s">
        <v>1415</v>
      </c>
      <c r="G629" s="1288" t="s">
        <v>1378</v>
      </c>
      <c r="H629" s="1288" t="s">
        <v>1467</v>
      </c>
      <c r="I629" s="1288"/>
      <c r="J629" s="1288"/>
      <c r="K629" s="754" t="s">
        <v>2312</v>
      </c>
      <c r="L629" s="1178"/>
      <c r="M629" s="1178"/>
      <c r="N629" s="1178"/>
      <c r="O629" s="1165">
        <f t="shared" si="101"/>
        <v>0</v>
      </c>
      <c r="P629" s="1178"/>
      <c r="Q629" s="1178"/>
      <c r="R629" s="1178"/>
      <c r="S629" s="1178"/>
      <c r="T629" s="1178"/>
      <c r="U629" s="1178"/>
      <c r="V629" s="1178"/>
      <c r="W629" s="1444" t="e">
        <f t="shared" si="102"/>
        <v>#DIV/0!</v>
      </c>
      <c r="X629" s="1432"/>
      <c r="Y629" s="765"/>
    </row>
    <row r="630" spans="1:25" s="183" customFormat="1" ht="22.5" customHeight="1" thickTop="1" thickBot="1" x14ac:dyDescent="0.3">
      <c r="A630" s="1287">
        <v>1</v>
      </c>
      <c r="B630" s="1288" t="s">
        <v>1378</v>
      </c>
      <c r="C630" s="1288" t="s">
        <v>1391</v>
      </c>
      <c r="D630" s="1288" t="s">
        <v>1444</v>
      </c>
      <c r="E630" s="1288" t="s">
        <v>1378</v>
      </c>
      <c r="F630" s="1288" t="s">
        <v>1415</v>
      </c>
      <c r="G630" s="1288" t="s">
        <v>1378</v>
      </c>
      <c r="H630" s="1288" t="s">
        <v>1471</v>
      </c>
      <c r="I630" s="1288"/>
      <c r="J630" s="1288"/>
      <c r="K630" s="754" t="s">
        <v>2313</v>
      </c>
      <c r="L630" s="1178"/>
      <c r="M630" s="1178"/>
      <c r="N630" s="1178"/>
      <c r="O630" s="1165">
        <f t="shared" si="101"/>
        <v>0</v>
      </c>
      <c r="P630" s="1178"/>
      <c r="Q630" s="1178"/>
      <c r="R630" s="1178"/>
      <c r="S630" s="1178"/>
      <c r="T630" s="1178"/>
      <c r="U630" s="1178"/>
      <c r="V630" s="1178"/>
      <c r="W630" s="1444" t="e">
        <f t="shared" si="102"/>
        <v>#DIV/0!</v>
      </c>
      <c r="X630" s="1432"/>
      <c r="Y630" s="765"/>
    </row>
    <row r="631" spans="1:25" s="183" customFormat="1" ht="22.5" customHeight="1" thickTop="1" thickBot="1" x14ac:dyDescent="0.3">
      <c r="A631" s="1287">
        <v>1</v>
      </c>
      <c r="B631" s="1288" t="s">
        <v>1378</v>
      </c>
      <c r="C631" s="1288" t="s">
        <v>1391</v>
      </c>
      <c r="D631" s="1288" t="s">
        <v>1444</v>
      </c>
      <c r="E631" s="1288" t="s">
        <v>1378</v>
      </c>
      <c r="F631" s="1288" t="s">
        <v>1415</v>
      </c>
      <c r="G631" s="1288" t="s">
        <v>1378</v>
      </c>
      <c r="H631" s="1288" t="s">
        <v>1475</v>
      </c>
      <c r="I631" s="1288"/>
      <c r="J631" s="1288"/>
      <c r="K631" s="754" t="s">
        <v>2314</v>
      </c>
      <c r="L631" s="1178"/>
      <c r="M631" s="1178"/>
      <c r="N631" s="1178"/>
      <c r="O631" s="1165">
        <f t="shared" si="101"/>
        <v>0</v>
      </c>
      <c r="P631" s="1178"/>
      <c r="Q631" s="1178"/>
      <c r="R631" s="1178"/>
      <c r="S631" s="1178"/>
      <c r="T631" s="1178"/>
      <c r="U631" s="1178"/>
      <c r="V631" s="1178"/>
      <c r="W631" s="1444" t="e">
        <f t="shared" si="102"/>
        <v>#DIV/0!</v>
      </c>
      <c r="X631" s="1432"/>
      <c r="Y631" s="765"/>
    </row>
    <row r="632" spans="1:25" s="183" customFormat="1" ht="22.5" customHeight="1" thickTop="1" thickBot="1" x14ac:dyDescent="0.3">
      <c r="A632" s="1287">
        <v>1</v>
      </c>
      <c r="B632" s="1288" t="s">
        <v>1378</v>
      </c>
      <c r="C632" s="1288" t="s">
        <v>1391</v>
      </c>
      <c r="D632" s="1288" t="s">
        <v>1444</v>
      </c>
      <c r="E632" s="1288" t="s">
        <v>1378</v>
      </c>
      <c r="F632" s="1288" t="s">
        <v>1415</v>
      </c>
      <c r="G632" s="1288" t="s">
        <v>1378</v>
      </c>
      <c r="H632" s="1288" t="s">
        <v>1573</v>
      </c>
      <c r="I632" s="1288"/>
      <c r="J632" s="1288"/>
      <c r="K632" s="754" t="s">
        <v>2315</v>
      </c>
      <c r="L632" s="1178"/>
      <c r="M632" s="1178"/>
      <c r="N632" s="1178"/>
      <c r="O632" s="1165">
        <f t="shared" si="101"/>
        <v>0</v>
      </c>
      <c r="P632" s="1178"/>
      <c r="Q632" s="1178"/>
      <c r="R632" s="1178"/>
      <c r="S632" s="1178"/>
      <c r="T632" s="1178"/>
      <c r="U632" s="1178"/>
      <c r="V632" s="1178"/>
      <c r="W632" s="1444" t="e">
        <f t="shared" si="102"/>
        <v>#DIV/0!</v>
      </c>
      <c r="X632" s="1432"/>
      <c r="Y632" s="765"/>
    </row>
    <row r="633" spans="1:25" s="183" customFormat="1" ht="22.5" customHeight="1" thickTop="1" thickBot="1" x14ac:dyDescent="0.3">
      <c r="A633" s="1287">
        <v>1</v>
      </c>
      <c r="B633" s="1288" t="s">
        <v>1378</v>
      </c>
      <c r="C633" s="1288" t="s">
        <v>1391</v>
      </c>
      <c r="D633" s="1288" t="s">
        <v>1444</v>
      </c>
      <c r="E633" s="1288" t="s">
        <v>1378</v>
      </c>
      <c r="F633" s="1288" t="s">
        <v>1415</v>
      </c>
      <c r="G633" s="1288" t="s">
        <v>1378</v>
      </c>
      <c r="H633" s="1288" t="s">
        <v>1574</v>
      </c>
      <c r="I633" s="1288"/>
      <c r="J633" s="1288"/>
      <c r="K633" s="754" t="s">
        <v>2316</v>
      </c>
      <c r="L633" s="1178"/>
      <c r="M633" s="1178"/>
      <c r="N633" s="1178"/>
      <c r="O633" s="1165">
        <f t="shared" si="101"/>
        <v>0</v>
      </c>
      <c r="P633" s="1178"/>
      <c r="Q633" s="1178"/>
      <c r="R633" s="1178"/>
      <c r="S633" s="1178"/>
      <c r="T633" s="1178"/>
      <c r="U633" s="1178"/>
      <c r="V633" s="1178"/>
      <c r="W633" s="1444" t="e">
        <f t="shared" si="102"/>
        <v>#DIV/0!</v>
      </c>
      <c r="X633" s="1432"/>
      <c r="Y633" s="765"/>
    </row>
    <row r="634" spans="1:25" s="183" customFormat="1" ht="22.5" customHeight="1" thickTop="1" thickBot="1" x14ac:dyDescent="0.3">
      <c r="A634" s="1287">
        <v>1</v>
      </c>
      <c r="B634" s="1288" t="s">
        <v>1378</v>
      </c>
      <c r="C634" s="1288" t="s">
        <v>1391</v>
      </c>
      <c r="D634" s="1288" t="s">
        <v>1444</v>
      </c>
      <c r="E634" s="1288" t="s">
        <v>1378</v>
      </c>
      <c r="F634" s="1288" t="s">
        <v>1415</v>
      </c>
      <c r="G634" s="1288" t="s">
        <v>1378</v>
      </c>
      <c r="H634" s="1288" t="s">
        <v>1575</v>
      </c>
      <c r="I634" s="1288"/>
      <c r="J634" s="1288"/>
      <c r="K634" s="754" t="s">
        <v>2317</v>
      </c>
      <c r="L634" s="1178"/>
      <c r="M634" s="1178"/>
      <c r="N634" s="1178"/>
      <c r="O634" s="1165">
        <f t="shared" si="101"/>
        <v>0</v>
      </c>
      <c r="P634" s="1178"/>
      <c r="Q634" s="1178"/>
      <c r="R634" s="1178"/>
      <c r="S634" s="1178"/>
      <c r="T634" s="1178"/>
      <c r="U634" s="1178"/>
      <c r="V634" s="1178"/>
      <c r="W634" s="1444" t="e">
        <f t="shared" si="102"/>
        <v>#DIV/0!</v>
      </c>
      <c r="X634" s="1432"/>
      <c r="Y634" s="765"/>
    </row>
    <row r="635" spans="1:25" s="183" customFormat="1" ht="22.5" customHeight="1" thickTop="1" thickBot="1" x14ac:dyDescent="0.3">
      <c r="A635" s="1287">
        <v>1</v>
      </c>
      <c r="B635" s="1288" t="s">
        <v>1378</v>
      </c>
      <c r="C635" s="1288" t="s">
        <v>1391</v>
      </c>
      <c r="D635" s="1288" t="s">
        <v>1444</v>
      </c>
      <c r="E635" s="1288" t="s">
        <v>1378</v>
      </c>
      <c r="F635" s="1288" t="s">
        <v>1415</v>
      </c>
      <c r="G635" s="1288" t="s">
        <v>1391</v>
      </c>
      <c r="H635" s="1288"/>
      <c r="I635" s="1288"/>
      <c r="J635" s="1288"/>
      <c r="K635" s="754" t="s">
        <v>2306</v>
      </c>
      <c r="L635" s="1178">
        <f>SUM(L636:L646)</f>
        <v>0</v>
      </c>
      <c r="M635" s="1178">
        <f t="shared" ref="M635:V635" si="109">SUM(M636:M646)</f>
        <v>0</v>
      </c>
      <c r="N635" s="1178">
        <f t="shared" si="109"/>
        <v>0</v>
      </c>
      <c r="O635" s="1165">
        <f t="shared" si="101"/>
        <v>0</v>
      </c>
      <c r="P635" s="1178">
        <f t="shared" si="109"/>
        <v>0</v>
      </c>
      <c r="Q635" s="1178">
        <f t="shared" si="109"/>
        <v>0</v>
      </c>
      <c r="R635" s="1178">
        <f t="shared" si="109"/>
        <v>0</v>
      </c>
      <c r="S635" s="1178"/>
      <c r="T635" s="1178">
        <f t="shared" si="109"/>
        <v>0</v>
      </c>
      <c r="U635" s="1178">
        <f t="shared" si="109"/>
        <v>0</v>
      </c>
      <c r="V635" s="1178">
        <f t="shared" si="109"/>
        <v>0</v>
      </c>
      <c r="W635" s="1444" t="e">
        <f t="shared" si="102"/>
        <v>#DIV/0!</v>
      </c>
      <c r="X635" s="1432" t="s">
        <v>2056</v>
      </c>
      <c r="Y635" s="765"/>
    </row>
    <row r="636" spans="1:25" s="183" customFormat="1" ht="22.5" customHeight="1" thickTop="1" thickBot="1" x14ac:dyDescent="0.3">
      <c r="A636" s="1287">
        <v>1</v>
      </c>
      <c r="B636" s="1288" t="s">
        <v>1378</v>
      </c>
      <c r="C636" s="1288" t="s">
        <v>1391</v>
      </c>
      <c r="D636" s="1288" t="s">
        <v>1444</v>
      </c>
      <c r="E636" s="1288" t="s">
        <v>1378</v>
      </c>
      <c r="F636" s="1288" t="s">
        <v>1415</v>
      </c>
      <c r="G636" s="1288" t="s">
        <v>1391</v>
      </c>
      <c r="H636" s="1288" t="s">
        <v>1378</v>
      </c>
      <c r="I636" s="1288"/>
      <c r="J636" s="1288"/>
      <c r="K636" s="754" t="s">
        <v>2318</v>
      </c>
      <c r="L636" s="1178"/>
      <c r="M636" s="1178"/>
      <c r="N636" s="1178"/>
      <c r="O636" s="1165">
        <f t="shared" si="101"/>
        <v>0</v>
      </c>
      <c r="P636" s="1178"/>
      <c r="Q636" s="1178"/>
      <c r="R636" s="1178"/>
      <c r="S636" s="1178"/>
      <c r="T636" s="1178"/>
      <c r="U636" s="1178"/>
      <c r="V636" s="1178"/>
      <c r="W636" s="1444" t="e">
        <f t="shared" si="102"/>
        <v>#DIV/0!</v>
      </c>
      <c r="X636" s="1432"/>
      <c r="Y636" s="765"/>
    </row>
    <row r="637" spans="1:25" s="183" customFormat="1" ht="22.5" customHeight="1" thickTop="1" thickBot="1" x14ac:dyDescent="0.3">
      <c r="A637" s="1287">
        <v>1</v>
      </c>
      <c r="B637" s="1288" t="s">
        <v>1378</v>
      </c>
      <c r="C637" s="1288" t="s">
        <v>1391</v>
      </c>
      <c r="D637" s="1288" t="s">
        <v>1444</v>
      </c>
      <c r="E637" s="1288" t="s">
        <v>1378</v>
      </c>
      <c r="F637" s="1288" t="s">
        <v>1415</v>
      </c>
      <c r="G637" s="1288" t="s">
        <v>1391</v>
      </c>
      <c r="H637" s="1288" t="s">
        <v>1391</v>
      </c>
      <c r="I637" s="1288"/>
      <c r="J637" s="1288"/>
      <c r="K637" s="754" t="s">
        <v>2319</v>
      </c>
      <c r="L637" s="1178"/>
      <c r="M637" s="1178"/>
      <c r="N637" s="1178"/>
      <c r="O637" s="1165">
        <f t="shared" si="101"/>
        <v>0</v>
      </c>
      <c r="P637" s="1178"/>
      <c r="Q637" s="1178"/>
      <c r="R637" s="1178"/>
      <c r="S637" s="1178"/>
      <c r="T637" s="1178"/>
      <c r="U637" s="1178"/>
      <c r="V637" s="1178"/>
      <c r="W637" s="1444" t="e">
        <f t="shared" si="102"/>
        <v>#DIV/0!</v>
      </c>
      <c r="X637" s="1432"/>
      <c r="Y637" s="765"/>
    </row>
    <row r="638" spans="1:25" s="183" customFormat="1" ht="22.5" customHeight="1" thickTop="1" thickBot="1" x14ac:dyDescent="0.3">
      <c r="A638" s="1287">
        <v>1</v>
      </c>
      <c r="B638" s="1288" t="s">
        <v>1378</v>
      </c>
      <c r="C638" s="1288" t="s">
        <v>1391</v>
      </c>
      <c r="D638" s="1288" t="s">
        <v>1444</v>
      </c>
      <c r="E638" s="1288" t="s">
        <v>1378</v>
      </c>
      <c r="F638" s="1288" t="s">
        <v>1415</v>
      </c>
      <c r="G638" s="1288" t="s">
        <v>1391</v>
      </c>
      <c r="H638" s="1288" t="s">
        <v>1415</v>
      </c>
      <c r="I638" s="1288"/>
      <c r="J638" s="1288"/>
      <c r="K638" s="754" t="s">
        <v>2320</v>
      </c>
      <c r="L638" s="1178"/>
      <c r="M638" s="1178"/>
      <c r="N638" s="1178"/>
      <c r="O638" s="1165">
        <f t="shared" si="101"/>
        <v>0</v>
      </c>
      <c r="P638" s="1178"/>
      <c r="Q638" s="1178"/>
      <c r="R638" s="1178"/>
      <c r="S638" s="1178"/>
      <c r="T638" s="1178"/>
      <c r="U638" s="1178"/>
      <c r="V638" s="1178"/>
      <c r="W638" s="1444" t="e">
        <f t="shared" si="102"/>
        <v>#DIV/0!</v>
      </c>
      <c r="X638" s="1432"/>
      <c r="Y638" s="765"/>
    </row>
    <row r="639" spans="1:25" s="183" customFormat="1" ht="22.5" customHeight="1" thickTop="1" thickBot="1" x14ac:dyDescent="0.3">
      <c r="A639" s="1287">
        <v>1</v>
      </c>
      <c r="B639" s="1288" t="s">
        <v>1378</v>
      </c>
      <c r="C639" s="1288" t="s">
        <v>1391</v>
      </c>
      <c r="D639" s="1288" t="s">
        <v>1444</v>
      </c>
      <c r="E639" s="1288" t="s">
        <v>1378</v>
      </c>
      <c r="F639" s="1288" t="s">
        <v>1415</v>
      </c>
      <c r="G639" s="1288" t="s">
        <v>1391</v>
      </c>
      <c r="H639" s="1288" t="s">
        <v>1419</v>
      </c>
      <c r="I639" s="1288"/>
      <c r="J639" s="1288"/>
      <c r="K639" s="754" t="s">
        <v>2321</v>
      </c>
      <c r="L639" s="1178"/>
      <c r="M639" s="1178"/>
      <c r="N639" s="1178"/>
      <c r="O639" s="1165">
        <f t="shared" si="101"/>
        <v>0</v>
      </c>
      <c r="P639" s="1178"/>
      <c r="Q639" s="1178"/>
      <c r="R639" s="1178"/>
      <c r="S639" s="1178"/>
      <c r="T639" s="1178"/>
      <c r="U639" s="1178"/>
      <c r="V639" s="1178"/>
      <c r="W639" s="1444" t="e">
        <f t="shared" si="102"/>
        <v>#DIV/0!</v>
      </c>
      <c r="X639" s="1432"/>
      <c r="Y639" s="765"/>
    </row>
    <row r="640" spans="1:25" s="183" customFormat="1" ht="22.5" customHeight="1" thickTop="1" thickBot="1" x14ac:dyDescent="0.3">
      <c r="A640" s="1287">
        <v>1</v>
      </c>
      <c r="B640" s="1288" t="s">
        <v>1378</v>
      </c>
      <c r="C640" s="1288" t="s">
        <v>1391</v>
      </c>
      <c r="D640" s="1288" t="s">
        <v>1444</v>
      </c>
      <c r="E640" s="1288" t="s">
        <v>1378</v>
      </c>
      <c r="F640" s="1288" t="s">
        <v>1415</v>
      </c>
      <c r="G640" s="1288" t="s">
        <v>1391</v>
      </c>
      <c r="H640" s="1288" t="s">
        <v>1444</v>
      </c>
      <c r="I640" s="1288"/>
      <c r="J640" s="1288"/>
      <c r="K640" s="754" t="s">
        <v>2322</v>
      </c>
      <c r="L640" s="1178"/>
      <c r="M640" s="1178"/>
      <c r="N640" s="1178"/>
      <c r="O640" s="1165">
        <f t="shared" si="101"/>
        <v>0</v>
      </c>
      <c r="P640" s="1178"/>
      <c r="Q640" s="1178"/>
      <c r="R640" s="1178"/>
      <c r="S640" s="1178"/>
      <c r="T640" s="1178"/>
      <c r="U640" s="1178"/>
      <c r="V640" s="1178"/>
      <c r="W640" s="1444" t="e">
        <f t="shared" si="102"/>
        <v>#DIV/0!</v>
      </c>
      <c r="X640" s="1432"/>
      <c r="Y640" s="765"/>
    </row>
    <row r="641" spans="1:25" s="183" customFormat="1" ht="22.5" customHeight="1" thickTop="1" thickBot="1" x14ac:dyDescent="0.3">
      <c r="A641" s="1287">
        <v>1</v>
      </c>
      <c r="B641" s="1288" t="s">
        <v>1378</v>
      </c>
      <c r="C641" s="1288" t="s">
        <v>1391</v>
      </c>
      <c r="D641" s="1288" t="s">
        <v>1444</v>
      </c>
      <c r="E641" s="1288" t="s">
        <v>1378</v>
      </c>
      <c r="F641" s="1288" t="s">
        <v>1415</v>
      </c>
      <c r="G641" s="1288" t="s">
        <v>1391</v>
      </c>
      <c r="H641" s="1288" t="s">
        <v>1467</v>
      </c>
      <c r="I641" s="1288"/>
      <c r="J641" s="1288"/>
      <c r="K641" s="754" t="s">
        <v>2323</v>
      </c>
      <c r="L641" s="1178"/>
      <c r="M641" s="1178"/>
      <c r="N641" s="1178"/>
      <c r="O641" s="1165">
        <f t="shared" si="101"/>
        <v>0</v>
      </c>
      <c r="P641" s="1178"/>
      <c r="Q641" s="1178"/>
      <c r="R641" s="1178"/>
      <c r="S641" s="1178"/>
      <c r="T641" s="1178"/>
      <c r="U641" s="1178"/>
      <c r="V641" s="1178"/>
      <c r="W641" s="1444" t="e">
        <f t="shared" si="102"/>
        <v>#DIV/0!</v>
      </c>
      <c r="X641" s="1432"/>
      <c r="Y641" s="765"/>
    </row>
    <row r="642" spans="1:25" s="183" customFormat="1" ht="22.5" customHeight="1" thickTop="1" thickBot="1" x14ac:dyDescent="0.3">
      <c r="A642" s="1287">
        <v>1</v>
      </c>
      <c r="B642" s="1288" t="s">
        <v>1378</v>
      </c>
      <c r="C642" s="1288" t="s">
        <v>1391</v>
      </c>
      <c r="D642" s="1288" t="s">
        <v>1444</v>
      </c>
      <c r="E642" s="1288" t="s">
        <v>1378</v>
      </c>
      <c r="F642" s="1288" t="s">
        <v>1415</v>
      </c>
      <c r="G642" s="1288" t="s">
        <v>1391</v>
      </c>
      <c r="H642" s="1288" t="s">
        <v>1471</v>
      </c>
      <c r="I642" s="1288"/>
      <c r="J642" s="1288"/>
      <c r="K642" s="754" t="s">
        <v>2324</v>
      </c>
      <c r="L642" s="1178"/>
      <c r="M642" s="1178"/>
      <c r="N642" s="1178"/>
      <c r="O642" s="1165">
        <f t="shared" si="101"/>
        <v>0</v>
      </c>
      <c r="P642" s="1178"/>
      <c r="Q642" s="1178"/>
      <c r="R642" s="1178"/>
      <c r="S642" s="1178"/>
      <c r="T642" s="1178"/>
      <c r="U642" s="1178"/>
      <c r="V642" s="1178"/>
      <c r="W642" s="1444" t="e">
        <f t="shared" si="102"/>
        <v>#DIV/0!</v>
      </c>
      <c r="X642" s="1432"/>
      <c r="Y642" s="765"/>
    </row>
    <row r="643" spans="1:25" s="183" customFormat="1" ht="22.5" customHeight="1" thickTop="1" thickBot="1" x14ac:dyDescent="0.3">
      <c r="A643" s="1287">
        <v>1</v>
      </c>
      <c r="B643" s="1288" t="s">
        <v>1378</v>
      </c>
      <c r="C643" s="1288" t="s">
        <v>1391</v>
      </c>
      <c r="D643" s="1288" t="s">
        <v>1444</v>
      </c>
      <c r="E643" s="1288" t="s">
        <v>1378</v>
      </c>
      <c r="F643" s="1288" t="s">
        <v>1415</v>
      </c>
      <c r="G643" s="1288" t="s">
        <v>1391</v>
      </c>
      <c r="H643" s="1288" t="s">
        <v>1475</v>
      </c>
      <c r="I643" s="1288"/>
      <c r="J643" s="1288"/>
      <c r="K643" s="754" t="s">
        <v>2325</v>
      </c>
      <c r="L643" s="1178"/>
      <c r="M643" s="1178"/>
      <c r="N643" s="1178"/>
      <c r="O643" s="1165">
        <f t="shared" si="101"/>
        <v>0</v>
      </c>
      <c r="P643" s="1178"/>
      <c r="Q643" s="1178"/>
      <c r="R643" s="1178"/>
      <c r="S643" s="1178"/>
      <c r="T643" s="1178"/>
      <c r="U643" s="1178"/>
      <c r="V643" s="1178"/>
      <c r="W643" s="1444" t="e">
        <f t="shared" si="102"/>
        <v>#DIV/0!</v>
      </c>
      <c r="X643" s="1432"/>
      <c r="Y643" s="765"/>
    </row>
    <row r="644" spans="1:25" s="183" customFormat="1" ht="22.5" customHeight="1" thickTop="1" thickBot="1" x14ac:dyDescent="0.3">
      <c r="A644" s="1287">
        <v>1</v>
      </c>
      <c r="B644" s="1288" t="s">
        <v>1378</v>
      </c>
      <c r="C644" s="1288" t="s">
        <v>1391</v>
      </c>
      <c r="D644" s="1288" t="s">
        <v>1444</v>
      </c>
      <c r="E644" s="1288" t="s">
        <v>1378</v>
      </c>
      <c r="F644" s="1288" t="s">
        <v>1415</v>
      </c>
      <c r="G644" s="1288" t="s">
        <v>1391</v>
      </c>
      <c r="H644" s="1288" t="s">
        <v>1573</v>
      </c>
      <c r="I644" s="1288"/>
      <c r="J644" s="1288"/>
      <c r="K644" s="754" t="s">
        <v>2326</v>
      </c>
      <c r="L644" s="1178"/>
      <c r="M644" s="1178"/>
      <c r="N644" s="1178"/>
      <c r="O644" s="1165">
        <f t="shared" si="101"/>
        <v>0</v>
      </c>
      <c r="P644" s="1178"/>
      <c r="Q644" s="1178"/>
      <c r="R644" s="1178"/>
      <c r="S644" s="1178"/>
      <c r="T644" s="1178"/>
      <c r="U644" s="1178"/>
      <c r="V644" s="1178"/>
      <c r="W644" s="1444" t="e">
        <f t="shared" si="102"/>
        <v>#DIV/0!</v>
      </c>
      <c r="X644" s="1432"/>
      <c r="Y644" s="765"/>
    </row>
    <row r="645" spans="1:25" s="183" customFormat="1" ht="22.5" customHeight="1" thickTop="1" thickBot="1" x14ac:dyDescent="0.3">
      <c r="A645" s="1287">
        <v>1</v>
      </c>
      <c r="B645" s="1288" t="s">
        <v>1378</v>
      </c>
      <c r="C645" s="1288" t="s">
        <v>1391</v>
      </c>
      <c r="D645" s="1288" t="s">
        <v>1444</v>
      </c>
      <c r="E645" s="1288" t="s">
        <v>1378</v>
      </c>
      <c r="F645" s="1288" t="s">
        <v>1415</v>
      </c>
      <c r="G645" s="1288" t="s">
        <v>1391</v>
      </c>
      <c r="H645" s="1288" t="s">
        <v>1574</v>
      </c>
      <c r="I645" s="1288"/>
      <c r="J645" s="1288"/>
      <c r="K645" s="754" t="s">
        <v>2327</v>
      </c>
      <c r="L645" s="1178"/>
      <c r="M645" s="1178"/>
      <c r="N645" s="1178"/>
      <c r="O645" s="1165">
        <f t="shared" si="101"/>
        <v>0</v>
      </c>
      <c r="P645" s="1178"/>
      <c r="Q645" s="1178"/>
      <c r="R645" s="1178"/>
      <c r="S645" s="1178"/>
      <c r="T645" s="1178"/>
      <c r="U645" s="1178"/>
      <c r="V645" s="1178"/>
      <c r="W645" s="1444" t="e">
        <f t="shared" si="102"/>
        <v>#DIV/0!</v>
      </c>
      <c r="X645" s="1432"/>
      <c r="Y645" s="765"/>
    </row>
    <row r="646" spans="1:25" s="183" customFormat="1" ht="22.5" customHeight="1" thickTop="1" thickBot="1" x14ac:dyDescent="0.3">
      <c r="A646" s="1287">
        <v>1</v>
      </c>
      <c r="B646" s="1288" t="s">
        <v>1378</v>
      </c>
      <c r="C646" s="1288" t="s">
        <v>1391</v>
      </c>
      <c r="D646" s="1288" t="s">
        <v>1444</v>
      </c>
      <c r="E646" s="1288" t="s">
        <v>1378</v>
      </c>
      <c r="F646" s="1288" t="s">
        <v>1415</v>
      </c>
      <c r="G646" s="1288" t="s">
        <v>1391</v>
      </c>
      <c r="H646" s="1288" t="s">
        <v>1575</v>
      </c>
      <c r="I646" s="1288"/>
      <c r="J646" s="1288"/>
      <c r="K646" s="754" t="s">
        <v>2328</v>
      </c>
      <c r="L646" s="1178"/>
      <c r="M646" s="1178"/>
      <c r="N646" s="1178"/>
      <c r="O646" s="1165">
        <f t="shared" si="101"/>
        <v>0</v>
      </c>
      <c r="P646" s="1178"/>
      <c r="Q646" s="1178"/>
      <c r="R646" s="1178"/>
      <c r="S646" s="1178"/>
      <c r="T646" s="1178"/>
      <c r="U646" s="1178"/>
      <c r="V646" s="1178"/>
      <c r="W646" s="1444" t="e">
        <f t="shared" si="102"/>
        <v>#DIV/0!</v>
      </c>
      <c r="X646" s="1432"/>
      <c r="Y646" s="765"/>
    </row>
    <row r="647" spans="1:25" s="183" customFormat="1" ht="22.5" customHeight="1" thickTop="1" thickBot="1" x14ac:dyDescent="0.3">
      <c r="A647" s="1287">
        <v>1</v>
      </c>
      <c r="B647" s="1288" t="s">
        <v>1378</v>
      </c>
      <c r="C647" s="1288" t="s">
        <v>1391</v>
      </c>
      <c r="D647" s="1288" t="s">
        <v>1444</v>
      </c>
      <c r="E647" s="1288" t="s">
        <v>1378</v>
      </c>
      <c r="F647" s="1288" t="s">
        <v>1415</v>
      </c>
      <c r="G647" s="1288" t="s">
        <v>1415</v>
      </c>
      <c r="H647" s="1288"/>
      <c r="I647" s="1288"/>
      <c r="J647" s="1288"/>
      <c r="K647" s="754" t="s">
        <v>1648</v>
      </c>
      <c r="L647" s="1178">
        <f>SUM(L648:L658)</f>
        <v>0</v>
      </c>
      <c r="M647" s="1178">
        <f t="shared" ref="M647:V647" si="110">SUM(M648:M658)</f>
        <v>0</v>
      </c>
      <c r="N647" s="1178">
        <f t="shared" si="110"/>
        <v>0</v>
      </c>
      <c r="O647" s="1165">
        <f t="shared" si="101"/>
        <v>0</v>
      </c>
      <c r="P647" s="1178">
        <f t="shared" si="110"/>
        <v>0</v>
      </c>
      <c r="Q647" s="1178">
        <f t="shared" si="110"/>
        <v>0</v>
      </c>
      <c r="R647" s="1178">
        <f t="shared" si="110"/>
        <v>0</v>
      </c>
      <c r="S647" s="1178"/>
      <c r="T647" s="1178">
        <f t="shared" si="110"/>
        <v>0</v>
      </c>
      <c r="U647" s="1178">
        <f t="shared" si="110"/>
        <v>0</v>
      </c>
      <c r="V647" s="1178">
        <f t="shared" si="110"/>
        <v>0</v>
      </c>
      <c r="W647" s="1444" t="e">
        <f t="shared" si="102"/>
        <v>#DIV/0!</v>
      </c>
      <c r="X647" s="1432" t="s">
        <v>2057</v>
      </c>
      <c r="Y647" s="765"/>
    </row>
    <row r="648" spans="1:25" s="183" customFormat="1" ht="22.5" customHeight="1" thickTop="1" thickBot="1" x14ac:dyDescent="0.3">
      <c r="A648" s="1287">
        <v>1</v>
      </c>
      <c r="B648" s="1288" t="s">
        <v>1378</v>
      </c>
      <c r="C648" s="1288" t="s">
        <v>1391</v>
      </c>
      <c r="D648" s="1288" t="s">
        <v>1444</v>
      </c>
      <c r="E648" s="1288" t="s">
        <v>1378</v>
      </c>
      <c r="F648" s="1288" t="s">
        <v>1415</v>
      </c>
      <c r="G648" s="1288" t="s">
        <v>1415</v>
      </c>
      <c r="H648" s="1288" t="s">
        <v>1378</v>
      </c>
      <c r="I648" s="1288"/>
      <c r="J648" s="1288"/>
      <c r="K648" s="754" t="s">
        <v>2329</v>
      </c>
      <c r="L648" s="1178"/>
      <c r="M648" s="1178"/>
      <c r="N648" s="1178"/>
      <c r="O648" s="1165">
        <f t="shared" ref="O648:O711" si="111">L648+M648-N648</f>
        <v>0</v>
      </c>
      <c r="P648" s="1178"/>
      <c r="Q648" s="1178"/>
      <c r="R648" s="1178"/>
      <c r="S648" s="1178"/>
      <c r="T648" s="1178"/>
      <c r="U648" s="1178"/>
      <c r="V648" s="1178"/>
      <c r="W648" s="1444" t="e">
        <f t="shared" ref="W648:W711" si="112">V648/U648</f>
        <v>#DIV/0!</v>
      </c>
      <c r="X648" s="1432"/>
      <c r="Y648" s="765"/>
    </row>
    <row r="649" spans="1:25" s="183" customFormat="1" ht="22.5" customHeight="1" thickTop="1" thickBot="1" x14ac:dyDescent="0.3">
      <c r="A649" s="1287">
        <v>1</v>
      </c>
      <c r="B649" s="1288" t="s">
        <v>1378</v>
      </c>
      <c r="C649" s="1288" t="s">
        <v>1391</v>
      </c>
      <c r="D649" s="1288" t="s">
        <v>1444</v>
      </c>
      <c r="E649" s="1288" t="s">
        <v>1378</v>
      </c>
      <c r="F649" s="1288" t="s">
        <v>1415</v>
      </c>
      <c r="G649" s="1288" t="s">
        <v>1415</v>
      </c>
      <c r="H649" s="1288" t="s">
        <v>1391</v>
      </c>
      <c r="I649" s="1288"/>
      <c r="J649" s="1288"/>
      <c r="K649" s="754" t="s">
        <v>2330</v>
      </c>
      <c r="L649" s="1178"/>
      <c r="M649" s="1178"/>
      <c r="N649" s="1178"/>
      <c r="O649" s="1165">
        <f t="shared" si="111"/>
        <v>0</v>
      </c>
      <c r="P649" s="1178"/>
      <c r="Q649" s="1178"/>
      <c r="R649" s="1178"/>
      <c r="S649" s="1178"/>
      <c r="T649" s="1178"/>
      <c r="U649" s="1178"/>
      <c r="V649" s="1178"/>
      <c r="W649" s="1444" t="e">
        <f t="shared" si="112"/>
        <v>#DIV/0!</v>
      </c>
      <c r="X649" s="1432"/>
      <c r="Y649" s="765"/>
    </row>
    <row r="650" spans="1:25" s="183" customFormat="1" ht="22.5" customHeight="1" thickTop="1" thickBot="1" x14ac:dyDescent="0.3">
      <c r="A650" s="1287">
        <v>1</v>
      </c>
      <c r="B650" s="1288" t="s">
        <v>1378</v>
      </c>
      <c r="C650" s="1288" t="s">
        <v>1391</v>
      </c>
      <c r="D650" s="1288" t="s">
        <v>1444</v>
      </c>
      <c r="E650" s="1288" t="s">
        <v>1378</v>
      </c>
      <c r="F650" s="1288" t="s">
        <v>1415</v>
      </c>
      <c r="G650" s="1288" t="s">
        <v>1415</v>
      </c>
      <c r="H650" s="1288" t="s">
        <v>1415</v>
      </c>
      <c r="I650" s="1288"/>
      <c r="J650" s="1288"/>
      <c r="K650" s="754" t="s">
        <v>2331</v>
      </c>
      <c r="L650" s="1178"/>
      <c r="M650" s="1178"/>
      <c r="N650" s="1178"/>
      <c r="O650" s="1165">
        <f t="shared" si="111"/>
        <v>0</v>
      </c>
      <c r="P650" s="1178"/>
      <c r="Q650" s="1178"/>
      <c r="R650" s="1178"/>
      <c r="S650" s="1178"/>
      <c r="T650" s="1178"/>
      <c r="U650" s="1178"/>
      <c r="V650" s="1178"/>
      <c r="W650" s="1444" t="e">
        <f t="shared" si="112"/>
        <v>#DIV/0!</v>
      </c>
      <c r="X650" s="1432"/>
      <c r="Y650" s="765"/>
    </row>
    <row r="651" spans="1:25" s="183" customFormat="1" ht="22.5" customHeight="1" thickTop="1" thickBot="1" x14ac:dyDescent="0.3">
      <c r="A651" s="1287">
        <v>1</v>
      </c>
      <c r="B651" s="1288" t="s">
        <v>1378</v>
      </c>
      <c r="C651" s="1288" t="s">
        <v>1391</v>
      </c>
      <c r="D651" s="1288" t="s">
        <v>1444</v>
      </c>
      <c r="E651" s="1288" t="s">
        <v>1378</v>
      </c>
      <c r="F651" s="1288" t="s">
        <v>1415</v>
      </c>
      <c r="G651" s="1288" t="s">
        <v>1415</v>
      </c>
      <c r="H651" s="1288" t="s">
        <v>1419</v>
      </c>
      <c r="I651" s="1288"/>
      <c r="J651" s="1288"/>
      <c r="K651" s="754" t="s">
        <v>2332</v>
      </c>
      <c r="L651" s="1178"/>
      <c r="M651" s="1178"/>
      <c r="N651" s="1178"/>
      <c r="O651" s="1165">
        <f t="shared" si="111"/>
        <v>0</v>
      </c>
      <c r="P651" s="1178"/>
      <c r="Q651" s="1178"/>
      <c r="R651" s="1178"/>
      <c r="S651" s="1178"/>
      <c r="T651" s="1178"/>
      <c r="U651" s="1178"/>
      <c r="V651" s="1178"/>
      <c r="W651" s="1444" t="e">
        <f t="shared" si="112"/>
        <v>#DIV/0!</v>
      </c>
      <c r="X651" s="1432"/>
      <c r="Y651" s="765"/>
    </row>
    <row r="652" spans="1:25" s="183" customFormat="1" ht="22.5" customHeight="1" thickTop="1" thickBot="1" x14ac:dyDescent="0.3">
      <c r="A652" s="1287">
        <v>1</v>
      </c>
      <c r="B652" s="1288" t="s">
        <v>1378</v>
      </c>
      <c r="C652" s="1288" t="s">
        <v>1391</v>
      </c>
      <c r="D652" s="1288" t="s">
        <v>1444</v>
      </c>
      <c r="E652" s="1288" t="s">
        <v>1378</v>
      </c>
      <c r="F652" s="1288" t="s">
        <v>1415</v>
      </c>
      <c r="G652" s="1288" t="s">
        <v>1415</v>
      </c>
      <c r="H652" s="1288" t="s">
        <v>1444</v>
      </c>
      <c r="I652" s="1288"/>
      <c r="J652" s="1288"/>
      <c r="K652" s="754" t="s">
        <v>2333</v>
      </c>
      <c r="L652" s="1178"/>
      <c r="M652" s="1178"/>
      <c r="N652" s="1178"/>
      <c r="O652" s="1165">
        <f t="shared" si="111"/>
        <v>0</v>
      </c>
      <c r="P652" s="1178"/>
      <c r="Q652" s="1178"/>
      <c r="R652" s="1178"/>
      <c r="S652" s="1178"/>
      <c r="T652" s="1178"/>
      <c r="U652" s="1178"/>
      <c r="V652" s="1178"/>
      <c r="W652" s="1444" t="e">
        <f t="shared" si="112"/>
        <v>#DIV/0!</v>
      </c>
      <c r="X652" s="1432"/>
      <c r="Y652" s="765"/>
    </row>
    <row r="653" spans="1:25" s="183" customFormat="1" ht="22.5" customHeight="1" thickTop="1" thickBot="1" x14ac:dyDescent="0.3">
      <c r="A653" s="1287">
        <v>1</v>
      </c>
      <c r="B653" s="1288" t="s">
        <v>1378</v>
      </c>
      <c r="C653" s="1288" t="s">
        <v>1391</v>
      </c>
      <c r="D653" s="1288" t="s">
        <v>1444</v>
      </c>
      <c r="E653" s="1288" t="s">
        <v>1378</v>
      </c>
      <c r="F653" s="1288" t="s">
        <v>1415</v>
      </c>
      <c r="G653" s="1288" t="s">
        <v>1415</v>
      </c>
      <c r="H653" s="1288" t="s">
        <v>1467</v>
      </c>
      <c r="I653" s="1288"/>
      <c r="J653" s="1288"/>
      <c r="K653" s="754" t="s">
        <v>2334</v>
      </c>
      <c r="L653" s="1178"/>
      <c r="M653" s="1178"/>
      <c r="N653" s="1178"/>
      <c r="O653" s="1165">
        <f t="shared" si="111"/>
        <v>0</v>
      </c>
      <c r="P653" s="1178"/>
      <c r="Q653" s="1178"/>
      <c r="R653" s="1178"/>
      <c r="S653" s="1178"/>
      <c r="T653" s="1178"/>
      <c r="U653" s="1178"/>
      <c r="V653" s="1178"/>
      <c r="W653" s="1444" t="e">
        <f t="shared" si="112"/>
        <v>#DIV/0!</v>
      </c>
      <c r="X653" s="1432"/>
      <c r="Y653" s="765"/>
    </row>
    <row r="654" spans="1:25" s="183" customFormat="1" ht="22.5" customHeight="1" thickTop="1" thickBot="1" x14ac:dyDescent="0.3">
      <c r="A654" s="1287">
        <v>1</v>
      </c>
      <c r="B654" s="1288" t="s">
        <v>1378</v>
      </c>
      <c r="C654" s="1288" t="s">
        <v>1391</v>
      </c>
      <c r="D654" s="1288" t="s">
        <v>1444</v>
      </c>
      <c r="E654" s="1288" t="s">
        <v>1378</v>
      </c>
      <c r="F654" s="1288" t="s">
        <v>1415</v>
      </c>
      <c r="G654" s="1288" t="s">
        <v>1415</v>
      </c>
      <c r="H654" s="1288" t="s">
        <v>1471</v>
      </c>
      <c r="I654" s="1288"/>
      <c r="J654" s="1288"/>
      <c r="K654" s="754" t="s">
        <v>2335</v>
      </c>
      <c r="L654" s="1178"/>
      <c r="M654" s="1178"/>
      <c r="N654" s="1178"/>
      <c r="O654" s="1165">
        <f t="shared" si="111"/>
        <v>0</v>
      </c>
      <c r="P654" s="1178"/>
      <c r="Q654" s="1178"/>
      <c r="R654" s="1178"/>
      <c r="S654" s="1178"/>
      <c r="T654" s="1178"/>
      <c r="U654" s="1178"/>
      <c r="V654" s="1178"/>
      <c r="W654" s="1444" t="e">
        <f t="shared" si="112"/>
        <v>#DIV/0!</v>
      </c>
      <c r="X654" s="1432"/>
      <c r="Y654" s="765"/>
    </row>
    <row r="655" spans="1:25" s="183" customFormat="1" ht="22.5" customHeight="1" thickTop="1" thickBot="1" x14ac:dyDescent="0.3">
      <c r="A655" s="1287">
        <v>1</v>
      </c>
      <c r="B655" s="1288" t="s">
        <v>1378</v>
      </c>
      <c r="C655" s="1288" t="s">
        <v>1391</v>
      </c>
      <c r="D655" s="1288" t="s">
        <v>1444</v>
      </c>
      <c r="E655" s="1288" t="s">
        <v>1378</v>
      </c>
      <c r="F655" s="1288" t="s">
        <v>1415</v>
      </c>
      <c r="G655" s="1288" t="s">
        <v>1415</v>
      </c>
      <c r="H655" s="1288" t="s">
        <v>1475</v>
      </c>
      <c r="I655" s="1288"/>
      <c r="J655" s="1288"/>
      <c r="K655" s="754" t="s">
        <v>2336</v>
      </c>
      <c r="L655" s="1178"/>
      <c r="M655" s="1178"/>
      <c r="N655" s="1178"/>
      <c r="O655" s="1165">
        <f t="shared" si="111"/>
        <v>0</v>
      </c>
      <c r="P655" s="1178"/>
      <c r="Q655" s="1178"/>
      <c r="R655" s="1178"/>
      <c r="S655" s="1178"/>
      <c r="T655" s="1178"/>
      <c r="U655" s="1178"/>
      <c r="V655" s="1178"/>
      <c r="W655" s="1444" t="e">
        <f t="shared" si="112"/>
        <v>#DIV/0!</v>
      </c>
      <c r="X655" s="1432"/>
      <c r="Y655" s="765"/>
    </row>
    <row r="656" spans="1:25" s="183" customFormat="1" ht="22.5" customHeight="1" thickTop="1" thickBot="1" x14ac:dyDescent="0.3">
      <c r="A656" s="1287">
        <v>1</v>
      </c>
      <c r="B656" s="1288" t="s">
        <v>1378</v>
      </c>
      <c r="C656" s="1288" t="s">
        <v>1391</v>
      </c>
      <c r="D656" s="1288" t="s">
        <v>1444</v>
      </c>
      <c r="E656" s="1288" t="s">
        <v>1378</v>
      </c>
      <c r="F656" s="1288" t="s">
        <v>1415</v>
      </c>
      <c r="G656" s="1288" t="s">
        <v>1415</v>
      </c>
      <c r="H656" s="1288" t="s">
        <v>1573</v>
      </c>
      <c r="I656" s="1288"/>
      <c r="J656" s="1288"/>
      <c r="K656" s="754" t="s">
        <v>2337</v>
      </c>
      <c r="L656" s="1178"/>
      <c r="M656" s="1178"/>
      <c r="N656" s="1178"/>
      <c r="O656" s="1165">
        <f t="shared" si="111"/>
        <v>0</v>
      </c>
      <c r="P656" s="1178"/>
      <c r="Q656" s="1178"/>
      <c r="R656" s="1178"/>
      <c r="S656" s="1178"/>
      <c r="T656" s="1178"/>
      <c r="U656" s="1178"/>
      <c r="V656" s="1178"/>
      <c r="W656" s="1444" t="e">
        <f t="shared" si="112"/>
        <v>#DIV/0!</v>
      </c>
      <c r="X656" s="1432"/>
      <c r="Y656" s="765"/>
    </row>
    <row r="657" spans="1:25" s="183" customFormat="1" ht="22.5" customHeight="1" thickTop="1" thickBot="1" x14ac:dyDescent="0.3">
      <c r="A657" s="1287">
        <v>1</v>
      </c>
      <c r="B657" s="1288" t="s">
        <v>1378</v>
      </c>
      <c r="C657" s="1288" t="s">
        <v>1391</v>
      </c>
      <c r="D657" s="1288" t="s">
        <v>1444</v>
      </c>
      <c r="E657" s="1288" t="s">
        <v>1378</v>
      </c>
      <c r="F657" s="1288" t="s">
        <v>1415</v>
      </c>
      <c r="G657" s="1288" t="s">
        <v>1415</v>
      </c>
      <c r="H657" s="1288" t="s">
        <v>1574</v>
      </c>
      <c r="I657" s="1288"/>
      <c r="J657" s="1288"/>
      <c r="K657" s="754" t="s">
        <v>2338</v>
      </c>
      <c r="L657" s="1178"/>
      <c r="M657" s="1178"/>
      <c r="N657" s="1178"/>
      <c r="O657" s="1165">
        <f t="shared" si="111"/>
        <v>0</v>
      </c>
      <c r="P657" s="1178"/>
      <c r="Q657" s="1178"/>
      <c r="R657" s="1178"/>
      <c r="S657" s="1178"/>
      <c r="T657" s="1178"/>
      <c r="U657" s="1178"/>
      <c r="V657" s="1178"/>
      <c r="W657" s="1444" t="e">
        <f t="shared" si="112"/>
        <v>#DIV/0!</v>
      </c>
      <c r="X657" s="1432"/>
      <c r="Y657" s="765"/>
    </row>
    <row r="658" spans="1:25" s="183" customFormat="1" ht="22.5" customHeight="1" thickTop="1" thickBot="1" x14ac:dyDescent="0.3">
      <c r="A658" s="1287">
        <v>1</v>
      </c>
      <c r="B658" s="1288" t="s">
        <v>1378</v>
      </c>
      <c r="C658" s="1288" t="s">
        <v>1391</v>
      </c>
      <c r="D658" s="1288" t="s">
        <v>1444</v>
      </c>
      <c r="E658" s="1288" t="s">
        <v>1378</v>
      </c>
      <c r="F658" s="1288" t="s">
        <v>1415</v>
      </c>
      <c r="G658" s="1288" t="s">
        <v>1415</v>
      </c>
      <c r="H658" s="1288" t="s">
        <v>1575</v>
      </c>
      <c r="I658" s="1288"/>
      <c r="J658" s="1288"/>
      <c r="K658" s="754" t="s">
        <v>2339</v>
      </c>
      <c r="L658" s="1178"/>
      <c r="M658" s="1178"/>
      <c r="N658" s="1178"/>
      <c r="O658" s="1165">
        <f t="shared" si="111"/>
        <v>0</v>
      </c>
      <c r="P658" s="1178"/>
      <c r="Q658" s="1178"/>
      <c r="R658" s="1178"/>
      <c r="S658" s="1178"/>
      <c r="T658" s="1178"/>
      <c r="U658" s="1178"/>
      <c r="V658" s="1178"/>
      <c r="W658" s="1444" t="e">
        <f t="shared" si="112"/>
        <v>#DIV/0!</v>
      </c>
      <c r="X658" s="1432"/>
      <c r="Y658" s="765"/>
    </row>
    <row r="659" spans="1:25" s="183" customFormat="1" ht="22.5" customHeight="1" thickTop="1" thickBot="1" x14ac:dyDescent="0.3">
      <c r="A659" s="1285">
        <v>1</v>
      </c>
      <c r="B659" s="1286" t="s">
        <v>1378</v>
      </c>
      <c r="C659" s="1286" t="s">
        <v>1391</v>
      </c>
      <c r="D659" s="1286" t="s">
        <v>1444</v>
      </c>
      <c r="E659" s="1286" t="s">
        <v>1391</v>
      </c>
      <c r="F659" s="1286"/>
      <c r="G659" s="1286"/>
      <c r="H659" s="1286"/>
      <c r="I659" s="1286"/>
      <c r="J659" s="1286"/>
      <c r="K659" s="753" t="s">
        <v>2047</v>
      </c>
      <c r="L659" s="1177">
        <f>+L660+L672</f>
        <v>0</v>
      </c>
      <c r="M659" s="1177">
        <f t="shared" ref="M659:V659" si="113">+M660+M672</f>
        <v>0</v>
      </c>
      <c r="N659" s="1177">
        <f t="shared" si="113"/>
        <v>0</v>
      </c>
      <c r="O659" s="1165">
        <f t="shared" si="111"/>
        <v>0</v>
      </c>
      <c r="P659" s="1177">
        <f t="shared" si="113"/>
        <v>0</v>
      </c>
      <c r="Q659" s="1177">
        <f t="shared" si="113"/>
        <v>0</v>
      </c>
      <c r="R659" s="1177">
        <f t="shared" si="113"/>
        <v>0</v>
      </c>
      <c r="S659" s="1177"/>
      <c r="T659" s="1177">
        <f t="shared" si="113"/>
        <v>0</v>
      </c>
      <c r="U659" s="1177">
        <f t="shared" si="113"/>
        <v>0</v>
      </c>
      <c r="V659" s="1177">
        <f t="shared" si="113"/>
        <v>0</v>
      </c>
      <c r="W659" s="1443" t="e">
        <f t="shared" si="112"/>
        <v>#DIV/0!</v>
      </c>
      <c r="X659" s="1432" t="s">
        <v>1659</v>
      </c>
      <c r="Y659" s="765"/>
    </row>
    <row r="660" spans="1:25" s="183" customFormat="1" ht="22.5" customHeight="1" thickTop="1" thickBot="1" x14ac:dyDescent="0.3">
      <c r="A660" s="1285">
        <v>1</v>
      </c>
      <c r="B660" s="1286" t="s">
        <v>1378</v>
      </c>
      <c r="C660" s="1286" t="s">
        <v>1391</v>
      </c>
      <c r="D660" s="1286" t="s">
        <v>1444</v>
      </c>
      <c r="E660" s="1286" t="s">
        <v>1391</v>
      </c>
      <c r="F660" s="1286" t="s">
        <v>1378</v>
      </c>
      <c r="G660" s="1286"/>
      <c r="H660" s="1286"/>
      <c r="I660" s="1286"/>
      <c r="J660" s="1286"/>
      <c r="K660" s="753" t="s">
        <v>2048</v>
      </c>
      <c r="L660" s="1177">
        <f>SUM(L661:L671)</f>
        <v>0</v>
      </c>
      <c r="M660" s="1177">
        <f t="shared" ref="M660:V660" si="114">SUM(M661:M671)</f>
        <v>0</v>
      </c>
      <c r="N660" s="1177">
        <f t="shared" si="114"/>
        <v>0</v>
      </c>
      <c r="O660" s="1165">
        <f t="shared" si="111"/>
        <v>0</v>
      </c>
      <c r="P660" s="1177">
        <f t="shared" si="114"/>
        <v>0</v>
      </c>
      <c r="Q660" s="1177">
        <f t="shared" si="114"/>
        <v>0</v>
      </c>
      <c r="R660" s="1177">
        <f t="shared" si="114"/>
        <v>0</v>
      </c>
      <c r="S660" s="1177"/>
      <c r="T660" s="1177">
        <f t="shared" si="114"/>
        <v>0</v>
      </c>
      <c r="U660" s="1177">
        <f t="shared" si="114"/>
        <v>0</v>
      </c>
      <c r="V660" s="1177">
        <f t="shared" si="114"/>
        <v>0</v>
      </c>
      <c r="W660" s="1443" t="e">
        <f t="shared" si="112"/>
        <v>#DIV/0!</v>
      </c>
      <c r="X660" s="1432" t="s">
        <v>2058</v>
      </c>
      <c r="Y660" s="765"/>
    </row>
    <row r="661" spans="1:25" s="183" customFormat="1" ht="22.5" customHeight="1" thickTop="1" thickBot="1" x14ac:dyDescent="0.3">
      <c r="A661" s="1287">
        <v>1</v>
      </c>
      <c r="B661" s="1288" t="s">
        <v>1378</v>
      </c>
      <c r="C661" s="1288" t="s">
        <v>1391</v>
      </c>
      <c r="D661" s="1288" t="s">
        <v>1444</v>
      </c>
      <c r="E661" s="1288" t="s">
        <v>1391</v>
      </c>
      <c r="F661" s="1288" t="s">
        <v>1378</v>
      </c>
      <c r="G661" s="1288" t="s">
        <v>1378</v>
      </c>
      <c r="H661" s="1288"/>
      <c r="I661" s="1288"/>
      <c r="J661" s="1288"/>
      <c r="K661" s="754" t="s">
        <v>2340</v>
      </c>
      <c r="L661" s="1178"/>
      <c r="M661" s="1178"/>
      <c r="N661" s="1178"/>
      <c r="O661" s="1165">
        <f t="shared" si="111"/>
        <v>0</v>
      </c>
      <c r="P661" s="1178"/>
      <c r="Q661" s="1178"/>
      <c r="R661" s="1178"/>
      <c r="S661" s="1178"/>
      <c r="T661" s="1178"/>
      <c r="U661" s="1178"/>
      <c r="V661" s="1178"/>
      <c r="W661" s="1444" t="e">
        <f t="shared" si="112"/>
        <v>#DIV/0!</v>
      </c>
      <c r="X661" s="1432"/>
      <c r="Y661" s="765"/>
    </row>
    <row r="662" spans="1:25" s="183" customFormat="1" ht="22.5" customHeight="1" thickTop="1" thickBot="1" x14ac:dyDescent="0.3">
      <c r="A662" s="1287">
        <v>1</v>
      </c>
      <c r="B662" s="1288" t="s">
        <v>1378</v>
      </c>
      <c r="C662" s="1288" t="s">
        <v>1391</v>
      </c>
      <c r="D662" s="1288" t="s">
        <v>1444</v>
      </c>
      <c r="E662" s="1288" t="s">
        <v>1391</v>
      </c>
      <c r="F662" s="1288" t="s">
        <v>1378</v>
      </c>
      <c r="G662" s="1288" t="s">
        <v>1391</v>
      </c>
      <c r="H662" s="1288"/>
      <c r="I662" s="1288"/>
      <c r="J662" s="1288"/>
      <c r="K662" s="754" t="s">
        <v>2341</v>
      </c>
      <c r="L662" s="1178"/>
      <c r="M662" s="1178"/>
      <c r="N662" s="1178"/>
      <c r="O662" s="1165">
        <f t="shared" si="111"/>
        <v>0</v>
      </c>
      <c r="P662" s="1178"/>
      <c r="Q662" s="1178"/>
      <c r="R662" s="1178"/>
      <c r="S662" s="1178"/>
      <c r="T662" s="1178"/>
      <c r="U662" s="1178"/>
      <c r="V662" s="1178"/>
      <c r="W662" s="1444" t="e">
        <f t="shared" si="112"/>
        <v>#DIV/0!</v>
      </c>
      <c r="X662" s="1432"/>
      <c r="Y662" s="765"/>
    </row>
    <row r="663" spans="1:25" s="183" customFormat="1" ht="22.5" customHeight="1" thickTop="1" thickBot="1" x14ac:dyDescent="0.3">
      <c r="A663" s="1287">
        <v>1</v>
      </c>
      <c r="B663" s="1288" t="s">
        <v>1378</v>
      </c>
      <c r="C663" s="1288" t="s">
        <v>1391</v>
      </c>
      <c r="D663" s="1288" t="s">
        <v>1444</v>
      </c>
      <c r="E663" s="1288" t="s">
        <v>1391</v>
      </c>
      <c r="F663" s="1288" t="s">
        <v>1378</v>
      </c>
      <c r="G663" s="1288" t="s">
        <v>1415</v>
      </c>
      <c r="H663" s="1288"/>
      <c r="I663" s="1288"/>
      <c r="J663" s="1288"/>
      <c r="K663" s="754" t="s">
        <v>2342</v>
      </c>
      <c r="L663" s="1178"/>
      <c r="M663" s="1178"/>
      <c r="N663" s="1178"/>
      <c r="O663" s="1165">
        <f t="shared" si="111"/>
        <v>0</v>
      </c>
      <c r="P663" s="1178"/>
      <c r="Q663" s="1178"/>
      <c r="R663" s="1178"/>
      <c r="S663" s="1178"/>
      <c r="T663" s="1178"/>
      <c r="U663" s="1178"/>
      <c r="V663" s="1178"/>
      <c r="W663" s="1444" t="e">
        <f t="shared" si="112"/>
        <v>#DIV/0!</v>
      </c>
      <c r="X663" s="1432"/>
      <c r="Y663" s="765"/>
    </row>
    <row r="664" spans="1:25" s="183" customFormat="1" ht="22.5" customHeight="1" thickTop="1" thickBot="1" x14ac:dyDescent="0.3">
      <c r="A664" s="1287">
        <v>1</v>
      </c>
      <c r="B664" s="1288" t="s">
        <v>1378</v>
      </c>
      <c r="C664" s="1288" t="s">
        <v>1391</v>
      </c>
      <c r="D664" s="1288" t="s">
        <v>1444</v>
      </c>
      <c r="E664" s="1288" t="s">
        <v>1391</v>
      </c>
      <c r="F664" s="1288" t="s">
        <v>1378</v>
      </c>
      <c r="G664" s="1288" t="s">
        <v>1419</v>
      </c>
      <c r="H664" s="1288"/>
      <c r="I664" s="1288"/>
      <c r="J664" s="1288"/>
      <c r="K664" s="754" t="s">
        <v>2343</v>
      </c>
      <c r="L664" s="1178"/>
      <c r="M664" s="1178"/>
      <c r="N664" s="1178"/>
      <c r="O664" s="1165">
        <f t="shared" si="111"/>
        <v>0</v>
      </c>
      <c r="P664" s="1178"/>
      <c r="Q664" s="1178"/>
      <c r="R664" s="1178"/>
      <c r="S664" s="1178"/>
      <c r="T664" s="1178"/>
      <c r="U664" s="1178"/>
      <c r="V664" s="1178"/>
      <c r="W664" s="1444" t="e">
        <f t="shared" si="112"/>
        <v>#DIV/0!</v>
      </c>
      <c r="X664" s="1432"/>
      <c r="Y664" s="765"/>
    </row>
    <row r="665" spans="1:25" s="183" customFormat="1" ht="22.5" customHeight="1" thickTop="1" thickBot="1" x14ac:dyDescent="0.3">
      <c r="A665" s="1287">
        <v>1</v>
      </c>
      <c r="B665" s="1288" t="s">
        <v>1378</v>
      </c>
      <c r="C665" s="1288" t="s">
        <v>1391</v>
      </c>
      <c r="D665" s="1288" t="s">
        <v>1444</v>
      </c>
      <c r="E665" s="1288" t="s">
        <v>1391</v>
      </c>
      <c r="F665" s="1288" t="s">
        <v>1378</v>
      </c>
      <c r="G665" s="1288" t="s">
        <v>1444</v>
      </c>
      <c r="H665" s="1288"/>
      <c r="I665" s="1288"/>
      <c r="J665" s="1288"/>
      <c r="K665" s="754" t="s">
        <v>2344</v>
      </c>
      <c r="L665" s="1178"/>
      <c r="M665" s="1178"/>
      <c r="N665" s="1178"/>
      <c r="O665" s="1165">
        <f t="shared" si="111"/>
        <v>0</v>
      </c>
      <c r="P665" s="1178"/>
      <c r="Q665" s="1178"/>
      <c r="R665" s="1178"/>
      <c r="S665" s="1178"/>
      <c r="T665" s="1178"/>
      <c r="U665" s="1178"/>
      <c r="V665" s="1178"/>
      <c r="W665" s="1444" t="e">
        <f t="shared" si="112"/>
        <v>#DIV/0!</v>
      </c>
      <c r="X665" s="1432"/>
      <c r="Y665" s="765"/>
    </row>
    <row r="666" spans="1:25" s="183" customFormat="1" ht="22.5" customHeight="1" thickTop="1" thickBot="1" x14ac:dyDescent="0.3">
      <c r="A666" s="1287">
        <v>1</v>
      </c>
      <c r="B666" s="1288" t="s">
        <v>1378</v>
      </c>
      <c r="C666" s="1288" t="s">
        <v>1391</v>
      </c>
      <c r="D666" s="1288" t="s">
        <v>1444</v>
      </c>
      <c r="E666" s="1288" t="s">
        <v>1391</v>
      </c>
      <c r="F666" s="1288" t="s">
        <v>1378</v>
      </c>
      <c r="G666" s="1288" t="s">
        <v>1467</v>
      </c>
      <c r="H666" s="1288"/>
      <c r="I666" s="1288"/>
      <c r="J666" s="1288"/>
      <c r="K666" s="754" t="s">
        <v>2345</v>
      </c>
      <c r="L666" s="1178"/>
      <c r="M666" s="1178"/>
      <c r="N666" s="1178"/>
      <c r="O666" s="1165">
        <f t="shared" si="111"/>
        <v>0</v>
      </c>
      <c r="P666" s="1178"/>
      <c r="Q666" s="1178"/>
      <c r="R666" s="1178"/>
      <c r="S666" s="1178"/>
      <c r="T666" s="1178"/>
      <c r="U666" s="1178"/>
      <c r="V666" s="1178"/>
      <c r="W666" s="1444" t="e">
        <f t="shared" si="112"/>
        <v>#DIV/0!</v>
      </c>
      <c r="X666" s="1432"/>
      <c r="Y666" s="765"/>
    </row>
    <row r="667" spans="1:25" s="183" customFormat="1" ht="22.5" customHeight="1" thickTop="1" thickBot="1" x14ac:dyDescent="0.3">
      <c r="A667" s="1287">
        <v>1</v>
      </c>
      <c r="B667" s="1288" t="s">
        <v>1378</v>
      </c>
      <c r="C667" s="1288" t="s">
        <v>1391</v>
      </c>
      <c r="D667" s="1288" t="s">
        <v>1444</v>
      </c>
      <c r="E667" s="1288" t="s">
        <v>1391</v>
      </c>
      <c r="F667" s="1288" t="s">
        <v>1378</v>
      </c>
      <c r="G667" s="1288" t="s">
        <v>1471</v>
      </c>
      <c r="H667" s="1288"/>
      <c r="I667" s="1288"/>
      <c r="J667" s="1288"/>
      <c r="K667" s="754" t="s">
        <v>2346</v>
      </c>
      <c r="L667" s="1178"/>
      <c r="M667" s="1178"/>
      <c r="N667" s="1178"/>
      <c r="O667" s="1165">
        <f t="shared" si="111"/>
        <v>0</v>
      </c>
      <c r="P667" s="1178"/>
      <c r="Q667" s="1178"/>
      <c r="R667" s="1178"/>
      <c r="S667" s="1178"/>
      <c r="T667" s="1178"/>
      <c r="U667" s="1178"/>
      <c r="V667" s="1178"/>
      <c r="W667" s="1444" t="e">
        <f t="shared" si="112"/>
        <v>#DIV/0!</v>
      </c>
      <c r="X667" s="1432"/>
      <c r="Y667" s="765"/>
    </row>
    <row r="668" spans="1:25" s="183" customFormat="1" ht="22.5" customHeight="1" thickTop="1" thickBot="1" x14ac:dyDescent="0.3">
      <c r="A668" s="1287">
        <v>1</v>
      </c>
      <c r="B668" s="1288" t="s">
        <v>1378</v>
      </c>
      <c r="C668" s="1288" t="s">
        <v>1391</v>
      </c>
      <c r="D668" s="1288" t="s">
        <v>1444</v>
      </c>
      <c r="E668" s="1288" t="s">
        <v>1391</v>
      </c>
      <c r="F668" s="1288" t="s">
        <v>1378</v>
      </c>
      <c r="G668" s="1288" t="s">
        <v>1475</v>
      </c>
      <c r="H668" s="1288"/>
      <c r="I668" s="1288"/>
      <c r="J668" s="1288"/>
      <c r="K668" s="754" t="s">
        <v>2347</v>
      </c>
      <c r="L668" s="1178"/>
      <c r="M668" s="1178"/>
      <c r="N668" s="1178"/>
      <c r="O668" s="1165">
        <f t="shared" si="111"/>
        <v>0</v>
      </c>
      <c r="P668" s="1178"/>
      <c r="Q668" s="1178"/>
      <c r="R668" s="1178"/>
      <c r="S668" s="1178"/>
      <c r="T668" s="1178"/>
      <c r="U668" s="1178"/>
      <c r="V668" s="1178"/>
      <c r="W668" s="1444" t="e">
        <f t="shared" si="112"/>
        <v>#DIV/0!</v>
      </c>
      <c r="X668" s="1432"/>
      <c r="Y668" s="765"/>
    </row>
    <row r="669" spans="1:25" s="183" customFormat="1" ht="22.5" customHeight="1" thickTop="1" thickBot="1" x14ac:dyDescent="0.3">
      <c r="A669" s="1287">
        <v>1</v>
      </c>
      <c r="B669" s="1288" t="s">
        <v>1378</v>
      </c>
      <c r="C669" s="1288" t="s">
        <v>1391</v>
      </c>
      <c r="D669" s="1288" t="s">
        <v>1444</v>
      </c>
      <c r="E669" s="1288" t="s">
        <v>1391</v>
      </c>
      <c r="F669" s="1288" t="s">
        <v>1378</v>
      </c>
      <c r="G669" s="1288" t="s">
        <v>1573</v>
      </c>
      <c r="H669" s="1288"/>
      <c r="I669" s="1288"/>
      <c r="J669" s="1288"/>
      <c r="K669" s="754" t="s">
        <v>2348</v>
      </c>
      <c r="L669" s="1178"/>
      <c r="M669" s="1178"/>
      <c r="N669" s="1178"/>
      <c r="O669" s="1165">
        <f t="shared" si="111"/>
        <v>0</v>
      </c>
      <c r="P669" s="1178"/>
      <c r="Q669" s="1178"/>
      <c r="R669" s="1178"/>
      <c r="S669" s="1178"/>
      <c r="T669" s="1178"/>
      <c r="U669" s="1178"/>
      <c r="V669" s="1178"/>
      <c r="W669" s="1444" t="e">
        <f t="shared" si="112"/>
        <v>#DIV/0!</v>
      </c>
      <c r="X669" s="1432"/>
      <c r="Y669" s="765"/>
    </row>
    <row r="670" spans="1:25" s="183" customFormat="1" ht="22.5" customHeight="1" thickTop="1" thickBot="1" x14ac:dyDescent="0.3">
      <c r="A670" s="1287">
        <v>1</v>
      </c>
      <c r="B670" s="1288" t="s">
        <v>1378</v>
      </c>
      <c r="C670" s="1288" t="s">
        <v>1391</v>
      </c>
      <c r="D670" s="1288" t="s">
        <v>1444</v>
      </c>
      <c r="E670" s="1288" t="s">
        <v>1391</v>
      </c>
      <c r="F670" s="1288" t="s">
        <v>1378</v>
      </c>
      <c r="G670" s="1288" t="s">
        <v>1574</v>
      </c>
      <c r="H670" s="1288"/>
      <c r="I670" s="1288"/>
      <c r="J670" s="1288"/>
      <c r="K670" s="754" t="s">
        <v>2349</v>
      </c>
      <c r="L670" s="1178"/>
      <c r="M670" s="1178"/>
      <c r="N670" s="1178"/>
      <c r="O670" s="1165">
        <f t="shared" si="111"/>
        <v>0</v>
      </c>
      <c r="P670" s="1178"/>
      <c r="Q670" s="1178"/>
      <c r="R670" s="1178"/>
      <c r="S670" s="1178"/>
      <c r="T670" s="1178"/>
      <c r="U670" s="1178"/>
      <c r="V670" s="1178"/>
      <c r="W670" s="1444" t="e">
        <f t="shared" si="112"/>
        <v>#DIV/0!</v>
      </c>
      <c r="X670" s="1432"/>
      <c r="Y670" s="765"/>
    </row>
    <row r="671" spans="1:25" s="183" customFormat="1" ht="22.5" customHeight="1" thickTop="1" thickBot="1" x14ac:dyDescent="0.3">
      <c r="A671" s="1287">
        <v>1</v>
      </c>
      <c r="B671" s="1288" t="s">
        <v>1378</v>
      </c>
      <c r="C671" s="1288" t="s">
        <v>1391</v>
      </c>
      <c r="D671" s="1288" t="s">
        <v>1444</v>
      </c>
      <c r="E671" s="1288" t="s">
        <v>1391</v>
      </c>
      <c r="F671" s="1288" t="s">
        <v>1378</v>
      </c>
      <c r="G671" s="1288" t="s">
        <v>1575</v>
      </c>
      <c r="H671" s="1288"/>
      <c r="I671" s="1288"/>
      <c r="J671" s="1288"/>
      <c r="K671" s="754" t="s">
        <v>2350</v>
      </c>
      <c r="L671" s="1178"/>
      <c r="M671" s="1178"/>
      <c r="N671" s="1178"/>
      <c r="O671" s="1165">
        <f t="shared" si="111"/>
        <v>0</v>
      </c>
      <c r="P671" s="1178"/>
      <c r="Q671" s="1178"/>
      <c r="R671" s="1178"/>
      <c r="S671" s="1178"/>
      <c r="T671" s="1178"/>
      <c r="U671" s="1178"/>
      <c r="V671" s="1178"/>
      <c r="W671" s="1444" t="e">
        <f t="shared" si="112"/>
        <v>#DIV/0!</v>
      </c>
      <c r="X671" s="1432"/>
      <c r="Y671" s="765"/>
    </row>
    <row r="672" spans="1:25" s="183" customFormat="1" ht="22.5" customHeight="1" thickTop="1" thickBot="1" x14ac:dyDescent="0.3">
      <c r="A672" s="1285">
        <v>1</v>
      </c>
      <c r="B672" s="1286" t="s">
        <v>1378</v>
      </c>
      <c r="C672" s="1286" t="s">
        <v>1391</v>
      </c>
      <c r="D672" s="1286" t="s">
        <v>1444</v>
      </c>
      <c r="E672" s="1286" t="s">
        <v>1391</v>
      </c>
      <c r="F672" s="1286" t="s">
        <v>1391</v>
      </c>
      <c r="G672" s="1286"/>
      <c r="H672" s="1286"/>
      <c r="I672" s="1286"/>
      <c r="J672" s="1286"/>
      <c r="K672" s="753" t="s">
        <v>2049</v>
      </c>
      <c r="L672" s="1177">
        <f>SUM(L673:L683)</f>
        <v>0</v>
      </c>
      <c r="M672" s="1177">
        <f t="shared" ref="M672:V672" si="115">SUM(M673:M683)</f>
        <v>0</v>
      </c>
      <c r="N672" s="1177">
        <f t="shared" si="115"/>
        <v>0</v>
      </c>
      <c r="O672" s="1165">
        <f t="shared" si="111"/>
        <v>0</v>
      </c>
      <c r="P672" s="1177">
        <f t="shared" si="115"/>
        <v>0</v>
      </c>
      <c r="Q672" s="1177">
        <f t="shared" si="115"/>
        <v>0</v>
      </c>
      <c r="R672" s="1177">
        <f t="shared" si="115"/>
        <v>0</v>
      </c>
      <c r="S672" s="1177"/>
      <c r="T672" s="1177">
        <f t="shared" si="115"/>
        <v>0</v>
      </c>
      <c r="U672" s="1177">
        <f t="shared" si="115"/>
        <v>0</v>
      </c>
      <c r="V672" s="1177">
        <f t="shared" si="115"/>
        <v>0</v>
      </c>
      <c r="W672" s="1443" t="e">
        <f t="shared" si="112"/>
        <v>#DIV/0!</v>
      </c>
      <c r="X672" s="1432" t="s">
        <v>2059</v>
      </c>
      <c r="Y672" s="765"/>
    </row>
    <row r="673" spans="1:25" s="183" customFormat="1" ht="22.5" customHeight="1" thickTop="1" thickBot="1" x14ac:dyDescent="0.3">
      <c r="A673" s="1287">
        <v>1</v>
      </c>
      <c r="B673" s="1288" t="s">
        <v>1378</v>
      </c>
      <c r="C673" s="1288" t="s">
        <v>1391</v>
      </c>
      <c r="D673" s="1288" t="s">
        <v>1444</v>
      </c>
      <c r="E673" s="1288" t="s">
        <v>1391</v>
      </c>
      <c r="F673" s="1288" t="s">
        <v>1391</v>
      </c>
      <c r="G673" s="1288" t="s">
        <v>1378</v>
      </c>
      <c r="H673" s="1288"/>
      <c r="I673" s="1288"/>
      <c r="J673" s="1288"/>
      <c r="K673" s="754" t="s">
        <v>2351</v>
      </c>
      <c r="L673" s="1178"/>
      <c r="M673" s="1178"/>
      <c r="N673" s="1178"/>
      <c r="O673" s="1165">
        <f t="shared" si="111"/>
        <v>0</v>
      </c>
      <c r="P673" s="1178"/>
      <c r="Q673" s="1178"/>
      <c r="R673" s="1178"/>
      <c r="S673" s="1178"/>
      <c r="T673" s="1178"/>
      <c r="U673" s="1178"/>
      <c r="V673" s="1178"/>
      <c r="W673" s="1444" t="e">
        <f t="shared" si="112"/>
        <v>#DIV/0!</v>
      </c>
      <c r="X673" s="1432"/>
      <c r="Y673" s="765"/>
    </row>
    <row r="674" spans="1:25" s="183" customFormat="1" ht="22.5" customHeight="1" thickTop="1" thickBot="1" x14ac:dyDescent="0.3">
      <c r="A674" s="1287">
        <v>1</v>
      </c>
      <c r="B674" s="1288" t="s">
        <v>1378</v>
      </c>
      <c r="C674" s="1288" t="s">
        <v>1391</v>
      </c>
      <c r="D674" s="1288" t="s">
        <v>1444</v>
      </c>
      <c r="E674" s="1288" t="s">
        <v>1391</v>
      </c>
      <c r="F674" s="1288" t="s">
        <v>1391</v>
      </c>
      <c r="G674" s="1288" t="s">
        <v>1391</v>
      </c>
      <c r="H674" s="1288"/>
      <c r="I674" s="1288"/>
      <c r="J674" s="1288"/>
      <c r="K674" s="754" t="s">
        <v>2352</v>
      </c>
      <c r="L674" s="1178"/>
      <c r="M674" s="1178"/>
      <c r="N674" s="1178"/>
      <c r="O674" s="1165">
        <f t="shared" si="111"/>
        <v>0</v>
      </c>
      <c r="P674" s="1178"/>
      <c r="Q674" s="1178"/>
      <c r="R674" s="1178"/>
      <c r="S674" s="1178"/>
      <c r="T674" s="1178"/>
      <c r="U674" s="1178"/>
      <c r="V674" s="1178"/>
      <c r="W674" s="1444" t="e">
        <f t="shared" si="112"/>
        <v>#DIV/0!</v>
      </c>
      <c r="X674" s="1432"/>
      <c r="Y674" s="765"/>
    </row>
    <row r="675" spans="1:25" s="183" customFormat="1" ht="22.5" customHeight="1" thickTop="1" thickBot="1" x14ac:dyDescent="0.3">
      <c r="A675" s="1287">
        <v>1</v>
      </c>
      <c r="B675" s="1288" t="s">
        <v>1378</v>
      </c>
      <c r="C675" s="1288" t="s">
        <v>1391</v>
      </c>
      <c r="D675" s="1288" t="s">
        <v>1444</v>
      </c>
      <c r="E675" s="1288" t="s">
        <v>1391</v>
      </c>
      <c r="F675" s="1288" t="s">
        <v>1391</v>
      </c>
      <c r="G675" s="1288" t="s">
        <v>1415</v>
      </c>
      <c r="H675" s="1288"/>
      <c r="I675" s="1288"/>
      <c r="J675" s="1288"/>
      <c r="K675" s="754" t="s">
        <v>2353</v>
      </c>
      <c r="L675" s="1178"/>
      <c r="M675" s="1178"/>
      <c r="N675" s="1178"/>
      <c r="O675" s="1165">
        <f t="shared" si="111"/>
        <v>0</v>
      </c>
      <c r="P675" s="1178"/>
      <c r="Q675" s="1178"/>
      <c r="R675" s="1178"/>
      <c r="S675" s="1178"/>
      <c r="T675" s="1178"/>
      <c r="U675" s="1178"/>
      <c r="V675" s="1178"/>
      <c r="W675" s="1444" t="e">
        <f t="shared" si="112"/>
        <v>#DIV/0!</v>
      </c>
      <c r="X675" s="1432"/>
      <c r="Y675" s="765"/>
    </row>
    <row r="676" spans="1:25" s="183" customFormat="1" ht="22.5" customHeight="1" thickTop="1" thickBot="1" x14ac:dyDescent="0.3">
      <c r="A676" s="1287">
        <v>1</v>
      </c>
      <c r="B676" s="1288" t="s">
        <v>1378</v>
      </c>
      <c r="C676" s="1288" t="s">
        <v>1391</v>
      </c>
      <c r="D676" s="1288" t="s">
        <v>1444</v>
      </c>
      <c r="E676" s="1288" t="s">
        <v>1391</v>
      </c>
      <c r="F676" s="1288" t="s">
        <v>1391</v>
      </c>
      <c r="G676" s="1288" t="s">
        <v>1419</v>
      </c>
      <c r="H676" s="1288"/>
      <c r="I676" s="1288"/>
      <c r="J676" s="1288"/>
      <c r="K676" s="754" t="s">
        <v>2354</v>
      </c>
      <c r="L676" s="1178"/>
      <c r="M676" s="1178"/>
      <c r="N676" s="1178"/>
      <c r="O676" s="1165">
        <f t="shared" si="111"/>
        <v>0</v>
      </c>
      <c r="P676" s="1178"/>
      <c r="Q676" s="1178"/>
      <c r="R676" s="1178"/>
      <c r="S676" s="1178"/>
      <c r="T676" s="1178"/>
      <c r="U676" s="1178"/>
      <c r="V676" s="1178"/>
      <c r="W676" s="1444" t="e">
        <f t="shared" si="112"/>
        <v>#DIV/0!</v>
      </c>
      <c r="X676" s="1432"/>
      <c r="Y676" s="765"/>
    </row>
    <row r="677" spans="1:25" s="183" customFormat="1" ht="22.5" customHeight="1" thickTop="1" thickBot="1" x14ac:dyDescent="0.3">
      <c r="A677" s="1287">
        <v>1</v>
      </c>
      <c r="B677" s="1288" t="s">
        <v>1378</v>
      </c>
      <c r="C677" s="1288" t="s">
        <v>1391</v>
      </c>
      <c r="D677" s="1288" t="s">
        <v>1444</v>
      </c>
      <c r="E677" s="1288" t="s">
        <v>1391</v>
      </c>
      <c r="F677" s="1288" t="s">
        <v>1391</v>
      </c>
      <c r="G677" s="1288" t="s">
        <v>1444</v>
      </c>
      <c r="H677" s="1288"/>
      <c r="I677" s="1288"/>
      <c r="J677" s="1288"/>
      <c r="K677" s="754" t="s">
        <v>2355</v>
      </c>
      <c r="L677" s="1178"/>
      <c r="M677" s="1178"/>
      <c r="N677" s="1178"/>
      <c r="O677" s="1165">
        <f t="shared" si="111"/>
        <v>0</v>
      </c>
      <c r="P677" s="1178"/>
      <c r="Q677" s="1178"/>
      <c r="R677" s="1178"/>
      <c r="S677" s="1178"/>
      <c r="T677" s="1178"/>
      <c r="U677" s="1178"/>
      <c r="V677" s="1178"/>
      <c r="W677" s="1444" t="e">
        <f t="shared" si="112"/>
        <v>#DIV/0!</v>
      </c>
      <c r="X677" s="1432"/>
      <c r="Y677" s="765"/>
    </row>
    <row r="678" spans="1:25" s="183" customFormat="1" ht="22.5" customHeight="1" thickTop="1" thickBot="1" x14ac:dyDescent="0.3">
      <c r="A678" s="1287">
        <v>1</v>
      </c>
      <c r="B678" s="1288" t="s">
        <v>1378</v>
      </c>
      <c r="C678" s="1288" t="s">
        <v>1391</v>
      </c>
      <c r="D678" s="1288" t="s">
        <v>1444</v>
      </c>
      <c r="E678" s="1288" t="s">
        <v>1391</v>
      </c>
      <c r="F678" s="1288" t="s">
        <v>1391</v>
      </c>
      <c r="G678" s="1288" t="s">
        <v>1467</v>
      </c>
      <c r="H678" s="1288"/>
      <c r="I678" s="1288"/>
      <c r="J678" s="1288"/>
      <c r="K678" s="754" t="s">
        <v>2356</v>
      </c>
      <c r="L678" s="1178"/>
      <c r="M678" s="1178"/>
      <c r="N678" s="1178"/>
      <c r="O678" s="1165">
        <f t="shared" si="111"/>
        <v>0</v>
      </c>
      <c r="P678" s="1178"/>
      <c r="Q678" s="1178"/>
      <c r="R678" s="1178"/>
      <c r="S678" s="1178"/>
      <c r="T678" s="1178"/>
      <c r="U678" s="1178"/>
      <c r="V678" s="1178"/>
      <c r="W678" s="1444" t="e">
        <f t="shared" si="112"/>
        <v>#DIV/0!</v>
      </c>
      <c r="X678" s="1432"/>
      <c r="Y678" s="765"/>
    </row>
    <row r="679" spans="1:25" s="183" customFormat="1" ht="22.5" customHeight="1" thickTop="1" thickBot="1" x14ac:dyDescent="0.3">
      <c r="A679" s="1287">
        <v>1</v>
      </c>
      <c r="B679" s="1288" t="s">
        <v>1378</v>
      </c>
      <c r="C679" s="1288" t="s">
        <v>1391</v>
      </c>
      <c r="D679" s="1288" t="s">
        <v>1444</v>
      </c>
      <c r="E679" s="1288" t="s">
        <v>1391</v>
      </c>
      <c r="F679" s="1288" t="s">
        <v>1391</v>
      </c>
      <c r="G679" s="1288" t="s">
        <v>1471</v>
      </c>
      <c r="H679" s="1288"/>
      <c r="I679" s="1288"/>
      <c r="J679" s="1288"/>
      <c r="K679" s="754" t="s">
        <v>2357</v>
      </c>
      <c r="L679" s="1178"/>
      <c r="M679" s="1178"/>
      <c r="N679" s="1178"/>
      <c r="O679" s="1165">
        <f t="shared" si="111"/>
        <v>0</v>
      </c>
      <c r="P679" s="1178"/>
      <c r="Q679" s="1178"/>
      <c r="R679" s="1178"/>
      <c r="S679" s="1178"/>
      <c r="T679" s="1178"/>
      <c r="U679" s="1178"/>
      <c r="V679" s="1178"/>
      <c r="W679" s="1444" t="e">
        <f t="shared" si="112"/>
        <v>#DIV/0!</v>
      </c>
      <c r="X679" s="1432"/>
      <c r="Y679" s="765"/>
    </row>
    <row r="680" spans="1:25" s="183" customFormat="1" ht="22.5" customHeight="1" thickTop="1" thickBot="1" x14ac:dyDescent="0.3">
      <c r="A680" s="1287">
        <v>1</v>
      </c>
      <c r="B680" s="1288" t="s">
        <v>1378</v>
      </c>
      <c r="C680" s="1288" t="s">
        <v>1391</v>
      </c>
      <c r="D680" s="1288" t="s">
        <v>1444</v>
      </c>
      <c r="E680" s="1288" t="s">
        <v>1391</v>
      </c>
      <c r="F680" s="1288" t="s">
        <v>1391</v>
      </c>
      <c r="G680" s="1288" t="s">
        <v>1475</v>
      </c>
      <c r="H680" s="1288"/>
      <c r="I680" s="1288"/>
      <c r="J680" s="1288"/>
      <c r="K680" s="754" t="s">
        <v>2358</v>
      </c>
      <c r="L680" s="1178"/>
      <c r="M680" s="1178"/>
      <c r="N680" s="1178"/>
      <c r="O680" s="1165">
        <f t="shared" si="111"/>
        <v>0</v>
      </c>
      <c r="P680" s="1178"/>
      <c r="Q680" s="1178"/>
      <c r="R680" s="1178"/>
      <c r="S680" s="1178"/>
      <c r="T680" s="1178"/>
      <c r="U680" s="1178"/>
      <c r="V680" s="1178"/>
      <c r="W680" s="1444" t="e">
        <f t="shared" si="112"/>
        <v>#DIV/0!</v>
      </c>
      <c r="X680" s="1432"/>
      <c r="Y680" s="765"/>
    </row>
    <row r="681" spans="1:25" s="183" customFormat="1" ht="22.5" customHeight="1" thickTop="1" thickBot="1" x14ac:dyDescent="0.3">
      <c r="A681" s="1287">
        <v>1</v>
      </c>
      <c r="B681" s="1288" t="s">
        <v>1378</v>
      </c>
      <c r="C681" s="1288" t="s">
        <v>1391</v>
      </c>
      <c r="D681" s="1288" t="s">
        <v>1444</v>
      </c>
      <c r="E681" s="1288" t="s">
        <v>1391</v>
      </c>
      <c r="F681" s="1288" t="s">
        <v>1391</v>
      </c>
      <c r="G681" s="1288" t="s">
        <v>1573</v>
      </c>
      <c r="H681" s="1288"/>
      <c r="I681" s="1288"/>
      <c r="J681" s="1288"/>
      <c r="K681" s="754" t="s">
        <v>2359</v>
      </c>
      <c r="L681" s="1178"/>
      <c r="M681" s="1178"/>
      <c r="N681" s="1178"/>
      <c r="O681" s="1165">
        <f t="shared" si="111"/>
        <v>0</v>
      </c>
      <c r="P681" s="1178"/>
      <c r="Q681" s="1178"/>
      <c r="R681" s="1178"/>
      <c r="S681" s="1178"/>
      <c r="T681" s="1178"/>
      <c r="U681" s="1178"/>
      <c r="V681" s="1178"/>
      <c r="W681" s="1444" t="e">
        <f t="shared" si="112"/>
        <v>#DIV/0!</v>
      </c>
      <c r="X681" s="1432"/>
      <c r="Y681" s="765"/>
    </row>
    <row r="682" spans="1:25" s="183" customFormat="1" ht="22.5" customHeight="1" thickTop="1" thickBot="1" x14ac:dyDescent="0.3">
      <c r="A682" s="1287">
        <v>1</v>
      </c>
      <c r="B682" s="1288" t="s">
        <v>1378</v>
      </c>
      <c r="C682" s="1288" t="s">
        <v>1391</v>
      </c>
      <c r="D682" s="1288" t="s">
        <v>1444</v>
      </c>
      <c r="E682" s="1288" t="s">
        <v>1391</v>
      </c>
      <c r="F682" s="1288" t="s">
        <v>1391</v>
      </c>
      <c r="G682" s="1288" t="s">
        <v>1574</v>
      </c>
      <c r="H682" s="1288"/>
      <c r="I682" s="1288"/>
      <c r="J682" s="1288"/>
      <c r="K682" s="754" t="s">
        <v>2360</v>
      </c>
      <c r="L682" s="1178"/>
      <c r="M682" s="1178"/>
      <c r="N682" s="1178"/>
      <c r="O682" s="1165">
        <f t="shared" si="111"/>
        <v>0</v>
      </c>
      <c r="P682" s="1178"/>
      <c r="Q682" s="1178"/>
      <c r="R682" s="1178"/>
      <c r="S682" s="1178"/>
      <c r="T682" s="1178"/>
      <c r="U682" s="1178"/>
      <c r="V682" s="1178"/>
      <c r="W682" s="1444" t="e">
        <f t="shared" si="112"/>
        <v>#DIV/0!</v>
      </c>
      <c r="X682" s="1432"/>
      <c r="Y682" s="765"/>
    </row>
    <row r="683" spans="1:25" s="183" customFormat="1" ht="22.5" customHeight="1" thickTop="1" thickBot="1" x14ac:dyDescent="0.3">
      <c r="A683" s="1287">
        <v>1</v>
      </c>
      <c r="B683" s="1288" t="s">
        <v>1378</v>
      </c>
      <c r="C683" s="1288" t="s">
        <v>1391</v>
      </c>
      <c r="D683" s="1288" t="s">
        <v>1444</v>
      </c>
      <c r="E683" s="1288" t="s">
        <v>1391</v>
      </c>
      <c r="F683" s="1288" t="s">
        <v>1391</v>
      </c>
      <c r="G683" s="1288" t="s">
        <v>1575</v>
      </c>
      <c r="H683" s="1288"/>
      <c r="I683" s="1288"/>
      <c r="J683" s="1288"/>
      <c r="K683" s="754" t="s">
        <v>2361</v>
      </c>
      <c r="L683" s="1178"/>
      <c r="M683" s="1178"/>
      <c r="N683" s="1178"/>
      <c r="O683" s="1165">
        <f t="shared" si="111"/>
        <v>0</v>
      </c>
      <c r="P683" s="1178"/>
      <c r="Q683" s="1178"/>
      <c r="R683" s="1178"/>
      <c r="S683" s="1178"/>
      <c r="T683" s="1178"/>
      <c r="U683" s="1178"/>
      <c r="V683" s="1178"/>
      <c r="W683" s="1444" t="e">
        <f t="shared" si="112"/>
        <v>#DIV/0!</v>
      </c>
      <c r="X683" s="1432"/>
      <c r="Y683" s="765"/>
    </row>
    <row r="684" spans="1:25" s="183" customFormat="1" ht="22.5" customHeight="1" thickTop="1" thickBot="1" x14ac:dyDescent="0.3">
      <c r="A684" s="1287">
        <v>1</v>
      </c>
      <c r="B684" s="1288" t="s">
        <v>1378</v>
      </c>
      <c r="C684" s="1288" t="s">
        <v>1391</v>
      </c>
      <c r="D684" s="1288" t="s">
        <v>1467</v>
      </c>
      <c r="E684" s="1288"/>
      <c r="F684" s="1288"/>
      <c r="G684" s="1288"/>
      <c r="H684" s="1288"/>
      <c r="I684" s="1288"/>
      <c r="J684" s="1288"/>
      <c r="K684" s="754" t="s">
        <v>2625</v>
      </c>
      <c r="L684" s="1178">
        <f>+L685</f>
        <v>0</v>
      </c>
      <c r="M684" s="1178">
        <f t="shared" ref="M684:V684" si="116">+M685</f>
        <v>1000000000</v>
      </c>
      <c r="N684" s="1178">
        <f t="shared" si="116"/>
        <v>0</v>
      </c>
      <c r="O684" s="1165">
        <f t="shared" si="111"/>
        <v>1000000000</v>
      </c>
      <c r="P684" s="1178">
        <f t="shared" si="116"/>
        <v>0</v>
      </c>
      <c r="Q684" s="1178">
        <f t="shared" si="116"/>
        <v>1000000000</v>
      </c>
      <c r="R684" s="1178">
        <f t="shared" si="116"/>
        <v>0</v>
      </c>
      <c r="S684" s="1178"/>
      <c r="T684" s="1178">
        <f t="shared" si="116"/>
        <v>0</v>
      </c>
      <c r="U684" s="1178">
        <f t="shared" si="116"/>
        <v>1000000000</v>
      </c>
      <c r="V684" s="1178">
        <f t="shared" si="116"/>
        <v>1000000000</v>
      </c>
      <c r="W684" s="1444">
        <f t="shared" si="112"/>
        <v>1</v>
      </c>
      <c r="X684" s="1432" t="s">
        <v>2628</v>
      </c>
      <c r="Y684" s="765"/>
    </row>
    <row r="685" spans="1:25" s="183" customFormat="1" ht="22.5" customHeight="1" thickTop="1" thickBot="1" x14ac:dyDescent="0.3">
      <c r="A685" s="1287">
        <v>1</v>
      </c>
      <c r="B685" s="1288" t="s">
        <v>1378</v>
      </c>
      <c r="C685" s="1288" t="s">
        <v>1391</v>
      </c>
      <c r="D685" s="1288" t="s">
        <v>1467</v>
      </c>
      <c r="E685" s="1288" t="s">
        <v>1378</v>
      </c>
      <c r="F685" s="1288"/>
      <c r="G685" s="1288"/>
      <c r="H685" s="1288"/>
      <c r="I685" s="1288"/>
      <c r="J685" s="1288"/>
      <c r="K685" s="754" t="s">
        <v>2626</v>
      </c>
      <c r="L685" s="1178">
        <f>SUM(L686:L696)</f>
        <v>0</v>
      </c>
      <c r="M685" s="1178">
        <f t="shared" ref="M685:V685" si="117">SUM(M686:M696)</f>
        <v>1000000000</v>
      </c>
      <c r="N685" s="1178">
        <f t="shared" si="117"/>
        <v>0</v>
      </c>
      <c r="O685" s="1165">
        <f t="shared" si="111"/>
        <v>1000000000</v>
      </c>
      <c r="P685" s="1178">
        <f t="shared" si="117"/>
        <v>0</v>
      </c>
      <c r="Q685" s="1178">
        <f t="shared" si="117"/>
        <v>1000000000</v>
      </c>
      <c r="R685" s="1178">
        <f t="shared" si="117"/>
        <v>0</v>
      </c>
      <c r="S685" s="1178"/>
      <c r="T685" s="1178">
        <f t="shared" si="117"/>
        <v>0</v>
      </c>
      <c r="U685" s="1178">
        <f t="shared" si="117"/>
        <v>1000000000</v>
      </c>
      <c r="V685" s="1178">
        <f t="shared" si="117"/>
        <v>1000000000</v>
      </c>
      <c r="W685" s="1444">
        <f t="shared" si="112"/>
        <v>1</v>
      </c>
      <c r="X685" s="1432" t="s">
        <v>2627</v>
      </c>
      <c r="Y685" s="765"/>
    </row>
    <row r="686" spans="1:25" s="183" customFormat="1" ht="22.5" customHeight="1" thickTop="1" thickBot="1" x14ac:dyDescent="0.3">
      <c r="A686" s="1287">
        <v>1</v>
      </c>
      <c r="B686" s="1288" t="s">
        <v>1378</v>
      </c>
      <c r="C686" s="1288" t="s">
        <v>1391</v>
      </c>
      <c r="D686" s="1288" t="s">
        <v>1467</v>
      </c>
      <c r="E686" s="1288" t="s">
        <v>1378</v>
      </c>
      <c r="F686" s="1288" t="s">
        <v>1378</v>
      </c>
      <c r="G686" s="1288"/>
      <c r="H686" s="1288"/>
      <c r="I686" s="1288"/>
      <c r="J686" s="1288"/>
      <c r="K686" s="754" t="s">
        <v>2629</v>
      </c>
      <c r="L686" s="1178"/>
      <c r="M686" s="1178">
        <v>1000000000</v>
      </c>
      <c r="N686" s="1178"/>
      <c r="O686" s="1165">
        <f t="shared" si="111"/>
        <v>1000000000</v>
      </c>
      <c r="P686" s="1178"/>
      <c r="Q686" s="1178">
        <v>1000000000</v>
      </c>
      <c r="R686" s="1178"/>
      <c r="S686" s="1178"/>
      <c r="T686" s="1178"/>
      <c r="U686" s="1178">
        <v>1000000000</v>
      </c>
      <c r="V686" s="1178">
        <v>1000000000</v>
      </c>
      <c r="W686" s="1444">
        <f t="shared" si="112"/>
        <v>1</v>
      </c>
      <c r="X686" s="1432"/>
      <c r="Y686" s="765"/>
    </row>
    <row r="687" spans="1:25" s="183" customFormat="1" ht="22.5" customHeight="1" thickTop="1" thickBot="1" x14ac:dyDescent="0.3">
      <c r="A687" s="1287">
        <v>2</v>
      </c>
      <c r="B687" s="1288" t="s">
        <v>1378</v>
      </c>
      <c r="C687" s="1288" t="s">
        <v>1391</v>
      </c>
      <c r="D687" s="1288" t="s">
        <v>1467</v>
      </c>
      <c r="E687" s="1288" t="s">
        <v>1378</v>
      </c>
      <c r="F687" s="1288" t="s">
        <v>1391</v>
      </c>
      <c r="G687" s="1288"/>
      <c r="H687" s="1288"/>
      <c r="I687" s="1288"/>
      <c r="J687" s="1288"/>
      <c r="K687" s="754" t="s">
        <v>2630</v>
      </c>
      <c r="L687" s="1178"/>
      <c r="M687" s="1178"/>
      <c r="N687" s="1178"/>
      <c r="O687" s="1165">
        <f t="shared" si="111"/>
        <v>0</v>
      </c>
      <c r="P687" s="1178"/>
      <c r="Q687" s="1178"/>
      <c r="R687" s="1178"/>
      <c r="S687" s="1178"/>
      <c r="T687" s="1178"/>
      <c r="U687" s="1178"/>
      <c r="V687" s="1178"/>
      <c r="W687" s="1444" t="e">
        <f t="shared" si="112"/>
        <v>#DIV/0!</v>
      </c>
      <c r="X687" s="1432"/>
      <c r="Y687" s="765"/>
    </row>
    <row r="688" spans="1:25" s="183" customFormat="1" ht="22.5" customHeight="1" thickTop="1" thickBot="1" x14ac:dyDescent="0.3">
      <c r="A688" s="1287">
        <v>3</v>
      </c>
      <c r="B688" s="1288" t="s">
        <v>1378</v>
      </c>
      <c r="C688" s="1288" t="s">
        <v>1391</v>
      </c>
      <c r="D688" s="1288" t="s">
        <v>1467</v>
      </c>
      <c r="E688" s="1288" t="s">
        <v>1378</v>
      </c>
      <c r="F688" s="1288" t="s">
        <v>1415</v>
      </c>
      <c r="G688" s="1288"/>
      <c r="H688" s="1288"/>
      <c r="I688" s="1288"/>
      <c r="J688" s="1288"/>
      <c r="K688" s="754" t="s">
        <v>2631</v>
      </c>
      <c r="L688" s="1178"/>
      <c r="M688" s="1178"/>
      <c r="N688" s="1178"/>
      <c r="O688" s="1165">
        <f t="shared" si="111"/>
        <v>0</v>
      </c>
      <c r="P688" s="1178"/>
      <c r="Q688" s="1178"/>
      <c r="R688" s="1178"/>
      <c r="S688" s="1178"/>
      <c r="T688" s="1178"/>
      <c r="U688" s="1178"/>
      <c r="V688" s="1178"/>
      <c r="W688" s="1444" t="e">
        <f t="shared" si="112"/>
        <v>#DIV/0!</v>
      </c>
      <c r="X688" s="1432"/>
      <c r="Y688" s="765"/>
    </row>
    <row r="689" spans="1:25" s="183" customFormat="1" ht="22.5" customHeight="1" thickTop="1" thickBot="1" x14ac:dyDescent="0.3">
      <c r="A689" s="1287">
        <v>4</v>
      </c>
      <c r="B689" s="1288" t="s">
        <v>1378</v>
      </c>
      <c r="C689" s="1288" t="s">
        <v>1391</v>
      </c>
      <c r="D689" s="1288" t="s">
        <v>1467</v>
      </c>
      <c r="E689" s="1288" t="s">
        <v>1378</v>
      </c>
      <c r="F689" s="1288" t="s">
        <v>1419</v>
      </c>
      <c r="G689" s="1288"/>
      <c r="H689" s="1288"/>
      <c r="I689" s="1288"/>
      <c r="J689" s="1288"/>
      <c r="K689" s="754" t="s">
        <v>2632</v>
      </c>
      <c r="L689" s="1178"/>
      <c r="M689" s="1178"/>
      <c r="N689" s="1178"/>
      <c r="O689" s="1165">
        <f t="shared" si="111"/>
        <v>0</v>
      </c>
      <c r="P689" s="1178"/>
      <c r="Q689" s="1178"/>
      <c r="R689" s="1178"/>
      <c r="S689" s="1178"/>
      <c r="T689" s="1178"/>
      <c r="U689" s="1178"/>
      <c r="V689" s="1178"/>
      <c r="W689" s="1444" t="e">
        <f t="shared" si="112"/>
        <v>#DIV/0!</v>
      </c>
      <c r="X689" s="1432"/>
      <c r="Y689" s="765"/>
    </row>
    <row r="690" spans="1:25" s="183" customFormat="1" ht="22.5" customHeight="1" thickTop="1" thickBot="1" x14ac:dyDescent="0.3">
      <c r="A690" s="1287">
        <v>5</v>
      </c>
      <c r="B690" s="1288" t="s">
        <v>1378</v>
      </c>
      <c r="C690" s="1288" t="s">
        <v>1391</v>
      </c>
      <c r="D690" s="1288" t="s">
        <v>1467</v>
      </c>
      <c r="E690" s="1288" t="s">
        <v>1378</v>
      </c>
      <c r="F690" s="1288" t="s">
        <v>1444</v>
      </c>
      <c r="G690" s="1288"/>
      <c r="H690" s="1288"/>
      <c r="I690" s="1288"/>
      <c r="J690" s="1288"/>
      <c r="K690" s="754" t="s">
        <v>2633</v>
      </c>
      <c r="L690" s="1178"/>
      <c r="M690" s="1178"/>
      <c r="N690" s="1178"/>
      <c r="O690" s="1165">
        <f t="shared" si="111"/>
        <v>0</v>
      </c>
      <c r="P690" s="1178"/>
      <c r="Q690" s="1178"/>
      <c r="R690" s="1178"/>
      <c r="S690" s="1178"/>
      <c r="T690" s="1178"/>
      <c r="U690" s="1178"/>
      <c r="V690" s="1178"/>
      <c r="W690" s="1444" t="e">
        <f t="shared" si="112"/>
        <v>#DIV/0!</v>
      </c>
      <c r="X690" s="1432"/>
      <c r="Y690" s="765"/>
    </row>
    <row r="691" spans="1:25" s="183" customFormat="1" ht="22.5" customHeight="1" thickTop="1" thickBot="1" x14ac:dyDescent="0.3">
      <c r="A691" s="1287">
        <v>6</v>
      </c>
      <c r="B691" s="1288" t="s">
        <v>1378</v>
      </c>
      <c r="C691" s="1288" t="s">
        <v>1391</v>
      </c>
      <c r="D691" s="1288" t="s">
        <v>1467</v>
      </c>
      <c r="E691" s="1288" t="s">
        <v>1378</v>
      </c>
      <c r="F691" s="1288" t="s">
        <v>1467</v>
      </c>
      <c r="G691" s="1288"/>
      <c r="H691" s="1288"/>
      <c r="I691" s="1288"/>
      <c r="J691" s="1288"/>
      <c r="K691" s="754" t="s">
        <v>2634</v>
      </c>
      <c r="L691" s="1178"/>
      <c r="M691" s="1178"/>
      <c r="N691" s="1178"/>
      <c r="O691" s="1165">
        <f t="shared" si="111"/>
        <v>0</v>
      </c>
      <c r="P691" s="1178"/>
      <c r="Q691" s="1178"/>
      <c r="R691" s="1178"/>
      <c r="S691" s="1178"/>
      <c r="T691" s="1178"/>
      <c r="U691" s="1178"/>
      <c r="V691" s="1178"/>
      <c r="W691" s="1444" t="e">
        <f t="shared" si="112"/>
        <v>#DIV/0!</v>
      </c>
      <c r="X691" s="1432"/>
      <c r="Y691" s="765"/>
    </row>
    <row r="692" spans="1:25" s="183" customFormat="1" ht="22.5" customHeight="1" thickTop="1" thickBot="1" x14ac:dyDescent="0.3">
      <c r="A692" s="1287">
        <v>7</v>
      </c>
      <c r="B692" s="1288" t="s">
        <v>1378</v>
      </c>
      <c r="C692" s="1288" t="s">
        <v>1391</v>
      </c>
      <c r="D692" s="1288" t="s">
        <v>1467</v>
      </c>
      <c r="E692" s="1288" t="s">
        <v>1378</v>
      </c>
      <c r="F692" s="1288" t="s">
        <v>1471</v>
      </c>
      <c r="G692" s="1288"/>
      <c r="H692" s="1288"/>
      <c r="I692" s="1288"/>
      <c r="J692" s="1288"/>
      <c r="K692" s="754" t="s">
        <v>2635</v>
      </c>
      <c r="L692" s="1178"/>
      <c r="M692" s="1178"/>
      <c r="N692" s="1178"/>
      <c r="O692" s="1165">
        <f t="shared" si="111"/>
        <v>0</v>
      </c>
      <c r="P692" s="1178"/>
      <c r="Q692" s="1178"/>
      <c r="R692" s="1178"/>
      <c r="S692" s="1178"/>
      <c r="T692" s="1178"/>
      <c r="U692" s="1178"/>
      <c r="V692" s="1178"/>
      <c r="W692" s="1444" t="e">
        <f t="shared" si="112"/>
        <v>#DIV/0!</v>
      </c>
      <c r="X692" s="1432"/>
      <c r="Y692" s="765"/>
    </row>
    <row r="693" spans="1:25" s="183" customFormat="1" ht="22.5" customHeight="1" thickTop="1" thickBot="1" x14ac:dyDescent="0.3">
      <c r="A693" s="1287">
        <v>8</v>
      </c>
      <c r="B693" s="1288" t="s">
        <v>1378</v>
      </c>
      <c r="C693" s="1288" t="s">
        <v>1391</v>
      </c>
      <c r="D693" s="1288" t="s">
        <v>1467</v>
      </c>
      <c r="E693" s="1288" t="s">
        <v>1378</v>
      </c>
      <c r="F693" s="1288" t="s">
        <v>1475</v>
      </c>
      <c r="G693" s="1288"/>
      <c r="H693" s="1288"/>
      <c r="I693" s="1288"/>
      <c r="J693" s="1288"/>
      <c r="K693" s="754" t="s">
        <v>2636</v>
      </c>
      <c r="L693" s="1178"/>
      <c r="M693" s="1178"/>
      <c r="N693" s="1178"/>
      <c r="O693" s="1165">
        <f t="shared" si="111"/>
        <v>0</v>
      </c>
      <c r="P693" s="1178"/>
      <c r="Q693" s="1178"/>
      <c r="R693" s="1178"/>
      <c r="S693" s="1178"/>
      <c r="T693" s="1178"/>
      <c r="U693" s="1178"/>
      <c r="V693" s="1178"/>
      <c r="W693" s="1444" t="e">
        <f t="shared" si="112"/>
        <v>#DIV/0!</v>
      </c>
      <c r="X693" s="1432"/>
      <c r="Y693" s="765"/>
    </row>
    <row r="694" spans="1:25" s="183" customFormat="1" ht="22.5" customHeight="1" thickTop="1" thickBot="1" x14ac:dyDescent="0.3">
      <c r="A694" s="1287">
        <v>9</v>
      </c>
      <c r="B694" s="1288" t="s">
        <v>1378</v>
      </c>
      <c r="C694" s="1288" t="s">
        <v>1391</v>
      </c>
      <c r="D694" s="1288" t="s">
        <v>1467</v>
      </c>
      <c r="E694" s="1288" t="s">
        <v>1378</v>
      </c>
      <c r="F694" s="1288" t="s">
        <v>1573</v>
      </c>
      <c r="G694" s="1288"/>
      <c r="H694" s="1288"/>
      <c r="I694" s="1288"/>
      <c r="J694" s="1288"/>
      <c r="K694" s="754" t="s">
        <v>2637</v>
      </c>
      <c r="L694" s="1178"/>
      <c r="M694" s="1178"/>
      <c r="N694" s="1178"/>
      <c r="O694" s="1165">
        <f t="shared" si="111"/>
        <v>0</v>
      </c>
      <c r="P694" s="1178"/>
      <c r="Q694" s="1178"/>
      <c r="R694" s="1178"/>
      <c r="S694" s="1178"/>
      <c r="T694" s="1178"/>
      <c r="U694" s="1178"/>
      <c r="V694" s="1178"/>
      <c r="W694" s="1444" t="e">
        <f t="shared" si="112"/>
        <v>#DIV/0!</v>
      </c>
      <c r="X694" s="1432"/>
      <c r="Y694" s="765"/>
    </row>
    <row r="695" spans="1:25" s="183" customFormat="1" ht="22.5" customHeight="1" thickTop="1" thickBot="1" x14ac:dyDescent="0.3">
      <c r="A695" s="1287">
        <v>10</v>
      </c>
      <c r="B695" s="1288" t="s">
        <v>1378</v>
      </c>
      <c r="C695" s="1288" t="s">
        <v>1391</v>
      </c>
      <c r="D695" s="1288" t="s">
        <v>1467</v>
      </c>
      <c r="E695" s="1288" t="s">
        <v>1378</v>
      </c>
      <c r="F695" s="1288" t="s">
        <v>1574</v>
      </c>
      <c r="G695" s="1288"/>
      <c r="H695" s="1288"/>
      <c r="I695" s="1288"/>
      <c r="J695" s="1288"/>
      <c r="K695" s="754" t="s">
        <v>2638</v>
      </c>
      <c r="L695" s="1178"/>
      <c r="M695" s="1178"/>
      <c r="N695" s="1178"/>
      <c r="O695" s="1165">
        <f t="shared" si="111"/>
        <v>0</v>
      </c>
      <c r="P695" s="1178"/>
      <c r="Q695" s="1178"/>
      <c r="R695" s="1178"/>
      <c r="S695" s="1178"/>
      <c r="T695" s="1178"/>
      <c r="U695" s="1178"/>
      <c r="V695" s="1178"/>
      <c r="W695" s="1444" t="e">
        <f t="shared" si="112"/>
        <v>#DIV/0!</v>
      </c>
      <c r="X695" s="1432"/>
      <c r="Y695" s="765"/>
    </row>
    <row r="696" spans="1:25" s="183" customFormat="1" ht="22.5" customHeight="1" thickTop="1" thickBot="1" x14ac:dyDescent="0.3">
      <c r="A696" s="1287">
        <v>11</v>
      </c>
      <c r="B696" s="1288" t="s">
        <v>1378</v>
      </c>
      <c r="C696" s="1288" t="s">
        <v>1391</v>
      </c>
      <c r="D696" s="1288" t="s">
        <v>1467</v>
      </c>
      <c r="E696" s="1288" t="s">
        <v>1378</v>
      </c>
      <c r="F696" s="1288" t="s">
        <v>1575</v>
      </c>
      <c r="G696" s="1288"/>
      <c r="H696" s="1288"/>
      <c r="I696" s="1288"/>
      <c r="J696" s="1288"/>
      <c r="K696" s="754" t="s">
        <v>2639</v>
      </c>
      <c r="L696" s="1178"/>
      <c r="M696" s="1178"/>
      <c r="N696" s="1178"/>
      <c r="O696" s="1165">
        <f t="shared" si="111"/>
        <v>0</v>
      </c>
      <c r="P696" s="1178"/>
      <c r="Q696" s="1178"/>
      <c r="R696" s="1178"/>
      <c r="S696" s="1178"/>
      <c r="T696" s="1178"/>
      <c r="U696" s="1178"/>
      <c r="V696" s="1178"/>
      <c r="W696" s="1444" t="e">
        <f t="shared" si="112"/>
        <v>#DIV/0!</v>
      </c>
      <c r="X696" s="1432"/>
      <c r="Y696" s="765"/>
    </row>
    <row r="697" spans="1:25" s="1242" customFormat="1" ht="36" customHeight="1" thickTop="1" thickBot="1" x14ac:dyDescent="0.3">
      <c r="A697" s="1274" t="s">
        <v>1374</v>
      </c>
      <c r="B697" s="1274" t="s">
        <v>1391</v>
      </c>
      <c r="C697" s="1274"/>
      <c r="D697" s="1274"/>
      <c r="E697" s="1274"/>
      <c r="F697" s="1293"/>
      <c r="G697" s="1293"/>
      <c r="H697" s="1293"/>
      <c r="I697" s="1294"/>
      <c r="J697" s="1294"/>
      <c r="K697" s="597" t="s">
        <v>1957</v>
      </c>
      <c r="L697" s="1179">
        <f>+L698+L702</f>
        <v>3657862000</v>
      </c>
      <c r="M697" s="1179">
        <f t="shared" ref="M697:V697" si="118">+M698+M702</f>
        <v>0</v>
      </c>
      <c r="N697" s="1179">
        <f t="shared" si="118"/>
        <v>0</v>
      </c>
      <c r="O697" s="1165">
        <f t="shared" si="111"/>
        <v>3657862000</v>
      </c>
      <c r="P697" s="1179">
        <f t="shared" si="118"/>
        <v>3657862000</v>
      </c>
      <c r="Q697" s="1179">
        <f t="shared" si="118"/>
        <v>0</v>
      </c>
      <c r="R697" s="1179">
        <f t="shared" si="118"/>
        <v>0</v>
      </c>
      <c r="S697" s="1179"/>
      <c r="T697" s="1179">
        <f t="shared" si="118"/>
        <v>0</v>
      </c>
      <c r="U697" s="1179">
        <f t="shared" si="118"/>
        <v>3657862000</v>
      </c>
      <c r="V697" s="1179">
        <f t="shared" si="118"/>
        <v>3657854000</v>
      </c>
      <c r="W697" s="1445">
        <f t="shared" si="112"/>
        <v>0.99999781293006684</v>
      </c>
      <c r="X697" s="1432"/>
      <c r="Y697" s="765"/>
    </row>
    <row r="698" spans="1:25" s="1242" customFormat="1" ht="18.75" customHeight="1" thickTop="1" thickBot="1" x14ac:dyDescent="0.3">
      <c r="A698" s="1287">
        <v>1</v>
      </c>
      <c r="B698" s="1286" t="s">
        <v>1391</v>
      </c>
      <c r="C698" s="1288" t="s">
        <v>1378</v>
      </c>
      <c r="D698" s="1288"/>
      <c r="E698" s="1287"/>
      <c r="F698" s="1288"/>
      <c r="G698" s="1288"/>
      <c r="H698" s="1288"/>
      <c r="I698" s="1288"/>
      <c r="J698" s="1288"/>
      <c r="K698" s="753" t="s">
        <v>1958</v>
      </c>
      <c r="L698" s="1178">
        <f>SUM(L699:L701)</f>
        <v>3657862000</v>
      </c>
      <c r="M698" s="1178">
        <f t="shared" ref="M698:V698" si="119">SUM(M699:M701)</f>
        <v>0</v>
      </c>
      <c r="N698" s="1178">
        <f t="shared" si="119"/>
        <v>0</v>
      </c>
      <c r="O698" s="1165">
        <f t="shared" si="111"/>
        <v>3657862000</v>
      </c>
      <c r="P698" s="1178">
        <f>L698</f>
        <v>3657862000</v>
      </c>
      <c r="Q698" s="1178">
        <f t="shared" si="119"/>
        <v>0</v>
      </c>
      <c r="R698" s="1178">
        <f t="shared" si="119"/>
        <v>0</v>
      </c>
      <c r="S698" s="1178"/>
      <c r="T698" s="1178">
        <f t="shared" si="119"/>
        <v>0</v>
      </c>
      <c r="U698" s="1178">
        <f t="shared" si="119"/>
        <v>3657862000</v>
      </c>
      <c r="V698" s="1178">
        <f t="shared" si="119"/>
        <v>3657854000</v>
      </c>
      <c r="W698" s="1444">
        <f t="shared" si="112"/>
        <v>0.99999781293006684</v>
      </c>
      <c r="X698" s="1432"/>
      <c r="Y698" s="765"/>
    </row>
    <row r="699" spans="1:25" s="1242" customFormat="1" ht="18.75" customHeight="1" thickTop="1" thickBot="1" x14ac:dyDescent="0.3">
      <c r="A699" s="1287">
        <v>1</v>
      </c>
      <c r="B699" s="1286" t="s">
        <v>1391</v>
      </c>
      <c r="C699" s="1288" t="s">
        <v>1378</v>
      </c>
      <c r="D699" s="1288" t="s">
        <v>1378</v>
      </c>
      <c r="E699" s="1288"/>
      <c r="F699" s="1288"/>
      <c r="G699" s="1288"/>
      <c r="H699" s="1288"/>
      <c r="I699" s="1288"/>
      <c r="J699" s="1288"/>
      <c r="K699" s="754" t="s">
        <v>1538</v>
      </c>
      <c r="L699" s="1178">
        <v>3318432000</v>
      </c>
      <c r="M699" s="1178"/>
      <c r="N699" s="1178"/>
      <c r="O699" s="1165">
        <f t="shared" si="111"/>
        <v>3318432000</v>
      </c>
      <c r="P699" s="1178">
        <v>3318432000</v>
      </c>
      <c r="Q699" s="1178"/>
      <c r="R699" s="1178"/>
      <c r="S699" s="1178"/>
      <c r="T699" s="1178"/>
      <c r="U699" s="1173">
        <f>O699</f>
        <v>3318432000</v>
      </c>
      <c r="V699" s="1173">
        <f>P699</f>
        <v>3318432000</v>
      </c>
      <c r="W699" s="1439">
        <f t="shared" si="112"/>
        <v>1</v>
      </c>
      <c r="X699" s="1432"/>
      <c r="Y699" s="765"/>
    </row>
    <row r="700" spans="1:25" s="1242" customFormat="1" ht="18.75" customHeight="1" thickTop="1" thickBot="1" x14ac:dyDescent="0.3">
      <c r="A700" s="1287">
        <v>1</v>
      </c>
      <c r="B700" s="1286" t="s">
        <v>1391</v>
      </c>
      <c r="C700" s="1288" t="s">
        <v>1378</v>
      </c>
      <c r="D700" s="1288" t="s">
        <v>1391</v>
      </c>
      <c r="E700" s="1288"/>
      <c r="F700" s="1288"/>
      <c r="G700" s="1288"/>
      <c r="H700" s="1288"/>
      <c r="I700" s="1288"/>
      <c r="J700" s="1288"/>
      <c r="K700" s="754" t="s">
        <v>1539</v>
      </c>
      <c r="L700" s="1178">
        <v>339430000</v>
      </c>
      <c r="M700" s="1178"/>
      <c r="N700" s="1178"/>
      <c r="O700" s="1165">
        <f t="shared" si="111"/>
        <v>339430000</v>
      </c>
      <c r="P700" s="1178">
        <v>308030000</v>
      </c>
      <c r="Q700" s="1178"/>
      <c r="R700" s="1178"/>
      <c r="S700" s="1178"/>
      <c r="T700" s="1178"/>
      <c r="U700" s="1173">
        <f t="shared" ref="U700:V701" si="120">O700</f>
        <v>339430000</v>
      </c>
      <c r="V700" s="1173">
        <f t="shared" si="120"/>
        <v>308030000</v>
      </c>
      <c r="W700" s="1439">
        <f t="shared" si="112"/>
        <v>0.90749197183513541</v>
      </c>
      <c r="X700" s="1432"/>
      <c r="Y700" s="765"/>
    </row>
    <row r="701" spans="1:25" s="1242" customFormat="1" ht="18.75" customHeight="1" thickTop="1" thickBot="1" x14ac:dyDescent="0.3">
      <c r="A701" s="1287">
        <v>1</v>
      </c>
      <c r="B701" s="1286" t="s">
        <v>1391</v>
      </c>
      <c r="C701" s="1288" t="s">
        <v>1378</v>
      </c>
      <c r="D701" s="1288" t="s">
        <v>1415</v>
      </c>
      <c r="E701" s="1288"/>
      <c r="F701" s="1288"/>
      <c r="G701" s="1288"/>
      <c r="H701" s="1288"/>
      <c r="I701" s="1288"/>
      <c r="J701" s="1288"/>
      <c r="K701" s="754" t="s">
        <v>1540</v>
      </c>
      <c r="L701" s="1178"/>
      <c r="M701" s="1178"/>
      <c r="N701" s="1178"/>
      <c r="O701" s="1165">
        <f t="shared" si="111"/>
        <v>0</v>
      </c>
      <c r="P701" s="1178">
        <v>31392000</v>
      </c>
      <c r="Q701" s="1178"/>
      <c r="R701" s="1178"/>
      <c r="S701" s="1178"/>
      <c r="T701" s="1178"/>
      <c r="U701" s="1173">
        <f t="shared" si="120"/>
        <v>0</v>
      </c>
      <c r="V701" s="1173">
        <f t="shared" si="120"/>
        <v>31392000</v>
      </c>
      <c r="W701" s="1439" t="e">
        <f t="shared" si="112"/>
        <v>#DIV/0!</v>
      </c>
      <c r="X701" s="1432"/>
      <c r="Y701" s="765"/>
    </row>
    <row r="702" spans="1:25" s="1242" customFormat="1" ht="18.75" customHeight="1" thickTop="1" thickBot="1" x14ac:dyDescent="0.3">
      <c r="A702" s="1287">
        <v>1</v>
      </c>
      <c r="B702" s="1286" t="s">
        <v>1391</v>
      </c>
      <c r="C702" s="1288" t="s">
        <v>1391</v>
      </c>
      <c r="D702" s="1288"/>
      <c r="E702" s="1287"/>
      <c r="F702" s="1288"/>
      <c r="G702" s="1288"/>
      <c r="H702" s="1288"/>
      <c r="I702" s="1288"/>
      <c r="J702" s="1288"/>
      <c r="K702" s="753" t="s">
        <v>1959</v>
      </c>
      <c r="L702" s="1178"/>
      <c r="M702" s="1178"/>
      <c r="N702" s="1178"/>
      <c r="O702" s="1165">
        <f t="shared" si="111"/>
        <v>0</v>
      </c>
      <c r="P702" s="1178"/>
      <c r="Q702" s="1178"/>
      <c r="R702" s="1178"/>
      <c r="S702" s="1178"/>
      <c r="T702" s="1178"/>
      <c r="U702" s="1178"/>
      <c r="V702" s="1178"/>
      <c r="W702" s="1444" t="e">
        <f t="shared" si="112"/>
        <v>#DIV/0!</v>
      </c>
      <c r="X702" s="1432"/>
      <c r="Y702" s="765"/>
    </row>
    <row r="703" spans="1:25" s="1242" customFormat="1" ht="36" customHeight="1" thickTop="1" thickBot="1" x14ac:dyDescent="0.3">
      <c r="A703" s="1274">
        <v>1</v>
      </c>
      <c r="B703" s="1274" t="s">
        <v>1415</v>
      </c>
      <c r="C703" s="1274"/>
      <c r="D703" s="1274"/>
      <c r="E703" s="1274"/>
      <c r="F703" s="1293"/>
      <c r="G703" s="1293"/>
      <c r="H703" s="1293"/>
      <c r="I703" s="1294"/>
      <c r="J703" s="1294"/>
      <c r="K703" s="764" t="s">
        <v>2616</v>
      </c>
      <c r="L703" s="1179">
        <f>+L704+L708</f>
        <v>730317457</v>
      </c>
      <c r="M703" s="1179">
        <f t="shared" ref="M703:V703" si="121">+M704+M708</f>
        <v>4738350888</v>
      </c>
      <c r="N703" s="1179">
        <f t="shared" si="121"/>
        <v>0</v>
      </c>
      <c r="O703" s="1165">
        <f t="shared" si="111"/>
        <v>5468668345</v>
      </c>
      <c r="P703" s="1179">
        <f t="shared" si="121"/>
        <v>793779441</v>
      </c>
      <c r="Q703" s="1179">
        <f t="shared" si="121"/>
        <v>4674888904</v>
      </c>
      <c r="R703" s="1179">
        <f t="shared" si="121"/>
        <v>0</v>
      </c>
      <c r="S703" s="1179"/>
      <c r="T703" s="1179">
        <f t="shared" si="121"/>
        <v>0</v>
      </c>
      <c r="U703" s="1179">
        <f t="shared" si="121"/>
        <v>5463907414</v>
      </c>
      <c r="V703" s="1179">
        <f t="shared" si="121"/>
        <v>5463907414</v>
      </c>
      <c r="W703" s="1445">
        <f t="shared" si="112"/>
        <v>1</v>
      </c>
      <c r="X703" s="1432"/>
      <c r="Y703" s="765"/>
    </row>
    <row r="704" spans="1:25" s="1242" customFormat="1" ht="18.75" customHeight="1" thickTop="1" thickBot="1" x14ac:dyDescent="0.3">
      <c r="A704" s="1287">
        <v>1</v>
      </c>
      <c r="B704" s="1286" t="s">
        <v>1415</v>
      </c>
      <c r="C704" s="1288" t="s">
        <v>1378</v>
      </c>
      <c r="D704" s="1288"/>
      <c r="E704" s="1287"/>
      <c r="F704" s="1288"/>
      <c r="G704" s="1288"/>
      <c r="H704" s="1288"/>
      <c r="I704" s="1288"/>
      <c r="J704" s="1288"/>
      <c r="K704" s="753" t="s">
        <v>1541</v>
      </c>
      <c r="L704" s="1178">
        <f>SUM(L705:L707)</f>
        <v>0</v>
      </c>
      <c r="M704" s="1178">
        <f t="shared" ref="M704:V704" si="122">SUM(M705:M707)</f>
        <v>793779441</v>
      </c>
      <c r="N704" s="1178">
        <f t="shared" si="122"/>
        <v>0</v>
      </c>
      <c r="O704" s="1165">
        <f t="shared" si="111"/>
        <v>793779441</v>
      </c>
      <c r="P704" s="1178">
        <f t="shared" si="122"/>
        <v>793779441</v>
      </c>
      <c r="Q704" s="1178">
        <f t="shared" si="122"/>
        <v>0</v>
      </c>
      <c r="R704" s="1178">
        <f t="shared" si="122"/>
        <v>0</v>
      </c>
      <c r="S704" s="1178"/>
      <c r="T704" s="1178">
        <f t="shared" si="122"/>
        <v>0</v>
      </c>
      <c r="U704" s="1178">
        <f t="shared" si="122"/>
        <v>793779441</v>
      </c>
      <c r="V704" s="1178">
        <f t="shared" si="122"/>
        <v>793779441</v>
      </c>
      <c r="W704" s="1444">
        <f t="shared" si="112"/>
        <v>1</v>
      </c>
      <c r="X704" s="1432"/>
      <c r="Y704" s="765"/>
    </row>
    <row r="705" spans="1:25" s="1242" customFormat="1" ht="18.75" customHeight="1" thickTop="1" thickBot="1" x14ac:dyDescent="0.3">
      <c r="A705" s="1287">
        <v>1</v>
      </c>
      <c r="B705" s="1286" t="s">
        <v>1415</v>
      </c>
      <c r="C705" s="1288" t="s">
        <v>1378</v>
      </c>
      <c r="D705" s="1288" t="s">
        <v>1378</v>
      </c>
      <c r="E705" s="1288"/>
      <c r="F705" s="1288"/>
      <c r="G705" s="1288"/>
      <c r="H705" s="1288"/>
      <c r="I705" s="1288"/>
      <c r="J705" s="1288"/>
      <c r="K705" s="754" t="s">
        <v>1542</v>
      </c>
      <c r="L705" s="1178"/>
      <c r="M705" s="1178">
        <v>421445535</v>
      </c>
      <c r="N705" s="1178"/>
      <c r="O705" s="1165">
        <f t="shared" si="111"/>
        <v>421445535</v>
      </c>
      <c r="P705" s="1178">
        <f>M705</f>
        <v>421445535</v>
      </c>
      <c r="Q705" s="1178"/>
      <c r="R705" s="1178"/>
      <c r="S705" s="1178"/>
      <c r="T705" s="1178"/>
      <c r="U705" s="1178">
        <f>O705</f>
        <v>421445535</v>
      </c>
      <c r="V705" s="1178">
        <f>P705</f>
        <v>421445535</v>
      </c>
      <c r="W705" s="1444">
        <f t="shared" si="112"/>
        <v>1</v>
      </c>
      <c r="X705" s="1432"/>
      <c r="Y705" s="765"/>
    </row>
    <row r="706" spans="1:25" s="1242" customFormat="1" ht="18.75" customHeight="1" thickTop="1" thickBot="1" x14ac:dyDescent="0.3">
      <c r="A706" s="1287">
        <v>1</v>
      </c>
      <c r="B706" s="1286" t="s">
        <v>1415</v>
      </c>
      <c r="C706" s="1288" t="s">
        <v>1378</v>
      </c>
      <c r="D706" s="1288" t="s">
        <v>1391</v>
      </c>
      <c r="E706" s="1288"/>
      <c r="F706" s="1288"/>
      <c r="G706" s="1288"/>
      <c r="H706" s="1288"/>
      <c r="I706" s="1288"/>
      <c r="J706" s="1288"/>
      <c r="K706" s="754" t="s">
        <v>1543</v>
      </c>
      <c r="L706" s="1178"/>
      <c r="M706" s="1178">
        <v>83706578</v>
      </c>
      <c r="N706" s="1178"/>
      <c r="O706" s="1165">
        <f t="shared" si="111"/>
        <v>83706578</v>
      </c>
      <c r="P706" s="1178">
        <f t="shared" ref="P706:P707" si="123">M706</f>
        <v>83706578</v>
      </c>
      <c r="Q706" s="1178"/>
      <c r="R706" s="1178"/>
      <c r="S706" s="1178"/>
      <c r="T706" s="1178"/>
      <c r="U706" s="1178">
        <f t="shared" ref="U706:V707" si="124">O706</f>
        <v>83706578</v>
      </c>
      <c r="V706" s="1178">
        <f t="shared" si="124"/>
        <v>83706578</v>
      </c>
      <c r="W706" s="1444">
        <f t="shared" si="112"/>
        <v>1</v>
      </c>
      <c r="X706" s="1432"/>
      <c r="Y706" s="765"/>
    </row>
    <row r="707" spans="1:25" s="1242" customFormat="1" ht="18.75" customHeight="1" thickTop="1" thickBot="1" x14ac:dyDescent="0.3">
      <c r="A707" s="1287">
        <v>1</v>
      </c>
      <c r="B707" s="1286" t="s">
        <v>1415</v>
      </c>
      <c r="C707" s="1288" t="s">
        <v>1378</v>
      </c>
      <c r="D707" s="1288" t="s">
        <v>1415</v>
      </c>
      <c r="E707" s="1288"/>
      <c r="F707" s="1288"/>
      <c r="G707" s="1288"/>
      <c r="H707" s="1288"/>
      <c r="I707" s="1288"/>
      <c r="J707" s="1288"/>
      <c r="K707" s="754" t="s">
        <v>1544</v>
      </c>
      <c r="L707" s="1178"/>
      <c r="M707" s="1178">
        <f>218879610+69747718</f>
        <v>288627328</v>
      </c>
      <c r="N707" s="1178"/>
      <c r="O707" s="1165">
        <f t="shared" si="111"/>
        <v>288627328</v>
      </c>
      <c r="P707" s="1178">
        <f t="shared" si="123"/>
        <v>288627328</v>
      </c>
      <c r="Q707" s="1178"/>
      <c r="R707" s="1178"/>
      <c r="S707" s="1178"/>
      <c r="T707" s="1178"/>
      <c r="U707" s="1178">
        <f t="shared" si="124"/>
        <v>288627328</v>
      </c>
      <c r="V707" s="1178">
        <f t="shared" si="124"/>
        <v>288627328</v>
      </c>
      <c r="W707" s="1444">
        <f t="shared" si="112"/>
        <v>1</v>
      </c>
      <c r="X707" s="1432"/>
      <c r="Y707" s="765"/>
    </row>
    <row r="708" spans="1:25" s="1242" customFormat="1" ht="18.75" customHeight="1" thickTop="1" thickBot="1" x14ac:dyDescent="0.3">
      <c r="A708" s="1287">
        <v>1</v>
      </c>
      <c r="B708" s="1286" t="s">
        <v>1415</v>
      </c>
      <c r="C708" s="1288" t="s">
        <v>1391</v>
      </c>
      <c r="D708" s="1288"/>
      <c r="E708" s="1287"/>
      <c r="F708" s="1288"/>
      <c r="G708" s="1288"/>
      <c r="H708" s="1288"/>
      <c r="I708" s="1288"/>
      <c r="J708" s="1288"/>
      <c r="K708" s="753" t="s">
        <v>1545</v>
      </c>
      <c r="L708" s="1170">
        <v>730317457</v>
      </c>
      <c r="M708" s="1178">
        <v>3944571447</v>
      </c>
      <c r="N708" s="1178"/>
      <c r="O708" s="1165">
        <f t="shared" si="111"/>
        <v>4674888904</v>
      </c>
      <c r="P708" s="1178"/>
      <c r="Q708" s="1178">
        <f>M708+L708</f>
        <v>4674888904</v>
      </c>
      <c r="R708" s="1178"/>
      <c r="S708" s="1178"/>
      <c r="T708" s="1178"/>
      <c r="U708" s="1178">
        <v>4670127973</v>
      </c>
      <c r="V708" s="1178">
        <v>4670127973</v>
      </c>
      <c r="W708" s="1444">
        <f t="shared" si="112"/>
        <v>1</v>
      </c>
      <c r="X708" s="1432"/>
      <c r="Y708" s="765"/>
    </row>
    <row r="709" spans="1:25" s="1242" customFormat="1" ht="36" customHeight="1" thickTop="1" thickBot="1" x14ac:dyDescent="0.3">
      <c r="A709" s="1274">
        <v>1</v>
      </c>
      <c r="B709" s="1274" t="s">
        <v>1419</v>
      </c>
      <c r="C709" s="1274"/>
      <c r="D709" s="1274"/>
      <c r="E709" s="1274"/>
      <c r="F709" s="1293"/>
      <c r="G709" s="1293"/>
      <c r="H709" s="1293"/>
      <c r="I709" s="1294"/>
      <c r="J709" s="1294"/>
      <c r="K709" s="597" t="s">
        <v>1546</v>
      </c>
      <c r="L709" s="1179"/>
      <c r="M709" s="1179">
        <v>561073148</v>
      </c>
      <c r="N709" s="1179"/>
      <c r="O709" s="1165">
        <f t="shared" si="111"/>
        <v>561073148</v>
      </c>
      <c r="P709" s="1179"/>
      <c r="Q709" s="1179">
        <v>561073148</v>
      </c>
      <c r="R709" s="1179"/>
      <c r="S709" s="1179"/>
      <c r="T709" s="1179"/>
      <c r="U709" s="1179">
        <v>559758559</v>
      </c>
      <c r="V709" s="1179">
        <v>559758559</v>
      </c>
      <c r="W709" s="1445">
        <f t="shared" si="112"/>
        <v>1</v>
      </c>
      <c r="X709" s="1432"/>
      <c r="Y709" s="765"/>
    </row>
    <row r="710" spans="1:25" s="1242" customFormat="1" ht="36" customHeight="1" thickTop="1" thickBot="1" x14ac:dyDescent="0.3">
      <c r="A710" s="1274" t="s">
        <v>1374</v>
      </c>
      <c r="B710" s="1274" t="s">
        <v>1444</v>
      </c>
      <c r="C710" s="1274"/>
      <c r="D710" s="1274"/>
      <c r="E710" s="1274"/>
      <c r="F710" s="1293"/>
      <c r="G710" s="1293"/>
      <c r="H710" s="1293"/>
      <c r="I710" s="1294"/>
      <c r="J710" s="1294"/>
      <c r="K710" s="597" t="s">
        <v>1547</v>
      </c>
      <c r="L710" s="1179">
        <f>+L711+L715+L716</f>
        <v>35678578293.169998</v>
      </c>
      <c r="M710" s="1179">
        <f t="shared" ref="M710:V710" si="125">+M711+M715+M716</f>
        <v>0</v>
      </c>
      <c r="N710" s="1179">
        <f t="shared" si="125"/>
        <v>0</v>
      </c>
      <c r="O710" s="1165">
        <f t="shared" si="111"/>
        <v>35678578293.169998</v>
      </c>
      <c r="P710" s="1179">
        <f t="shared" si="125"/>
        <v>72600279</v>
      </c>
      <c r="Q710" s="1179">
        <f t="shared" si="125"/>
        <v>35605978014.169998</v>
      </c>
      <c r="R710" s="1179">
        <f t="shared" si="125"/>
        <v>0</v>
      </c>
      <c r="S710" s="1179"/>
      <c r="T710" s="1179">
        <f t="shared" si="125"/>
        <v>0</v>
      </c>
      <c r="U710" s="1179">
        <f t="shared" si="125"/>
        <v>35678578293</v>
      </c>
      <c r="V710" s="1179">
        <f t="shared" si="125"/>
        <v>35678578293</v>
      </c>
      <c r="W710" s="1445">
        <f t="shared" si="112"/>
        <v>1</v>
      </c>
      <c r="X710" s="1432"/>
      <c r="Y710" s="765"/>
    </row>
    <row r="711" spans="1:25" s="1242" customFormat="1" ht="18.75" customHeight="1" thickTop="1" thickBot="1" x14ac:dyDescent="0.3">
      <c r="A711" s="1287" t="s">
        <v>1374</v>
      </c>
      <c r="B711" s="1286" t="s">
        <v>1444</v>
      </c>
      <c r="C711" s="1288" t="s">
        <v>1378</v>
      </c>
      <c r="D711" s="1288"/>
      <c r="E711" s="1287"/>
      <c r="F711" s="1288"/>
      <c r="G711" s="1288"/>
      <c r="H711" s="1288"/>
      <c r="I711" s="1288"/>
      <c r="J711" s="1288"/>
      <c r="K711" s="755" t="s">
        <v>1548</v>
      </c>
      <c r="L711" s="1178">
        <f>SUM(L712:L714)</f>
        <v>72600279</v>
      </c>
      <c r="M711" s="1178">
        <f t="shared" ref="M711:V711" si="126">SUM(M712:M714)</f>
        <v>0</v>
      </c>
      <c r="N711" s="1178">
        <f t="shared" si="126"/>
        <v>0</v>
      </c>
      <c r="O711" s="1165">
        <f t="shared" si="111"/>
        <v>72600279</v>
      </c>
      <c r="P711" s="1178">
        <f t="shared" si="126"/>
        <v>72600279</v>
      </c>
      <c r="Q711" s="1178">
        <f t="shared" si="126"/>
        <v>0</v>
      </c>
      <c r="R711" s="1178">
        <f t="shared" si="126"/>
        <v>0</v>
      </c>
      <c r="S711" s="1178"/>
      <c r="T711" s="1178">
        <f t="shared" si="126"/>
        <v>0</v>
      </c>
      <c r="U711" s="1178">
        <f t="shared" si="126"/>
        <v>72600279</v>
      </c>
      <c r="V711" s="1178">
        <f t="shared" si="126"/>
        <v>72600279</v>
      </c>
      <c r="W711" s="1444">
        <f t="shared" si="112"/>
        <v>1</v>
      </c>
      <c r="X711" s="1432"/>
      <c r="Y711" s="765"/>
    </row>
    <row r="712" spans="1:25" s="1242" customFormat="1" ht="18.75" customHeight="1" thickTop="1" thickBot="1" x14ac:dyDescent="0.3">
      <c r="A712" s="1287" t="s">
        <v>1374</v>
      </c>
      <c r="B712" s="1286" t="s">
        <v>1444</v>
      </c>
      <c r="C712" s="1288" t="s">
        <v>1378</v>
      </c>
      <c r="D712" s="1288" t="s">
        <v>1378</v>
      </c>
      <c r="E712" s="1288"/>
      <c r="F712" s="1288"/>
      <c r="G712" s="1288"/>
      <c r="H712" s="1288"/>
      <c r="I712" s="1288"/>
      <c r="J712" s="1288"/>
      <c r="K712" s="754" t="s">
        <v>1960</v>
      </c>
      <c r="L712" s="1180">
        <v>72400000</v>
      </c>
      <c r="M712" s="1178"/>
      <c r="N712" s="1178"/>
      <c r="O712" s="1165">
        <f t="shared" ref="O712:O716" si="127">L712+M712-N712</f>
        <v>72400000</v>
      </c>
      <c r="P712" s="1180">
        <v>72400000</v>
      </c>
      <c r="Q712" s="1178"/>
      <c r="R712" s="1178"/>
      <c r="S712" s="1178"/>
      <c r="T712" s="1178"/>
      <c r="U712" s="1182">
        <v>72400000</v>
      </c>
      <c r="V712" s="1182">
        <v>72400000</v>
      </c>
      <c r="W712" s="1446">
        <f t="shared" ref="W712:W716" si="128">V712/U712</f>
        <v>1</v>
      </c>
      <c r="X712" s="1432"/>
      <c r="Y712" s="765"/>
    </row>
    <row r="713" spans="1:25" s="1242" customFormat="1" ht="18.75" customHeight="1" thickTop="1" thickBot="1" x14ac:dyDescent="0.3">
      <c r="A713" s="1287" t="s">
        <v>1374</v>
      </c>
      <c r="B713" s="1286" t="s">
        <v>1444</v>
      </c>
      <c r="C713" s="1288" t="s">
        <v>1378</v>
      </c>
      <c r="D713" s="1288" t="s">
        <v>1391</v>
      </c>
      <c r="E713" s="1288"/>
      <c r="F713" s="1288"/>
      <c r="G713" s="1288"/>
      <c r="H713" s="1288"/>
      <c r="I713" s="1288"/>
      <c r="J713" s="1288"/>
      <c r="K713" s="754" t="s">
        <v>1961</v>
      </c>
      <c r="L713" s="1180">
        <v>200279</v>
      </c>
      <c r="M713" s="1178"/>
      <c r="N713" s="1178"/>
      <c r="O713" s="1165">
        <f t="shared" si="127"/>
        <v>200279</v>
      </c>
      <c r="P713" s="1180">
        <v>200279</v>
      </c>
      <c r="Q713" s="1178"/>
      <c r="R713" s="1178"/>
      <c r="S713" s="1178"/>
      <c r="T713" s="1178"/>
      <c r="U713" s="1182">
        <v>200279</v>
      </c>
      <c r="V713" s="1182">
        <v>200279</v>
      </c>
      <c r="W713" s="1446">
        <f t="shared" si="128"/>
        <v>1</v>
      </c>
      <c r="X713" s="1432"/>
      <c r="Y713" s="765"/>
    </row>
    <row r="714" spans="1:25" s="1242" customFormat="1" ht="18.75" customHeight="1" thickTop="1" thickBot="1" x14ac:dyDescent="0.3">
      <c r="A714" s="1287" t="s">
        <v>1374</v>
      </c>
      <c r="B714" s="1286" t="s">
        <v>1444</v>
      </c>
      <c r="C714" s="1288" t="s">
        <v>1378</v>
      </c>
      <c r="D714" s="1288" t="s">
        <v>1415</v>
      </c>
      <c r="E714" s="1288"/>
      <c r="F714" s="1288"/>
      <c r="G714" s="1288"/>
      <c r="H714" s="1288"/>
      <c r="I714" s="1288"/>
      <c r="J714" s="1288"/>
      <c r="K714" s="754" t="s">
        <v>1962</v>
      </c>
      <c r="L714" s="1181"/>
      <c r="M714" s="1178"/>
      <c r="N714" s="1178"/>
      <c r="O714" s="1165">
        <f t="shared" si="127"/>
        <v>0</v>
      </c>
      <c r="P714" s="1181"/>
      <c r="Q714" s="1178"/>
      <c r="R714" s="1178"/>
      <c r="S714" s="1178"/>
      <c r="T714" s="1178"/>
      <c r="U714" s="1182"/>
      <c r="V714" s="1182"/>
      <c r="W714" s="1446" t="e">
        <f t="shared" si="128"/>
        <v>#DIV/0!</v>
      </c>
      <c r="X714" s="1432"/>
      <c r="Y714" s="765"/>
    </row>
    <row r="715" spans="1:25" s="1242" customFormat="1" ht="18.75" customHeight="1" thickTop="1" thickBot="1" x14ac:dyDescent="0.3">
      <c r="A715" s="1287" t="s">
        <v>1374</v>
      </c>
      <c r="B715" s="1286" t="s">
        <v>1444</v>
      </c>
      <c r="C715" s="1288" t="s">
        <v>1391</v>
      </c>
      <c r="D715" s="1288"/>
      <c r="E715" s="1287"/>
      <c r="F715" s="1288"/>
      <c r="G715" s="1288"/>
      <c r="H715" s="1288"/>
      <c r="I715" s="1288"/>
      <c r="J715" s="1288"/>
      <c r="K715" s="755" t="s">
        <v>1549</v>
      </c>
      <c r="L715" s="1177"/>
      <c r="M715" s="1177"/>
      <c r="N715" s="1177"/>
      <c r="O715" s="1165">
        <f t="shared" si="127"/>
        <v>0</v>
      </c>
      <c r="P715" s="1177"/>
      <c r="Q715" s="1177"/>
      <c r="R715" s="1177"/>
      <c r="S715" s="1177"/>
      <c r="T715" s="1177"/>
      <c r="U715" s="1177"/>
      <c r="V715" s="1177"/>
      <c r="W715" s="1443" t="e">
        <f t="shared" si="128"/>
        <v>#DIV/0!</v>
      </c>
      <c r="X715" s="1432"/>
      <c r="Y715" s="765"/>
    </row>
    <row r="716" spans="1:25" s="1242" customFormat="1" ht="18.75" customHeight="1" thickTop="1" thickBot="1" x14ac:dyDescent="0.3">
      <c r="A716" s="1287" t="s">
        <v>1374</v>
      </c>
      <c r="B716" s="1286" t="s">
        <v>1444</v>
      </c>
      <c r="C716" s="1288" t="s">
        <v>1415</v>
      </c>
      <c r="D716" s="1288"/>
      <c r="E716" s="1287"/>
      <c r="F716" s="1288"/>
      <c r="G716" s="1288"/>
      <c r="H716" s="1288"/>
      <c r="I716" s="1288"/>
      <c r="J716" s="1288"/>
      <c r="K716" s="755" t="s">
        <v>1550</v>
      </c>
      <c r="L716" s="1181">
        <v>35605978014.169998</v>
      </c>
      <c r="M716" s="1177"/>
      <c r="N716" s="1177"/>
      <c r="O716" s="1165">
        <f t="shared" si="127"/>
        <v>35605978014.169998</v>
      </c>
      <c r="P716" s="1181"/>
      <c r="Q716" s="1181">
        <f>O716</f>
        <v>35605978014.169998</v>
      </c>
      <c r="R716" s="1177"/>
      <c r="S716" s="1177"/>
      <c r="T716" s="1177"/>
      <c r="U716" s="1182">
        <v>35605978014</v>
      </c>
      <c r="V716" s="1182">
        <v>35605978014</v>
      </c>
      <c r="W716" s="1446">
        <f t="shared" si="128"/>
        <v>1</v>
      </c>
      <c r="X716" s="1432"/>
      <c r="Y716" s="765"/>
    </row>
    <row r="717" spans="1:25" s="1242" customFormat="1" ht="36" customHeight="1" thickTop="1" x14ac:dyDescent="0.25">
      <c r="A717" s="757"/>
      <c r="B717" s="757"/>
      <c r="C717" s="757"/>
      <c r="D717" s="757"/>
      <c r="E717" s="757"/>
      <c r="F717" s="760"/>
      <c r="G717" s="760"/>
      <c r="H717" s="760"/>
      <c r="I717" s="760"/>
      <c r="J717" s="760"/>
      <c r="K717" s="757"/>
      <c r="L717" s="757"/>
      <c r="M717" s="757"/>
      <c r="N717" s="757"/>
      <c r="O717" s="757"/>
      <c r="P717" s="757"/>
      <c r="Q717" s="757"/>
      <c r="R717" s="757"/>
      <c r="S717" s="757"/>
      <c r="T717" s="757"/>
      <c r="U717" s="757"/>
      <c r="V717" s="757"/>
      <c r="W717" s="757"/>
      <c r="X717" s="757"/>
    </row>
  </sheetData>
  <mergeCells count="10">
    <mergeCell ref="A1:X1"/>
    <mergeCell ref="A2:X2"/>
    <mergeCell ref="A3:X3"/>
    <mergeCell ref="A4:X4"/>
    <mergeCell ref="A5:I5"/>
    <mergeCell ref="K5:K6"/>
    <mergeCell ref="L5:L6"/>
    <mergeCell ref="M5:N5"/>
    <mergeCell ref="O5:O6"/>
    <mergeCell ref="P5:T5"/>
  </mergeCells>
  <printOptions horizontalCentered="1" verticalCentered="1"/>
  <pageMargins left="0.78740157480314965" right="0.78740157480314965" top="0.98425196850393704" bottom="0.98425196850393704" header="0" footer="0"/>
  <pageSetup paperSize="9"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pageSetUpPr fitToPage="1"/>
  </sheetPr>
  <dimension ref="A1:BG102"/>
  <sheetViews>
    <sheetView topLeftCell="G78" zoomScale="90" zoomScaleNormal="90" zoomScaleSheetLayoutView="100" workbookViewId="0">
      <selection activeCell="H21" sqref="H21"/>
    </sheetView>
  </sheetViews>
  <sheetFormatPr baseColWidth="10" defaultColWidth="14.42578125" defaultRowHeight="15" x14ac:dyDescent="0.25"/>
  <cols>
    <col min="1" max="1" width="16" style="668" customWidth="1"/>
    <col min="2" max="2" width="14.140625" style="668" customWidth="1"/>
    <col min="3" max="3" width="14.42578125" style="668" customWidth="1"/>
    <col min="4" max="4" width="14.5703125" style="668" customWidth="1"/>
    <col min="5" max="7" width="10.7109375" style="668" customWidth="1"/>
    <col min="8" max="8" width="69" style="668" customWidth="1"/>
    <col min="9" max="9" width="20.28515625" style="669" customWidth="1"/>
    <col min="10" max="28" width="20.28515625" style="668" customWidth="1"/>
    <col min="29" max="29" width="51.42578125" style="668" customWidth="1"/>
    <col min="30" max="16384" width="14.42578125" style="668"/>
  </cols>
  <sheetData>
    <row r="1" spans="1:33" ht="15.75" thickBot="1" x14ac:dyDescent="0.3"/>
    <row r="2" spans="1:33" ht="30.75" customHeight="1" thickTop="1" thickBot="1" x14ac:dyDescent="0.3">
      <c r="A2" s="1722" t="s">
        <v>1361</v>
      </c>
      <c r="B2" s="1722" t="s">
        <v>1294</v>
      </c>
      <c r="C2" s="1727" t="s">
        <v>1362</v>
      </c>
      <c r="D2" s="1722" t="s">
        <v>1298</v>
      </c>
      <c r="E2" s="1722" t="s">
        <v>1363</v>
      </c>
      <c r="F2" s="1722" t="s">
        <v>1364</v>
      </c>
      <c r="G2" s="1722" t="s">
        <v>1365</v>
      </c>
      <c r="H2" s="1727" t="s">
        <v>1754</v>
      </c>
      <c r="I2" s="1724" t="s">
        <v>3483</v>
      </c>
      <c r="J2" s="1725"/>
      <c r="K2" s="1725"/>
      <c r="L2" s="1726"/>
      <c r="M2" s="1724" t="s">
        <v>3484</v>
      </c>
      <c r="N2" s="1725"/>
      <c r="O2" s="1725"/>
      <c r="P2" s="1726"/>
      <c r="Q2" s="1724" t="s">
        <v>1708</v>
      </c>
      <c r="R2" s="1725"/>
      <c r="S2" s="1725"/>
      <c r="T2" s="1726"/>
      <c r="U2" s="1724" t="s">
        <v>3485</v>
      </c>
      <c r="V2" s="1725"/>
      <c r="W2" s="1725"/>
      <c r="X2" s="1726"/>
      <c r="Y2" s="1724" t="s">
        <v>1709</v>
      </c>
      <c r="Z2" s="1725"/>
      <c r="AA2" s="1725"/>
      <c r="AB2" s="1726"/>
      <c r="AC2" s="1724" t="s">
        <v>1710</v>
      </c>
      <c r="AD2" s="1725"/>
      <c r="AE2" s="1725"/>
      <c r="AF2" s="1726"/>
      <c r="AG2" s="1447" t="s">
        <v>1711</v>
      </c>
    </row>
    <row r="3" spans="1:33" ht="16.5" thickTop="1" thickBot="1" x14ac:dyDescent="0.3">
      <c r="A3" s="1723"/>
      <c r="B3" s="1723"/>
      <c r="C3" s="1728"/>
      <c r="D3" s="1723"/>
      <c r="E3" s="1723"/>
      <c r="F3" s="1723"/>
      <c r="G3" s="1723"/>
      <c r="H3" s="1728"/>
      <c r="I3" s="1448" t="s">
        <v>1712</v>
      </c>
      <c r="J3" s="1448" t="s">
        <v>1713</v>
      </c>
      <c r="K3" s="1448" t="s">
        <v>1714</v>
      </c>
      <c r="L3" s="1448" t="s">
        <v>1715</v>
      </c>
      <c r="M3" s="1448" t="s">
        <v>1712</v>
      </c>
      <c r="N3" s="1448" t="s">
        <v>1713</v>
      </c>
      <c r="O3" s="1448" t="s">
        <v>1714</v>
      </c>
      <c r="P3" s="1448" t="s">
        <v>1715</v>
      </c>
      <c r="Q3" s="1448" t="s">
        <v>1712</v>
      </c>
      <c r="R3" s="1448" t="s">
        <v>1713</v>
      </c>
      <c r="S3" s="1448" t="s">
        <v>1714</v>
      </c>
      <c r="T3" s="1448" t="s">
        <v>1715</v>
      </c>
      <c r="U3" s="1448" t="s">
        <v>1712</v>
      </c>
      <c r="V3" s="1448" t="s">
        <v>1713</v>
      </c>
      <c r="W3" s="1448" t="s">
        <v>1714</v>
      </c>
      <c r="X3" s="1448" t="s">
        <v>1715</v>
      </c>
      <c r="Y3" s="1448" t="s">
        <v>1712</v>
      </c>
      <c r="Z3" s="1448" t="s">
        <v>1713</v>
      </c>
      <c r="AA3" s="1448" t="s">
        <v>1714</v>
      </c>
      <c r="AB3" s="1448" t="s">
        <v>1715</v>
      </c>
      <c r="AC3" s="1448" t="s">
        <v>1712</v>
      </c>
      <c r="AD3" s="1448" t="s">
        <v>1713</v>
      </c>
      <c r="AE3" s="1448" t="s">
        <v>1714</v>
      </c>
      <c r="AF3" s="1448" t="s">
        <v>1716</v>
      </c>
      <c r="AG3" s="1448"/>
    </row>
    <row r="4" spans="1:33" ht="16.5" thickTop="1" thickBot="1" x14ac:dyDescent="0.3">
      <c r="A4" s="670" t="s">
        <v>1717</v>
      </c>
      <c r="B4" s="670" t="s">
        <v>1378</v>
      </c>
      <c r="C4" s="670"/>
      <c r="D4" s="670"/>
      <c r="E4" s="670"/>
      <c r="F4" s="670"/>
      <c r="G4" s="670"/>
      <c r="H4" s="1467" t="s">
        <v>1718</v>
      </c>
      <c r="I4" s="1449">
        <f t="shared" ref="I4:AB4" si="0">+I5+I6+I9+I27</f>
        <v>7463216800</v>
      </c>
      <c r="J4" s="1449">
        <f t="shared" si="0"/>
        <v>5631355022.6000004</v>
      </c>
      <c r="K4" s="1449">
        <f t="shared" si="0"/>
        <v>4842772273.6800003</v>
      </c>
      <c r="L4" s="1449">
        <f t="shared" si="0"/>
        <v>4322230838.6999998</v>
      </c>
      <c r="M4" s="1449">
        <f t="shared" si="0"/>
        <v>3657862000</v>
      </c>
      <c r="N4" s="1449">
        <f t="shared" si="0"/>
        <v>3657854000</v>
      </c>
      <c r="O4" s="1449">
        <f t="shared" si="0"/>
        <v>3592972935.4400001</v>
      </c>
      <c r="P4" s="1449">
        <f t="shared" si="0"/>
        <v>3592972935.4400001</v>
      </c>
      <c r="Q4" s="1449">
        <f t="shared" si="0"/>
        <v>793779441</v>
      </c>
      <c r="R4" s="1449">
        <f t="shared" si="0"/>
        <v>793779441</v>
      </c>
      <c r="S4" s="1449">
        <f t="shared" si="0"/>
        <v>660466207</v>
      </c>
      <c r="T4" s="1449">
        <f t="shared" si="0"/>
        <v>460466207</v>
      </c>
      <c r="U4" s="1449">
        <f t="shared" si="0"/>
        <v>0</v>
      </c>
      <c r="V4" s="1449">
        <f t="shared" si="0"/>
        <v>0</v>
      </c>
      <c r="W4" s="1449">
        <f t="shared" si="0"/>
        <v>0</v>
      </c>
      <c r="X4" s="1449">
        <f t="shared" si="0"/>
        <v>0</v>
      </c>
      <c r="Y4" s="1449">
        <f t="shared" si="0"/>
        <v>72600279</v>
      </c>
      <c r="Z4" s="1449">
        <f t="shared" si="0"/>
        <v>72400000</v>
      </c>
      <c r="AA4" s="1449">
        <f t="shared" si="0"/>
        <v>72000000</v>
      </c>
      <c r="AB4" s="1449">
        <f t="shared" si="0"/>
        <v>72000000</v>
      </c>
      <c r="AC4" s="1449">
        <f t="shared" ref="AC4:AF49" si="1">+I4+M4+Q4+Y4</f>
        <v>11987458520</v>
      </c>
      <c r="AD4" s="1449">
        <f t="shared" si="1"/>
        <v>10155388463.6</v>
      </c>
      <c r="AE4" s="1449">
        <f t="shared" si="1"/>
        <v>9168211416.1200008</v>
      </c>
      <c r="AF4" s="1449">
        <f t="shared" si="1"/>
        <v>8447669981.1399994</v>
      </c>
      <c r="AG4" s="1450"/>
    </row>
    <row r="5" spans="1:33" ht="16.5" thickTop="1" thickBot="1" x14ac:dyDescent="0.3">
      <c r="A5" s="671" t="s">
        <v>1717</v>
      </c>
      <c r="B5" s="671" t="s">
        <v>1378</v>
      </c>
      <c r="C5" s="671" t="s">
        <v>1378</v>
      </c>
      <c r="D5" s="671"/>
      <c r="E5" s="671"/>
      <c r="F5" s="671"/>
      <c r="G5" s="671"/>
      <c r="H5" s="1468" t="s">
        <v>1299</v>
      </c>
      <c r="I5" s="1451">
        <v>834821749</v>
      </c>
      <c r="J5" s="1451">
        <v>432404470</v>
      </c>
      <c r="K5" s="1451">
        <v>423905310</v>
      </c>
      <c r="L5" s="1451">
        <v>423905310</v>
      </c>
      <c r="M5" s="1451">
        <v>3318432000</v>
      </c>
      <c r="N5" s="1451">
        <v>3318432000</v>
      </c>
      <c r="O5" s="1451">
        <v>3318432000</v>
      </c>
      <c r="P5" s="1451">
        <v>3318432000</v>
      </c>
      <c r="Q5" s="1451">
        <v>421445535</v>
      </c>
      <c r="R5" s="1451">
        <v>421445535</v>
      </c>
      <c r="S5" s="1451">
        <v>421445535</v>
      </c>
      <c r="T5" s="1451">
        <v>421445535</v>
      </c>
      <c r="U5" s="1451"/>
      <c r="V5" s="1451"/>
      <c r="W5" s="1451"/>
      <c r="X5" s="1451">
        <v>0</v>
      </c>
      <c r="Y5" s="1451"/>
      <c r="Z5" s="1451"/>
      <c r="AA5" s="1451"/>
      <c r="AB5" s="1451">
        <v>0</v>
      </c>
      <c r="AC5" s="1451">
        <f t="shared" si="1"/>
        <v>4574699284</v>
      </c>
      <c r="AD5" s="1451">
        <f t="shared" si="1"/>
        <v>4172282005</v>
      </c>
      <c r="AE5" s="1451">
        <f t="shared" si="1"/>
        <v>4163782845</v>
      </c>
      <c r="AF5" s="1451">
        <f t="shared" si="1"/>
        <v>4163782845</v>
      </c>
      <c r="AG5" s="1450"/>
    </row>
    <row r="6" spans="1:33" ht="16.5" thickTop="1" thickBot="1" x14ac:dyDescent="0.3">
      <c r="A6" s="672">
        <v>2</v>
      </c>
      <c r="B6" s="671" t="s">
        <v>1378</v>
      </c>
      <c r="C6" s="671" t="s">
        <v>1391</v>
      </c>
      <c r="D6" s="671"/>
      <c r="E6" s="671"/>
      <c r="F6" s="671"/>
      <c r="G6" s="671"/>
      <c r="H6" s="1468" t="s">
        <v>1719</v>
      </c>
      <c r="I6" s="1451">
        <f>+I7+I8</f>
        <v>4280892471</v>
      </c>
      <c r="J6" s="1451">
        <f t="shared" ref="J6:AB6" si="2">+J7+J8</f>
        <v>3734160169.5999999</v>
      </c>
      <c r="K6" s="1451">
        <f t="shared" si="2"/>
        <v>2960097959.6799998</v>
      </c>
      <c r="L6" s="1451">
        <f t="shared" si="2"/>
        <v>2825804220.6999998</v>
      </c>
      <c r="M6" s="1451">
        <f t="shared" si="2"/>
        <v>308038000</v>
      </c>
      <c r="N6" s="1451">
        <f t="shared" si="2"/>
        <v>308030000</v>
      </c>
      <c r="O6" s="1451">
        <f t="shared" si="2"/>
        <v>274540935.44</v>
      </c>
      <c r="P6" s="1451">
        <f t="shared" si="2"/>
        <v>274540935.44</v>
      </c>
      <c r="Q6" s="1451">
        <f t="shared" si="2"/>
        <v>83706578</v>
      </c>
      <c r="R6" s="1451">
        <f t="shared" si="2"/>
        <v>83706578</v>
      </c>
      <c r="S6" s="1451">
        <f t="shared" si="2"/>
        <v>0</v>
      </c>
      <c r="T6" s="1451">
        <f t="shared" si="2"/>
        <v>0</v>
      </c>
      <c r="U6" s="1451">
        <f t="shared" si="2"/>
        <v>0</v>
      </c>
      <c r="V6" s="1451">
        <f t="shared" si="2"/>
        <v>0</v>
      </c>
      <c r="W6" s="1451">
        <f t="shared" si="2"/>
        <v>0</v>
      </c>
      <c r="X6" s="1451">
        <f t="shared" si="2"/>
        <v>0</v>
      </c>
      <c r="Y6" s="1451">
        <f t="shared" si="2"/>
        <v>72600279</v>
      </c>
      <c r="Z6" s="1451">
        <f t="shared" si="2"/>
        <v>72400000</v>
      </c>
      <c r="AA6" s="1451">
        <f t="shared" si="2"/>
        <v>72000000</v>
      </c>
      <c r="AB6" s="1451">
        <f t="shared" si="2"/>
        <v>72000000</v>
      </c>
      <c r="AC6" s="1451">
        <f t="shared" si="1"/>
        <v>4745237328</v>
      </c>
      <c r="AD6" s="1451">
        <f t="shared" si="1"/>
        <v>4198296747.5999999</v>
      </c>
      <c r="AE6" s="1451">
        <f t="shared" si="1"/>
        <v>3306638895.1199999</v>
      </c>
      <c r="AF6" s="1451">
        <f t="shared" si="1"/>
        <v>3172345156.1399999</v>
      </c>
      <c r="AG6" s="1450"/>
    </row>
    <row r="7" spans="1:33" ht="16.5" thickTop="1" thickBot="1" x14ac:dyDescent="0.3">
      <c r="A7" s="673">
        <v>2</v>
      </c>
      <c r="B7" s="674" t="s">
        <v>1378</v>
      </c>
      <c r="C7" s="674" t="s">
        <v>1391</v>
      </c>
      <c r="D7" s="674" t="s">
        <v>1378</v>
      </c>
      <c r="E7" s="675"/>
      <c r="F7" s="675"/>
      <c r="G7" s="675"/>
      <c r="H7" s="1469" t="s">
        <v>1720</v>
      </c>
      <c r="I7" s="1452">
        <v>74980940</v>
      </c>
      <c r="J7" s="1452">
        <v>52514558</v>
      </c>
      <c r="K7" s="1452">
        <v>52514558</v>
      </c>
      <c r="L7" s="1452">
        <v>52514558</v>
      </c>
      <c r="M7" s="1452"/>
      <c r="N7" s="1452"/>
      <c r="O7" s="1452"/>
      <c r="P7" s="1452"/>
      <c r="Q7" s="1452"/>
      <c r="R7" s="1452"/>
      <c r="S7" s="1452"/>
      <c r="T7" s="1452"/>
      <c r="U7" s="1452"/>
      <c r="V7" s="1452"/>
      <c r="W7" s="1452"/>
      <c r="X7" s="1452"/>
      <c r="Y7" s="1452"/>
      <c r="Z7" s="1452"/>
      <c r="AA7" s="1452"/>
      <c r="AB7" s="1452"/>
      <c r="AC7" s="1452">
        <f t="shared" si="1"/>
        <v>74980940</v>
      </c>
      <c r="AD7" s="1452">
        <f t="shared" si="1"/>
        <v>52514558</v>
      </c>
      <c r="AE7" s="1452">
        <f t="shared" si="1"/>
        <v>52514558</v>
      </c>
      <c r="AF7" s="1452">
        <f t="shared" si="1"/>
        <v>52514558</v>
      </c>
      <c r="AG7" s="1450"/>
    </row>
    <row r="8" spans="1:33" ht="16.5" thickTop="1" thickBot="1" x14ac:dyDescent="0.3">
      <c r="A8" s="673">
        <v>2</v>
      </c>
      <c r="B8" s="674" t="s">
        <v>1378</v>
      </c>
      <c r="C8" s="674" t="s">
        <v>1391</v>
      </c>
      <c r="D8" s="674" t="s">
        <v>1378</v>
      </c>
      <c r="E8" s="675"/>
      <c r="F8" s="675"/>
      <c r="G8" s="675"/>
      <c r="H8" s="1469" t="s">
        <v>1721</v>
      </c>
      <c r="I8" s="1452">
        <v>4205911531</v>
      </c>
      <c r="J8" s="1452">
        <v>3681645611.5999999</v>
      </c>
      <c r="K8" s="1452">
        <v>2907583401.6799998</v>
      </c>
      <c r="L8" s="1452">
        <v>2773289662.6999998</v>
      </c>
      <c r="M8" s="1452">
        <v>308038000</v>
      </c>
      <c r="N8" s="1452">
        <v>308030000</v>
      </c>
      <c r="O8" s="1452">
        <v>274540935.44</v>
      </c>
      <c r="P8" s="1452">
        <v>274540935.44</v>
      </c>
      <c r="Q8" s="1452">
        <v>83706578</v>
      </c>
      <c r="R8" s="1452">
        <v>83706578</v>
      </c>
      <c r="S8" s="1452">
        <v>0</v>
      </c>
      <c r="T8" s="1452">
        <v>0</v>
      </c>
      <c r="U8" s="1452"/>
      <c r="V8" s="1452">
        <v>0</v>
      </c>
      <c r="W8" s="1452">
        <v>0</v>
      </c>
      <c r="X8" s="1452">
        <v>0</v>
      </c>
      <c r="Y8" s="1453">
        <v>72600279</v>
      </c>
      <c r="Z8" s="1453">
        <v>72400000</v>
      </c>
      <c r="AA8" s="1453">
        <v>72000000</v>
      </c>
      <c r="AB8" s="1453">
        <v>72000000</v>
      </c>
      <c r="AC8" s="1452">
        <f t="shared" si="1"/>
        <v>4670256388</v>
      </c>
      <c r="AD8" s="1452">
        <f t="shared" si="1"/>
        <v>4145782189.5999999</v>
      </c>
      <c r="AE8" s="1452">
        <f t="shared" si="1"/>
        <v>3254124337.1199999</v>
      </c>
      <c r="AF8" s="1452">
        <f t="shared" si="1"/>
        <v>3119830598.1399999</v>
      </c>
      <c r="AG8" s="1450"/>
    </row>
    <row r="9" spans="1:33" s="676" customFormat="1" ht="16.5" thickTop="1" thickBot="1" x14ac:dyDescent="0.3">
      <c r="A9" s="672">
        <v>2</v>
      </c>
      <c r="B9" s="671" t="s">
        <v>1378</v>
      </c>
      <c r="C9" s="671" t="s">
        <v>1415</v>
      </c>
      <c r="D9" s="671"/>
      <c r="E9" s="671"/>
      <c r="F9" s="671"/>
      <c r="G9" s="671"/>
      <c r="H9" s="1468" t="s">
        <v>1300</v>
      </c>
      <c r="I9" s="1451">
        <f>+I10+I20+I24</f>
        <v>2281557580</v>
      </c>
      <c r="J9" s="1451">
        <f>+J10+J20+J24</f>
        <v>1400400582</v>
      </c>
      <c r="K9" s="1451">
        <f>+K10+K20+K24</f>
        <v>1394379203</v>
      </c>
      <c r="L9" s="1451">
        <f>+L10+L20+L24</f>
        <v>1014550153</v>
      </c>
      <c r="M9" s="1451">
        <f t="shared" ref="M9:AB9" si="3">+M10+M18+M24</f>
        <v>0</v>
      </c>
      <c r="N9" s="1451">
        <f t="shared" si="3"/>
        <v>0</v>
      </c>
      <c r="O9" s="1451">
        <f t="shared" si="3"/>
        <v>0</v>
      </c>
      <c r="P9" s="1451">
        <f t="shared" si="3"/>
        <v>0</v>
      </c>
      <c r="Q9" s="1451">
        <f t="shared" si="3"/>
        <v>218879610</v>
      </c>
      <c r="R9" s="1451">
        <f t="shared" si="3"/>
        <v>218879610</v>
      </c>
      <c r="S9" s="1451">
        <f t="shared" si="3"/>
        <v>200000000</v>
      </c>
      <c r="T9" s="1451">
        <f t="shared" si="3"/>
        <v>0</v>
      </c>
      <c r="U9" s="1451">
        <f t="shared" si="3"/>
        <v>0</v>
      </c>
      <c r="V9" s="1451">
        <f t="shared" si="3"/>
        <v>0</v>
      </c>
      <c r="W9" s="1451">
        <f t="shared" si="3"/>
        <v>0</v>
      </c>
      <c r="X9" s="1451">
        <f t="shared" si="3"/>
        <v>0</v>
      </c>
      <c r="Y9" s="1451">
        <f t="shared" si="3"/>
        <v>0</v>
      </c>
      <c r="Z9" s="1451">
        <f t="shared" si="3"/>
        <v>0</v>
      </c>
      <c r="AA9" s="1451">
        <f t="shared" si="3"/>
        <v>0</v>
      </c>
      <c r="AB9" s="1451">
        <f t="shared" si="3"/>
        <v>0</v>
      </c>
      <c r="AC9" s="1451">
        <f t="shared" si="1"/>
        <v>2500437190</v>
      </c>
      <c r="AD9" s="1451">
        <f t="shared" si="1"/>
        <v>1619280192</v>
      </c>
      <c r="AE9" s="1451">
        <f t="shared" si="1"/>
        <v>1594379203</v>
      </c>
      <c r="AF9" s="1451">
        <f t="shared" si="1"/>
        <v>1014550153</v>
      </c>
      <c r="AG9" s="1450"/>
    </row>
    <row r="10" spans="1:33" s="676" customFormat="1" ht="16.5" thickTop="1" thickBot="1" x14ac:dyDescent="0.3">
      <c r="A10" s="677">
        <v>2</v>
      </c>
      <c r="B10" s="678" t="s">
        <v>1378</v>
      </c>
      <c r="C10" s="678" t="s">
        <v>1415</v>
      </c>
      <c r="D10" s="678" t="s">
        <v>1378</v>
      </c>
      <c r="E10" s="678"/>
      <c r="F10" s="678"/>
      <c r="G10" s="678"/>
      <c r="H10" s="1470" t="s">
        <v>1722</v>
      </c>
      <c r="I10" s="1454">
        <f>+I11+I18</f>
        <v>2213580700</v>
      </c>
      <c r="J10" s="1454">
        <f t="shared" ref="J10:AB10" si="4">+J11+J18</f>
        <v>1352261383</v>
      </c>
      <c r="K10" s="1454">
        <f t="shared" si="4"/>
        <v>1352261383</v>
      </c>
      <c r="L10" s="1454">
        <f t="shared" si="4"/>
        <v>972432333</v>
      </c>
      <c r="M10" s="1454">
        <f t="shared" si="4"/>
        <v>0</v>
      </c>
      <c r="N10" s="1454">
        <f t="shared" si="4"/>
        <v>0</v>
      </c>
      <c r="O10" s="1454">
        <f t="shared" si="4"/>
        <v>0</v>
      </c>
      <c r="P10" s="1454">
        <f t="shared" si="4"/>
        <v>0</v>
      </c>
      <c r="Q10" s="1454">
        <f t="shared" si="4"/>
        <v>0</v>
      </c>
      <c r="R10" s="1454">
        <f t="shared" si="4"/>
        <v>0</v>
      </c>
      <c r="S10" s="1454">
        <f t="shared" si="4"/>
        <v>0</v>
      </c>
      <c r="T10" s="1454">
        <f t="shared" si="4"/>
        <v>0</v>
      </c>
      <c r="U10" s="1454">
        <f t="shared" si="4"/>
        <v>0</v>
      </c>
      <c r="V10" s="1454">
        <f t="shared" si="4"/>
        <v>0</v>
      </c>
      <c r="W10" s="1454">
        <f t="shared" si="4"/>
        <v>0</v>
      </c>
      <c r="X10" s="1454">
        <f t="shared" si="4"/>
        <v>0</v>
      </c>
      <c r="Y10" s="1454">
        <f t="shared" si="4"/>
        <v>0</v>
      </c>
      <c r="Z10" s="1454">
        <f t="shared" si="4"/>
        <v>0</v>
      </c>
      <c r="AA10" s="1454">
        <f t="shared" si="4"/>
        <v>0</v>
      </c>
      <c r="AB10" s="1454">
        <f t="shared" si="4"/>
        <v>0</v>
      </c>
      <c r="AC10" s="1454">
        <f t="shared" si="1"/>
        <v>2213580700</v>
      </c>
      <c r="AD10" s="1454">
        <f t="shared" si="1"/>
        <v>1352261383</v>
      </c>
      <c r="AE10" s="1454">
        <f t="shared" si="1"/>
        <v>1352261383</v>
      </c>
      <c r="AF10" s="1454">
        <f t="shared" si="1"/>
        <v>972432333</v>
      </c>
      <c r="AG10" s="1450"/>
    </row>
    <row r="11" spans="1:33" s="681" customFormat="1" ht="16.5" thickTop="1" thickBot="1" x14ac:dyDescent="0.3">
      <c r="A11" s="679"/>
      <c r="B11" s="680" t="s">
        <v>1378</v>
      </c>
      <c r="C11" s="680" t="s">
        <v>1415</v>
      </c>
      <c r="D11" s="680" t="s">
        <v>1378</v>
      </c>
      <c r="E11" s="680" t="s">
        <v>1378</v>
      </c>
      <c r="F11" s="680"/>
      <c r="G11" s="680"/>
      <c r="H11" s="1469" t="s">
        <v>1723</v>
      </c>
      <c r="I11" s="1455">
        <f>+I12+I15</f>
        <v>2190580700</v>
      </c>
      <c r="J11" s="1455">
        <f t="shared" ref="J11:L11" si="5">+J12+J15</f>
        <v>1330238994</v>
      </c>
      <c r="K11" s="1455">
        <f t="shared" si="5"/>
        <v>1330238994</v>
      </c>
      <c r="L11" s="1455">
        <f t="shared" si="5"/>
        <v>950409944</v>
      </c>
      <c r="M11" s="1455">
        <f t="shared" ref="M11:AB11" si="6">+M12</f>
        <v>0</v>
      </c>
      <c r="N11" s="1455">
        <f t="shared" si="6"/>
        <v>0</v>
      </c>
      <c r="O11" s="1455">
        <f t="shared" si="6"/>
        <v>0</v>
      </c>
      <c r="P11" s="1455">
        <f t="shared" si="6"/>
        <v>0</v>
      </c>
      <c r="Q11" s="1455">
        <f t="shared" si="6"/>
        <v>0</v>
      </c>
      <c r="R11" s="1455">
        <f t="shared" si="6"/>
        <v>0</v>
      </c>
      <c r="S11" s="1455">
        <f t="shared" si="6"/>
        <v>0</v>
      </c>
      <c r="T11" s="1455">
        <f t="shared" si="6"/>
        <v>0</v>
      </c>
      <c r="U11" s="1455">
        <f t="shared" si="6"/>
        <v>0</v>
      </c>
      <c r="V11" s="1455">
        <f t="shared" si="6"/>
        <v>0</v>
      </c>
      <c r="W11" s="1455">
        <f t="shared" si="6"/>
        <v>0</v>
      </c>
      <c r="X11" s="1455">
        <f t="shared" si="6"/>
        <v>0</v>
      </c>
      <c r="Y11" s="1455">
        <f t="shared" si="6"/>
        <v>0</v>
      </c>
      <c r="Z11" s="1455">
        <f t="shared" si="6"/>
        <v>0</v>
      </c>
      <c r="AA11" s="1455">
        <f t="shared" si="6"/>
        <v>0</v>
      </c>
      <c r="AB11" s="1455">
        <f t="shared" si="6"/>
        <v>0</v>
      </c>
      <c r="AC11" s="1455">
        <f t="shared" si="1"/>
        <v>2190580700</v>
      </c>
      <c r="AD11" s="1455">
        <f t="shared" si="1"/>
        <v>1330238994</v>
      </c>
      <c r="AE11" s="1455">
        <f t="shared" si="1"/>
        <v>1330238994</v>
      </c>
      <c r="AF11" s="1455">
        <f t="shared" si="1"/>
        <v>950409944</v>
      </c>
      <c r="AG11" s="1450"/>
    </row>
    <row r="12" spans="1:33" ht="16.5" thickTop="1" thickBot="1" x14ac:dyDescent="0.3">
      <c r="A12" s="673">
        <v>2</v>
      </c>
      <c r="B12" s="674" t="s">
        <v>1378</v>
      </c>
      <c r="C12" s="674" t="s">
        <v>1415</v>
      </c>
      <c r="D12" s="674" t="s">
        <v>1378</v>
      </c>
      <c r="E12" s="674" t="s">
        <v>1378</v>
      </c>
      <c r="F12" s="674" t="s">
        <v>1378</v>
      </c>
      <c r="G12" s="675"/>
      <c r="H12" s="1469" t="s">
        <v>1724</v>
      </c>
      <c r="I12" s="1452">
        <f>+I13+I14</f>
        <v>1570377600</v>
      </c>
      <c r="J12" s="1452">
        <f t="shared" ref="J12:AB12" si="7">+J13+J14</f>
        <v>1330238994</v>
      </c>
      <c r="K12" s="1452">
        <f t="shared" si="7"/>
        <v>1330238994</v>
      </c>
      <c r="L12" s="1452">
        <f t="shared" si="7"/>
        <v>950409944</v>
      </c>
      <c r="M12" s="1452">
        <f t="shared" si="7"/>
        <v>0</v>
      </c>
      <c r="N12" s="1452">
        <f t="shared" si="7"/>
        <v>0</v>
      </c>
      <c r="O12" s="1452">
        <f t="shared" si="7"/>
        <v>0</v>
      </c>
      <c r="P12" s="1452">
        <f t="shared" si="7"/>
        <v>0</v>
      </c>
      <c r="Q12" s="1452">
        <f t="shared" si="7"/>
        <v>0</v>
      </c>
      <c r="R12" s="1452">
        <f t="shared" si="7"/>
        <v>0</v>
      </c>
      <c r="S12" s="1452">
        <f t="shared" si="7"/>
        <v>0</v>
      </c>
      <c r="T12" s="1452">
        <f t="shared" si="7"/>
        <v>0</v>
      </c>
      <c r="U12" s="1452">
        <f t="shared" si="7"/>
        <v>0</v>
      </c>
      <c r="V12" s="1452">
        <f t="shared" si="7"/>
        <v>0</v>
      </c>
      <c r="W12" s="1452">
        <f t="shared" si="7"/>
        <v>0</v>
      </c>
      <c r="X12" s="1452">
        <f t="shared" si="7"/>
        <v>0</v>
      </c>
      <c r="Y12" s="1452">
        <f t="shared" si="7"/>
        <v>0</v>
      </c>
      <c r="Z12" s="1452">
        <f t="shared" si="7"/>
        <v>0</v>
      </c>
      <c r="AA12" s="1452">
        <f t="shared" si="7"/>
        <v>0</v>
      </c>
      <c r="AB12" s="1452">
        <f t="shared" si="7"/>
        <v>0</v>
      </c>
      <c r="AC12" s="1452">
        <f t="shared" si="1"/>
        <v>1570377600</v>
      </c>
      <c r="AD12" s="1452">
        <f t="shared" si="1"/>
        <v>1330238994</v>
      </c>
      <c r="AE12" s="1452">
        <f t="shared" si="1"/>
        <v>1330238994</v>
      </c>
      <c r="AF12" s="1452">
        <f t="shared" si="1"/>
        <v>950409944</v>
      </c>
      <c r="AG12" s="1450"/>
    </row>
    <row r="13" spans="1:33" ht="16.5" thickTop="1" thickBot="1" x14ac:dyDescent="0.3">
      <c r="A13" s="673">
        <v>2</v>
      </c>
      <c r="B13" s="674" t="s">
        <v>1378</v>
      </c>
      <c r="C13" s="674" t="s">
        <v>1415</v>
      </c>
      <c r="D13" s="674" t="s">
        <v>1378</v>
      </c>
      <c r="E13" s="674" t="s">
        <v>1378</v>
      </c>
      <c r="F13" s="674" t="s">
        <v>1378</v>
      </c>
      <c r="G13" s="674" t="s">
        <v>1378</v>
      </c>
      <c r="H13" s="1469" t="s">
        <v>1725</v>
      </c>
      <c r="I13" s="1452">
        <v>806200400</v>
      </c>
      <c r="J13" s="1452">
        <v>806200400</v>
      </c>
      <c r="K13" s="1452">
        <v>806200400</v>
      </c>
      <c r="L13" s="1452">
        <v>770793543</v>
      </c>
      <c r="M13" s="1452"/>
      <c r="N13" s="1452"/>
      <c r="O13" s="1452"/>
      <c r="P13" s="1452"/>
      <c r="Q13" s="1452"/>
      <c r="R13" s="1452"/>
      <c r="S13" s="1452"/>
      <c r="T13" s="1452"/>
      <c r="U13" s="1452"/>
      <c r="V13" s="1452"/>
      <c r="W13" s="1452"/>
      <c r="X13" s="1452"/>
      <c r="Y13" s="1452"/>
      <c r="Z13" s="1452"/>
      <c r="AA13" s="1452"/>
      <c r="AB13" s="1452"/>
      <c r="AC13" s="1452">
        <f t="shared" si="1"/>
        <v>806200400</v>
      </c>
      <c r="AD13" s="1452">
        <f t="shared" si="1"/>
        <v>806200400</v>
      </c>
      <c r="AE13" s="1452">
        <f t="shared" si="1"/>
        <v>806200400</v>
      </c>
      <c r="AF13" s="1452">
        <f t="shared" si="1"/>
        <v>770793543</v>
      </c>
      <c r="AG13" s="1450"/>
    </row>
    <row r="14" spans="1:33" ht="16.5" thickTop="1" thickBot="1" x14ac:dyDescent="0.3">
      <c r="A14" s="673">
        <v>2</v>
      </c>
      <c r="B14" s="674" t="s">
        <v>1378</v>
      </c>
      <c r="C14" s="674" t="s">
        <v>1415</v>
      </c>
      <c r="D14" s="674" t="s">
        <v>1378</v>
      </c>
      <c r="E14" s="674" t="s">
        <v>1378</v>
      </c>
      <c r="F14" s="674" t="s">
        <v>1378</v>
      </c>
      <c r="G14" s="674" t="s">
        <v>1391</v>
      </c>
      <c r="H14" s="1469" t="s">
        <v>1726</v>
      </c>
      <c r="I14" s="1452">
        <v>764177200</v>
      </c>
      <c r="J14" s="1452">
        <v>524038594</v>
      </c>
      <c r="K14" s="1452">
        <v>524038594</v>
      </c>
      <c r="L14" s="1452">
        <v>179616401</v>
      </c>
      <c r="M14" s="1452"/>
      <c r="N14" s="1452"/>
      <c r="O14" s="1452"/>
      <c r="P14" s="1452"/>
      <c r="Q14" s="1452"/>
      <c r="R14" s="1452"/>
      <c r="S14" s="1452"/>
      <c r="T14" s="1452"/>
      <c r="U14" s="1452"/>
      <c r="V14" s="1452"/>
      <c r="W14" s="1452"/>
      <c r="X14" s="1452"/>
      <c r="Y14" s="1452"/>
      <c r="Z14" s="1452"/>
      <c r="AA14" s="1452"/>
      <c r="AB14" s="1452"/>
      <c r="AC14" s="1452">
        <f t="shared" si="1"/>
        <v>764177200</v>
      </c>
      <c r="AD14" s="1452">
        <f t="shared" si="1"/>
        <v>524038594</v>
      </c>
      <c r="AE14" s="1452">
        <f t="shared" si="1"/>
        <v>524038594</v>
      </c>
      <c r="AF14" s="1452">
        <f t="shared" si="1"/>
        <v>179616401</v>
      </c>
      <c r="AG14" s="1450"/>
    </row>
    <row r="15" spans="1:33" ht="16.5" thickTop="1" thickBot="1" x14ac:dyDescent="0.3">
      <c r="A15" s="673">
        <v>2</v>
      </c>
      <c r="B15" s="674" t="s">
        <v>1378</v>
      </c>
      <c r="C15" s="674" t="s">
        <v>1415</v>
      </c>
      <c r="D15" s="674" t="s">
        <v>1378</v>
      </c>
      <c r="E15" s="674" t="s">
        <v>1391</v>
      </c>
      <c r="F15" s="675"/>
      <c r="G15" s="675"/>
      <c r="H15" s="1471" t="s">
        <v>3208</v>
      </c>
      <c r="I15" s="1456">
        <f>SUM(I16:I17)</f>
        <v>620203100</v>
      </c>
      <c r="J15" s="1456">
        <f t="shared" ref="J15:L15" si="8">SUM(J16:J17)</f>
        <v>0</v>
      </c>
      <c r="K15" s="1456">
        <f t="shared" si="8"/>
        <v>0</v>
      </c>
      <c r="L15" s="1456">
        <f t="shared" si="8"/>
        <v>0</v>
      </c>
      <c r="M15" s="1456"/>
      <c r="N15" s="1456"/>
      <c r="O15" s="1456"/>
      <c r="P15" s="1456"/>
      <c r="Q15" s="1456"/>
      <c r="R15" s="1456"/>
      <c r="S15" s="1456"/>
      <c r="T15" s="1456"/>
      <c r="U15" s="1456"/>
      <c r="V15" s="1456"/>
      <c r="W15" s="1456"/>
      <c r="X15" s="1456"/>
      <c r="Y15" s="1456"/>
      <c r="Z15" s="1456"/>
      <c r="AA15" s="1456"/>
      <c r="AB15" s="1456"/>
      <c r="AC15" s="1456">
        <f t="shared" si="1"/>
        <v>620203100</v>
      </c>
      <c r="AD15" s="1456">
        <f t="shared" si="1"/>
        <v>0</v>
      </c>
      <c r="AE15" s="1456">
        <f t="shared" si="1"/>
        <v>0</v>
      </c>
      <c r="AF15" s="1456">
        <f t="shared" si="1"/>
        <v>0</v>
      </c>
      <c r="AG15" s="1729" t="s">
        <v>3211</v>
      </c>
    </row>
    <row r="16" spans="1:33" ht="16.5" thickTop="1" thickBot="1" x14ac:dyDescent="0.3">
      <c r="A16" s="673">
        <v>2</v>
      </c>
      <c r="B16" s="674" t="s">
        <v>1378</v>
      </c>
      <c r="C16" s="674" t="s">
        <v>1415</v>
      </c>
      <c r="D16" s="674" t="s">
        <v>1378</v>
      </c>
      <c r="E16" s="674" t="s">
        <v>1391</v>
      </c>
      <c r="F16" s="674" t="s">
        <v>1378</v>
      </c>
      <c r="G16" s="674"/>
      <c r="H16" s="1472" t="s">
        <v>3209</v>
      </c>
      <c r="I16" s="1457">
        <v>611586100</v>
      </c>
      <c r="J16" s="1457">
        <v>0</v>
      </c>
      <c r="K16" s="1457">
        <v>0</v>
      </c>
      <c r="L16" s="1457">
        <v>0</v>
      </c>
      <c r="M16" s="1457"/>
      <c r="N16" s="1457"/>
      <c r="O16" s="1457"/>
      <c r="P16" s="1457"/>
      <c r="Q16" s="1457"/>
      <c r="R16" s="1457"/>
      <c r="S16" s="1457"/>
      <c r="T16" s="1457"/>
      <c r="U16" s="1457"/>
      <c r="V16" s="1457"/>
      <c r="W16" s="1457"/>
      <c r="X16" s="1457"/>
      <c r="Y16" s="1457"/>
      <c r="Z16" s="1457"/>
      <c r="AA16" s="1457"/>
      <c r="AB16" s="1457"/>
      <c r="AC16" s="1457">
        <f t="shared" si="1"/>
        <v>611586100</v>
      </c>
      <c r="AD16" s="1457">
        <f t="shared" si="1"/>
        <v>0</v>
      </c>
      <c r="AE16" s="1457">
        <f t="shared" si="1"/>
        <v>0</v>
      </c>
      <c r="AF16" s="1457">
        <f t="shared" si="1"/>
        <v>0</v>
      </c>
      <c r="AG16" s="1730"/>
    </row>
    <row r="17" spans="1:33" ht="16.5" customHeight="1" thickTop="1" thickBot="1" x14ac:dyDescent="0.3">
      <c r="A17" s="673"/>
      <c r="B17" s="674"/>
      <c r="C17" s="674"/>
      <c r="D17" s="674"/>
      <c r="E17" s="674"/>
      <c r="F17" s="674"/>
      <c r="G17" s="674"/>
      <c r="H17" s="1472" t="s">
        <v>3210</v>
      </c>
      <c r="I17" s="1457">
        <v>8617000</v>
      </c>
      <c r="J17" s="1457">
        <v>0</v>
      </c>
      <c r="K17" s="1457">
        <v>0</v>
      </c>
      <c r="L17" s="1457">
        <v>0</v>
      </c>
      <c r="M17" s="1457"/>
      <c r="N17" s="1457"/>
      <c r="O17" s="1457"/>
      <c r="P17" s="1457"/>
      <c r="Q17" s="1457"/>
      <c r="R17" s="1457"/>
      <c r="S17" s="1457"/>
      <c r="T17" s="1457"/>
      <c r="U17" s="1457"/>
      <c r="V17" s="1457"/>
      <c r="W17" s="1457"/>
      <c r="X17" s="1457"/>
      <c r="Y17" s="1457"/>
      <c r="Z17" s="1457"/>
      <c r="AA17" s="1457"/>
      <c r="AB17" s="1457"/>
      <c r="AC17" s="1457">
        <f t="shared" si="1"/>
        <v>8617000</v>
      </c>
      <c r="AD17" s="1457">
        <f t="shared" si="1"/>
        <v>0</v>
      </c>
      <c r="AE17" s="1457">
        <f t="shared" si="1"/>
        <v>0</v>
      </c>
      <c r="AF17" s="1457">
        <f t="shared" si="1"/>
        <v>0</v>
      </c>
      <c r="AG17" s="1731"/>
    </row>
    <row r="18" spans="1:33" ht="16.5" thickTop="1" thickBot="1" x14ac:dyDescent="0.3">
      <c r="A18" s="673"/>
      <c r="B18" s="674"/>
      <c r="C18" s="674"/>
      <c r="D18" s="674"/>
      <c r="E18" s="674"/>
      <c r="F18" s="674"/>
      <c r="G18" s="674"/>
      <c r="H18" s="1469" t="s">
        <v>1727</v>
      </c>
      <c r="I18" s="1452">
        <f>+I19</f>
        <v>23000000</v>
      </c>
      <c r="J18" s="1452">
        <f t="shared" ref="J18:AB18" si="9">+J19</f>
        <v>22022389</v>
      </c>
      <c r="K18" s="1452">
        <f t="shared" si="9"/>
        <v>22022389</v>
      </c>
      <c r="L18" s="1452">
        <f t="shared" si="9"/>
        <v>22022389</v>
      </c>
      <c r="M18" s="1452">
        <f t="shared" si="9"/>
        <v>0</v>
      </c>
      <c r="N18" s="1452">
        <f t="shared" si="9"/>
        <v>0</v>
      </c>
      <c r="O18" s="1452">
        <f t="shared" si="9"/>
        <v>0</v>
      </c>
      <c r="P18" s="1452">
        <f t="shared" si="9"/>
        <v>0</v>
      </c>
      <c r="Q18" s="1452">
        <f t="shared" si="9"/>
        <v>0</v>
      </c>
      <c r="R18" s="1452">
        <f t="shared" si="9"/>
        <v>0</v>
      </c>
      <c r="S18" s="1452">
        <f t="shared" si="9"/>
        <v>0</v>
      </c>
      <c r="T18" s="1452">
        <f t="shared" si="9"/>
        <v>0</v>
      </c>
      <c r="U18" s="1452">
        <f t="shared" si="9"/>
        <v>0</v>
      </c>
      <c r="V18" s="1452">
        <f t="shared" si="9"/>
        <v>0</v>
      </c>
      <c r="W18" s="1452">
        <f t="shared" si="9"/>
        <v>0</v>
      </c>
      <c r="X18" s="1452">
        <f t="shared" si="9"/>
        <v>0</v>
      </c>
      <c r="Y18" s="1452">
        <f t="shared" si="9"/>
        <v>0</v>
      </c>
      <c r="Z18" s="1452">
        <f t="shared" si="9"/>
        <v>0</v>
      </c>
      <c r="AA18" s="1452">
        <f t="shared" si="9"/>
        <v>0</v>
      </c>
      <c r="AB18" s="1452">
        <f t="shared" si="9"/>
        <v>0</v>
      </c>
      <c r="AC18" s="1452">
        <f t="shared" si="1"/>
        <v>23000000</v>
      </c>
      <c r="AD18" s="1452">
        <f t="shared" si="1"/>
        <v>22022389</v>
      </c>
      <c r="AE18" s="1452">
        <f t="shared" si="1"/>
        <v>22022389</v>
      </c>
      <c r="AF18" s="1452">
        <f t="shared" si="1"/>
        <v>22022389</v>
      </c>
      <c r="AG18" s="1450"/>
    </row>
    <row r="19" spans="1:33" ht="16.5" thickTop="1" thickBot="1" x14ac:dyDescent="0.3">
      <c r="A19" s="673"/>
      <c r="B19" s="674"/>
      <c r="C19" s="674"/>
      <c r="D19" s="674"/>
      <c r="E19" s="674"/>
      <c r="F19" s="674"/>
      <c r="G19" s="674"/>
      <c r="H19" s="1469" t="s">
        <v>1728</v>
      </c>
      <c r="I19" s="1452">
        <v>23000000</v>
      </c>
      <c r="J19" s="1452">
        <v>22022389</v>
      </c>
      <c r="K19" s="1452">
        <v>22022389</v>
      </c>
      <c r="L19" s="1452">
        <v>22022389</v>
      </c>
      <c r="M19" s="1452"/>
      <c r="N19" s="1452"/>
      <c r="O19" s="1452"/>
      <c r="P19" s="1452"/>
      <c r="Q19" s="1452"/>
      <c r="R19" s="1452"/>
      <c r="S19" s="1452"/>
      <c r="T19" s="1452"/>
      <c r="U19" s="1452"/>
      <c r="V19" s="1452"/>
      <c r="W19" s="1452"/>
      <c r="X19" s="1452"/>
      <c r="Y19" s="1452"/>
      <c r="Z19" s="1452"/>
      <c r="AA19" s="1452"/>
      <c r="AB19" s="1452"/>
      <c r="AC19" s="1452">
        <f t="shared" si="1"/>
        <v>23000000</v>
      </c>
      <c r="AD19" s="1452">
        <f t="shared" si="1"/>
        <v>22022389</v>
      </c>
      <c r="AE19" s="1452">
        <f t="shared" si="1"/>
        <v>22022389</v>
      </c>
      <c r="AF19" s="1452">
        <f t="shared" si="1"/>
        <v>22022389</v>
      </c>
      <c r="AG19" s="1450"/>
    </row>
    <row r="20" spans="1:33" s="676" customFormat="1" ht="16.5" thickTop="1" thickBot="1" x14ac:dyDescent="0.3">
      <c r="A20" s="677">
        <v>2</v>
      </c>
      <c r="B20" s="678" t="s">
        <v>1378</v>
      </c>
      <c r="C20" s="678" t="s">
        <v>1415</v>
      </c>
      <c r="D20" s="678" t="s">
        <v>1391</v>
      </c>
      <c r="E20" s="678"/>
      <c r="F20" s="678"/>
      <c r="G20" s="678"/>
      <c r="H20" s="1470" t="s">
        <v>1729</v>
      </c>
      <c r="I20" s="1454">
        <f>+I21</f>
        <v>57976880</v>
      </c>
      <c r="J20" s="1454">
        <f t="shared" ref="J20:AB20" si="10">+J21</f>
        <v>42117820</v>
      </c>
      <c r="K20" s="1454">
        <f t="shared" si="10"/>
        <v>42117820</v>
      </c>
      <c r="L20" s="1454">
        <f t="shared" si="10"/>
        <v>42117820</v>
      </c>
      <c r="M20" s="1454">
        <f t="shared" si="10"/>
        <v>0</v>
      </c>
      <c r="N20" s="1454">
        <f t="shared" si="10"/>
        <v>0</v>
      </c>
      <c r="O20" s="1454">
        <f t="shared" si="10"/>
        <v>0</v>
      </c>
      <c r="P20" s="1454">
        <f t="shared" si="10"/>
        <v>0</v>
      </c>
      <c r="Q20" s="1454">
        <f t="shared" si="10"/>
        <v>0</v>
      </c>
      <c r="R20" s="1454">
        <f t="shared" si="10"/>
        <v>0</v>
      </c>
      <c r="S20" s="1454">
        <f t="shared" si="10"/>
        <v>0</v>
      </c>
      <c r="T20" s="1454">
        <f t="shared" si="10"/>
        <v>0</v>
      </c>
      <c r="U20" s="1454">
        <f t="shared" si="10"/>
        <v>0</v>
      </c>
      <c r="V20" s="1454">
        <f t="shared" si="10"/>
        <v>0</v>
      </c>
      <c r="W20" s="1454">
        <f t="shared" si="10"/>
        <v>0</v>
      </c>
      <c r="X20" s="1454">
        <f t="shared" si="10"/>
        <v>0</v>
      </c>
      <c r="Y20" s="1454">
        <f t="shared" si="10"/>
        <v>0</v>
      </c>
      <c r="Z20" s="1454">
        <f t="shared" si="10"/>
        <v>0</v>
      </c>
      <c r="AA20" s="1454">
        <f t="shared" si="10"/>
        <v>0</v>
      </c>
      <c r="AB20" s="1454">
        <f t="shared" si="10"/>
        <v>0</v>
      </c>
      <c r="AC20" s="1454">
        <f t="shared" si="1"/>
        <v>57976880</v>
      </c>
      <c r="AD20" s="1454">
        <f t="shared" si="1"/>
        <v>42117820</v>
      </c>
      <c r="AE20" s="1454">
        <f t="shared" si="1"/>
        <v>42117820</v>
      </c>
      <c r="AF20" s="1454">
        <f t="shared" si="1"/>
        <v>42117820</v>
      </c>
      <c r="AG20" s="1450"/>
    </row>
    <row r="21" spans="1:33" ht="16.5" thickTop="1" thickBot="1" x14ac:dyDescent="0.3">
      <c r="A21" s="673">
        <v>2</v>
      </c>
      <c r="B21" s="674" t="s">
        <v>1378</v>
      </c>
      <c r="C21" s="674" t="s">
        <v>1415</v>
      </c>
      <c r="D21" s="674" t="s">
        <v>1391</v>
      </c>
      <c r="E21" s="674" t="s">
        <v>1378</v>
      </c>
      <c r="F21" s="674"/>
      <c r="G21" s="674"/>
      <c r="H21" s="1469" t="s">
        <v>1730</v>
      </c>
      <c r="I21" s="1452">
        <v>57976880</v>
      </c>
      <c r="J21" s="1452">
        <v>42117820</v>
      </c>
      <c r="K21" s="1452">
        <v>42117820</v>
      </c>
      <c r="L21" s="1452">
        <v>42117820</v>
      </c>
      <c r="M21" s="1452">
        <f t="shared" ref="M21:AB21" si="11">+M22+M23</f>
        <v>0</v>
      </c>
      <c r="N21" s="1452">
        <f t="shared" si="11"/>
        <v>0</v>
      </c>
      <c r="O21" s="1452">
        <f t="shared" si="11"/>
        <v>0</v>
      </c>
      <c r="P21" s="1452">
        <f t="shared" si="11"/>
        <v>0</v>
      </c>
      <c r="Q21" s="1452">
        <f t="shared" si="11"/>
        <v>0</v>
      </c>
      <c r="R21" s="1452">
        <f t="shared" si="11"/>
        <v>0</v>
      </c>
      <c r="S21" s="1452">
        <f t="shared" si="11"/>
        <v>0</v>
      </c>
      <c r="T21" s="1452">
        <f t="shared" si="11"/>
        <v>0</v>
      </c>
      <c r="U21" s="1452">
        <f t="shared" si="11"/>
        <v>0</v>
      </c>
      <c r="V21" s="1452">
        <f t="shared" si="11"/>
        <v>0</v>
      </c>
      <c r="W21" s="1452">
        <f t="shared" si="11"/>
        <v>0</v>
      </c>
      <c r="X21" s="1452">
        <f t="shared" si="11"/>
        <v>0</v>
      </c>
      <c r="Y21" s="1452">
        <f t="shared" si="11"/>
        <v>0</v>
      </c>
      <c r="Z21" s="1452">
        <f t="shared" si="11"/>
        <v>0</v>
      </c>
      <c r="AA21" s="1452">
        <f t="shared" si="11"/>
        <v>0</v>
      </c>
      <c r="AB21" s="1452">
        <f t="shared" si="11"/>
        <v>0</v>
      </c>
      <c r="AC21" s="1452">
        <f t="shared" si="1"/>
        <v>57976880</v>
      </c>
      <c r="AD21" s="1452">
        <f t="shared" si="1"/>
        <v>42117820</v>
      </c>
      <c r="AE21" s="1452">
        <f t="shared" si="1"/>
        <v>42117820</v>
      </c>
      <c r="AF21" s="1452">
        <f t="shared" si="1"/>
        <v>42117820</v>
      </c>
      <c r="AG21" s="1450"/>
    </row>
    <row r="22" spans="1:33" ht="16.5" thickTop="1" thickBot="1" x14ac:dyDescent="0.3">
      <c r="A22" s="673">
        <v>2</v>
      </c>
      <c r="B22" s="674" t="s">
        <v>1378</v>
      </c>
      <c r="C22" s="674" t="s">
        <v>1415</v>
      </c>
      <c r="D22" s="674" t="s">
        <v>1391</v>
      </c>
      <c r="E22" s="674" t="s">
        <v>1378</v>
      </c>
      <c r="F22" s="674" t="s">
        <v>1378</v>
      </c>
      <c r="G22" s="674"/>
      <c r="H22" s="1469" t="s">
        <v>1731</v>
      </c>
      <c r="I22" s="1452">
        <v>0</v>
      </c>
      <c r="J22" s="1452"/>
      <c r="K22" s="1452"/>
      <c r="L22" s="1452"/>
      <c r="M22" s="1452"/>
      <c r="N22" s="1452"/>
      <c r="O22" s="1452"/>
      <c r="P22" s="1452"/>
      <c r="Q22" s="1452"/>
      <c r="R22" s="1452"/>
      <c r="S22" s="1452"/>
      <c r="T22" s="1452"/>
      <c r="U22" s="1452"/>
      <c r="V22" s="1452"/>
      <c r="W22" s="1452"/>
      <c r="X22" s="1452"/>
      <c r="Y22" s="1452"/>
      <c r="Z22" s="1452"/>
      <c r="AA22" s="1452"/>
      <c r="AB22" s="1452"/>
      <c r="AC22" s="1452">
        <f t="shared" si="1"/>
        <v>0</v>
      </c>
      <c r="AD22" s="1452">
        <f t="shared" si="1"/>
        <v>0</v>
      </c>
      <c r="AE22" s="1452">
        <f t="shared" si="1"/>
        <v>0</v>
      </c>
      <c r="AF22" s="1452">
        <f t="shared" si="1"/>
        <v>0</v>
      </c>
      <c r="AG22" s="1450"/>
    </row>
    <row r="23" spans="1:33" ht="16.5" thickTop="1" thickBot="1" x14ac:dyDescent="0.3">
      <c r="A23" s="673">
        <v>2</v>
      </c>
      <c r="B23" s="674" t="s">
        <v>1378</v>
      </c>
      <c r="C23" s="674" t="s">
        <v>1415</v>
      </c>
      <c r="D23" s="674" t="s">
        <v>1391</v>
      </c>
      <c r="E23" s="674" t="s">
        <v>1378</v>
      </c>
      <c r="F23" s="674" t="s">
        <v>1391</v>
      </c>
      <c r="G23" s="674"/>
      <c r="H23" s="1469" t="s">
        <v>1732</v>
      </c>
      <c r="I23" s="1452">
        <v>0</v>
      </c>
      <c r="J23" s="1452"/>
      <c r="K23" s="1452"/>
      <c r="L23" s="1452"/>
      <c r="M23" s="1452"/>
      <c r="N23" s="1452"/>
      <c r="O23" s="1452"/>
      <c r="P23" s="1452"/>
      <c r="Q23" s="1452"/>
      <c r="R23" s="1452"/>
      <c r="S23" s="1452"/>
      <c r="T23" s="1452"/>
      <c r="U23" s="1452"/>
      <c r="V23" s="1452"/>
      <c r="W23" s="1452"/>
      <c r="X23" s="1452"/>
      <c r="Y23" s="1452"/>
      <c r="Z23" s="1452"/>
      <c r="AA23" s="1452"/>
      <c r="AB23" s="1452"/>
      <c r="AC23" s="1452">
        <f t="shared" si="1"/>
        <v>0</v>
      </c>
      <c r="AD23" s="1452">
        <f t="shared" si="1"/>
        <v>0</v>
      </c>
      <c r="AE23" s="1452">
        <f t="shared" si="1"/>
        <v>0</v>
      </c>
      <c r="AF23" s="1452">
        <f t="shared" si="1"/>
        <v>0</v>
      </c>
      <c r="AG23" s="1450"/>
    </row>
    <row r="24" spans="1:33" s="676" customFormat="1" ht="16.5" thickTop="1" thickBot="1" x14ac:dyDescent="0.3">
      <c r="A24" s="677">
        <v>2</v>
      </c>
      <c r="B24" s="678" t="s">
        <v>1378</v>
      </c>
      <c r="C24" s="678" t="s">
        <v>1415</v>
      </c>
      <c r="D24" s="678" t="s">
        <v>1415</v>
      </c>
      <c r="E24" s="678"/>
      <c r="F24" s="678"/>
      <c r="G24" s="678"/>
      <c r="H24" s="1470" t="s">
        <v>1301</v>
      </c>
      <c r="I24" s="1454">
        <f>+I25+I26</f>
        <v>10000000</v>
      </c>
      <c r="J24" s="1454">
        <f t="shared" ref="J24:AB24" si="12">+J25+J26</f>
        <v>6021379</v>
      </c>
      <c r="K24" s="1454">
        <f t="shared" si="12"/>
        <v>0</v>
      </c>
      <c r="L24" s="1454">
        <f t="shared" si="12"/>
        <v>0</v>
      </c>
      <c r="M24" s="1454">
        <f t="shared" si="12"/>
        <v>0</v>
      </c>
      <c r="N24" s="1454">
        <f t="shared" si="12"/>
        <v>0</v>
      </c>
      <c r="O24" s="1454">
        <f t="shared" si="12"/>
        <v>0</v>
      </c>
      <c r="P24" s="1454">
        <f t="shared" si="12"/>
        <v>0</v>
      </c>
      <c r="Q24" s="1454">
        <f t="shared" si="12"/>
        <v>218879610</v>
      </c>
      <c r="R24" s="1454">
        <f t="shared" si="12"/>
        <v>218879610</v>
      </c>
      <c r="S24" s="1454">
        <f t="shared" si="12"/>
        <v>200000000</v>
      </c>
      <c r="T24" s="1454">
        <f t="shared" si="12"/>
        <v>0</v>
      </c>
      <c r="U24" s="1454">
        <f t="shared" si="12"/>
        <v>0</v>
      </c>
      <c r="V24" s="1454">
        <f t="shared" si="12"/>
        <v>0</v>
      </c>
      <c r="W24" s="1454">
        <f t="shared" si="12"/>
        <v>0</v>
      </c>
      <c r="X24" s="1454">
        <f t="shared" si="12"/>
        <v>0</v>
      </c>
      <c r="Y24" s="1454">
        <f t="shared" si="12"/>
        <v>0</v>
      </c>
      <c r="Z24" s="1454">
        <f t="shared" si="12"/>
        <v>0</v>
      </c>
      <c r="AA24" s="1454">
        <f t="shared" si="12"/>
        <v>0</v>
      </c>
      <c r="AB24" s="1454">
        <f t="shared" si="12"/>
        <v>0</v>
      </c>
      <c r="AC24" s="1454">
        <f t="shared" si="1"/>
        <v>228879610</v>
      </c>
      <c r="AD24" s="1454">
        <f t="shared" si="1"/>
        <v>224900989</v>
      </c>
      <c r="AE24" s="1454">
        <f t="shared" si="1"/>
        <v>200000000</v>
      </c>
      <c r="AF24" s="1454">
        <f t="shared" si="1"/>
        <v>0</v>
      </c>
      <c r="AG24" s="1450"/>
    </row>
    <row r="25" spans="1:33" ht="16.5" thickTop="1" thickBot="1" x14ac:dyDescent="0.3">
      <c r="A25" s="673">
        <v>2</v>
      </c>
      <c r="B25" s="674" t="s">
        <v>1378</v>
      </c>
      <c r="C25" s="674" t="s">
        <v>1415</v>
      </c>
      <c r="D25" s="674" t="s">
        <v>1415</v>
      </c>
      <c r="E25" s="674" t="s">
        <v>1378</v>
      </c>
      <c r="F25" s="674"/>
      <c r="G25" s="674"/>
      <c r="H25" s="1469" t="s">
        <v>1733</v>
      </c>
      <c r="I25" s="1452">
        <v>10000000</v>
      </c>
      <c r="J25" s="1452">
        <v>6021379</v>
      </c>
      <c r="K25" s="1452">
        <v>0</v>
      </c>
      <c r="L25" s="1452">
        <v>0</v>
      </c>
      <c r="M25" s="1452"/>
      <c r="N25" s="1452"/>
      <c r="O25" s="1452"/>
      <c r="P25" s="1452"/>
      <c r="Q25" s="1452">
        <v>218879610</v>
      </c>
      <c r="R25" s="1452">
        <v>218879610</v>
      </c>
      <c r="S25" s="1452">
        <v>200000000</v>
      </c>
      <c r="T25" s="1452">
        <v>0</v>
      </c>
      <c r="U25" s="1452"/>
      <c r="V25" s="1452"/>
      <c r="W25" s="1452"/>
      <c r="X25" s="1452"/>
      <c r="Y25" s="1452"/>
      <c r="Z25" s="1452"/>
      <c r="AA25" s="1452"/>
      <c r="AB25" s="1452"/>
      <c r="AC25" s="1452">
        <f t="shared" si="1"/>
        <v>228879610</v>
      </c>
      <c r="AD25" s="1452">
        <f t="shared" si="1"/>
        <v>224900989</v>
      </c>
      <c r="AE25" s="1452">
        <f t="shared" si="1"/>
        <v>200000000</v>
      </c>
      <c r="AF25" s="1452">
        <f t="shared" si="1"/>
        <v>0</v>
      </c>
      <c r="AG25" s="1450"/>
    </row>
    <row r="26" spans="1:33" ht="16.5" thickTop="1" thickBot="1" x14ac:dyDescent="0.3">
      <c r="A26" s="673">
        <v>2</v>
      </c>
      <c r="B26" s="674" t="s">
        <v>1378</v>
      </c>
      <c r="C26" s="674" t="s">
        <v>1415</v>
      </c>
      <c r="D26" s="674" t="s">
        <v>1415</v>
      </c>
      <c r="E26" s="674" t="s">
        <v>1391</v>
      </c>
      <c r="F26" s="674"/>
      <c r="G26" s="674"/>
      <c r="H26" s="1469" t="s">
        <v>1734</v>
      </c>
      <c r="I26" s="1452"/>
      <c r="J26" s="1452"/>
      <c r="K26" s="1452"/>
      <c r="L26" s="1452"/>
      <c r="M26" s="1452"/>
      <c r="N26" s="1452"/>
      <c r="O26" s="1452"/>
      <c r="P26" s="1452"/>
      <c r="Q26" s="1452"/>
      <c r="R26" s="1452"/>
      <c r="S26" s="1452"/>
      <c r="T26" s="1452"/>
      <c r="U26" s="1452"/>
      <c r="V26" s="1452"/>
      <c r="W26" s="1452"/>
      <c r="X26" s="1452"/>
      <c r="Y26" s="1452"/>
      <c r="Z26" s="1452"/>
      <c r="AA26" s="1452"/>
      <c r="AB26" s="1452"/>
      <c r="AC26" s="1452">
        <f t="shared" si="1"/>
        <v>0</v>
      </c>
      <c r="AD26" s="1452">
        <f t="shared" si="1"/>
        <v>0</v>
      </c>
      <c r="AE26" s="1452">
        <f t="shared" si="1"/>
        <v>0</v>
      </c>
      <c r="AF26" s="1452">
        <f t="shared" si="1"/>
        <v>0</v>
      </c>
      <c r="AG26" s="1450"/>
    </row>
    <row r="27" spans="1:33" ht="16.5" thickTop="1" thickBot="1" x14ac:dyDescent="0.3">
      <c r="A27" s="672">
        <v>2</v>
      </c>
      <c r="B27" s="671" t="s">
        <v>1378</v>
      </c>
      <c r="C27" s="671" t="s">
        <v>1419</v>
      </c>
      <c r="D27" s="671"/>
      <c r="E27" s="671"/>
      <c r="F27" s="671"/>
      <c r="G27" s="671"/>
      <c r="H27" s="1468" t="s">
        <v>1735</v>
      </c>
      <c r="I27" s="1451">
        <f t="shared" ref="I27:AB27" si="13">+I28+I32+I34+I36</f>
        <v>65945000</v>
      </c>
      <c r="J27" s="1451">
        <f t="shared" si="13"/>
        <v>64389801</v>
      </c>
      <c r="K27" s="1451">
        <f t="shared" si="13"/>
        <v>64389801</v>
      </c>
      <c r="L27" s="1451">
        <f t="shared" si="13"/>
        <v>57971155</v>
      </c>
      <c r="M27" s="1451">
        <f t="shared" si="13"/>
        <v>31392000</v>
      </c>
      <c r="N27" s="1451">
        <f t="shared" si="13"/>
        <v>31392000</v>
      </c>
      <c r="O27" s="1451">
        <f t="shared" si="13"/>
        <v>0</v>
      </c>
      <c r="P27" s="1451">
        <f t="shared" si="13"/>
        <v>0</v>
      </c>
      <c r="Q27" s="1451">
        <f t="shared" si="13"/>
        <v>69747718</v>
      </c>
      <c r="R27" s="1451">
        <f t="shared" si="13"/>
        <v>69747718</v>
      </c>
      <c r="S27" s="1451">
        <f t="shared" si="13"/>
        <v>39020672</v>
      </c>
      <c r="T27" s="1451">
        <f t="shared" si="13"/>
        <v>39020672</v>
      </c>
      <c r="U27" s="1451">
        <f t="shared" si="13"/>
        <v>0</v>
      </c>
      <c r="V27" s="1451">
        <f t="shared" si="13"/>
        <v>0</v>
      </c>
      <c r="W27" s="1451">
        <f t="shared" si="13"/>
        <v>0</v>
      </c>
      <c r="X27" s="1451">
        <f t="shared" si="13"/>
        <v>0</v>
      </c>
      <c r="Y27" s="1451">
        <f t="shared" si="13"/>
        <v>0</v>
      </c>
      <c r="Z27" s="1451">
        <f t="shared" si="13"/>
        <v>0</v>
      </c>
      <c r="AA27" s="1451">
        <f t="shared" si="13"/>
        <v>0</v>
      </c>
      <c r="AB27" s="1451">
        <f t="shared" si="13"/>
        <v>0</v>
      </c>
      <c r="AC27" s="1451">
        <f t="shared" si="1"/>
        <v>167084718</v>
      </c>
      <c r="AD27" s="1451">
        <f t="shared" si="1"/>
        <v>165529519</v>
      </c>
      <c r="AE27" s="1451">
        <f t="shared" si="1"/>
        <v>103410473</v>
      </c>
      <c r="AF27" s="1451">
        <f t="shared" si="1"/>
        <v>96991827</v>
      </c>
      <c r="AG27" s="1450"/>
    </row>
    <row r="28" spans="1:33" s="676" customFormat="1" ht="16.5" thickTop="1" thickBot="1" x14ac:dyDescent="0.3">
      <c r="A28" s="677">
        <v>2</v>
      </c>
      <c r="B28" s="678" t="s">
        <v>1378</v>
      </c>
      <c r="C28" s="678" t="s">
        <v>1419</v>
      </c>
      <c r="D28" s="678" t="s">
        <v>1378</v>
      </c>
      <c r="E28" s="678"/>
      <c r="F28" s="678"/>
      <c r="G28" s="678"/>
      <c r="H28" s="1470" t="s">
        <v>1736</v>
      </c>
      <c r="I28" s="1454">
        <f>+I29</f>
        <v>11102000</v>
      </c>
      <c r="J28" s="1454">
        <f t="shared" ref="J28:AB28" si="14">+J29</f>
        <v>11086155</v>
      </c>
      <c r="K28" s="1454">
        <f t="shared" si="14"/>
        <v>11086155</v>
      </c>
      <c r="L28" s="1454">
        <f t="shared" si="14"/>
        <v>11086155</v>
      </c>
      <c r="M28" s="1454">
        <f t="shared" si="14"/>
        <v>31392000</v>
      </c>
      <c r="N28" s="1454">
        <f t="shared" si="14"/>
        <v>31392000</v>
      </c>
      <c r="O28" s="1454">
        <f t="shared" si="14"/>
        <v>0</v>
      </c>
      <c r="P28" s="1454">
        <f t="shared" si="14"/>
        <v>0</v>
      </c>
      <c r="Q28" s="1454">
        <f t="shared" si="14"/>
        <v>30727046</v>
      </c>
      <c r="R28" s="1454">
        <f t="shared" si="14"/>
        <v>30727046</v>
      </c>
      <c r="S28" s="1454">
        <f t="shared" si="14"/>
        <v>0</v>
      </c>
      <c r="T28" s="1454">
        <f t="shared" si="14"/>
        <v>0</v>
      </c>
      <c r="U28" s="1454">
        <f t="shared" si="14"/>
        <v>0</v>
      </c>
      <c r="V28" s="1454">
        <f t="shared" si="14"/>
        <v>0</v>
      </c>
      <c r="W28" s="1454">
        <f t="shared" si="14"/>
        <v>0</v>
      </c>
      <c r="X28" s="1454">
        <f t="shared" si="14"/>
        <v>0</v>
      </c>
      <c r="Y28" s="1454">
        <f t="shared" si="14"/>
        <v>0</v>
      </c>
      <c r="Z28" s="1454">
        <f t="shared" si="14"/>
        <v>0</v>
      </c>
      <c r="AA28" s="1454">
        <f t="shared" si="14"/>
        <v>0</v>
      </c>
      <c r="AB28" s="1454">
        <f t="shared" si="14"/>
        <v>0</v>
      </c>
      <c r="AC28" s="1454">
        <f t="shared" si="1"/>
        <v>73221046</v>
      </c>
      <c r="AD28" s="1454">
        <f t="shared" si="1"/>
        <v>73205201</v>
      </c>
      <c r="AE28" s="1454">
        <f t="shared" si="1"/>
        <v>11086155</v>
      </c>
      <c r="AF28" s="1454">
        <f t="shared" si="1"/>
        <v>11086155</v>
      </c>
      <c r="AG28" s="1450"/>
    </row>
    <row r="29" spans="1:33" s="684" customFormat="1" ht="16.5" thickTop="1" thickBot="1" x14ac:dyDescent="0.3">
      <c r="A29" s="682">
        <v>2</v>
      </c>
      <c r="B29" s="683" t="s">
        <v>1378</v>
      </c>
      <c r="C29" s="683" t="s">
        <v>1419</v>
      </c>
      <c r="D29" s="683" t="s">
        <v>1378</v>
      </c>
      <c r="E29" s="683" t="s">
        <v>1378</v>
      </c>
      <c r="F29" s="683"/>
      <c r="G29" s="683"/>
      <c r="H29" s="1473" t="s">
        <v>1737</v>
      </c>
      <c r="I29" s="1458">
        <f>+I30+I31</f>
        <v>11102000</v>
      </c>
      <c r="J29" s="1458">
        <f t="shared" ref="J29:AB29" si="15">+J30+J31</f>
        <v>11086155</v>
      </c>
      <c r="K29" s="1458">
        <f t="shared" si="15"/>
        <v>11086155</v>
      </c>
      <c r="L29" s="1458">
        <f t="shared" si="15"/>
        <v>11086155</v>
      </c>
      <c r="M29" s="1458">
        <f t="shared" si="15"/>
        <v>31392000</v>
      </c>
      <c r="N29" s="1458">
        <f t="shared" si="15"/>
        <v>31392000</v>
      </c>
      <c r="O29" s="1458">
        <f t="shared" si="15"/>
        <v>0</v>
      </c>
      <c r="P29" s="1458">
        <f t="shared" si="15"/>
        <v>0</v>
      </c>
      <c r="Q29" s="1458">
        <f t="shared" si="15"/>
        <v>30727046</v>
      </c>
      <c r="R29" s="1458">
        <f t="shared" si="15"/>
        <v>30727046</v>
      </c>
      <c r="S29" s="1458">
        <f t="shared" si="15"/>
        <v>0</v>
      </c>
      <c r="T29" s="1458">
        <f t="shared" si="15"/>
        <v>0</v>
      </c>
      <c r="U29" s="1458">
        <f t="shared" si="15"/>
        <v>0</v>
      </c>
      <c r="V29" s="1458">
        <f t="shared" si="15"/>
        <v>0</v>
      </c>
      <c r="W29" s="1458">
        <f t="shared" si="15"/>
        <v>0</v>
      </c>
      <c r="X29" s="1458">
        <f t="shared" si="15"/>
        <v>0</v>
      </c>
      <c r="Y29" s="1458">
        <f t="shared" si="15"/>
        <v>0</v>
      </c>
      <c r="Z29" s="1458">
        <f t="shared" si="15"/>
        <v>0</v>
      </c>
      <c r="AA29" s="1458">
        <f t="shared" si="15"/>
        <v>0</v>
      </c>
      <c r="AB29" s="1458">
        <f t="shared" si="15"/>
        <v>0</v>
      </c>
      <c r="AC29" s="1458">
        <f t="shared" si="1"/>
        <v>73221046</v>
      </c>
      <c r="AD29" s="1458">
        <f t="shared" si="1"/>
        <v>73205201</v>
      </c>
      <c r="AE29" s="1458">
        <f t="shared" si="1"/>
        <v>11086155</v>
      </c>
      <c r="AF29" s="1458">
        <f t="shared" si="1"/>
        <v>11086155</v>
      </c>
      <c r="AG29" s="1450"/>
    </row>
    <row r="30" spans="1:33" s="681" customFormat="1" ht="16.5" thickTop="1" thickBot="1" x14ac:dyDescent="0.3">
      <c r="A30" s="679">
        <v>2</v>
      </c>
      <c r="B30" s="680" t="s">
        <v>1378</v>
      </c>
      <c r="C30" s="680" t="s">
        <v>1419</v>
      </c>
      <c r="D30" s="680" t="s">
        <v>1378</v>
      </c>
      <c r="E30" s="680" t="s">
        <v>1378</v>
      </c>
      <c r="F30" s="680" t="s">
        <v>1378</v>
      </c>
      <c r="G30" s="680"/>
      <c r="H30" s="1469" t="s">
        <v>1738</v>
      </c>
      <c r="I30" s="1452">
        <v>8000</v>
      </c>
      <c r="J30" s="1452">
        <v>0</v>
      </c>
      <c r="K30" s="1452">
        <v>0</v>
      </c>
      <c r="L30" s="1452">
        <v>0</v>
      </c>
      <c r="M30" s="1452">
        <v>31392000</v>
      </c>
      <c r="N30" s="1452">
        <v>31392000</v>
      </c>
      <c r="O30" s="1452">
        <v>0</v>
      </c>
      <c r="P30" s="1452">
        <v>0</v>
      </c>
      <c r="Q30" s="1452">
        <v>30727046</v>
      </c>
      <c r="R30" s="1452">
        <v>30727046</v>
      </c>
      <c r="S30" s="1452">
        <v>0</v>
      </c>
      <c r="T30" s="1452">
        <v>0</v>
      </c>
      <c r="U30" s="1455"/>
      <c r="V30" s="1455"/>
      <c r="W30" s="1455"/>
      <c r="X30" s="1455"/>
      <c r="Y30" s="1455"/>
      <c r="Z30" s="1455"/>
      <c r="AA30" s="1455"/>
      <c r="AB30" s="1455"/>
      <c r="AC30" s="1455">
        <f t="shared" si="1"/>
        <v>62127046</v>
      </c>
      <c r="AD30" s="1455">
        <f t="shared" si="1"/>
        <v>62119046</v>
      </c>
      <c r="AE30" s="1455">
        <f t="shared" si="1"/>
        <v>0</v>
      </c>
      <c r="AF30" s="1455">
        <f t="shared" si="1"/>
        <v>0</v>
      </c>
      <c r="AG30" s="1450"/>
    </row>
    <row r="31" spans="1:33" s="681" customFormat="1" ht="16.5" thickTop="1" thickBot="1" x14ac:dyDescent="0.3">
      <c r="A31" s="679">
        <v>2</v>
      </c>
      <c r="B31" s="680" t="s">
        <v>1378</v>
      </c>
      <c r="C31" s="680" t="s">
        <v>1419</v>
      </c>
      <c r="D31" s="680" t="s">
        <v>1378</v>
      </c>
      <c r="E31" s="680" t="s">
        <v>1378</v>
      </c>
      <c r="F31" s="680" t="s">
        <v>1391</v>
      </c>
      <c r="G31" s="680"/>
      <c r="H31" s="1469" t="s">
        <v>1739</v>
      </c>
      <c r="I31" s="1452">
        <v>11094000</v>
      </c>
      <c r="J31" s="1452">
        <v>11086155</v>
      </c>
      <c r="K31" s="1452">
        <v>11086155</v>
      </c>
      <c r="L31" s="1452">
        <v>11086155</v>
      </c>
      <c r="M31" s="1455"/>
      <c r="N31" s="1455"/>
      <c r="O31" s="1455"/>
      <c r="P31" s="1455"/>
      <c r="Q31" s="1455"/>
      <c r="R31" s="1455"/>
      <c r="S31" s="1455"/>
      <c r="T31" s="1455"/>
      <c r="U31" s="1455"/>
      <c r="V31" s="1455"/>
      <c r="W31" s="1455"/>
      <c r="X31" s="1455"/>
      <c r="Y31" s="1455"/>
      <c r="Z31" s="1455"/>
      <c r="AA31" s="1455"/>
      <c r="AB31" s="1455"/>
      <c r="AC31" s="1455">
        <f t="shared" si="1"/>
        <v>11094000</v>
      </c>
      <c r="AD31" s="1455">
        <f t="shared" si="1"/>
        <v>11086155</v>
      </c>
      <c r="AE31" s="1455">
        <f t="shared" si="1"/>
        <v>11086155</v>
      </c>
      <c r="AF31" s="1455">
        <f t="shared" si="1"/>
        <v>11086155</v>
      </c>
      <c r="AG31" s="1450"/>
    </row>
    <row r="32" spans="1:33" s="676" customFormat="1" ht="16.5" thickTop="1" thickBot="1" x14ac:dyDescent="0.3">
      <c r="A32" s="677">
        <v>2</v>
      </c>
      <c r="B32" s="678" t="s">
        <v>1378</v>
      </c>
      <c r="C32" s="678" t="s">
        <v>1419</v>
      </c>
      <c r="D32" s="678" t="s">
        <v>1391</v>
      </c>
      <c r="E32" s="678"/>
      <c r="F32" s="678"/>
      <c r="G32" s="678"/>
      <c r="H32" s="1470" t="s">
        <v>1740</v>
      </c>
      <c r="I32" s="1454">
        <f>+I33</f>
        <v>0</v>
      </c>
      <c r="J32" s="1454">
        <f t="shared" ref="J32:AB32" si="16">+J33</f>
        <v>0</v>
      </c>
      <c r="K32" s="1454">
        <f t="shared" si="16"/>
        <v>0</v>
      </c>
      <c r="L32" s="1454">
        <f t="shared" si="16"/>
        <v>0</v>
      </c>
      <c r="M32" s="1454">
        <f t="shared" si="16"/>
        <v>0</v>
      </c>
      <c r="N32" s="1454">
        <f t="shared" si="16"/>
        <v>0</v>
      </c>
      <c r="O32" s="1454">
        <f t="shared" si="16"/>
        <v>0</v>
      </c>
      <c r="P32" s="1454">
        <f t="shared" si="16"/>
        <v>0</v>
      </c>
      <c r="Q32" s="1454">
        <f t="shared" si="16"/>
        <v>0</v>
      </c>
      <c r="R32" s="1454">
        <f t="shared" si="16"/>
        <v>0</v>
      </c>
      <c r="S32" s="1454">
        <f t="shared" si="16"/>
        <v>0</v>
      </c>
      <c r="T32" s="1454">
        <f t="shared" si="16"/>
        <v>0</v>
      </c>
      <c r="U32" s="1454">
        <f t="shared" si="16"/>
        <v>0</v>
      </c>
      <c r="V32" s="1454">
        <f t="shared" si="16"/>
        <v>0</v>
      </c>
      <c r="W32" s="1454">
        <f t="shared" si="16"/>
        <v>0</v>
      </c>
      <c r="X32" s="1454">
        <f t="shared" si="16"/>
        <v>0</v>
      </c>
      <c r="Y32" s="1454">
        <f t="shared" si="16"/>
        <v>0</v>
      </c>
      <c r="Z32" s="1454">
        <f t="shared" si="16"/>
        <v>0</v>
      </c>
      <c r="AA32" s="1454">
        <f t="shared" si="16"/>
        <v>0</v>
      </c>
      <c r="AB32" s="1454">
        <f t="shared" si="16"/>
        <v>0</v>
      </c>
      <c r="AC32" s="1454">
        <f t="shared" si="1"/>
        <v>0</v>
      </c>
      <c r="AD32" s="1454">
        <f t="shared" si="1"/>
        <v>0</v>
      </c>
      <c r="AE32" s="1454">
        <f t="shared" si="1"/>
        <v>0</v>
      </c>
      <c r="AF32" s="1454">
        <f t="shared" si="1"/>
        <v>0</v>
      </c>
      <c r="AG32" s="1450"/>
    </row>
    <row r="33" spans="1:33" s="681" customFormat="1" ht="16.5" thickTop="1" thickBot="1" x14ac:dyDescent="0.3">
      <c r="A33" s="679">
        <v>2</v>
      </c>
      <c r="B33" s="680" t="s">
        <v>1378</v>
      </c>
      <c r="C33" s="680" t="s">
        <v>1419</v>
      </c>
      <c r="D33" s="680" t="s">
        <v>1391</v>
      </c>
      <c r="E33" s="680" t="s">
        <v>1378</v>
      </c>
      <c r="F33" s="680"/>
      <c r="G33" s="680"/>
      <c r="H33" s="1469" t="s">
        <v>1741</v>
      </c>
      <c r="I33" s="1455"/>
      <c r="J33" s="1455"/>
      <c r="K33" s="1455"/>
      <c r="L33" s="1455"/>
      <c r="M33" s="1455"/>
      <c r="N33" s="1455"/>
      <c r="O33" s="1455"/>
      <c r="P33" s="1455"/>
      <c r="Q33" s="1455"/>
      <c r="R33" s="1455"/>
      <c r="S33" s="1455"/>
      <c r="T33" s="1455"/>
      <c r="U33" s="1455"/>
      <c r="V33" s="1455"/>
      <c r="W33" s="1455"/>
      <c r="X33" s="1455"/>
      <c r="Y33" s="1455"/>
      <c r="Z33" s="1455"/>
      <c r="AA33" s="1455"/>
      <c r="AB33" s="1455"/>
      <c r="AC33" s="1455">
        <f t="shared" si="1"/>
        <v>0</v>
      </c>
      <c r="AD33" s="1455">
        <f t="shared" si="1"/>
        <v>0</v>
      </c>
      <c r="AE33" s="1455">
        <f t="shared" si="1"/>
        <v>0</v>
      </c>
      <c r="AF33" s="1455">
        <f t="shared" si="1"/>
        <v>0</v>
      </c>
      <c r="AG33" s="1450"/>
    </row>
    <row r="34" spans="1:33" s="676" customFormat="1" ht="16.5" thickTop="1" thickBot="1" x14ac:dyDescent="0.3">
      <c r="A34" s="677">
        <v>2</v>
      </c>
      <c r="B34" s="678" t="s">
        <v>1378</v>
      </c>
      <c r="C34" s="678" t="s">
        <v>1419</v>
      </c>
      <c r="D34" s="678" t="s">
        <v>1415</v>
      </c>
      <c r="E34" s="678"/>
      <c r="F34" s="678"/>
      <c r="G34" s="678"/>
      <c r="H34" s="1470" t="s">
        <v>1742</v>
      </c>
      <c r="I34" s="1454">
        <f>+I35</f>
        <v>7000000</v>
      </c>
      <c r="J34" s="1454">
        <f t="shared" ref="J34:AB34" si="17">+J35</f>
        <v>6418646</v>
      </c>
      <c r="K34" s="1454">
        <f t="shared" si="17"/>
        <v>6418646</v>
      </c>
      <c r="L34" s="1454">
        <f t="shared" si="17"/>
        <v>0</v>
      </c>
      <c r="M34" s="1454">
        <f t="shared" si="17"/>
        <v>0</v>
      </c>
      <c r="N34" s="1454">
        <f t="shared" si="17"/>
        <v>0</v>
      </c>
      <c r="O34" s="1454">
        <f t="shared" si="17"/>
        <v>0</v>
      </c>
      <c r="P34" s="1454">
        <f t="shared" si="17"/>
        <v>0</v>
      </c>
      <c r="Q34" s="1454">
        <f t="shared" si="17"/>
        <v>39020672</v>
      </c>
      <c r="R34" s="1454">
        <f t="shared" si="17"/>
        <v>39020672</v>
      </c>
      <c r="S34" s="1454">
        <f t="shared" si="17"/>
        <v>39020672</v>
      </c>
      <c r="T34" s="1454">
        <f t="shared" si="17"/>
        <v>39020672</v>
      </c>
      <c r="U34" s="1454">
        <f t="shared" si="17"/>
        <v>0</v>
      </c>
      <c r="V34" s="1454">
        <f t="shared" si="17"/>
        <v>0</v>
      </c>
      <c r="W34" s="1454">
        <f t="shared" si="17"/>
        <v>0</v>
      </c>
      <c r="X34" s="1454">
        <f t="shared" si="17"/>
        <v>0</v>
      </c>
      <c r="Y34" s="1454">
        <f t="shared" si="17"/>
        <v>0</v>
      </c>
      <c r="Z34" s="1454">
        <f t="shared" si="17"/>
        <v>0</v>
      </c>
      <c r="AA34" s="1454">
        <f t="shared" si="17"/>
        <v>0</v>
      </c>
      <c r="AB34" s="1454">
        <f t="shared" si="17"/>
        <v>0</v>
      </c>
      <c r="AC34" s="1454">
        <f t="shared" si="1"/>
        <v>46020672</v>
      </c>
      <c r="AD34" s="1454">
        <f t="shared" si="1"/>
        <v>45439318</v>
      </c>
      <c r="AE34" s="1454">
        <f t="shared" si="1"/>
        <v>45439318</v>
      </c>
      <c r="AF34" s="1454">
        <f t="shared" si="1"/>
        <v>39020672</v>
      </c>
      <c r="AG34" s="1450"/>
    </row>
    <row r="35" spans="1:33" s="685" customFormat="1" ht="16.5" thickTop="1" thickBot="1" x14ac:dyDescent="0.3">
      <c r="A35" s="673">
        <v>2</v>
      </c>
      <c r="B35" s="674" t="s">
        <v>1378</v>
      </c>
      <c r="C35" s="674" t="s">
        <v>1419</v>
      </c>
      <c r="D35" s="674" t="s">
        <v>1415</v>
      </c>
      <c r="E35" s="674" t="s">
        <v>1378</v>
      </c>
      <c r="F35" s="674"/>
      <c r="G35" s="674"/>
      <c r="H35" s="1469" t="s">
        <v>1743</v>
      </c>
      <c r="I35" s="1452">
        <v>7000000</v>
      </c>
      <c r="J35" s="1452">
        <v>6418646</v>
      </c>
      <c r="K35" s="1452">
        <v>6418646</v>
      </c>
      <c r="L35" s="1452">
        <v>0</v>
      </c>
      <c r="M35" s="1452"/>
      <c r="N35" s="1452"/>
      <c r="O35" s="1452"/>
      <c r="P35" s="1452"/>
      <c r="Q35" s="1452">
        <v>39020672</v>
      </c>
      <c r="R35" s="1452">
        <v>39020672</v>
      </c>
      <c r="S35" s="1452">
        <v>39020672</v>
      </c>
      <c r="T35" s="1452">
        <v>39020672</v>
      </c>
      <c r="U35" s="1452"/>
      <c r="V35" s="1452"/>
      <c r="W35" s="1452"/>
      <c r="X35" s="1452"/>
      <c r="Y35" s="1452"/>
      <c r="Z35" s="1452"/>
      <c r="AA35" s="1452"/>
      <c r="AB35" s="1452"/>
      <c r="AC35" s="1452">
        <f t="shared" si="1"/>
        <v>46020672</v>
      </c>
      <c r="AD35" s="1452">
        <f t="shared" si="1"/>
        <v>45439318</v>
      </c>
      <c r="AE35" s="1452">
        <f t="shared" si="1"/>
        <v>45439318</v>
      </c>
      <c r="AF35" s="1452">
        <f t="shared" si="1"/>
        <v>39020672</v>
      </c>
      <c r="AG35" s="1450"/>
    </row>
    <row r="36" spans="1:33" ht="16.5" thickTop="1" thickBot="1" x14ac:dyDescent="0.3">
      <c r="A36" s="686">
        <v>2</v>
      </c>
      <c r="B36" s="687" t="s">
        <v>1378</v>
      </c>
      <c r="C36" s="678" t="s">
        <v>1419</v>
      </c>
      <c r="D36" s="678" t="s">
        <v>1419</v>
      </c>
      <c r="E36" s="686"/>
      <c r="F36" s="686"/>
      <c r="G36" s="686"/>
      <c r="H36" s="1470" t="s">
        <v>1479</v>
      </c>
      <c r="I36" s="1459">
        <f>+I37+I38+I39</f>
        <v>47843000</v>
      </c>
      <c r="J36" s="1459">
        <f t="shared" ref="J36:AB36" si="18">+J37+J38+J39</f>
        <v>46885000</v>
      </c>
      <c r="K36" s="1459">
        <f t="shared" si="18"/>
        <v>46885000</v>
      </c>
      <c r="L36" s="1459">
        <f t="shared" si="18"/>
        <v>46885000</v>
      </c>
      <c r="M36" s="1459">
        <f t="shared" si="18"/>
        <v>0</v>
      </c>
      <c r="N36" s="1459">
        <f t="shared" si="18"/>
        <v>0</v>
      </c>
      <c r="O36" s="1459">
        <f t="shared" si="18"/>
        <v>0</v>
      </c>
      <c r="P36" s="1459">
        <f t="shared" si="18"/>
        <v>0</v>
      </c>
      <c r="Q36" s="1459">
        <f t="shared" si="18"/>
        <v>0</v>
      </c>
      <c r="R36" s="1459">
        <f t="shared" si="18"/>
        <v>0</v>
      </c>
      <c r="S36" s="1459">
        <f t="shared" si="18"/>
        <v>0</v>
      </c>
      <c r="T36" s="1459">
        <f t="shared" si="18"/>
        <v>0</v>
      </c>
      <c r="U36" s="1459">
        <f t="shared" si="18"/>
        <v>0</v>
      </c>
      <c r="V36" s="1459">
        <f t="shared" si="18"/>
        <v>0</v>
      </c>
      <c r="W36" s="1459">
        <f t="shared" si="18"/>
        <v>0</v>
      </c>
      <c r="X36" s="1459">
        <f t="shared" si="18"/>
        <v>0</v>
      </c>
      <c r="Y36" s="1459">
        <f t="shared" si="18"/>
        <v>0</v>
      </c>
      <c r="Z36" s="1459">
        <f t="shared" si="18"/>
        <v>0</v>
      </c>
      <c r="AA36" s="1459">
        <f t="shared" si="18"/>
        <v>0</v>
      </c>
      <c r="AB36" s="1459">
        <f t="shared" si="18"/>
        <v>0</v>
      </c>
      <c r="AC36" s="1459">
        <f t="shared" si="1"/>
        <v>47843000</v>
      </c>
      <c r="AD36" s="1459">
        <f t="shared" si="1"/>
        <v>46885000</v>
      </c>
      <c r="AE36" s="1459">
        <f t="shared" si="1"/>
        <v>46885000</v>
      </c>
      <c r="AF36" s="1459">
        <f t="shared" si="1"/>
        <v>46885000</v>
      </c>
      <c r="AG36" s="1450"/>
    </row>
    <row r="37" spans="1:33" s="685" customFormat="1" ht="16.5" thickTop="1" thickBot="1" x14ac:dyDescent="0.3">
      <c r="A37" s="673">
        <v>2</v>
      </c>
      <c r="B37" s="674" t="s">
        <v>1378</v>
      </c>
      <c r="C37" s="674" t="s">
        <v>1419</v>
      </c>
      <c r="D37" s="674" t="s">
        <v>1419</v>
      </c>
      <c r="E37" s="674" t="s">
        <v>1378</v>
      </c>
      <c r="F37" s="674"/>
      <c r="G37" s="674"/>
      <c r="H37" s="1469" t="s">
        <v>1744</v>
      </c>
      <c r="I37" s="1452"/>
      <c r="J37" s="1452"/>
      <c r="K37" s="1452"/>
      <c r="L37" s="1452"/>
      <c r="M37" s="1452"/>
      <c r="N37" s="1452"/>
      <c r="O37" s="1452"/>
      <c r="P37" s="1452"/>
      <c r="Q37" s="1452"/>
      <c r="R37" s="1452"/>
      <c r="S37" s="1452"/>
      <c r="T37" s="1452"/>
      <c r="U37" s="1452"/>
      <c r="V37" s="1452"/>
      <c r="W37" s="1452"/>
      <c r="X37" s="1452"/>
      <c r="Y37" s="1452"/>
      <c r="Z37" s="1452"/>
      <c r="AA37" s="1452"/>
      <c r="AB37" s="1452"/>
      <c r="AC37" s="1452">
        <f t="shared" si="1"/>
        <v>0</v>
      </c>
      <c r="AD37" s="1452">
        <f t="shared" si="1"/>
        <v>0</v>
      </c>
      <c r="AE37" s="1452">
        <f t="shared" si="1"/>
        <v>0</v>
      </c>
      <c r="AF37" s="1452">
        <f t="shared" si="1"/>
        <v>0</v>
      </c>
      <c r="AG37" s="1450"/>
    </row>
    <row r="38" spans="1:33" s="685" customFormat="1" ht="16.5" thickTop="1" thickBot="1" x14ac:dyDescent="0.3">
      <c r="A38" s="673">
        <v>2</v>
      </c>
      <c r="B38" s="674" t="s">
        <v>1378</v>
      </c>
      <c r="C38" s="674" t="s">
        <v>1419</v>
      </c>
      <c r="D38" s="674" t="s">
        <v>1419</v>
      </c>
      <c r="E38" s="674" t="s">
        <v>1391</v>
      </c>
      <c r="F38" s="674"/>
      <c r="G38" s="674"/>
      <c r="H38" s="1469" t="s">
        <v>1745</v>
      </c>
      <c r="I38" s="1452">
        <v>47843000</v>
      </c>
      <c r="J38" s="1452">
        <v>46885000</v>
      </c>
      <c r="K38" s="1452">
        <v>46885000</v>
      </c>
      <c r="L38" s="1452">
        <v>46885000</v>
      </c>
      <c r="M38" s="1452"/>
      <c r="N38" s="1452"/>
      <c r="O38" s="1452"/>
      <c r="P38" s="1452"/>
      <c r="Q38" s="1452"/>
      <c r="R38" s="1452"/>
      <c r="S38" s="1452"/>
      <c r="T38" s="1452"/>
      <c r="U38" s="1452"/>
      <c r="V38" s="1452"/>
      <c r="W38" s="1452"/>
      <c r="X38" s="1452"/>
      <c r="Y38" s="1452"/>
      <c r="Z38" s="1452"/>
      <c r="AA38" s="1452"/>
      <c r="AB38" s="1452"/>
      <c r="AC38" s="1452">
        <f t="shared" si="1"/>
        <v>47843000</v>
      </c>
      <c r="AD38" s="1452">
        <f t="shared" si="1"/>
        <v>46885000</v>
      </c>
      <c r="AE38" s="1452">
        <f t="shared" si="1"/>
        <v>46885000</v>
      </c>
      <c r="AF38" s="1452">
        <f t="shared" si="1"/>
        <v>46885000</v>
      </c>
      <c r="AG38" s="1450"/>
    </row>
    <row r="39" spans="1:33" s="685" customFormat="1" ht="16.5" thickTop="1" thickBot="1" x14ac:dyDescent="0.3">
      <c r="A39" s="673">
        <v>2</v>
      </c>
      <c r="B39" s="674" t="s">
        <v>1378</v>
      </c>
      <c r="C39" s="674" t="s">
        <v>1419</v>
      </c>
      <c r="D39" s="674" t="s">
        <v>1419</v>
      </c>
      <c r="E39" s="674" t="s">
        <v>1415</v>
      </c>
      <c r="F39" s="674"/>
      <c r="G39" s="674"/>
      <c r="H39" s="1469" t="s">
        <v>1489</v>
      </c>
      <c r="I39" s="1452"/>
      <c r="J39" s="1452"/>
      <c r="K39" s="1452"/>
      <c r="L39" s="1452"/>
      <c r="M39" s="1452"/>
      <c r="N39" s="1452"/>
      <c r="O39" s="1452"/>
      <c r="P39" s="1452"/>
      <c r="Q39" s="1452"/>
      <c r="R39" s="1452"/>
      <c r="S39" s="1452"/>
      <c r="T39" s="1452"/>
      <c r="U39" s="1452"/>
      <c r="V39" s="1452"/>
      <c r="W39" s="1452"/>
      <c r="X39" s="1452"/>
      <c r="Y39" s="1452"/>
      <c r="Z39" s="1452"/>
      <c r="AA39" s="1452"/>
      <c r="AB39" s="1452"/>
      <c r="AC39" s="1452">
        <f t="shared" si="1"/>
        <v>0</v>
      </c>
      <c r="AD39" s="1452">
        <f t="shared" si="1"/>
        <v>0</v>
      </c>
      <c r="AE39" s="1452">
        <f t="shared" si="1"/>
        <v>0</v>
      </c>
      <c r="AF39" s="1452">
        <f t="shared" si="1"/>
        <v>0</v>
      </c>
      <c r="AG39" s="1450"/>
    </row>
    <row r="40" spans="1:33" ht="16.5" thickTop="1" thickBot="1" x14ac:dyDescent="0.3">
      <c r="A40" s="672">
        <v>2</v>
      </c>
      <c r="B40" s="671" t="s">
        <v>1391</v>
      </c>
      <c r="C40" s="671"/>
      <c r="D40" s="671"/>
      <c r="E40" s="671"/>
      <c r="F40" s="671"/>
      <c r="G40" s="671"/>
      <c r="H40" s="1468" t="s">
        <v>1746</v>
      </c>
      <c r="I40" s="1460">
        <f>+I41+I45</f>
        <v>0</v>
      </c>
      <c r="J40" s="1460">
        <f t="shared" ref="J40:AB40" si="19">+J41+J45</f>
        <v>0</v>
      </c>
      <c r="K40" s="1460">
        <f t="shared" si="19"/>
        <v>0</v>
      </c>
      <c r="L40" s="1460">
        <f t="shared" si="19"/>
        <v>0</v>
      </c>
      <c r="M40" s="1460">
        <f t="shared" si="19"/>
        <v>0</v>
      </c>
      <c r="N40" s="1460">
        <f t="shared" si="19"/>
        <v>0</v>
      </c>
      <c r="O40" s="1460">
        <f t="shared" si="19"/>
        <v>0</v>
      </c>
      <c r="P40" s="1460">
        <f t="shared" si="19"/>
        <v>0</v>
      </c>
      <c r="Q40" s="1460">
        <f t="shared" si="19"/>
        <v>0</v>
      </c>
      <c r="R40" s="1460">
        <f t="shared" si="19"/>
        <v>0</v>
      </c>
      <c r="S40" s="1460">
        <f t="shared" si="19"/>
        <v>0</v>
      </c>
      <c r="T40" s="1460">
        <f t="shared" si="19"/>
        <v>0</v>
      </c>
      <c r="U40" s="1460">
        <f t="shared" si="19"/>
        <v>0</v>
      </c>
      <c r="V40" s="1460">
        <f t="shared" si="19"/>
        <v>0</v>
      </c>
      <c r="W40" s="1460">
        <f t="shared" si="19"/>
        <v>0</v>
      </c>
      <c r="X40" s="1460">
        <f t="shared" si="19"/>
        <v>0</v>
      </c>
      <c r="Y40" s="1460">
        <f t="shared" si="19"/>
        <v>0</v>
      </c>
      <c r="Z40" s="1460">
        <f t="shared" si="19"/>
        <v>0</v>
      </c>
      <c r="AA40" s="1460">
        <f t="shared" si="19"/>
        <v>0</v>
      </c>
      <c r="AB40" s="1460">
        <f t="shared" si="19"/>
        <v>0</v>
      </c>
      <c r="AC40" s="1460">
        <f t="shared" si="1"/>
        <v>0</v>
      </c>
      <c r="AD40" s="1460">
        <f t="shared" si="1"/>
        <v>0</v>
      </c>
      <c r="AE40" s="1460">
        <f t="shared" si="1"/>
        <v>0</v>
      </c>
      <c r="AF40" s="1460">
        <f t="shared" si="1"/>
        <v>0</v>
      </c>
      <c r="AG40" s="1450"/>
    </row>
    <row r="41" spans="1:33" ht="16.5" thickTop="1" thickBot="1" x14ac:dyDescent="0.3">
      <c r="A41" s="686">
        <v>2</v>
      </c>
      <c r="B41" s="687" t="s">
        <v>1391</v>
      </c>
      <c r="C41" s="678" t="s">
        <v>1378</v>
      </c>
      <c r="D41" s="677"/>
      <c r="E41" s="678"/>
      <c r="F41" s="678"/>
      <c r="G41" s="678"/>
      <c r="H41" s="1470" t="s">
        <v>1747</v>
      </c>
      <c r="I41" s="1461">
        <f>+I42+I43+I44</f>
        <v>0</v>
      </c>
      <c r="J41" s="1461">
        <f t="shared" ref="J41:AB41" si="20">+J42+J43+J44</f>
        <v>0</v>
      </c>
      <c r="K41" s="1461">
        <f t="shared" si="20"/>
        <v>0</v>
      </c>
      <c r="L41" s="1461">
        <f t="shared" si="20"/>
        <v>0</v>
      </c>
      <c r="M41" s="1461">
        <f t="shared" si="20"/>
        <v>0</v>
      </c>
      <c r="N41" s="1461">
        <f t="shared" si="20"/>
        <v>0</v>
      </c>
      <c r="O41" s="1461">
        <f t="shared" si="20"/>
        <v>0</v>
      </c>
      <c r="P41" s="1461">
        <f t="shared" si="20"/>
        <v>0</v>
      </c>
      <c r="Q41" s="1461">
        <f t="shared" si="20"/>
        <v>0</v>
      </c>
      <c r="R41" s="1461">
        <f t="shared" si="20"/>
        <v>0</v>
      </c>
      <c r="S41" s="1461">
        <f t="shared" si="20"/>
        <v>0</v>
      </c>
      <c r="T41" s="1461">
        <f t="shared" si="20"/>
        <v>0</v>
      </c>
      <c r="U41" s="1461">
        <f t="shared" si="20"/>
        <v>0</v>
      </c>
      <c r="V41" s="1461">
        <f t="shared" si="20"/>
        <v>0</v>
      </c>
      <c r="W41" s="1461">
        <f t="shared" si="20"/>
        <v>0</v>
      </c>
      <c r="X41" s="1461">
        <f t="shared" si="20"/>
        <v>0</v>
      </c>
      <c r="Y41" s="1461">
        <f t="shared" si="20"/>
        <v>0</v>
      </c>
      <c r="Z41" s="1461">
        <f t="shared" si="20"/>
        <v>0</v>
      </c>
      <c r="AA41" s="1461">
        <f t="shared" si="20"/>
        <v>0</v>
      </c>
      <c r="AB41" s="1461">
        <f t="shared" si="20"/>
        <v>0</v>
      </c>
      <c r="AC41" s="1461">
        <f t="shared" si="1"/>
        <v>0</v>
      </c>
      <c r="AD41" s="1461">
        <f t="shared" si="1"/>
        <v>0</v>
      </c>
      <c r="AE41" s="1461">
        <f t="shared" si="1"/>
        <v>0</v>
      </c>
      <c r="AF41" s="1461">
        <f t="shared" si="1"/>
        <v>0</v>
      </c>
      <c r="AG41" s="1450"/>
    </row>
    <row r="42" spans="1:33" ht="16.5" thickTop="1" thickBot="1" x14ac:dyDescent="0.3">
      <c r="A42" s="673">
        <v>2</v>
      </c>
      <c r="B42" s="674" t="s">
        <v>1391</v>
      </c>
      <c r="C42" s="674" t="s">
        <v>1378</v>
      </c>
      <c r="D42" s="675" t="s">
        <v>1378</v>
      </c>
      <c r="E42" s="673"/>
      <c r="F42" s="673"/>
      <c r="G42" s="673"/>
      <c r="H42" s="1469" t="s">
        <v>1747</v>
      </c>
      <c r="I42" s="1462"/>
      <c r="J42" s="1462"/>
      <c r="K42" s="1462"/>
      <c r="L42" s="1462"/>
      <c r="M42" s="1462"/>
      <c r="N42" s="1462"/>
      <c r="O42" s="1462"/>
      <c r="P42" s="1462"/>
      <c r="Q42" s="1462"/>
      <c r="R42" s="1462"/>
      <c r="S42" s="1462"/>
      <c r="T42" s="1462"/>
      <c r="U42" s="1462"/>
      <c r="V42" s="1462"/>
      <c r="W42" s="1462"/>
      <c r="X42" s="1462"/>
      <c r="Y42" s="1462"/>
      <c r="Z42" s="1462"/>
      <c r="AA42" s="1462"/>
      <c r="AB42" s="1462"/>
      <c r="AC42" s="1462">
        <f t="shared" si="1"/>
        <v>0</v>
      </c>
      <c r="AD42" s="1462">
        <f t="shared" si="1"/>
        <v>0</v>
      </c>
      <c r="AE42" s="1462">
        <f t="shared" si="1"/>
        <v>0</v>
      </c>
      <c r="AF42" s="1462">
        <f t="shared" si="1"/>
        <v>0</v>
      </c>
      <c r="AG42" s="1450"/>
    </row>
    <row r="43" spans="1:33" ht="16.5" thickTop="1" thickBot="1" x14ac:dyDescent="0.3">
      <c r="A43" s="673">
        <v>2</v>
      </c>
      <c r="B43" s="674" t="s">
        <v>1391</v>
      </c>
      <c r="C43" s="674" t="s">
        <v>1378</v>
      </c>
      <c r="D43" s="675" t="s">
        <v>1391</v>
      </c>
      <c r="E43" s="673"/>
      <c r="F43" s="673"/>
      <c r="G43" s="673"/>
      <c r="H43" s="1469" t="s">
        <v>1748</v>
      </c>
      <c r="I43" s="1462"/>
      <c r="J43" s="1462"/>
      <c r="K43" s="1462"/>
      <c r="L43" s="1462"/>
      <c r="M43" s="1462"/>
      <c r="N43" s="1462"/>
      <c r="O43" s="1462"/>
      <c r="P43" s="1462"/>
      <c r="Q43" s="1462"/>
      <c r="R43" s="1462"/>
      <c r="S43" s="1462"/>
      <c r="T43" s="1462"/>
      <c r="U43" s="1462"/>
      <c r="V43" s="1462"/>
      <c r="W43" s="1462"/>
      <c r="X43" s="1462"/>
      <c r="Y43" s="1462"/>
      <c r="Z43" s="1462"/>
      <c r="AA43" s="1462"/>
      <c r="AB43" s="1462"/>
      <c r="AC43" s="1462">
        <f t="shared" si="1"/>
        <v>0</v>
      </c>
      <c r="AD43" s="1462">
        <f t="shared" si="1"/>
        <v>0</v>
      </c>
      <c r="AE43" s="1462">
        <f t="shared" si="1"/>
        <v>0</v>
      </c>
      <c r="AF43" s="1462">
        <f t="shared" si="1"/>
        <v>0</v>
      </c>
      <c r="AG43" s="1450"/>
    </row>
    <row r="44" spans="1:33" ht="16.5" thickTop="1" thickBot="1" x14ac:dyDescent="0.3">
      <c r="A44" s="673">
        <v>2</v>
      </c>
      <c r="B44" s="674" t="s">
        <v>1391</v>
      </c>
      <c r="C44" s="674" t="s">
        <v>1378</v>
      </c>
      <c r="D44" s="675" t="s">
        <v>1415</v>
      </c>
      <c r="E44" s="673"/>
      <c r="F44" s="673"/>
      <c r="G44" s="673"/>
      <c r="H44" s="1469" t="s">
        <v>1733</v>
      </c>
      <c r="I44" s="1462"/>
      <c r="J44" s="1462"/>
      <c r="K44" s="1462"/>
      <c r="L44" s="1462"/>
      <c r="M44" s="1462"/>
      <c r="N44" s="1462"/>
      <c r="O44" s="1462"/>
      <c r="P44" s="1462"/>
      <c r="Q44" s="1462"/>
      <c r="R44" s="1462"/>
      <c r="S44" s="1462"/>
      <c r="T44" s="1462"/>
      <c r="U44" s="1462"/>
      <c r="V44" s="1462"/>
      <c r="W44" s="1462"/>
      <c r="X44" s="1462"/>
      <c r="Y44" s="1462"/>
      <c r="Z44" s="1462"/>
      <c r="AA44" s="1462"/>
      <c r="AB44" s="1462"/>
      <c r="AC44" s="1462">
        <f t="shared" si="1"/>
        <v>0</v>
      </c>
      <c r="AD44" s="1462">
        <f t="shared" si="1"/>
        <v>0</v>
      </c>
      <c r="AE44" s="1462">
        <f t="shared" si="1"/>
        <v>0</v>
      </c>
      <c r="AF44" s="1462">
        <f t="shared" si="1"/>
        <v>0</v>
      </c>
      <c r="AG44" s="1450"/>
    </row>
    <row r="45" spans="1:33" ht="16.5" thickTop="1" thickBot="1" x14ac:dyDescent="0.3">
      <c r="A45" s="686">
        <v>2</v>
      </c>
      <c r="B45" s="687" t="s">
        <v>1391</v>
      </c>
      <c r="C45" s="678" t="s">
        <v>1391</v>
      </c>
      <c r="D45" s="677"/>
      <c r="E45" s="678"/>
      <c r="F45" s="678"/>
      <c r="G45" s="678"/>
      <c r="H45" s="1470" t="s">
        <v>1749</v>
      </c>
      <c r="I45" s="1461">
        <f>+I46+I47+I48+I49</f>
        <v>0</v>
      </c>
      <c r="J45" s="1461">
        <f t="shared" ref="J45:AB45" si="21">+J46+J47+J48+J49</f>
        <v>0</v>
      </c>
      <c r="K45" s="1461">
        <f t="shared" si="21"/>
        <v>0</v>
      </c>
      <c r="L45" s="1461">
        <f t="shared" si="21"/>
        <v>0</v>
      </c>
      <c r="M45" s="1461">
        <f t="shared" si="21"/>
        <v>0</v>
      </c>
      <c r="N45" s="1461">
        <f t="shared" si="21"/>
        <v>0</v>
      </c>
      <c r="O45" s="1461">
        <f t="shared" si="21"/>
        <v>0</v>
      </c>
      <c r="P45" s="1461">
        <f t="shared" si="21"/>
        <v>0</v>
      </c>
      <c r="Q45" s="1461">
        <f t="shared" si="21"/>
        <v>0</v>
      </c>
      <c r="R45" s="1461">
        <f t="shared" si="21"/>
        <v>0</v>
      </c>
      <c r="S45" s="1461">
        <f t="shared" si="21"/>
        <v>0</v>
      </c>
      <c r="T45" s="1461">
        <f t="shared" si="21"/>
        <v>0</v>
      </c>
      <c r="U45" s="1461">
        <f t="shared" si="21"/>
        <v>0</v>
      </c>
      <c r="V45" s="1461">
        <f t="shared" si="21"/>
        <v>0</v>
      </c>
      <c r="W45" s="1461">
        <f t="shared" si="21"/>
        <v>0</v>
      </c>
      <c r="X45" s="1461">
        <f t="shared" si="21"/>
        <v>0</v>
      </c>
      <c r="Y45" s="1461">
        <f t="shared" si="21"/>
        <v>0</v>
      </c>
      <c r="Z45" s="1461">
        <f t="shared" si="21"/>
        <v>0</v>
      </c>
      <c r="AA45" s="1461">
        <f t="shared" si="21"/>
        <v>0</v>
      </c>
      <c r="AB45" s="1461">
        <f t="shared" si="21"/>
        <v>0</v>
      </c>
      <c r="AC45" s="1461">
        <f t="shared" si="1"/>
        <v>0</v>
      </c>
      <c r="AD45" s="1461">
        <f t="shared" si="1"/>
        <v>0</v>
      </c>
      <c r="AE45" s="1461">
        <f t="shared" si="1"/>
        <v>0</v>
      </c>
      <c r="AF45" s="1461">
        <f t="shared" si="1"/>
        <v>0</v>
      </c>
      <c r="AG45" s="1450"/>
    </row>
    <row r="46" spans="1:33" ht="16.5" thickTop="1" thickBot="1" x14ac:dyDescent="0.3">
      <c r="A46" s="673">
        <v>2</v>
      </c>
      <c r="B46" s="674" t="s">
        <v>1391</v>
      </c>
      <c r="C46" s="674" t="s">
        <v>1391</v>
      </c>
      <c r="D46" s="674" t="s">
        <v>1378</v>
      </c>
      <c r="E46" s="673"/>
      <c r="F46" s="673"/>
      <c r="G46" s="673"/>
      <c r="H46" s="1469" t="s">
        <v>1749</v>
      </c>
      <c r="I46" s="1452"/>
      <c r="J46" s="1452"/>
      <c r="K46" s="1452"/>
      <c r="L46" s="1452"/>
      <c r="M46" s="1452"/>
      <c r="N46" s="1452"/>
      <c r="O46" s="1452"/>
      <c r="P46" s="1452"/>
      <c r="Q46" s="1452"/>
      <c r="R46" s="1452"/>
      <c r="S46" s="1452"/>
      <c r="T46" s="1452"/>
      <c r="U46" s="1452"/>
      <c r="V46" s="1452"/>
      <c r="W46" s="1452"/>
      <c r="X46" s="1452"/>
      <c r="Y46" s="1452"/>
      <c r="Z46" s="1452"/>
      <c r="AA46" s="1452"/>
      <c r="AB46" s="1452"/>
      <c r="AC46" s="1452">
        <f t="shared" si="1"/>
        <v>0</v>
      </c>
      <c r="AD46" s="1452">
        <f t="shared" si="1"/>
        <v>0</v>
      </c>
      <c r="AE46" s="1452">
        <f t="shared" si="1"/>
        <v>0</v>
      </c>
      <c r="AF46" s="1452">
        <f t="shared" si="1"/>
        <v>0</v>
      </c>
      <c r="AG46" s="1450"/>
    </row>
    <row r="47" spans="1:33" ht="16.5" thickTop="1" thickBot="1" x14ac:dyDescent="0.3">
      <c r="A47" s="673">
        <v>2</v>
      </c>
      <c r="B47" s="674" t="s">
        <v>1391</v>
      </c>
      <c r="C47" s="674" t="s">
        <v>1391</v>
      </c>
      <c r="D47" s="674" t="s">
        <v>1391</v>
      </c>
      <c r="E47" s="673"/>
      <c r="F47" s="673"/>
      <c r="G47" s="673"/>
      <c r="H47" s="1469" t="s">
        <v>1750</v>
      </c>
      <c r="I47" s="1452"/>
      <c r="J47" s="1452"/>
      <c r="K47" s="1452"/>
      <c r="L47" s="1452"/>
      <c r="M47" s="1452"/>
      <c r="N47" s="1452"/>
      <c r="O47" s="1452"/>
      <c r="P47" s="1452"/>
      <c r="Q47" s="1452"/>
      <c r="R47" s="1452"/>
      <c r="S47" s="1452"/>
      <c r="T47" s="1452"/>
      <c r="U47" s="1452"/>
      <c r="V47" s="1452"/>
      <c r="W47" s="1452"/>
      <c r="X47" s="1452"/>
      <c r="Y47" s="1452"/>
      <c r="Z47" s="1452"/>
      <c r="AA47" s="1452"/>
      <c r="AB47" s="1452"/>
      <c r="AC47" s="1452">
        <f t="shared" si="1"/>
        <v>0</v>
      </c>
      <c r="AD47" s="1452">
        <f t="shared" si="1"/>
        <v>0</v>
      </c>
      <c r="AE47" s="1452">
        <f t="shared" si="1"/>
        <v>0</v>
      </c>
      <c r="AF47" s="1452">
        <f t="shared" si="1"/>
        <v>0</v>
      </c>
      <c r="AG47" s="1450"/>
    </row>
    <row r="48" spans="1:33" ht="16.5" thickTop="1" thickBot="1" x14ac:dyDescent="0.3">
      <c r="A48" s="673">
        <v>2</v>
      </c>
      <c r="B48" s="674" t="s">
        <v>1391</v>
      </c>
      <c r="C48" s="674" t="s">
        <v>1391</v>
      </c>
      <c r="D48" s="674" t="s">
        <v>1415</v>
      </c>
      <c r="E48" s="673"/>
      <c r="F48" s="673"/>
      <c r="G48" s="673"/>
      <c r="H48" s="1469" t="s">
        <v>1733</v>
      </c>
      <c r="I48" s="1452"/>
      <c r="J48" s="1452"/>
      <c r="K48" s="1452"/>
      <c r="L48" s="1452"/>
      <c r="M48" s="1452"/>
      <c r="N48" s="1452"/>
      <c r="O48" s="1452"/>
      <c r="P48" s="1452"/>
      <c r="Q48" s="1452"/>
      <c r="R48" s="1452"/>
      <c r="S48" s="1452"/>
      <c r="T48" s="1452"/>
      <c r="U48" s="1452"/>
      <c r="V48" s="1452"/>
      <c r="W48" s="1452"/>
      <c r="X48" s="1452"/>
      <c r="Y48" s="1452"/>
      <c r="Z48" s="1452"/>
      <c r="AA48" s="1452"/>
      <c r="AB48" s="1452"/>
      <c r="AC48" s="1452">
        <f t="shared" si="1"/>
        <v>0</v>
      </c>
      <c r="AD48" s="1452">
        <f t="shared" si="1"/>
        <v>0</v>
      </c>
      <c r="AE48" s="1452">
        <f t="shared" si="1"/>
        <v>0</v>
      </c>
      <c r="AF48" s="1452">
        <f t="shared" si="1"/>
        <v>0</v>
      </c>
      <c r="AG48" s="1450"/>
    </row>
    <row r="49" spans="1:59" s="684" customFormat="1" ht="16.5" thickTop="1" thickBot="1" x14ac:dyDescent="0.3">
      <c r="A49" s="679">
        <v>2</v>
      </c>
      <c r="B49" s="680" t="s">
        <v>1391</v>
      </c>
      <c r="C49" s="680" t="s">
        <v>1391</v>
      </c>
      <c r="D49" s="680" t="s">
        <v>1419</v>
      </c>
      <c r="E49" s="679"/>
      <c r="F49" s="679"/>
      <c r="G49" s="679"/>
      <c r="H49" s="1469" t="s">
        <v>1751</v>
      </c>
      <c r="I49" s="1455"/>
      <c r="J49" s="1455"/>
      <c r="K49" s="1455"/>
      <c r="L49" s="1455"/>
      <c r="M49" s="1455"/>
      <c r="N49" s="1455"/>
      <c r="O49" s="1455"/>
      <c r="P49" s="1455"/>
      <c r="Q49" s="1455"/>
      <c r="R49" s="1455"/>
      <c r="S49" s="1455"/>
      <c r="T49" s="1455"/>
      <c r="U49" s="1455"/>
      <c r="V49" s="1455"/>
      <c r="W49" s="1455"/>
      <c r="X49" s="1455"/>
      <c r="Y49" s="1455"/>
      <c r="Z49" s="1455"/>
      <c r="AA49" s="1455"/>
      <c r="AB49" s="1455"/>
      <c r="AC49" s="1455">
        <f t="shared" si="1"/>
        <v>0</v>
      </c>
      <c r="AD49" s="1455">
        <f t="shared" si="1"/>
        <v>0</v>
      </c>
      <c r="AE49" s="1455">
        <f t="shared" si="1"/>
        <v>0</v>
      </c>
      <c r="AF49" s="1455">
        <f t="shared" si="1"/>
        <v>0</v>
      </c>
      <c r="AG49" s="1450"/>
    </row>
    <row r="50" spans="1:59" ht="16.5" thickTop="1" thickBot="1" x14ac:dyDescent="0.3">
      <c r="A50" s="670">
        <v>2</v>
      </c>
      <c r="B50" s="670" t="s">
        <v>1415</v>
      </c>
      <c r="C50" s="670"/>
      <c r="D50" s="670"/>
      <c r="E50" s="670"/>
      <c r="F50" s="670"/>
      <c r="G50" s="670"/>
      <c r="H50" s="1467" t="s">
        <v>1752</v>
      </c>
      <c r="I50" s="1449">
        <f>+I51+I61+I68+I79+I86+I93</f>
        <v>12767641200</v>
      </c>
      <c r="J50" s="1449">
        <f t="shared" ref="J50:AF50" si="22">+J51+J61+J68+J79+J86+J93</f>
        <v>7855388473.8199997</v>
      </c>
      <c r="K50" s="1449">
        <f t="shared" si="22"/>
        <v>7298652726.7399998</v>
      </c>
      <c r="L50" s="1449">
        <f t="shared" si="22"/>
        <v>7105256640.5</v>
      </c>
      <c r="M50" s="1449">
        <f t="shared" si="22"/>
        <v>0</v>
      </c>
      <c r="N50" s="1449">
        <f t="shared" si="22"/>
        <v>0</v>
      </c>
      <c r="O50" s="1449">
        <f t="shared" si="22"/>
        <v>0</v>
      </c>
      <c r="P50" s="1449">
        <f t="shared" si="22"/>
        <v>0</v>
      </c>
      <c r="Q50" s="1449">
        <f t="shared" si="22"/>
        <v>4674888904</v>
      </c>
      <c r="R50" s="1449">
        <f t="shared" si="22"/>
        <v>4670127973</v>
      </c>
      <c r="S50" s="1449">
        <f t="shared" si="22"/>
        <v>365039387</v>
      </c>
      <c r="T50" s="1449">
        <f t="shared" si="22"/>
        <v>365039387</v>
      </c>
      <c r="U50" s="1449">
        <f t="shared" si="22"/>
        <v>561073148</v>
      </c>
      <c r="V50" s="1449">
        <f t="shared" si="22"/>
        <v>559758559</v>
      </c>
      <c r="W50" s="1449">
        <f t="shared" si="22"/>
        <v>0</v>
      </c>
      <c r="X50" s="1449">
        <f t="shared" si="22"/>
        <v>0</v>
      </c>
      <c r="Y50" s="1449">
        <f t="shared" si="22"/>
        <v>35605978014.170006</v>
      </c>
      <c r="Z50" s="1449">
        <f t="shared" si="22"/>
        <v>26101427542.289997</v>
      </c>
      <c r="AA50" s="1449">
        <f t="shared" si="22"/>
        <v>11410014481.139999</v>
      </c>
      <c r="AB50" s="1449">
        <f t="shared" si="22"/>
        <v>10564975634.959999</v>
      </c>
      <c r="AC50" s="1449">
        <f t="shared" si="22"/>
        <v>53609581266.170006</v>
      </c>
      <c r="AD50" s="1449">
        <f t="shared" si="22"/>
        <v>39186702548.110008</v>
      </c>
      <c r="AE50" s="1449">
        <f t="shared" si="22"/>
        <v>19073706594.879997</v>
      </c>
      <c r="AF50" s="1449">
        <f t="shared" si="22"/>
        <v>18035271662.459999</v>
      </c>
      <c r="AG50" s="1450"/>
    </row>
    <row r="51" spans="1:59" ht="16.5" thickTop="1" thickBot="1" x14ac:dyDescent="0.3">
      <c r="A51" s="688"/>
      <c r="B51" s="671"/>
      <c r="C51" s="671"/>
      <c r="D51" s="671"/>
      <c r="E51" s="688"/>
      <c r="F51" s="688"/>
      <c r="G51" s="688"/>
      <c r="H51" s="1474" t="s">
        <v>3173</v>
      </c>
      <c r="I51" s="1463">
        <f>+I52+I55+I58</f>
        <v>1199683426</v>
      </c>
      <c r="J51" s="1463">
        <f t="shared" ref="J51:AF51" si="23">+J52+J55+J58</f>
        <v>849733832</v>
      </c>
      <c r="K51" s="1463">
        <f t="shared" si="23"/>
        <v>781433832</v>
      </c>
      <c r="L51" s="1463">
        <f t="shared" si="23"/>
        <v>771083832</v>
      </c>
      <c r="M51" s="1463">
        <f t="shared" si="23"/>
        <v>0</v>
      </c>
      <c r="N51" s="1463">
        <f t="shared" si="23"/>
        <v>0</v>
      </c>
      <c r="O51" s="1463">
        <f t="shared" si="23"/>
        <v>0</v>
      </c>
      <c r="P51" s="1463">
        <f t="shared" si="23"/>
        <v>0</v>
      </c>
      <c r="Q51" s="1463">
        <f t="shared" si="23"/>
        <v>0</v>
      </c>
      <c r="R51" s="1463">
        <f t="shared" si="23"/>
        <v>0</v>
      </c>
      <c r="S51" s="1463">
        <f t="shared" si="23"/>
        <v>0</v>
      </c>
      <c r="T51" s="1463">
        <f t="shared" si="23"/>
        <v>0</v>
      </c>
      <c r="U51" s="1463">
        <f t="shared" si="23"/>
        <v>0</v>
      </c>
      <c r="V51" s="1463">
        <f t="shared" si="23"/>
        <v>0</v>
      </c>
      <c r="W51" s="1463">
        <f t="shared" si="23"/>
        <v>0</v>
      </c>
      <c r="X51" s="1463">
        <f t="shared" si="23"/>
        <v>0</v>
      </c>
      <c r="Y51" s="1463">
        <f t="shared" si="23"/>
        <v>3041580028.48</v>
      </c>
      <c r="Z51" s="1463">
        <f t="shared" si="23"/>
        <v>1954781049.1699998</v>
      </c>
      <c r="AA51" s="1463">
        <f t="shared" si="23"/>
        <v>788131679.67999995</v>
      </c>
      <c r="AB51" s="1463">
        <f t="shared" si="23"/>
        <v>416133464</v>
      </c>
      <c r="AC51" s="1463">
        <f t="shared" si="23"/>
        <v>4241263454.48</v>
      </c>
      <c r="AD51" s="1463">
        <f t="shared" si="23"/>
        <v>2804514881.1700001</v>
      </c>
      <c r="AE51" s="1463">
        <f t="shared" si="23"/>
        <v>1569565511.6799998</v>
      </c>
      <c r="AF51" s="1463">
        <f t="shared" si="23"/>
        <v>1187217296</v>
      </c>
      <c r="AG51" s="1450"/>
    </row>
    <row r="52" spans="1:59" ht="15.75" customHeight="1" thickTop="1" thickBot="1" x14ac:dyDescent="0.3">
      <c r="A52" s="686"/>
      <c r="B52" s="686"/>
      <c r="C52" s="686"/>
      <c r="D52" s="686"/>
      <c r="E52" s="686"/>
      <c r="F52" s="686"/>
      <c r="G52" s="686"/>
      <c r="H52" s="1475" t="s">
        <v>3174</v>
      </c>
      <c r="I52" s="1464">
        <f>+I53</f>
        <v>368343721</v>
      </c>
      <c r="J52" s="1464">
        <f t="shared" ref="J52:AF53" si="24">+J53</f>
        <v>319113000</v>
      </c>
      <c r="K52" s="1464">
        <f t="shared" si="24"/>
        <v>314313000</v>
      </c>
      <c r="L52" s="1464">
        <f t="shared" si="24"/>
        <v>306713000</v>
      </c>
      <c r="M52" s="1464">
        <f t="shared" si="24"/>
        <v>0</v>
      </c>
      <c r="N52" s="1464">
        <f t="shared" si="24"/>
        <v>0</v>
      </c>
      <c r="O52" s="1464">
        <f t="shared" si="24"/>
        <v>0</v>
      </c>
      <c r="P52" s="1464">
        <f t="shared" si="24"/>
        <v>0</v>
      </c>
      <c r="Q52" s="1464">
        <f t="shared" si="24"/>
        <v>0</v>
      </c>
      <c r="R52" s="1464">
        <f t="shared" si="24"/>
        <v>0</v>
      </c>
      <c r="S52" s="1464">
        <f t="shared" si="24"/>
        <v>0</v>
      </c>
      <c r="T52" s="1464">
        <f t="shared" si="24"/>
        <v>0</v>
      </c>
      <c r="U52" s="1464">
        <f t="shared" si="24"/>
        <v>0</v>
      </c>
      <c r="V52" s="1464">
        <f t="shared" si="24"/>
        <v>0</v>
      </c>
      <c r="W52" s="1464">
        <f t="shared" si="24"/>
        <v>0</v>
      </c>
      <c r="X52" s="1464">
        <f t="shared" si="24"/>
        <v>0</v>
      </c>
      <c r="Y52" s="1464">
        <f t="shared" si="24"/>
        <v>184497012.09</v>
      </c>
      <c r="Z52" s="1464">
        <f t="shared" si="24"/>
        <v>183996797.09</v>
      </c>
      <c r="AA52" s="1464">
        <f t="shared" si="24"/>
        <v>0</v>
      </c>
      <c r="AB52" s="1464">
        <f t="shared" si="24"/>
        <v>0</v>
      </c>
      <c r="AC52" s="1464">
        <f t="shared" si="24"/>
        <v>552840733.09000003</v>
      </c>
      <c r="AD52" s="1464">
        <f t="shared" si="24"/>
        <v>503109797.09000003</v>
      </c>
      <c r="AE52" s="1464">
        <f t="shared" si="24"/>
        <v>314313000</v>
      </c>
      <c r="AF52" s="1464">
        <f t="shared" si="24"/>
        <v>306713000</v>
      </c>
      <c r="AG52" s="1450"/>
    </row>
    <row r="53" spans="1:59" ht="15.75" customHeight="1" thickTop="1" thickBot="1" x14ac:dyDescent="0.3">
      <c r="A53" s="686"/>
      <c r="B53" s="686"/>
      <c r="C53" s="686"/>
      <c r="D53" s="686"/>
      <c r="E53" s="686"/>
      <c r="F53" s="686"/>
      <c r="G53" s="686"/>
      <c r="H53" s="1475" t="s">
        <v>3175</v>
      </c>
      <c r="I53" s="1464">
        <f>+I54</f>
        <v>368343721</v>
      </c>
      <c r="J53" s="1464">
        <f t="shared" si="24"/>
        <v>319113000</v>
      </c>
      <c r="K53" s="1464">
        <f t="shared" si="24"/>
        <v>314313000</v>
      </c>
      <c r="L53" s="1464">
        <f t="shared" si="24"/>
        <v>306713000</v>
      </c>
      <c r="M53" s="1464">
        <f t="shared" si="24"/>
        <v>0</v>
      </c>
      <c r="N53" s="1464">
        <f t="shared" si="24"/>
        <v>0</v>
      </c>
      <c r="O53" s="1464">
        <f t="shared" si="24"/>
        <v>0</v>
      </c>
      <c r="P53" s="1464">
        <f t="shared" si="24"/>
        <v>0</v>
      </c>
      <c r="Q53" s="1464">
        <f t="shared" si="24"/>
        <v>0</v>
      </c>
      <c r="R53" s="1464">
        <f t="shared" si="24"/>
        <v>0</v>
      </c>
      <c r="S53" s="1464">
        <f t="shared" si="24"/>
        <v>0</v>
      </c>
      <c r="T53" s="1464">
        <f t="shared" si="24"/>
        <v>0</v>
      </c>
      <c r="U53" s="1464">
        <f t="shared" si="24"/>
        <v>0</v>
      </c>
      <c r="V53" s="1464">
        <f t="shared" si="24"/>
        <v>0</v>
      </c>
      <c r="W53" s="1464">
        <f t="shared" si="24"/>
        <v>0</v>
      </c>
      <c r="X53" s="1464">
        <f t="shared" si="24"/>
        <v>0</v>
      </c>
      <c r="Y53" s="1464">
        <f t="shared" si="24"/>
        <v>184497012.09</v>
      </c>
      <c r="Z53" s="1464">
        <f t="shared" si="24"/>
        <v>183996797.09</v>
      </c>
      <c r="AA53" s="1464">
        <f t="shared" si="24"/>
        <v>0</v>
      </c>
      <c r="AB53" s="1464">
        <f t="shared" si="24"/>
        <v>0</v>
      </c>
      <c r="AC53" s="1464">
        <f t="shared" si="24"/>
        <v>552840733.09000003</v>
      </c>
      <c r="AD53" s="1464">
        <f t="shared" si="24"/>
        <v>503109797.09000003</v>
      </c>
      <c r="AE53" s="1464">
        <f t="shared" si="24"/>
        <v>314313000</v>
      </c>
      <c r="AF53" s="1464">
        <f t="shared" si="24"/>
        <v>306713000</v>
      </c>
      <c r="AG53" s="1450"/>
    </row>
    <row r="54" spans="1:59" ht="15.75" customHeight="1" thickTop="1" thickBot="1" x14ac:dyDescent="0.3">
      <c r="A54" s="673"/>
      <c r="B54" s="673"/>
      <c r="C54" s="673"/>
      <c r="D54" s="673"/>
      <c r="E54" s="674"/>
      <c r="F54" s="674"/>
      <c r="G54" s="673"/>
      <c r="H54" s="1476" t="s">
        <v>3176</v>
      </c>
      <c r="I54" s="1452">
        <v>368343721</v>
      </c>
      <c r="J54" s="1452">
        <v>319113000</v>
      </c>
      <c r="K54" s="1452">
        <v>314313000</v>
      </c>
      <c r="L54" s="1452">
        <v>306713000</v>
      </c>
      <c r="M54" s="1453"/>
      <c r="N54" s="1453"/>
      <c r="O54" s="1453"/>
      <c r="P54" s="1453"/>
      <c r="Q54" s="1453"/>
      <c r="R54" s="1453"/>
      <c r="S54" s="1453"/>
      <c r="T54" s="1453"/>
      <c r="U54" s="1453"/>
      <c r="V54" s="1453"/>
      <c r="W54" s="1453"/>
      <c r="X54" s="1453"/>
      <c r="Y54" s="1453">
        <v>184497012.09</v>
      </c>
      <c r="Z54" s="1453">
        <v>183996797.09</v>
      </c>
      <c r="AA54" s="1453">
        <v>0</v>
      </c>
      <c r="AB54" s="1453">
        <v>0</v>
      </c>
      <c r="AC54" s="1453">
        <f>I54+M54+Q54+U54+Y54</f>
        <v>552840733.09000003</v>
      </c>
      <c r="AD54" s="1453">
        <f t="shared" ref="AD54:AF54" si="25">J54+N54+R54+V54+Z54</f>
        <v>503109797.09000003</v>
      </c>
      <c r="AE54" s="1453">
        <f t="shared" si="25"/>
        <v>314313000</v>
      </c>
      <c r="AF54" s="1453">
        <f t="shared" si="25"/>
        <v>306713000</v>
      </c>
      <c r="AG54" s="1450"/>
    </row>
    <row r="55" spans="1:59" ht="15.75" customHeight="1" thickTop="1" thickBot="1" x14ac:dyDescent="0.3">
      <c r="A55" s="673"/>
      <c r="B55" s="673"/>
      <c r="C55" s="673"/>
      <c r="D55" s="673"/>
      <c r="E55" s="674"/>
      <c r="F55" s="674"/>
      <c r="G55" s="674"/>
      <c r="H55" s="1475" t="s">
        <v>3177</v>
      </c>
      <c r="I55" s="1464">
        <f>+I56</f>
        <v>398699192</v>
      </c>
      <c r="J55" s="1464">
        <f t="shared" ref="J55:AF56" si="26">+J56</f>
        <v>186813388</v>
      </c>
      <c r="K55" s="1464">
        <f t="shared" si="26"/>
        <v>176013388</v>
      </c>
      <c r="L55" s="1464">
        <f t="shared" si="26"/>
        <v>176013388</v>
      </c>
      <c r="M55" s="1464">
        <f t="shared" si="26"/>
        <v>0</v>
      </c>
      <c r="N55" s="1464">
        <f t="shared" si="26"/>
        <v>0</v>
      </c>
      <c r="O55" s="1464">
        <f t="shared" si="26"/>
        <v>0</v>
      </c>
      <c r="P55" s="1464">
        <f t="shared" si="26"/>
        <v>0</v>
      </c>
      <c r="Q55" s="1464">
        <f t="shared" si="26"/>
        <v>0</v>
      </c>
      <c r="R55" s="1464">
        <f t="shared" si="26"/>
        <v>0</v>
      </c>
      <c r="S55" s="1464">
        <f t="shared" si="26"/>
        <v>0</v>
      </c>
      <c r="T55" s="1464">
        <f t="shared" si="26"/>
        <v>0</v>
      </c>
      <c r="U55" s="1464">
        <f t="shared" si="26"/>
        <v>0</v>
      </c>
      <c r="V55" s="1464">
        <f t="shared" si="26"/>
        <v>0</v>
      </c>
      <c r="W55" s="1464">
        <f t="shared" si="26"/>
        <v>0</v>
      </c>
      <c r="X55" s="1464">
        <f t="shared" si="26"/>
        <v>0</v>
      </c>
      <c r="Y55" s="1464">
        <f t="shared" si="26"/>
        <v>2857083016.3899999</v>
      </c>
      <c r="Z55" s="1464">
        <f t="shared" si="26"/>
        <v>1770784252.0799999</v>
      </c>
      <c r="AA55" s="1464">
        <f t="shared" si="26"/>
        <v>788131679.67999995</v>
      </c>
      <c r="AB55" s="1464">
        <f t="shared" si="26"/>
        <v>416133464</v>
      </c>
      <c r="AC55" s="1464">
        <f t="shared" si="26"/>
        <v>3255782208.3899999</v>
      </c>
      <c r="AD55" s="1464">
        <f t="shared" si="26"/>
        <v>1957597640.0799999</v>
      </c>
      <c r="AE55" s="1464">
        <f t="shared" si="26"/>
        <v>964145067.67999995</v>
      </c>
      <c r="AF55" s="1464">
        <f t="shared" si="26"/>
        <v>592146852</v>
      </c>
      <c r="AG55" s="1450"/>
    </row>
    <row r="56" spans="1:59" ht="15.75" customHeight="1" thickTop="1" thickBot="1" x14ac:dyDescent="0.3">
      <c r="A56" s="686"/>
      <c r="B56" s="686"/>
      <c r="C56" s="686"/>
      <c r="D56" s="686"/>
      <c r="E56" s="686"/>
      <c r="F56" s="686"/>
      <c r="G56" s="686"/>
      <c r="H56" s="1475" t="s">
        <v>3178</v>
      </c>
      <c r="I56" s="1464">
        <f>+I57</f>
        <v>398699192</v>
      </c>
      <c r="J56" s="1464">
        <f t="shared" si="26"/>
        <v>186813388</v>
      </c>
      <c r="K56" s="1464">
        <f t="shared" si="26"/>
        <v>176013388</v>
      </c>
      <c r="L56" s="1464">
        <f t="shared" si="26"/>
        <v>176013388</v>
      </c>
      <c r="M56" s="1464">
        <f t="shared" si="26"/>
        <v>0</v>
      </c>
      <c r="N56" s="1464">
        <f t="shared" si="26"/>
        <v>0</v>
      </c>
      <c r="O56" s="1464">
        <f t="shared" si="26"/>
        <v>0</v>
      </c>
      <c r="P56" s="1464">
        <f t="shared" si="26"/>
        <v>0</v>
      </c>
      <c r="Q56" s="1464">
        <f t="shared" si="26"/>
        <v>0</v>
      </c>
      <c r="R56" s="1464">
        <f t="shared" si="26"/>
        <v>0</v>
      </c>
      <c r="S56" s="1464">
        <f t="shared" si="26"/>
        <v>0</v>
      </c>
      <c r="T56" s="1464">
        <f t="shared" si="26"/>
        <v>0</v>
      </c>
      <c r="U56" s="1464">
        <f t="shared" si="26"/>
        <v>0</v>
      </c>
      <c r="V56" s="1464">
        <f t="shared" si="26"/>
        <v>0</v>
      </c>
      <c r="W56" s="1464">
        <f t="shared" si="26"/>
        <v>0</v>
      </c>
      <c r="X56" s="1464">
        <f t="shared" si="26"/>
        <v>0</v>
      </c>
      <c r="Y56" s="1464">
        <f t="shared" si="26"/>
        <v>2857083016.3899999</v>
      </c>
      <c r="Z56" s="1464">
        <f t="shared" si="26"/>
        <v>1770784252.0799999</v>
      </c>
      <c r="AA56" s="1464">
        <f t="shared" si="26"/>
        <v>788131679.67999995</v>
      </c>
      <c r="AB56" s="1464">
        <f t="shared" si="26"/>
        <v>416133464</v>
      </c>
      <c r="AC56" s="1464">
        <f t="shared" si="26"/>
        <v>3255782208.3899999</v>
      </c>
      <c r="AD56" s="1464">
        <f t="shared" si="26"/>
        <v>1957597640.0799999</v>
      </c>
      <c r="AE56" s="1464">
        <f t="shared" si="26"/>
        <v>964145067.67999995</v>
      </c>
      <c r="AF56" s="1464">
        <f t="shared" si="26"/>
        <v>592146852</v>
      </c>
      <c r="AG56" s="1450"/>
    </row>
    <row r="57" spans="1:59" ht="15.75" customHeight="1" thickTop="1" thickBot="1" x14ac:dyDescent="0.3">
      <c r="A57" s="686"/>
      <c r="B57" s="686"/>
      <c r="C57" s="686"/>
      <c r="D57" s="686"/>
      <c r="E57" s="686"/>
      <c r="F57" s="686"/>
      <c r="G57" s="686"/>
      <c r="H57" s="1476" t="s">
        <v>3179</v>
      </c>
      <c r="I57" s="1452">
        <v>398699192</v>
      </c>
      <c r="J57" s="1452">
        <v>186813388</v>
      </c>
      <c r="K57" s="1452">
        <v>176013388</v>
      </c>
      <c r="L57" s="1452">
        <v>176013388</v>
      </c>
      <c r="M57" s="1453"/>
      <c r="N57" s="1453"/>
      <c r="O57" s="1453"/>
      <c r="P57" s="1453"/>
      <c r="Q57" s="1453"/>
      <c r="R57" s="1453"/>
      <c r="S57" s="1453"/>
      <c r="T57" s="1453"/>
      <c r="U57" s="1453"/>
      <c r="V57" s="1453"/>
      <c r="W57" s="1453"/>
      <c r="X57" s="1453"/>
      <c r="Y57" s="1453">
        <v>2857083016.3899999</v>
      </c>
      <c r="Z57" s="1453">
        <v>1770784252.0799999</v>
      </c>
      <c r="AA57" s="1453">
        <v>788131679.67999995</v>
      </c>
      <c r="AB57" s="1453">
        <v>416133464</v>
      </c>
      <c r="AC57" s="1453">
        <f>I57+M57+Q57+U57+Y57</f>
        <v>3255782208.3899999</v>
      </c>
      <c r="AD57" s="1453">
        <f t="shared" ref="AD57:AF57" si="27">J57+N57+R57+V57+Z57</f>
        <v>1957597640.0799999</v>
      </c>
      <c r="AE57" s="1453">
        <f t="shared" si="27"/>
        <v>964145067.67999995</v>
      </c>
      <c r="AF57" s="1453">
        <f t="shared" si="27"/>
        <v>592146852</v>
      </c>
      <c r="AG57" s="1450"/>
    </row>
    <row r="58" spans="1:59" ht="15.75" customHeight="1" thickTop="1" thickBot="1" x14ac:dyDescent="0.3">
      <c r="A58" s="673"/>
      <c r="B58" s="673"/>
      <c r="C58" s="673"/>
      <c r="D58" s="673"/>
      <c r="E58" s="674"/>
      <c r="F58" s="674"/>
      <c r="G58" s="673"/>
      <c r="H58" s="1475" t="s">
        <v>3180</v>
      </c>
      <c r="I58" s="1464">
        <f>+I59</f>
        <v>432640513</v>
      </c>
      <c r="J58" s="1464">
        <f t="shared" ref="J58:AF59" si="28">+J59</f>
        <v>343807444</v>
      </c>
      <c r="K58" s="1464">
        <f t="shared" si="28"/>
        <v>291107444</v>
      </c>
      <c r="L58" s="1464">
        <f t="shared" si="28"/>
        <v>288357444</v>
      </c>
      <c r="M58" s="1464">
        <f t="shared" si="28"/>
        <v>0</v>
      </c>
      <c r="N58" s="1464">
        <f t="shared" si="28"/>
        <v>0</v>
      </c>
      <c r="O58" s="1464">
        <f t="shared" si="28"/>
        <v>0</v>
      </c>
      <c r="P58" s="1464">
        <f t="shared" si="28"/>
        <v>0</v>
      </c>
      <c r="Q58" s="1464">
        <f t="shared" si="28"/>
        <v>0</v>
      </c>
      <c r="R58" s="1464">
        <f t="shared" si="28"/>
        <v>0</v>
      </c>
      <c r="S58" s="1464">
        <f t="shared" si="28"/>
        <v>0</v>
      </c>
      <c r="T58" s="1464">
        <f t="shared" si="28"/>
        <v>0</v>
      </c>
      <c r="U58" s="1464">
        <f t="shared" si="28"/>
        <v>0</v>
      </c>
      <c r="V58" s="1464">
        <f t="shared" si="28"/>
        <v>0</v>
      </c>
      <c r="W58" s="1464">
        <f t="shared" si="28"/>
        <v>0</v>
      </c>
      <c r="X58" s="1464">
        <f t="shared" si="28"/>
        <v>0</v>
      </c>
      <c r="Y58" s="1464">
        <f t="shared" si="28"/>
        <v>0</v>
      </c>
      <c r="Z58" s="1464">
        <f t="shared" si="28"/>
        <v>0</v>
      </c>
      <c r="AA58" s="1464">
        <f t="shared" si="28"/>
        <v>0</v>
      </c>
      <c r="AB58" s="1464">
        <f t="shared" si="28"/>
        <v>0</v>
      </c>
      <c r="AC58" s="1464">
        <f t="shared" si="28"/>
        <v>432640513</v>
      </c>
      <c r="AD58" s="1464">
        <f t="shared" si="28"/>
        <v>343807444</v>
      </c>
      <c r="AE58" s="1464">
        <f t="shared" si="28"/>
        <v>291107444</v>
      </c>
      <c r="AF58" s="1464">
        <f t="shared" si="28"/>
        <v>288357444</v>
      </c>
      <c r="AG58" s="1450"/>
    </row>
    <row r="59" spans="1:59" ht="15.75" customHeight="1" thickTop="1" thickBot="1" x14ac:dyDescent="0.3">
      <c r="A59" s="673"/>
      <c r="B59" s="673"/>
      <c r="C59" s="673"/>
      <c r="D59" s="673"/>
      <c r="E59" s="674"/>
      <c r="F59" s="674"/>
      <c r="G59" s="673"/>
      <c r="H59" s="1475" t="s">
        <v>3175</v>
      </c>
      <c r="I59" s="1464">
        <f>+I60</f>
        <v>432640513</v>
      </c>
      <c r="J59" s="1464">
        <f t="shared" si="28"/>
        <v>343807444</v>
      </c>
      <c r="K59" s="1464">
        <f t="shared" si="28"/>
        <v>291107444</v>
      </c>
      <c r="L59" s="1464">
        <f t="shared" si="28"/>
        <v>288357444</v>
      </c>
      <c r="M59" s="1464">
        <f t="shared" si="28"/>
        <v>0</v>
      </c>
      <c r="N59" s="1464">
        <f t="shared" si="28"/>
        <v>0</v>
      </c>
      <c r="O59" s="1464">
        <f t="shared" si="28"/>
        <v>0</v>
      </c>
      <c r="P59" s="1464">
        <f t="shared" si="28"/>
        <v>0</v>
      </c>
      <c r="Q59" s="1464">
        <f t="shared" si="28"/>
        <v>0</v>
      </c>
      <c r="R59" s="1464">
        <f t="shared" si="28"/>
        <v>0</v>
      </c>
      <c r="S59" s="1464">
        <f t="shared" si="28"/>
        <v>0</v>
      </c>
      <c r="T59" s="1464">
        <f t="shared" si="28"/>
        <v>0</v>
      </c>
      <c r="U59" s="1464">
        <f t="shared" si="28"/>
        <v>0</v>
      </c>
      <c r="V59" s="1464">
        <f t="shared" si="28"/>
        <v>0</v>
      </c>
      <c r="W59" s="1464">
        <f t="shared" si="28"/>
        <v>0</v>
      </c>
      <c r="X59" s="1464">
        <f t="shared" si="28"/>
        <v>0</v>
      </c>
      <c r="Y59" s="1464">
        <f t="shared" si="28"/>
        <v>0</v>
      </c>
      <c r="Z59" s="1464">
        <f t="shared" si="28"/>
        <v>0</v>
      </c>
      <c r="AA59" s="1464">
        <f t="shared" si="28"/>
        <v>0</v>
      </c>
      <c r="AB59" s="1464">
        <f t="shared" si="28"/>
        <v>0</v>
      </c>
      <c r="AC59" s="1464">
        <f t="shared" si="28"/>
        <v>432640513</v>
      </c>
      <c r="AD59" s="1464">
        <f t="shared" si="28"/>
        <v>343807444</v>
      </c>
      <c r="AE59" s="1464">
        <f t="shared" si="28"/>
        <v>291107444</v>
      </c>
      <c r="AF59" s="1464">
        <f t="shared" si="28"/>
        <v>288357444</v>
      </c>
      <c r="AG59" s="1450"/>
    </row>
    <row r="60" spans="1:59" s="688" customFormat="1" ht="15.75" customHeight="1" thickTop="1" thickBot="1" x14ac:dyDescent="0.3">
      <c r="H60" s="1476" t="s">
        <v>3181</v>
      </c>
      <c r="I60" s="1452">
        <v>432640513</v>
      </c>
      <c r="J60" s="1452">
        <v>343807444</v>
      </c>
      <c r="K60" s="1452">
        <v>291107444</v>
      </c>
      <c r="L60" s="1452">
        <v>288357444</v>
      </c>
      <c r="M60" s="1453"/>
      <c r="N60" s="1453"/>
      <c r="O60" s="1453"/>
      <c r="P60" s="1453"/>
      <c r="Q60" s="1453"/>
      <c r="R60" s="1453"/>
      <c r="S60" s="1453"/>
      <c r="T60" s="1453"/>
      <c r="U60" s="1453"/>
      <c r="V60" s="1453"/>
      <c r="W60" s="1453"/>
      <c r="X60" s="1453"/>
      <c r="Y60" s="1453"/>
      <c r="Z60" s="1453"/>
      <c r="AA60" s="1453"/>
      <c r="AB60" s="1453"/>
      <c r="AC60" s="1453">
        <f>I60+M60+Q60+U60+Y60</f>
        <v>432640513</v>
      </c>
      <c r="AD60" s="1453">
        <f t="shared" ref="AD60:AF60" si="29">J60+N60+R60+V60+Z60</f>
        <v>343807444</v>
      </c>
      <c r="AE60" s="1453">
        <f t="shared" si="29"/>
        <v>291107444</v>
      </c>
      <c r="AF60" s="1453">
        <f t="shared" si="29"/>
        <v>288357444</v>
      </c>
      <c r="AG60" s="1450"/>
      <c r="AH60" s="668"/>
      <c r="AI60" s="668"/>
      <c r="AJ60" s="668"/>
      <c r="AK60" s="668"/>
      <c r="AL60" s="668"/>
      <c r="AM60" s="668"/>
      <c r="AN60" s="668"/>
      <c r="AO60" s="668"/>
      <c r="AP60" s="668"/>
      <c r="AQ60" s="668"/>
      <c r="AR60" s="668"/>
      <c r="AS60" s="668"/>
      <c r="AT60" s="668"/>
      <c r="AU60" s="668"/>
      <c r="AV60" s="668"/>
      <c r="AW60" s="668"/>
      <c r="AX60" s="668"/>
      <c r="AY60" s="668"/>
      <c r="AZ60" s="668"/>
      <c r="BA60" s="668"/>
      <c r="BB60" s="668"/>
      <c r="BC60" s="668"/>
      <c r="BD60" s="668"/>
      <c r="BE60" s="668"/>
      <c r="BF60" s="668"/>
      <c r="BG60" s="668"/>
    </row>
    <row r="61" spans="1:59" s="686" customFormat="1" ht="15.75" customHeight="1" thickTop="1" thickBot="1" x14ac:dyDescent="0.3">
      <c r="H61" s="1474" t="s">
        <v>3182</v>
      </c>
      <c r="I61" s="1463">
        <f>+I62+I65</f>
        <v>3120749200</v>
      </c>
      <c r="J61" s="1463">
        <f t="shared" ref="J61:AF61" si="30">+J62+J65</f>
        <v>2267583461.3400002</v>
      </c>
      <c r="K61" s="1463">
        <f t="shared" si="30"/>
        <v>2064218455.75</v>
      </c>
      <c r="L61" s="1463">
        <f t="shared" si="30"/>
        <v>2053028455.75</v>
      </c>
      <c r="M61" s="1463">
        <f t="shared" si="30"/>
        <v>0</v>
      </c>
      <c r="N61" s="1463">
        <f t="shared" si="30"/>
        <v>0</v>
      </c>
      <c r="O61" s="1463">
        <f t="shared" si="30"/>
        <v>0</v>
      </c>
      <c r="P61" s="1463">
        <f t="shared" si="30"/>
        <v>0</v>
      </c>
      <c r="Q61" s="1463">
        <f t="shared" si="30"/>
        <v>1317771447</v>
      </c>
      <c r="R61" s="1463">
        <f t="shared" si="30"/>
        <v>1317665612</v>
      </c>
      <c r="S61" s="1463">
        <f t="shared" si="30"/>
        <v>0</v>
      </c>
      <c r="T61" s="1463">
        <f t="shared" si="30"/>
        <v>0</v>
      </c>
      <c r="U61" s="1463">
        <f t="shared" si="30"/>
        <v>561073148</v>
      </c>
      <c r="V61" s="1463">
        <f t="shared" si="30"/>
        <v>559758559</v>
      </c>
      <c r="W61" s="1463">
        <f t="shared" si="30"/>
        <v>0</v>
      </c>
      <c r="X61" s="1463">
        <f t="shared" si="30"/>
        <v>0</v>
      </c>
      <c r="Y61" s="1463">
        <f t="shared" si="30"/>
        <v>16322622998.26</v>
      </c>
      <c r="Z61" s="1463">
        <f t="shared" si="30"/>
        <v>16187428068.959999</v>
      </c>
      <c r="AA61" s="1463">
        <f t="shared" si="30"/>
        <v>5368486410</v>
      </c>
      <c r="AB61" s="1463">
        <f t="shared" si="30"/>
        <v>5090504097</v>
      </c>
      <c r="AC61" s="1463">
        <f t="shared" si="30"/>
        <v>21322216793.260002</v>
      </c>
      <c r="AD61" s="1463">
        <f t="shared" si="30"/>
        <v>20332435701.299999</v>
      </c>
      <c r="AE61" s="1463">
        <f t="shared" si="30"/>
        <v>7432704865.75</v>
      </c>
      <c r="AF61" s="1463">
        <f t="shared" si="30"/>
        <v>7143532552.75</v>
      </c>
      <c r="AG61" s="1450"/>
      <c r="AH61" s="668"/>
      <c r="AI61" s="668"/>
      <c r="AJ61" s="668"/>
      <c r="AK61" s="668"/>
      <c r="AL61" s="668"/>
      <c r="AM61" s="668"/>
      <c r="AN61" s="668"/>
      <c r="AO61" s="668"/>
      <c r="AP61" s="668"/>
      <c r="AQ61" s="668"/>
      <c r="AR61" s="668"/>
      <c r="AS61" s="668"/>
      <c r="AT61" s="668"/>
      <c r="AU61" s="668"/>
      <c r="AV61" s="668"/>
      <c r="AW61" s="668"/>
      <c r="AX61" s="668"/>
      <c r="AY61" s="668"/>
      <c r="AZ61" s="668"/>
      <c r="BA61" s="668"/>
      <c r="BB61" s="668"/>
      <c r="BC61" s="668"/>
      <c r="BD61" s="668"/>
      <c r="BE61" s="668"/>
      <c r="BF61" s="668"/>
      <c r="BG61" s="668"/>
    </row>
    <row r="62" spans="1:59" ht="15.75" customHeight="1" thickTop="1" thickBot="1" x14ac:dyDescent="0.3">
      <c r="A62" s="686"/>
      <c r="B62" s="686"/>
      <c r="C62" s="686"/>
      <c r="D62" s="686"/>
      <c r="E62" s="686"/>
      <c r="F62" s="686"/>
      <c r="G62" s="686"/>
      <c r="H62" s="1475" t="s">
        <v>3180</v>
      </c>
      <c r="I62" s="1464">
        <f>+I63</f>
        <v>1987674615</v>
      </c>
      <c r="J62" s="1464">
        <f t="shared" ref="J62:Y63" si="31">+J63</f>
        <v>1705059188</v>
      </c>
      <c r="K62" s="1464">
        <f t="shared" si="31"/>
        <v>1616967969.5</v>
      </c>
      <c r="L62" s="1464">
        <f t="shared" si="31"/>
        <v>1616967969.5</v>
      </c>
      <c r="M62" s="1464">
        <f t="shared" si="31"/>
        <v>0</v>
      </c>
      <c r="N62" s="1464">
        <f t="shared" si="31"/>
        <v>0</v>
      </c>
      <c r="O62" s="1464">
        <f t="shared" si="31"/>
        <v>0</v>
      </c>
      <c r="P62" s="1464">
        <f t="shared" si="31"/>
        <v>0</v>
      </c>
      <c r="Q62" s="1464">
        <f t="shared" si="31"/>
        <v>1317771447</v>
      </c>
      <c r="R62" s="1464">
        <f t="shared" si="31"/>
        <v>1317665612</v>
      </c>
      <c r="S62" s="1464">
        <f t="shared" si="31"/>
        <v>0</v>
      </c>
      <c r="T62" s="1464">
        <f t="shared" si="31"/>
        <v>0</v>
      </c>
      <c r="U62" s="1464">
        <f t="shared" si="31"/>
        <v>561073148</v>
      </c>
      <c r="V62" s="1464">
        <f t="shared" si="31"/>
        <v>559758559</v>
      </c>
      <c r="W62" s="1464">
        <f t="shared" si="31"/>
        <v>0</v>
      </c>
      <c r="X62" s="1464">
        <f t="shared" si="31"/>
        <v>0</v>
      </c>
      <c r="Y62" s="1464">
        <f t="shared" si="31"/>
        <v>16322622998.26</v>
      </c>
      <c r="Z62" s="1464">
        <f t="shared" ref="Z62:AF63" si="32">+Z63</f>
        <v>16187428068.959999</v>
      </c>
      <c r="AA62" s="1464">
        <f t="shared" si="32"/>
        <v>5368486410</v>
      </c>
      <c r="AB62" s="1464">
        <f t="shared" si="32"/>
        <v>5090504097</v>
      </c>
      <c r="AC62" s="1464">
        <f t="shared" si="32"/>
        <v>20189142208.260002</v>
      </c>
      <c r="AD62" s="1464">
        <f t="shared" si="32"/>
        <v>19769911427.959999</v>
      </c>
      <c r="AE62" s="1464">
        <f t="shared" si="32"/>
        <v>6985454379.5</v>
      </c>
      <c r="AF62" s="1464">
        <f t="shared" si="32"/>
        <v>6707472066.5</v>
      </c>
      <c r="AG62" s="1450"/>
    </row>
    <row r="63" spans="1:59" ht="15.75" customHeight="1" thickTop="1" thickBot="1" x14ac:dyDescent="0.3">
      <c r="A63" s="673"/>
      <c r="B63" s="673"/>
      <c r="C63" s="675"/>
      <c r="D63" s="673"/>
      <c r="E63" s="674"/>
      <c r="F63" s="673"/>
      <c r="G63" s="673"/>
      <c r="H63" s="1475" t="s">
        <v>3183</v>
      </c>
      <c r="I63" s="1464">
        <f>+I64</f>
        <v>1987674615</v>
      </c>
      <c r="J63" s="1464">
        <f t="shared" si="31"/>
        <v>1705059188</v>
      </c>
      <c r="K63" s="1464">
        <f t="shared" si="31"/>
        <v>1616967969.5</v>
      </c>
      <c r="L63" s="1464">
        <f t="shared" si="31"/>
        <v>1616967969.5</v>
      </c>
      <c r="M63" s="1464">
        <f t="shared" si="31"/>
        <v>0</v>
      </c>
      <c r="N63" s="1464">
        <f t="shared" si="31"/>
        <v>0</v>
      </c>
      <c r="O63" s="1464">
        <f t="shared" si="31"/>
        <v>0</v>
      </c>
      <c r="P63" s="1464">
        <f t="shared" si="31"/>
        <v>0</v>
      </c>
      <c r="Q63" s="1464">
        <f t="shared" si="31"/>
        <v>1317771447</v>
      </c>
      <c r="R63" s="1464">
        <f t="shared" si="31"/>
        <v>1317665612</v>
      </c>
      <c r="S63" s="1464">
        <f t="shared" si="31"/>
        <v>0</v>
      </c>
      <c r="T63" s="1464">
        <f t="shared" si="31"/>
        <v>0</v>
      </c>
      <c r="U63" s="1464">
        <f t="shared" si="31"/>
        <v>561073148</v>
      </c>
      <c r="V63" s="1464">
        <f t="shared" si="31"/>
        <v>559758559</v>
      </c>
      <c r="W63" s="1464">
        <f t="shared" si="31"/>
        <v>0</v>
      </c>
      <c r="X63" s="1464">
        <f t="shared" si="31"/>
        <v>0</v>
      </c>
      <c r="Y63" s="1464">
        <f t="shared" si="31"/>
        <v>16322622998.26</v>
      </c>
      <c r="Z63" s="1464">
        <f t="shared" si="32"/>
        <v>16187428068.959999</v>
      </c>
      <c r="AA63" s="1464">
        <f t="shared" si="32"/>
        <v>5368486410</v>
      </c>
      <c r="AB63" s="1464">
        <f t="shared" si="32"/>
        <v>5090504097</v>
      </c>
      <c r="AC63" s="1464">
        <f t="shared" si="32"/>
        <v>20189142208.260002</v>
      </c>
      <c r="AD63" s="1464">
        <f t="shared" si="32"/>
        <v>19769911427.959999</v>
      </c>
      <c r="AE63" s="1464">
        <f t="shared" si="32"/>
        <v>6985454379.5</v>
      </c>
      <c r="AF63" s="1464">
        <f t="shared" si="32"/>
        <v>6707472066.5</v>
      </c>
      <c r="AG63" s="1450"/>
    </row>
    <row r="64" spans="1:59" ht="15.75" customHeight="1" thickTop="1" thickBot="1" x14ac:dyDescent="0.3">
      <c r="A64" s="673"/>
      <c r="B64" s="673"/>
      <c r="C64" s="675"/>
      <c r="D64" s="673"/>
      <c r="E64" s="674"/>
      <c r="F64" s="674"/>
      <c r="G64" s="673"/>
      <c r="H64" s="1476" t="s">
        <v>3184</v>
      </c>
      <c r="I64" s="1452">
        <v>1987674615</v>
      </c>
      <c r="J64" s="1452">
        <v>1705059188</v>
      </c>
      <c r="K64" s="1452">
        <v>1616967969.5</v>
      </c>
      <c r="L64" s="1452">
        <v>1616967969.5</v>
      </c>
      <c r="M64" s="1453"/>
      <c r="N64" s="1453"/>
      <c r="O64" s="1453"/>
      <c r="P64" s="1453"/>
      <c r="Q64" s="1452">
        <v>1317771447</v>
      </c>
      <c r="R64" s="1452">
        <v>1317665612</v>
      </c>
      <c r="S64" s="1452">
        <v>0</v>
      </c>
      <c r="T64" s="1452">
        <v>0</v>
      </c>
      <c r="U64" s="1452">
        <v>561073148</v>
      </c>
      <c r="V64" s="1452">
        <v>559758559</v>
      </c>
      <c r="W64" s="1452">
        <v>0</v>
      </c>
      <c r="X64" s="1452">
        <v>0</v>
      </c>
      <c r="Y64" s="1453">
        <v>16322622998.26</v>
      </c>
      <c r="Z64" s="1453">
        <v>16187428068.959999</v>
      </c>
      <c r="AA64" s="1453">
        <v>5368486410</v>
      </c>
      <c r="AB64" s="1453">
        <v>5090504097</v>
      </c>
      <c r="AC64" s="1453">
        <f>I64+M64+Q64+U64+Y64</f>
        <v>20189142208.260002</v>
      </c>
      <c r="AD64" s="1453">
        <f t="shared" ref="AD64:AF64" si="33">J64+N64+R64+V64+Z64</f>
        <v>19769911427.959999</v>
      </c>
      <c r="AE64" s="1453">
        <f t="shared" si="33"/>
        <v>6985454379.5</v>
      </c>
      <c r="AF64" s="1453">
        <f t="shared" si="33"/>
        <v>6707472066.5</v>
      </c>
      <c r="AG64" s="1450"/>
    </row>
    <row r="65" spans="1:59" s="689" customFormat="1" ht="15.75" customHeight="1" thickTop="1" thickBot="1" x14ac:dyDescent="0.3">
      <c r="A65" s="690"/>
      <c r="B65" s="690"/>
      <c r="C65" s="690"/>
      <c r="D65" s="690"/>
      <c r="E65" s="690"/>
      <c r="F65" s="690"/>
      <c r="H65" s="1475" t="s">
        <v>3185</v>
      </c>
      <c r="I65" s="1464">
        <f>+I66</f>
        <v>1133074585</v>
      </c>
      <c r="J65" s="1464">
        <f t="shared" ref="J65:Y66" si="34">+J66</f>
        <v>562524273.34000003</v>
      </c>
      <c r="K65" s="1464">
        <f t="shared" si="34"/>
        <v>447250486.25</v>
      </c>
      <c r="L65" s="1464">
        <f t="shared" si="34"/>
        <v>436060486.25</v>
      </c>
      <c r="M65" s="1464">
        <f t="shared" si="34"/>
        <v>0</v>
      </c>
      <c r="N65" s="1464">
        <f t="shared" si="34"/>
        <v>0</v>
      </c>
      <c r="O65" s="1464">
        <f t="shared" si="34"/>
        <v>0</v>
      </c>
      <c r="P65" s="1464">
        <f t="shared" si="34"/>
        <v>0</v>
      </c>
      <c r="Q65" s="1464">
        <f t="shared" si="34"/>
        <v>0</v>
      </c>
      <c r="R65" s="1464">
        <f t="shared" si="34"/>
        <v>0</v>
      </c>
      <c r="S65" s="1464">
        <f t="shared" si="34"/>
        <v>0</v>
      </c>
      <c r="T65" s="1464">
        <f t="shared" si="34"/>
        <v>0</v>
      </c>
      <c r="U65" s="1464">
        <f t="shared" si="34"/>
        <v>0</v>
      </c>
      <c r="V65" s="1464">
        <f t="shared" si="34"/>
        <v>0</v>
      </c>
      <c r="W65" s="1464">
        <f t="shared" si="34"/>
        <v>0</v>
      </c>
      <c r="X65" s="1464">
        <f t="shared" si="34"/>
        <v>0</v>
      </c>
      <c r="Y65" s="1464">
        <f t="shared" si="34"/>
        <v>0</v>
      </c>
      <c r="Z65" s="1464">
        <f t="shared" ref="Z65:AF66" si="35">+Z66</f>
        <v>0</v>
      </c>
      <c r="AA65" s="1464">
        <f t="shared" si="35"/>
        <v>0</v>
      </c>
      <c r="AB65" s="1464">
        <f t="shared" si="35"/>
        <v>0</v>
      </c>
      <c r="AC65" s="1464">
        <f t="shared" si="35"/>
        <v>1133074585</v>
      </c>
      <c r="AD65" s="1464">
        <f t="shared" si="35"/>
        <v>562524273.34000003</v>
      </c>
      <c r="AE65" s="1464">
        <f t="shared" si="35"/>
        <v>447250486.25</v>
      </c>
      <c r="AF65" s="1464">
        <f t="shared" si="35"/>
        <v>436060486.25</v>
      </c>
      <c r="AG65" s="1450"/>
      <c r="AH65" s="668"/>
      <c r="AI65" s="668"/>
      <c r="AJ65" s="668"/>
      <c r="AK65" s="668"/>
      <c r="AL65" s="668"/>
      <c r="AM65" s="668"/>
      <c r="AN65" s="668"/>
      <c r="AO65" s="668"/>
      <c r="AP65" s="668"/>
      <c r="AQ65" s="668"/>
      <c r="AR65" s="668"/>
      <c r="AS65" s="668"/>
      <c r="AT65" s="668"/>
      <c r="AU65" s="668"/>
      <c r="AV65" s="668"/>
      <c r="AW65" s="668"/>
      <c r="AX65" s="668"/>
      <c r="AY65" s="668"/>
      <c r="AZ65" s="668"/>
      <c r="BA65" s="668"/>
      <c r="BB65" s="668"/>
      <c r="BC65" s="668"/>
      <c r="BD65" s="668"/>
      <c r="BE65" s="668"/>
      <c r="BF65" s="668"/>
      <c r="BG65" s="668"/>
    </row>
    <row r="66" spans="1:59" ht="15.75" customHeight="1" thickTop="1" thickBot="1" x14ac:dyDescent="0.3">
      <c r="A66" s="690"/>
      <c r="B66" s="690"/>
      <c r="C66" s="690"/>
      <c r="D66" s="690"/>
      <c r="E66" s="686"/>
      <c r="F66" s="686"/>
      <c r="G66" s="686"/>
      <c r="H66" s="1475" t="s">
        <v>3183</v>
      </c>
      <c r="I66" s="1464">
        <f>+I67</f>
        <v>1133074585</v>
      </c>
      <c r="J66" s="1464">
        <f t="shared" si="34"/>
        <v>562524273.34000003</v>
      </c>
      <c r="K66" s="1464">
        <f t="shared" si="34"/>
        <v>447250486.25</v>
      </c>
      <c r="L66" s="1464">
        <f t="shared" si="34"/>
        <v>436060486.25</v>
      </c>
      <c r="M66" s="1464">
        <f t="shared" si="34"/>
        <v>0</v>
      </c>
      <c r="N66" s="1464">
        <f t="shared" si="34"/>
        <v>0</v>
      </c>
      <c r="O66" s="1464">
        <f t="shared" si="34"/>
        <v>0</v>
      </c>
      <c r="P66" s="1464">
        <f t="shared" si="34"/>
        <v>0</v>
      </c>
      <c r="Q66" s="1464">
        <f t="shared" si="34"/>
        <v>0</v>
      </c>
      <c r="R66" s="1464">
        <f t="shared" si="34"/>
        <v>0</v>
      </c>
      <c r="S66" s="1464">
        <f t="shared" si="34"/>
        <v>0</v>
      </c>
      <c r="T66" s="1464">
        <f t="shared" si="34"/>
        <v>0</v>
      </c>
      <c r="U66" s="1464">
        <f t="shared" si="34"/>
        <v>0</v>
      </c>
      <c r="V66" s="1464">
        <f t="shared" si="34"/>
        <v>0</v>
      </c>
      <c r="W66" s="1464">
        <f t="shared" si="34"/>
        <v>0</v>
      </c>
      <c r="X66" s="1464">
        <f t="shared" si="34"/>
        <v>0</v>
      </c>
      <c r="Y66" s="1464">
        <f t="shared" si="34"/>
        <v>0</v>
      </c>
      <c r="Z66" s="1464">
        <f t="shared" si="35"/>
        <v>0</v>
      </c>
      <c r="AA66" s="1464">
        <f t="shared" si="35"/>
        <v>0</v>
      </c>
      <c r="AB66" s="1464">
        <f t="shared" si="35"/>
        <v>0</v>
      </c>
      <c r="AC66" s="1464">
        <f t="shared" si="35"/>
        <v>1133074585</v>
      </c>
      <c r="AD66" s="1464">
        <f t="shared" si="35"/>
        <v>562524273.34000003</v>
      </c>
      <c r="AE66" s="1464">
        <f t="shared" si="35"/>
        <v>447250486.25</v>
      </c>
      <c r="AF66" s="1464">
        <f t="shared" si="35"/>
        <v>436060486.25</v>
      </c>
      <c r="AG66" s="1450"/>
    </row>
    <row r="67" spans="1:59" ht="15.75" customHeight="1" thickTop="1" thickBot="1" x14ac:dyDescent="0.3">
      <c r="A67" s="673"/>
      <c r="B67" s="673"/>
      <c r="C67" s="675"/>
      <c r="D67" s="675"/>
      <c r="E67" s="674"/>
      <c r="F67" s="674"/>
      <c r="G67" s="673"/>
      <c r="H67" s="1476" t="s">
        <v>3186</v>
      </c>
      <c r="I67" s="1452">
        <v>1133074585</v>
      </c>
      <c r="J67" s="1452">
        <v>562524273.34000003</v>
      </c>
      <c r="K67" s="1452">
        <v>447250486.25</v>
      </c>
      <c r="L67" s="1452">
        <v>436060486.25</v>
      </c>
      <c r="M67" s="1465"/>
      <c r="N67" s="1465"/>
      <c r="O67" s="1465"/>
      <c r="P67" s="1465"/>
      <c r="Q67" s="1465"/>
      <c r="R67" s="1465"/>
      <c r="S67" s="1465"/>
      <c r="T67" s="1465"/>
      <c r="U67" s="1465"/>
      <c r="V67" s="1465"/>
      <c r="W67" s="1465"/>
      <c r="X67" s="1465"/>
      <c r="Y67" s="1465"/>
      <c r="Z67" s="1465"/>
      <c r="AA67" s="1465"/>
      <c r="AB67" s="1465"/>
      <c r="AC67" s="1453">
        <f>I67+M67+Q67+U67+Y67</f>
        <v>1133074585</v>
      </c>
      <c r="AD67" s="1453">
        <f t="shared" ref="AD67:AF67" si="36">J67+N67+R67+V67+Z67</f>
        <v>562524273.34000003</v>
      </c>
      <c r="AE67" s="1453">
        <f t="shared" si="36"/>
        <v>447250486.25</v>
      </c>
      <c r="AF67" s="1453">
        <f t="shared" si="36"/>
        <v>436060486.25</v>
      </c>
      <c r="AG67" s="1450"/>
    </row>
    <row r="68" spans="1:59" ht="15.75" customHeight="1" thickTop="1" thickBot="1" x14ac:dyDescent="0.3">
      <c r="A68" s="673"/>
      <c r="B68" s="673"/>
      <c r="C68" s="675"/>
      <c r="D68" s="675"/>
      <c r="E68" s="674"/>
      <c r="F68" s="674"/>
      <c r="G68" s="673"/>
      <c r="H68" s="1474" t="s">
        <v>3187</v>
      </c>
      <c r="I68" s="1463">
        <f>+I69+I73+I76</f>
        <v>2923683630</v>
      </c>
      <c r="J68" s="1463">
        <f t="shared" ref="J68:AF68" si="37">+J69+J73+J76</f>
        <v>1481262029</v>
      </c>
      <c r="K68" s="1463">
        <f t="shared" si="37"/>
        <v>1407553211</v>
      </c>
      <c r="L68" s="1463">
        <f t="shared" si="37"/>
        <v>1395183211</v>
      </c>
      <c r="M68" s="1463">
        <f t="shared" si="37"/>
        <v>0</v>
      </c>
      <c r="N68" s="1463">
        <f t="shared" si="37"/>
        <v>0</v>
      </c>
      <c r="O68" s="1463">
        <f t="shared" si="37"/>
        <v>0</v>
      </c>
      <c r="P68" s="1463">
        <f t="shared" si="37"/>
        <v>0</v>
      </c>
      <c r="Q68" s="1463">
        <f t="shared" si="37"/>
        <v>3357117457</v>
      </c>
      <c r="R68" s="1463">
        <f t="shared" si="37"/>
        <v>3352462361</v>
      </c>
      <c r="S68" s="1463">
        <f t="shared" si="37"/>
        <v>365039387</v>
      </c>
      <c r="T68" s="1463">
        <f t="shared" si="37"/>
        <v>365039387</v>
      </c>
      <c r="U68" s="1463">
        <f t="shared" si="37"/>
        <v>0</v>
      </c>
      <c r="V68" s="1463">
        <f t="shared" si="37"/>
        <v>0</v>
      </c>
      <c r="W68" s="1463">
        <f t="shared" si="37"/>
        <v>0</v>
      </c>
      <c r="X68" s="1463">
        <f t="shared" si="37"/>
        <v>0</v>
      </c>
      <c r="Y68" s="1463">
        <f t="shared" si="37"/>
        <v>15876295862.720001</v>
      </c>
      <c r="Z68" s="1463">
        <f t="shared" si="37"/>
        <v>7597491770.6599998</v>
      </c>
      <c r="AA68" s="1463">
        <f t="shared" si="37"/>
        <v>5253396391.46</v>
      </c>
      <c r="AB68" s="1463">
        <f t="shared" si="37"/>
        <v>5058338073.96</v>
      </c>
      <c r="AC68" s="1463">
        <f t="shared" si="37"/>
        <v>22157096949.720001</v>
      </c>
      <c r="AD68" s="1463">
        <f t="shared" si="37"/>
        <v>12431216160.66</v>
      </c>
      <c r="AE68" s="1463">
        <f t="shared" si="37"/>
        <v>7025988989.46</v>
      </c>
      <c r="AF68" s="1463">
        <f t="shared" si="37"/>
        <v>6818560671.96</v>
      </c>
      <c r="AG68" s="1450"/>
    </row>
    <row r="69" spans="1:59" ht="15.75" customHeight="1" thickTop="1" thickBot="1" x14ac:dyDescent="0.3">
      <c r="A69" s="673"/>
      <c r="B69" s="673"/>
      <c r="C69" s="675"/>
      <c r="D69" s="675"/>
      <c r="E69" s="674"/>
      <c r="F69" s="674"/>
      <c r="G69" s="673"/>
      <c r="H69" s="1475" t="s">
        <v>3188</v>
      </c>
      <c r="I69" s="1464">
        <f>+I70</f>
        <v>1463118568</v>
      </c>
      <c r="J69" s="1464">
        <f t="shared" ref="J69:AF69" si="38">+J70</f>
        <v>874172350</v>
      </c>
      <c r="K69" s="1464">
        <f t="shared" si="38"/>
        <v>822463532</v>
      </c>
      <c r="L69" s="1464">
        <f t="shared" si="38"/>
        <v>816433532</v>
      </c>
      <c r="M69" s="1464">
        <f t="shared" si="38"/>
        <v>0</v>
      </c>
      <c r="N69" s="1464">
        <f t="shared" si="38"/>
        <v>0</v>
      </c>
      <c r="O69" s="1464">
        <f t="shared" si="38"/>
        <v>0</v>
      </c>
      <c r="P69" s="1464">
        <f t="shared" si="38"/>
        <v>0</v>
      </c>
      <c r="Q69" s="1464">
        <f t="shared" si="38"/>
        <v>3357117457</v>
      </c>
      <c r="R69" s="1464">
        <f t="shared" si="38"/>
        <v>3352462361</v>
      </c>
      <c r="S69" s="1464">
        <f t="shared" si="38"/>
        <v>365039387</v>
      </c>
      <c r="T69" s="1464">
        <f t="shared" si="38"/>
        <v>365039387</v>
      </c>
      <c r="U69" s="1464">
        <f t="shared" si="38"/>
        <v>0</v>
      </c>
      <c r="V69" s="1464">
        <f t="shared" si="38"/>
        <v>0</v>
      </c>
      <c r="W69" s="1464">
        <f t="shared" si="38"/>
        <v>0</v>
      </c>
      <c r="X69" s="1464">
        <f t="shared" si="38"/>
        <v>0</v>
      </c>
      <c r="Y69" s="1464">
        <f t="shared" si="38"/>
        <v>8999822983.5</v>
      </c>
      <c r="Z69" s="1464">
        <f t="shared" si="38"/>
        <v>2881830995</v>
      </c>
      <c r="AA69" s="1464">
        <f t="shared" si="38"/>
        <v>2181704843</v>
      </c>
      <c r="AB69" s="1464">
        <f t="shared" si="38"/>
        <v>2181704843</v>
      </c>
      <c r="AC69" s="1464">
        <f t="shared" si="38"/>
        <v>13820059008.5</v>
      </c>
      <c r="AD69" s="1464">
        <f t="shared" si="38"/>
        <v>7108465706</v>
      </c>
      <c r="AE69" s="1464">
        <f t="shared" si="38"/>
        <v>3369207762</v>
      </c>
      <c r="AF69" s="1464">
        <f t="shared" si="38"/>
        <v>3363177762</v>
      </c>
      <c r="AG69" s="1450"/>
    </row>
    <row r="70" spans="1:59" ht="15.75" customHeight="1" thickTop="1" thickBot="1" x14ac:dyDescent="0.3">
      <c r="A70" s="673"/>
      <c r="B70" s="673"/>
      <c r="C70" s="675"/>
      <c r="D70" s="675"/>
      <c r="E70" s="674"/>
      <c r="F70" s="674"/>
      <c r="G70" s="673"/>
      <c r="H70" s="1475" t="s">
        <v>3189</v>
      </c>
      <c r="I70" s="1464">
        <f>+I71+I72</f>
        <v>1463118568</v>
      </c>
      <c r="J70" s="1464">
        <f t="shared" ref="J70:AF70" si="39">+J71+J72</f>
        <v>874172350</v>
      </c>
      <c r="K70" s="1464">
        <f t="shared" si="39"/>
        <v>822463532</v>
      </c>
      <c r="L70" s="1464">
        <f t="shared" si="39"/>
        <v>816433532</v>
      </c>
      <c r="M70" s="1464">
        <f t="shared" si="39"/>
        <v>0</v>
      </c>
      <c r="N70" s="1464">
        <f t="shared" si="39"/>
        <v>0</v>
      </c>
      <c r="O70" s="1464">
        <f t="shared" si="39"/>
        <v>0</v>
      </c>
      <c r="P70" s="1464">
        <f t="shared" si="39"/>
        <v>0</v>
      </c>
      <c r="Q70" s="1464">
        <f t="shared" si="39"/>
        <v>3357117457</v>
      </c>
      <c r="R70" s="1464">
        <f t="shared" si="39"/>
        <v>3352462361</v>
      </c>
      <c r="S70" s="1464">
        <f t="shared" si="39"/>
        <v>365039387</v>
      </c>
      <c r="T70" s="1464">
        <f t="shared" si="39"/>
        <v>365039387</v>
      </c>
      <c r="U70" s="1464">
        <f t="shared" si="39"/>
        <v>0</v>
      </c>
      <c r="V70" s="1464">
        <f t="shared" si="39"/>
        <v>0</v>
      </c>
      <c r="W70" s="1464">
        <f t="shared" si="39"/>
        <v>0</v>
      </c>
      <c r="X70" s="1464">
        <f t="shared" si="39"/>
        <v>0</v>
      </c>
      <c r="Y70" s="1464">
        <f t="shared" si="39"/>
        <v>8999822983.5</v>
      </c>
      <c r="Z70" s="1464">
        <f t="shared" si="39"/>
        <v>2881830995</v>
      </c>
      <c r="AA70" s="1464">
        <f t="shared" si="39"/>
        <v>2181704843</v>
      </c>
      <c r="AB70" s="1464">
        <f t="shared" si="39"/>
        <v>2181704843</v>
      </c>
      <c r="AC70" s="1464">
        <f t="shared" si="39"/>
        <v>13820059008.5</v>
      </c>
      <c r="AD70" s="1464">
        <f t="shared" si="39"/>
        <v>7108465706</v>
      </c>
      <c r="AE70" s="1464">
        <f t="shared" si="39"/>
        <v>3369207762</v>
      </c>
      <c r="AF70" s="1464">
        <f t="shared" si="39"/>
        <v>3363177762</v>
      </c>
      <c r="AG70" s="1450"/>
    </row>
    <row r="71" spans="1:59" ht="15.75" customHeight="1" thickTop="1" thickBot="1" x14ac:dyDescent="0.3">
      <c r="A71" s="673"/>
      <c r="B71" s="673"/>
      <c r="C71" s="675"/>
      <c r="D71" s="675"/>
      <c r="E71" s="674"/>
      <c r="F71" s="674"/>
      <c r="G71" s="673"/>
      <c r="H71" s="1476" t="s">
        <v>3190</v>
      </c>
      <c r="I71" s="1452">
        <v>960559284</v>
      </c>
      <c r="J71" s="1452">
        <v>454441454</v>
      </c>
      <c r="K71" s="1452">
        <v>446774788</v>
      </c>
      <c r="L71" s="1452">
        <v>440744788</v>
      </c>
      <c r="M71" s="1465"/>
      <c r="N71" s="1465"/>
      <c r="O71" s="1465"/>
      <c r="P71" s="1465"/>
      <c r="Q71" s="1452">
        <v>3357117457</v>
      </c>
      <c r="R71" s="1452">
        <v>3352462361</v>
      </c>
      <c r="S71" s="1452">
        <v>365039387</v>
      </c>
      <c r="T71" s="1452">
        <v>365039387</v>
      </c>
      <c r="U71" s="1465"/>
      <c r="V71" s="1465"/>
      <c r="W71" s="1465"/>
      <c r="X71" s="1465"/>
      <c r="Y71" s="1453">
        <v>8999822983.5</v>
      </c>
      <c r="Z71" s="1453">
        <v>2881830995</v>
      </c>
      <c r="AA71" s="1453">
        <v>2181704843</v>
      </c>
      <c r="AB71" s="1453">
        <v>2181704843</v>
      </c>
      <c r="AC71" s="1453">
        <f>I71+M71+Q71+U71+Y71</f>
        <v>13317499724.5</v>
      </c>
      <c r="AD71" s="1453">
        <f t="shared" ref="AD71:AF72" si="40">J71+N71+R71+V71+Z71</f>
        <v>6688734810</v>
      </c>
      <c r="AE71" s="1453">
        <f t="shared" si="40"/>
        <v>2993519018</v>
      </c>
      <c r="AF71" s="1453">
        <f t="shared" si="40"/>
        <v>2987489018</v>
      </c>
      <c r="AG71" s="1450"/>
    </row>
    <row r="72" spans="1:59" ht="15.75" customHeight="1" thickTop="1" thickBot="1" x14ac:dyDescent="0.3">
      <c r="A72" s="673"/>
      <c r="B72" s="673"/>
      <c r="C72" s="675"/>
      <c r="D72" s="675"/>
      <c r="E72" s="674"/>
      <c r="F72" s="674"/>
      <c r="G72" s="673"/>
      <c r="H72" s="1476" t="s">
        <v>3191</v>
      </c>
      <c r="I72" s="1452">
        <v>502559284</v>
      </c>
      <c r="J72" s="1452">
        <v>419730896</v>
      </c>
      <c r="K72" s="1452">
        <v>375688744</v>
      </c>
      <c r="L72" s="1452">
        <v>375688744</v>
      </c>
      <c r="M72" s="1465"/>
      <c r="N72" s="1465"/>
      <c r="O72" s="1465"/>
      <c r="P72" s="1465"/>
      <c r="Q72" s="1465"/>
      <c r="R72" s="1465"/>
      <c r="S72" s="1465"/>
      <c r="T72" s="1465"/>
      <c r="U72" s="1465"/>
      <c r="V72" s="1465"/>
      <c r="W72" s="1465"/>
      <c r="X72" s="1465"/>
      <c r="Y72" s="1465"/>
      <c r="Z72" s="1465"/>
      <c r="AA72" s="1465"/>
      <c r="AB72" s="1465"/>
      <c r="AC72" s="1453">
        <f>I72+M72+Q72+U72+Y72</f>
        <v>502559284</v>
      </c>
      <c r="AD72" s="1453">
        <f t="shared" si="40"/>
        <v>419730896</v>
      </c>
      <c r="AE72" s="1453">
        <f t="shared" si="40"/>
        <v>375688744</v>
      </c>
      <c r="AF72" s="1453">
        <f t="shared" si="40"/>
        <v>375688744</v>
      </c>
      <c r="AG72" s="1450"/>
    </row>
    <row r="73" spans="1:59" ht="15.75" customHeight="1" thickTop="1" thickBot="1" x14ac:dyDescent="0.3">
      <c r="A73" s="673"/>
      <c r="B73" s="673"/>
      <c r="C73" s="675"/>
      <c r="D73" s="675"/>
      <c r="E73" s="674"/>
      <c r="F73" s="674"/>
      <c r="G73" s="673"/>
      <c r="H73" s="1475" t="s">
        <v>3192</v>
      </c>
      <c r="I73" s="1464">
        <f>+I74</f>
        <v>1238000080</v>
      </c>
      <c r="J73" s="1464">
        <f t="shared" ref="J73:AF74" si="41">+J74</f>
        <v>451649799</v>
      </c>
      <c r="K73" s="1464">
        <f t="shared" si="41"/>
        <v>429649799</v>
      </c>
      <c r="L73" s="1464">
        <f t="shared" si="41"/>
        <v>429649799</v>
      </c>
      <c r="M73" s="1464">
        <f t="shared" si="41"/>
        <v>0</v>
      </c>
      <c r="N73" s="1464">
        <f t="shared" si="41"/>
        <v>0</v>
      </c>
      <c r="O73" s="1464">
        <f t="shared" si="41"/>
        <v>0</v>
      </c>
      <c r="P73" s="1464">
        <f t="shared" si="41"/>
        <v>0</v>
      </c>
      <c r="Q73" s="1464">
        <f t="shared" si="41"/>
        <v>0</v>
      </c>
      <c r="R73" s="1464">
        <f t="shared" si="41"/>
        <v>0</v>
      </c>
      <c r="S73" s="1464">
        <f t="shared" si="41"/>
        <v>0</v>
      </c>
      <c r="T73" s="1464">
        <f t="shared" si="41"/>
        <v>0</v>
      </c>
      <c r="U73" s="1464">
        <f t="shared" si="41"/>
        <v>0</v>
      </c>
      <c r="V73" s="1464">
        <f t="shared" si="41"/>
        <v>0</v>
      </c>
      <c r="W73" s="1464">
        <f t="shared" si="41"/>
        <v>0</v>
      </c>
      <c r="X73" s="1464">
        <f t="shared" si="41"/>
        <v>0</v>
      </c>
      <c r="Y73" s="1464">
        <f t="shared" si="41"/>
        <v>6876472879.2200003</v>
      </c>
      <c r="Z73" s="1464">
        <f t="shared" si="41"/>
        <v>4715660775.6599998</v>
      </c>
      <c r="AA73" s="1464">
        <f t="shared" si="41"/>
        <v>3071691548.46</v>
      </c>
      <c r="AB73" s="1464">
        <f t="shared" si="41"/>
        <v>2876633230.96</v>
      </c>
      <c r="AC73" s="1464">
        <f t="shared" si="41"/>
        <v>8114472959.2200003</v>
      </c>
      <c r="AD73" s="1464">
        <f t="shared" si="41"/>
        <v>5167310574.6599998</v>
      </c>
      <c r="AE73" s="1464">
        <f t="shared" si="41"/>
        <v>3501341347.46</v>
      </c>
      <c r="AF73" s="1464">
        <f t="shared" si="41"/>
        <v>3306283029.96</v>
      </c>
      <c r="AG73" s="1450"/>
    </row>
    <row r="74" spans="1:59" ht="15.75" customHeight="1" thickTop="1" thickBot="1" x14ac:dyDescent="0.3">
      <c r="A74" s="673"/>
      <c r="B74" s="673"/>
      <c r="C74" s="675"/>
      <c r="D74" s="675"/>
      <c r="E74" s="674"/>
      <c r="F74" s="674"/>
      <c r="G74" s="673"/>
      <c r="H74" s="1475" t="s">
        <v>3189</v>
      </c>
      <c r="I74" s="1464">
        <f>+I75</f>
        <v>1238000080</v>
      </c>
      <c r="J74" s="1464">
        <f t="shared" si="41"/>
        <v>451649799</v>
      </c>
      <c r="K74" s="1464">
        <f t="shared" si="41"/>
        <v>429649799</v>
      </c>
      <c r="L74" s="1464">
        <f t="shared" si="41"/>
        <v>429649799</v>
      </c>
      <c r="M74" s="1464">
        <f t="shared" si="41"/>
        <v>0</v>
      </c>
      <c r="N74" s="1464">
        <f t="shared" si="41"/>
        <v>0</v>
      </c>
      <c r="O74" s="1464">
        <f t="shared" si="41"/>
        <v>0</v>
      </c>
      <c r="P74" s="1464">
        <f t="shared" si="41"/>
        <v>0</v>
      </c>
      <c r="Q74" s="1464">
        <f t="shared" si="41"/>
        <v>0</v>
      </c>
      <c r="R74" s="1464">
        <f t="shared" si="41"/>
        <v>0</v>
      </c>
      <c r="S74" s="1464">
        <f t="shared" si="41"/>
        <v>0</v>
      </c>
      <c r="T74" s="1464">
        <f t="shared" si="41"/>
        <v>0</v>
      </c>
      <c r="U74" s="1464">
        <f t="shared" si="41"/>
        <v>0</v>
      </c>
      <c r="V74" s="1464">
        <f t="shared" si="41"/>
        <v>0</v>
      </c>
      <c r="W74" s="1464">
        <f t="shared" si="41"/>
        <v>0</v>
      </c>
      <c r="X74" s="1464">
        <f t="shared" si="41"/>
        <v>0</v>
      </c>
      <c r="Y74" s="1464">
        <f t="shared" si="41"/>
        <v>6876472879.2200003</v>
      </c>
      <c r="Z74" s="1464">
        <f t="shared" si="41"/>
        <v>4715660775.6599998</v>
      </c>
      <c r="AA74" s="1464">
        <f t="shared" si="41"/>
        <v>3071691548.46</v>
      </c>
      <c r="AB74" s="1464">
        <f t="shared" si="41"/>
        <v>2876633230.96</v>
      </c>
      <c r="AC74" s="1464">
        <f t="shared" si="41"/>
        <v>8114472959.2200003</v>
      </c>
      <c r="AD74" s="1464">
        <f t="shared" si="41"/>
        <v>5167310574.6599998</v>
      </c>
      <c r="AE74" s="1464">
        <f t="shared" si="41"/>
        <v>3501341347.46</v>
      </c>
      <c r="AF74" s="1464">
        <f t="shared" si="41"/>
        <v>3306283029.96</v>
      </c>
      <c r="AG74" s="1450"/>
    </row>
    <row r="75" spans="1:59" ht="15.75" customHeight="1" thickTop="1" thickBot="1" x14ac:dyDescent="0.3">
      <c r="A75" s="673"/>
      <c r="B75" s="673"/>
      <c r="C75" s="675"/>
      <c r="D75" s="675"/>
      <c r="E75" s="674"/>
      <c r="F75" s="674"/>
      <c r="G75" s="673"/>
      <c r="H75" s="1476" t="s">
        <v>3193</v>
      </c>
      <c r="I75" s="1452">
        <v>1238000080</v>
      </c>
      <c r="J75" s="1452">
        <v>451649799</v>
      </c>
      <c r="K75" s="1452">
        <v>429649799</v>
      </c>
      <c r="L75" s="1452">
        <v>429649799</v>
      </c>
      <c r="M75" s="1453"/>
      <c r="N75" s="1453"/>
      <c r="O75" s="1453"/>
      <c r="P75" s="1453"/>
      <c r="Q75" s="1453"/>
      <c r="R75" s="1453"/>
      <c r="S75" s="1453"/>
      <c r="T75" s="1453"/>
      <c r="U75" s="1453"/>
      <c r="V75" s="1453"/>
      <c r="W75" s="1453"/>
      <c r="X75" s="1453"/>
      <c r="Y75" s="1453">
        <v>6876472879.2200003</v>
      </c>
      <c r="Z75" s="1453">
        <v>4715660775.6599998</v>
      </c>
      <c r="AA75" s="1453">
        <v>3071691548.46</v>
      </c>
      <c r="AB75" s="1453">
        <v>2876633230.96</v>
      </c>
      <c r="AC75" s="1453">
        <f>I75+M75+Q75+U75+Y75</f>
        <v>8114472959.2200003</v>
      </c>
      <c r="AD75" s="1453">
        <f t="shared" ref="AD75:AF75" si="42">J75+N75+R75+V75+Z75</f>
        <v>5167310574.6599998</v>
      </c>
      <c r="AE75" s="1453">
        <f t="shared" si="42"/>
        <v>3501341347.46</v>
      </c>
      <c r="AF75" s="1453">
        <f t="shared" si="42"/>
        <v>3306283029.96</v>
      </c>
      <c r="AG75" s="1450"/>
    </row>
    <row r="76" spans="1:59" ht="15.75" customHeight="1" thickTop="1" thickBot="1" x14ac:dyDescent="0.3">
      <c r="A76" s="673"/>
      <c r="B76" s="673"/>
      <c r="C76" s="675"/>
      <c r="D76" s="675"/>
      <c r="E76" s="674"/>
      <c r="F76" s="674"/>
      <c r="G76" s="673"/>
      <c r="H76" s="1475" t="s">
        <v>3194</v>
      </c>
      <c r="I76" s="1464">
        <f>+I77</f>
        <v>222564982</v>
      </c>
      <c r="J76" s="1464">
        <f t="shared" ref="J76:AF77" si="43">+J77</f>
        <v>155439880</v>
      </c>
      <c r="K76" s="1464">
        <f t="shared" si="43"/>
        <v>155439880</v>
      </c>
      <c r="L76" s="1464">
        <f t="shared" si="43"/>
        <v>149099880</v>
      </c>
      <c r="M76" s="1464">
        <f t="shared" si="43"/>
        <v>0</v>
      </c>
      <c r="N76" s="1464">
        <f t="shared" si="43"/>
        <v>0</v>
      </c>
      <c r="O76" s="1464">
        <f t="shared" si="43"/>
        <v>0</v>
      </c>
      <c r="P76" s="1464">
        <f t="shared" si="43"/>
        <v>0</v>
      </c>
      <c r="Q76" s="1464">
        <f t="shared" si="43"/>
        <v>0</v>
      </c>
      <c r="R76" s="1464">
        <f t="shared" si="43"/>
        <v>0</v>
      </c>
      <c r="S76" s="1464">
        <f t="shared" si="43"/>
        <v>0</v>
      </c>
      <c r="T76" s="1464">
        <f t="shared" si="43"/>
        <v>0</v>
      </c>
      <c r="U76" s="1464">
        <f t="shared" si="43"/>
        <v>0</v>
      </c>
      <c r="V76" s="1464">
        <f t="shared" si="43"/>
        <v>0</v>
      </c>
      <c r="W76" s="1464">
        <f t="shared" si="43"/>
        <v>0</v>
      </c>
      <c r="X76" s="1464">
        <f t="shared" si="43"/>
        <v>0</v>
      </c>
      <c r="Y76" s="1464">
        <f t="shared" si="43"/>
        <v>0</v>
      </c>
      <c r="Z76" s="1464">
        <f t="shared" si="43"/>
        <v>0</v>
      </c>
      <c r="AA76" s="1464">
        <f t="shared" si="43"/>
        <v>0</v>
      </c>
      <c r="AB76" s="1464">
        <f t="shared" si="43"/>
        <v>0</v>
      </c>
      <c r="AC76" s="1464">
        <f t="shared" si="43"/>
        <v>222564982</v>
      </c>
      <c r="AD76" s="1464">
        <f t="shared" si="43"/>
        <v>155439880</v>
      </c>
      <c r="AE76" s="1464">
        <f t="shared" si="43"/>
        <v>155439880</v>
      </c>
      <c r="AF76" s="1464">
        <f t="shared" si="43"/>
        <v>149099880</v>
      </c>
      <c r="AG76" s="1450"/>
    </row>
    <row r="77" spans="1:59" ht="15.75" customHeight="1" thickTop="1" thickBot="1" x14ac:dyDescent="0.3">
      <c r="A77" s="673"/>
      <c r="B77" s="673"/>
      <c r="C77" s="675"/>
      <c r="D77" s="675"/>
      <c r="E77" s="674"/>
      <c r="F77" s="674"/>
      <c r="G77" s="673"/>
      <c r="H77" s="1475" t="s">
        <v>3175</v>
      </c>
      <c r="I77" s="1464">
        <f>+I78</f>
        <v>222564982</v>
      </c>
      <c r="J77" s="1464">
        <f t="shared" si="43"/>
        <v>155439880</v>
      </c>
      <c r="K77" s="1464">
        <f t="shared" si="43"/>
        <v>155439880</v>
      </c>
      <c r="L77" s="1464">
        <f t="shared" si="43"/>
        <v>149099880</v>
      </c>
      <c r="M77" s="1464">
        <f t="shared" si="43"/>
        <v>0</v>
      </c>
      <c r="N77" s="1464">
        <f t="shared" si="43"/>
        <v>0</v>
      </c>
      <c r="O77" s="1464">
        <f t="shared" si="43"/>
        <v>0</v>
      </c>
      <c r="P77" s="1464">
        <f t="shared" si="43"/>
        <v>0</v>
      </c>
      <c r="Q77" s="1464">
        <f t="shared" si="43"/>
        <v>0</v>
      </c>
      <c r="R77" s="1464">
        <f t="shared" si="43"/>
        <v>0</v>
      </c>
      <c r="S77" s="1464">
        <f t="shared" si="43"/>
        <v>0</v>
      </c>
      <c r="T77" s="1464">
        <f t="shared" si="43"/>
        <v>0</v>
      </c>
      <c r="U77" s="1464">
        <f t="shared" si="43"/>
        <v>0</v>
      </c>
      <c r="V77" s="1464">
        <f t="shared" si="43"/>
        <v>0</v>
      </c>
      <c r="W77" s="1464">
        <f t="shared" si="43"/>
        <v>0</v>
      </c>
      <c r="X77" s="1464">
        <f t="shared" si="43"/>
        <v>0</v>
      </c>
      <c r="Y77" s="1464">
        <f t="shared" si="43"/>
        <v>0</v>
      </c>
      <c r="Z77" s="1464">
        <f t="shared" si="43"/>
        <v>0</v>
      </c>
      <c r="AA77" s="1464">
        <f t="shared" si="43"/>
        <v>0</v>
      </c>
      <c r="AB77" s="1464">
        <f t="shared" si="43"/>
        <v>0</v>
      </c>
      <c r="AC77" s="1464">
        <f t="shared" si="43"/>
        <v>222564982</v>
      </c>
      <c r="AD77" s="1464">
        <f t="shared" si="43"/>
        <v>155439880</v>
      </c>
      <c r="AE77" s="1464">
        <f t="shared" si="43"/>
        <v>155439880</v>
      </c>
      <c r="AF77" s="1464">
        <f t="shared" si="43"/>
        <v>149099880</v>
      </c>
      <c r="AG77" s="1450"/>
    </row>
    <row r="78" spans="1:59" ht="15.75" customHeight="1" thickTop="1" thickBot="1" x14ac:dyDescent="0.3">
      <c r="A78" s="673"/>
      <c r="B78" s="673"/>
      <c r="C78" s="675"/>
      <c r="D78" s="675"/>
      <c r="E78" s="674"/>
      <c r="F78" s="674"/>
      <c r="G78" s="673"/>
      <c r="H78" s="1476" t="s">
        <v>3195</v>
      </c>
      <c r="I78" s="1452">
        <v>222564982</v>
      </c>
      <c r="J78" s="1452">
        <v>155439880</v>
      </c>
      <c r="K78" s="1452">
        <v>155439880</v>
      </c>
      <c r="L78" s="1452">
        <v>149099880</v>
      </c>
      <c r="M78" s="1453"/>
      <c r="N78" s="1453"/>
      <c r="O78" s="1453"/>
      <c r="P78" s="1453"/>
      <c r="Q78" s="1453"/>
      <c r="R78" s="1453"/>
      <c r="S78" s="1453"/>
      <c r="T78" s="1453"/>
      <c r="U78" s="1453"/>
      <c r="V78" s="1453"/>
      <c r="W78" s="1453"/>
      <c r="X78" s="1453"/>
      <c r="Y78" s="1453"/>
      <c r="Z78" s="1453"/>
      <c r="AA78" s="1453"/>
      <c r="AB78" s="1453"/>
      <c r="AC78" s="1453">
        <f>I78+M78+Q78+U78+Y78</f>
        <v>222564982</v>
      </c>
      <c r="AD78" s="1453">
        <f t="shared" ref="AD78:AF78" si="44">J78+N78+R78+V78+Z78</f>
        <v>155439880</v>
      </c>
      <c r="AE78" s="1453">
        <f t="shared" si="44"/>
        <v>155439880</v>
      </c>
      <c r="AF78" s="1453">
        <f t="shared" si="44"/>
        <v>149099880</v>
      </c>
      <c r="AG78" s="1450"/>
    </row>
    <row r="79" spans="1:59" ht="15.75" customHeight="1" thickTop="1" thickBot="1" x14ac:dyDescent="0.3">
      <c r="A79" s="673"/>
      <c r="B79" s="673"/>
      <c r="C79" s="675"/>
      <c r="D79" s="675"/>
      <c r="E79" s="674"/>
      <c r="F79" s="674"/>
      <c r="G79" s="673"/>
      <c r="H79" s="1474" t="s">
        <v>3196</v>
      </c>
      <c r="I79" s="1463">
        <f>+I80+I83</f>
        <v>1457667999</v>
      </c>
      <c r="J79" s="1463">
        <f t="shared" ref="J79:AF79" si="45">+J80+J83</f>
        <v>548911032.48000002</v>
      </c>
      <c r="K79" s="1463">
        <f t="shared" si="45"/>
        <v>435064946.24000001</v>
      </c>
      <c r="L79" s="1463">
        <f t="shared" si="45"/>
        <v>336618860</v>
      </c>
      <c r="M79" s="1463">
        <f t="shared" si="45"/>
        <v>0</v>
      </c>
      <c r="N79" s="1463">
        <f t="shared" si="45"/>
        <v>0</v>
      </c>
      <c r="O79" s="1463">
        <f t="shared" si="45"/>
        <v>0</v>
      </c>
      <c r="P79" s="1463">
        <f t="shared" si="45"/>
        <v>0</v>
      </c>
      <c r="Q79" s="1463">
        <f t="shared" si="45"/>
        <v>0</v>
      </c>
      <c r="R79" s="1463">
        <f t="shared" si="45"/>
        <v>0</v>
      </c>
      <c r="S79" s="1463">
        <f t="shared" si="45"/>
        <v>0</v>
      </c>
      <c r="T79" s="1463">
        <f t="shared" si="45"/>
        <v>0</v>
      </c>
      <c r="U79" s="1463">
        <f t="shared" si="45"/>
        <v>0</v>
      </c>
      <c r="V79" s="1463">
        <f t="shared" si="45"/>
        <v>0</v>
      </c>
      <c r="W79" s="1463">
        <f t="shared" si="45"/>
        <v>0</v>
      </c>
      <c r="X79" s="1463">
        <f t="shared" si="45"/>
        <v>0</v>
      </c>
      <c r="Y79" s="1463">
        <f t="shared" si="45"/>
        <v>50226489.5</v>
      </c>
      <c r="Z79" s="1463">
        <f t="shared" si="45"/>
        <v>49608660.5</v>
      </c>
      <c r="AA79" s="1463">
        <f t="shared" si="45"/>
        <v>0</v>
      </c>
      <c r="AB79" s="1463">
        <f t="shared" si="45"/>
        <v>0</v>
      </c>
      <c r="AC79" s="1463">
        <f t="shared" si="45"/>
        <v>1507894488.5</v>
      </c>
      <c r="AD79" s="1463">
        <f t="shared" si="45"/>
        <v>598519692.98000002</v>
      </c>
      <c r="AE79" s="1463">
        <f t="shared" si="45"/>
        <v>435064946.24000001</v>
      </c>
      <c r="AF79" s="1463">
        <f t="shared" si="45"/>
        <v>336618860</v>
      </c>
      <c r="AG79" s="1450"/>
    </row>
    <row r="80" spans="1:59" ht="15.75" customHeight="1" thickTop="1" thickBot="1" x14ac:dyDescent="0.3">
      <c r="A80" s="673"/>
      <c r="B80" s="673"/>
      <c r="C80" s="675"/>
      <c r="D80" s="675"/>
      <c r="E80" s="674"/>
      <c r="F80" s="674"/>
      <c r="G80" s="673"/>
      <c r="H80" s="1475" t="s">
        <v>3197</v>
      </c>
      <c r="I80" s="1464">
        <f>+I81</f>
        <v>598504484</v>
      </c>
      <c r="J80" s="1464">
        <f t="shared" ref="J80:AF81" si="46">+J81</f>
        <v>277581645</v>
      </c>
      <c r="K80" s="1464">
        <f t="shared" si="46"/>
        <v>257581645</v>
      </c>
      <c r="L80" s="1464">
        <f t="shared" si="46"/>
        <v>250281645</v>
      </c>
      <c r="M80" s="1464">
        <f t="shared" si="46"/>
        <v>0</v>
      </c>
      <c r="N80" s="1464">
        <f t="shared" si="46"/>
        <v>0</v>
      </c>
      <c r="O80" s="1464">
        <f t="shared" si="46"/>
        <v>0</v>
      </c>
      <c r="P80" s="1464">
        <f t="shared" si="46"/>
        <v>0</v>
      </c>
      <c r="Q80" s="1464">
        <f t="shared" si="46"/>
        <v>0</v>
      </c>
      <c r="R80" s="1464">
        <f t="shared" si="46"/>
        <v>0</v>
      </c>
      <c r="S80" s="1464">
        <f t="shared" si="46"/>
        <v>0</v>
      </c>
      <c r="T80" s="1464">
        <f t="shared" si="46"/>
        <v>0</v>
      </c>
      <c r="U80" s="1464">
        <f t="shared" si="46"/>
        <v>0</v>
      </c>
      <c r="V80" s="1464">
        <f t="shared" si="46"/>
        <v>0</v>
      </c>
      <c r="W80" s="1464">
        <f t="shared" si="46"/>
        <v>0</v>
      </c>
      <c r="X80" s="1464">
        <f t="shared" si="46"/>
        <v>0</v>
      </c>
      <c r="Y80" s="1464">
        <f t="shared" si="46"/>
        <v>43301579</v>
      </c>
      <c r="Z80" s="1464">
        <f t="shared" si="46"/>
        <v>43275711</v>
      </c>
      <c r="AA80" s="1464">
        <f t="shared" si="46"/>
        <v>0</v>
      </c>
      <c r="AB80" s="1464">
        <f t="shared" si="46"/>
        <v>0</v>
      </c>
      <c r="AC80" s="1464">
        <f t="shared" si="46"/>
        <v>641806063</v>
      </c>
      <c r="AD80" s="1464">
        <f t="shared" si="46"/>
        <v>320857356</v>
      </c>
      <c r="AE80" s="1464">
        <f t="shared" si="46"/>
        <v>257581645</v>
      </c>
      <c r="AF80" s="1464">
        <f t="shared" si="46"/>
        <v>250281645</v>
      </c>
      <c r="AG80" s="1450"/>
    </row>
    <row r="81" spans="1:33" ht="15.75" customHeight="1" thickTop="1" thickBot="1" x14ac:dyDescent="0.3">
      <c r="A81" s="673"/>
      <c r="B81" s="673"/>
      <c r="C81" s="675"/>
      <c r="D81" s="675"/>
      <c r="E81" s="674"/>
      <c r="F81" s="674"/>
      <c r="G81" s="673"/>
      <c r="H81" s="1475" t="s">
        <v>3175</v>
      </c>
      <c r="I81" s="1464">
        <f>+I82</f>
        <v>598504484</v>
      </c>
      <c r="J81" s="1464">
        <f t="shared" si="46"/>
        <v>277581645</v>
      </c>
      <c r="K81" s="1464">
        <f t="shared" si="46"/>
        <v>257581645</v>
      </c>
      <c r="L81" s="1464">
        <f t="shared" si="46"/>
        <v>250281645</v>
      </c>
      <c r="M81" s="1464">
        <f t="shared" si="46"/>
        <v>0</v>
      </c>
      <c r="N81" s="1464">
        <f t="shared" si="46"/>
        <v>0</v>
      </c>
      <c r="O81" s="1464">
        <f t="shared" si="46"/>
        <v>0</v>
      </c>
      <c r="P81" s="1464">
        <f t="shared" si="46"/>
        <v>0</v>
      </c>
      <c r="Q81" s="1464">
        <f t="shared" si="46"/>
        <v>0</v>
      </c>
      <c r="R81" s="1464">
        <f t="shared" si="46"/>
        <v>0</v>
      </c>
      <c r="S81" s="1464">
        <f t="shared" si="46"/>
        <v>0</v>
      </c>
      <c r="T81" s="1464">
        <f t="shared" si="46"/>
        <v>0</v>
      </c>
      <c r="U81" s="1464">
        <f t="shared" si="46"/>
        <v>0</v>
      </c>
      <c r="V81" s="1464">
        <f t="shared" si="46"/>
        <v>0</v>
      </c>
      <c r="W81" s="1464">
        <f t="shared" si="46"/>
        <v>0</v>
      </c>
      <c r="X81" s="1464">
        <f t="shared" si="46"/>
        <v>0</v>
      </c>
      <c r="Y81" s="1464">
        <f t="shared" si="46"/>
        <v>43301579</v>
      </c>
      <c r="Z81" s="1464">
        <f t="shared" si="46"/>
        <v>43275711</v>
      </c>
      <c r="AA81" s="1464">
        <f t="shared" si="46"/>
        <v>0</v>
      </c>
      <c r="AB81" s="1464">
        <f t="shared" si="46"/>
        <v>0</v>
      </c>
      <c r="AC81" s="1464">
        <f t="shared" si="46"/>
        <v>641806063</v>
      </c>
      <c r="AD81" s="1464">
        <f t="shared" si="46"/>
        <v>320857356</v>
      </c>
      <c r="AE81" s="1464">
        <f t="shared" si="46"/>
        <v>257581645</v>
      </c>
      <c r="AF81" s="1464">
        <f t="shared" si="46"/>
        <v>250281645</v>
      </c>
      <c r="AG81" s="1450"/>
    </row>
    <row r="82" spans="1:33" ht="15.75" customHeight="1" thickTop="1" thickBot="1" x14ac:dyDescent="0.3">
      <c r="A82" s="673"/>
      <c r="B82" s="673"/>
      <c r="C82" s="675"/>
      <c r="D82" s="675"/>
      <c r="E82" s="674"/>
      <c r="F82" s="674"/>
      <c r="G82" s="673"/>
      <c r="H82" s="1476" t="s">
        <v>3198</v>
      </c>
      <c r="I82" s="1452">
        <v>598504484</v>
      </c>
      <c r="J82" s="1452">
        <v>277581645</v>
      </c>
      <c r="K82" s="1452">
        <v>257581645</v>
      </c>
      <c r="L82" s="1452">
        <v>250281645</v>
      </c>
      <c r="M82" s="1453"/>
      <c r="N82" s="1453"/>
      <c r="O82" s="1453"/>
      <c r="P82" s="1453"/>
      <c r="Q82" s="1453"/>
      <c r="R82" s="1453"/>
      <c r="S82" s="1453"/>
      <c r="T82" s="1453"/>
      <c r="U82" s="1453"/>
      <c r="V82" s="1453"/>
      <c r="W82" s="1453"/>
      <c r="X82" s="1453"/>
      <c r="Y82" s="1453">
        <v>43301579</v>
      </c>
      <c r="Z82" s="1453">
        <v>43275711</v>
      </c>
      <c r="AA82" s="1453">
        <v>0</v>
      </c>
      <c r="AB82" s="1453">
        <v>0</v>
      </c>
      <c r="AC82" s="1453">
        <f>I82+M82+Q82+U82+Y82</f>
        <v>641806063</v>
      </c>
      <c r="AD82" s="1453">
        <f t="shared" ref="AD82:AF82" si="47">J82+N82+R82+V82+Z82</f>
        <v>320857356</v>
      </c>
      <c r="AE82" s="1453">
        <f t="shared" si="47"/>
        <v>257581645</v>
      </c>
      <c r="AF82" s="1453">
        <f t="shared" si="47"/>
        <v>250281645</v>
      </c>
      <c r="AG82" s="1450"/>
    </row>
    <row r="83" spans="1:33" ht="15.75" customHeight="1" thickTop="1" thickBot="1" x14ac:dyDescent="0.3">
      <c r="A83" s="673"/>
      <c r="B83" s="673"/>
      <c r="C83" s="675"/>
      <c r="D83" s="675"/>
      <c r="E83" s="674"/>
      <c r="F83" s="674"/>
      <c r="G83" s="673"/>
      <c r="H83" s="1475" t="s">
        <v>3180</v>
      </c>
      <c r="I83" s="1464">
        <f>+I84</f>
        <v>859163515</v>
      </c>
      <c r="J83" s="1464">
        <f t="shared" ref="J83:AF84" si="48">+J84</f>
        <v>271329387.48000002</v>
      </c>
      <c r="K83" s="1464">
        <f t="shared" si="48"/>
        <v>177483301.24000001</v>
      </c>
      <c r="L83" s="1464">
        <f t="shared" si="48"/>
        <v>86337215</v>
      </c>
      <c r="M83" s="1464">
        <f t="shared" si="48"/>
        <v>0</v>
      </c>
      <c r="N83" s="1464">
        <f t="shared" si="48"/>
        <v>0</v>
      </c>
      <c r="O83" s="1464">
        <f t="shared" si="48"/>
        <v>0</v>
      </c>
      <c r="P83" s="1464">
        <f t="shared" si="48"/>
        <v>0</v>
      </c>
      <c r="Q83" s="1464">
        <f t="shared" si="48"/>
        <v>0</v>
      </c>
      <c r="R83" s="1464">
        <f t="shared" si="48"/>
        <v>0</v>
      </c>
      <c r="S83" s="1464">
        <f t="shared" si="48"/>
        <v>0</v>
      </c>
      <c r="T83" s="1464">
        <f t="shared" si="48"/>
        <v>0</v>
      </c>
      <c r="U83" s="1464">
        <f t="shared" si="48"/>
        <v>0</v>
      </c>
      <c r="V83" s="1464">
        <f t="shared" si="48"/>
        <v>0</v>
      </c>
      <c r="W83" s="1464">
        <f t="shared" si="48"/>
        <v>0</v>
      </c>
      <c r="X83" s="1464">
        <f t="shared" si="48"/>
        <v>0</v>
      </c>
      <c r="Y83" s="1464">
        <f t="shared" si="48"/>
        <v>6924910.5</v>
      </c>
      <c r="Z83" s="1464">
        <f t="shared" si="48"/>
        <v>6332949.5</v>
      </c>
      <c r="AA83" s="1464">
        <f t="shared" si="48"/>
        <v>0</v>
      </c>
      <c r="AB83" s="1464">
        <f t="shared" si="48"/>
        <v>0</v>
      </c>
      <c r="AC83" s="1464">
        <f t="shared" si="48"/>
        <v>866088425.5</v>
      </c>
      <c r="AD83" s="1464">
        <f t="shared" si="48"/>
        <v>277662336.98000002</v>
      </c>
      <c r="AE83" s="1464">
        <f t="shared" si="48"/>
        <v>177483301.24000001</v>
      </c>
      <c r="AF83" s="1464">
        <f t="shared" si="48"/>
        <v>86337215</v>
      </c>
      <c r="AG83" s="1450"/>
    </row>
    <row r="84" spans="1:33" ht="15.75" customHeight="1" thickTop="1" thickBot="1" x14ac:dyDescent="0.3">
      <c r="A84" s="673"/>
      <c r="B84" s="673"/>
      <c r="C84" s="675"/>
      <c r="D84" s="675"/>
      <c r="E84" s="674"/>
      <c r="F84" s="674"/>
      <c r="G84" s="673"/>
      <c r="H84" s="1475" t="s">
        <v>3199</v>
      </c>
      <c r="I84" s="1464">
        <f>+I85</f>
        <v>859163515</v>
      </c>
      <c r="J84" s="1464">
        <f t="shared" si="48"/>
        <v>271329387.48000002</v>
      </c>
      <c r="K84" s="1464">
        <f t="shared" si="48"/>
        <v>177483301.24000001</v>
      </c>
      <c r="L84" s="1464">
        <f t="shared" si="48"/>
        <v>86337215</v>
      </c>
      <c r="M84" s="1464">
        <f t="shared" si="48"/>
        <v>0</v>
      </c>
      <c r="N84" s="1464">
        <f t="shared" si="48"/>
        <v>0</v>
      </c>
      <c r="O84" s="1464">
        <f t="shared" si="48"/>
        <v>0</v>
      </c>
      <c r="P84" s="1464">
        <f t="shared" si="48"/>
        <v>0</v>
      </c>
      <c r="Q84" s="1464">
        <f t="shared" si="48"/>
        <v>0</v>
      </c>
      <c r="R84" s="1464">
        <f t="shared" si="48"/>
        <v>0</v>
      </c>
      <c r="S84" s="1464">
        <f t="shared" si="48"/>
        <v>0</v>
      </c>
      <c r="T84" s="1464">
        <f t="shared" si="48"/>
        <v>0</v>
      </c>
      <c r="U84" s="1464">
        <f t="shared" si="48"/>
        <v>0</v>
      </c>
      <c r="V84" s="1464">
        <f t="shared" si="48"/>
        <v>0</v>
      </c>
      <c r="W84" s="1464">
        <f t="shared" si="48"/>
        <v>0</v>
      </c>
      <c r="X84" s="1464">
        <f t="shared" si="48"/>
        <v>0</v>
      </c>
      <c r="Y84" s="1464">
        <f t="shared" si="48"/>
        <v>6924910.5</v>
      </c>
      <c r="Z84" s="1464">
        <f t="shared" si="48"/>
        <v>6332949.5</v>
      </c>
      <c r="AA84" s="1464">
        <f t="shared" si="48"/>
        <v>0</v>
      </c>
      <c r="AB84" s="1464">
        <f t="shared" si="48"/>
        <v>0</v>
      </c>
      <c r="AC84" s="1464">
        <f t="shared" si="48"/>
        <v>866088425.5</v>
      </c>
      <c r="AD84" s="1464">
        <f t="shared" si="48"/>
        <v>277662336.98000002</v>
      </c>
      <c r="AE84" s="1464">
        <f t="shared" si="48"/>
        <v>177483301.24000001</v>
      </c>
      <c r="AF84" s="1464">
        <f t="shared" si="48"/>
        <v>86337215</v>
      </c>
      <c r="AG84" s="1450"/>
    </row>
    <row r="85" spans="1:33" ht="15.75" customHeight="1" thickTop="1" thickBot="1" x14ac:dyDescent="0.3">
      <c r="A85" s="673"/>
      <c r="B85" s="673"/>
      <c r="C85" s="675"/>
      <c r="D85" s="675"/>
      <c r="E85" s="674"/>
      <c r="F85" s="674"/>
      <c r="G85" s="673"/>
      <c r="H85" s="1476" t="s">
        <v>3200</v>
      </c>
      <c r="I85" s="1452">
        <v>859163515</v>
      </c>
      <c r="J85" s="1452">
        <v>271329387.48000002</v>
      </c>
      <c r="K85" s="1452">
        <v>177483301.24000001</v>
      </c>
      <c r="L85" s="1452">
        <v>86337215</v>
      </c>
      <c r="M85" s="1453"/>
      <c r="N85" s="1453"/>
      <c r="O85" s="1453"/>
      <c r="P85" s="1453"/>
      <c r="Q85" s="1453"/>
      <c r="R85" s="1453"/>
      <c r="S85" s="1453"/>
      <c r="T85" s="1453"/>
      <c r="U85" s="1453"/>
      <c r="V85" s="1453"/>
      <c r="W85" s="1453"/>
      <c r="X85" s="1453"/>
      <c r="Y85" s="1453">
        <v>6924910.5</v>
      </c>
      <c r="Z85" s="1453">
        <v>6332949.5</v>
      </c>
      <c r="AA85" s="1453">
        <v>0</v>
      </c>
      <c r="AB85" s="1453">
        <v>0</v>
      </c>
      <c r="AC85" s="1453">
        <f>I85+M85+Q85+U85+Y85</f>
        <v>866088425.5</v>
      </c>
      <c r="AD85" s="1453">
        <f t="shared" ref="AD85:AF85" si="49">J85+N85+R85+V85+Z85</f>
        <v>277662336.98000002</v>
      </c>
      <c r="AE85" s="1453">
        <f t="shared" si="49"/>
        <v>177483301.24000001</v>
      </c>
      <c r="AF85" s="1453">
        <f t="shared" si="49"/>
        <v>86337215</v>
      </c>
      <c r="AG85" s="1450"/>
    </row>
    <row r="86" spans="1:33" ht="15.75" customHeight="1" thickTop="1" thickBot="1" x14ac:dyDescent="0.3">
      <c r="A86" s="673"/>
      <c r="B86" s="673"/>
      <c r="C86" s="675"/>
      <c r="D86" s="675"/>
      <c r="E86" s="674"/>
      <c r="F86" s="674"/>
      <c r="G86" s="673"/>
      <c r="H86" s="1474" t="s">
        <v>3201</v>
      </c>
      <c r="I86" s="1463">
        <f>+I87+I90</f>
        <v>1020059653</v>
      </c>
      <c r="J86" s="1463">
        <f t="shared" ref="J86:AF86" si="50">+J87+J90</f>
        <v>559867001</v>
      </c>
      <c r="K86" s="1463">
        <f t="shared" si="50"/>
        <v>534512251</v>
      </c>
      <c r="L86" s="1463">
        <f t="shared" si="50"/>
        <v>487672251</v>
      </c>
      <c r="M86" s="1463">
        <f t="shared" si="50"/>
        <v>0</v>
      </c>
      <c r="N86" s="1463">
        <f t="shared" si="50"/>
        <v>0</v>
      </c>
      <c r="O86" s="1463">
        <f t="shared" si="50"/>
        <v>0</v>
      </c>
      <c r="P86" s="1463">
        <f t="shared" si="50"/>
        <v>0</v>
      </c>
      <c r="Q86" s="1463">
        <f t="shared" si="50"/>
        <v>0</v>
      </c>
      <c r="R86" s="1463">
        <f t="shared" si="50"/>
        <v>0</v>
      </c>
      <c r="S86" s="1463">
        <f t="shared" si="50"/>
        <v>0</v>
      </c>
      <c r="T86" s="1463">
        <f t="shared" si="50"/>
        <v>0</v>
      </c>
      <c r="U86" s="1463">
        <f t="shared" si="50"/>
        <v>0</v>
      </c>
      <c r="V86" s="1463">
        <f t="shared" si="50"/>
        <v>0</v>
      </c>
      <c r="W86" s="1463">
        <f t="shared" si="50"/>
        <v>0</v>
      </c>
      <c r="X86" s="1463">
        <f t="shared" si="50"/>
        <v>0</v>
      </c>
      <c r="Y86" s="1463">
        <f t="shared" si="50"/>
        <v>0</v>
      </c>
      <c r="Z86" s="1463">
        <f t="shared" si="50"/>
        <v>0</v>
      </c>
      <c r="AA86" s="1463">
        <f t="shared" si="50"/>
        <v>0</v>
      </c>
      <c r="AB86" s="1463">
        <f t="shared" si="50"/>
        <v>0</v>
      </c>
      <c r="AC86" s="1463">
        <f t="shared" si="50"/>
        <v>1020059653</v>
      </c>
      <c r="AD86" s="1463">
        <f t="shared" si="50"/>
        <v>559867001</v>
      </c>
      <c r="AE86" s="1463">
        <f t="shared" si="50"/>
        <v>534512251</v>
      </c>
      <c r="AF86" s="1463">
        <f t="shared" si="50"/>
        <v>487672251</v>
      </c>
      <c r="AG86" s="1450"/>
    </row>
    <row r="87" spans="1:33" ht="15.75" customHeight="1" thickTop="1" thickBot="1" x14ac:dyDescent="0.3">
      <c r="A87" s="673"/>
      <c r="B87" s="673"/>
      <c r="C87" s="675"/>
      <c r="D87" s="675"/>
      <c r="E87" s="674"/>
      <c r="F87" s="674"/>
      <c r="G87" s="673"/>
      <c r="H87" s="1475" t="s">
        <v>3202</v>
      </c>
      <c r="I87" s="1464">
        <f>+I88</f>
        <v>647642990</v>
      </c>
      <c r="J87" s="1464">
        <f t="shared" ref="J87:AF88" si="51">+J88</f>
        <v>253291537</v>
      </c>
      <c r="K87" s="1464">
        <f t="shared" si="51"/>
        <v>245291537</v>
      </c>
      <c r="L87" s="1464">
        <f t="shared" si="51"/>
        <v>222351537</v>
      </c>
      <c r="M87" s="1464">
        <f t="shared" si="51"/>
        <v>0</v>
      </c>
      <c r="N87" s="1464">
        <f t="shared" si="51"/>
        <v>0</v>
      </c>
      <c r="O87" s="1464">
        <f t="shared" si="51"/>
        <v>0</v>
      </c>
      <c r="P87" s="1464">
        <f t="shared" si="51"/>
        <v>0</v>
      </c>
      <c r="Q87" s="1464">
        <f t="shared" si="51"/>
        <v>0</v>
      </c>
      <c r="R87" s="1464">
        <f t="shared" si="51"/>
        <v>0</v>
      </c>
      <c r="S87" s="1464">
        <f t="shared" si="51"/>
        <v>0</v>
      </c>
      <c r="T87" s="1464">
        <f t="shared" si="51"/>
        <v>0</v>
      </c>
      <c r="U87" s="1464">
        <f t="shared" si="51"/>
        <v>0</v>
      </c>
      <c r="V87" s="1464">
        <f t="shared" si="51"/>
        <v>0</v>
      </c>
      <c r="W87" s="1464">
        <f t="shared" si="51"/>
        <v>0</v>
      </c>
      <c r="X87" s="1464">
        <f t="shared" si="51"/>
        <v>0</v>
      </c>
      <c r="Y87" s="1464">
        <f t="shared" si="51"/>
        <v>0</v>
      </c>
      <c r="Z87" s="1464">
        <f t="shared" si="51"/>
        <v>0</v>
      </c>
      <c r="AA87" s="1464">
        <f t="shared" si="51"/>
        <v>0</v>
      </c>
      <c r="AB87" s="1464">
        <f t="shared" si="51"/>
        <v>0</v>
      </c>
      <c r="AC87" s="1464">
        <f t="shared" si="51"/>
        <v>647642990</v>
      </c>
      <c r="AD87" s="1464">
        <f t="shared" si="51"/>
        <v>253291537</v>
      </c>
      <c r="AE87" s="1464">
        <f t="shared" si="51"/>
        <v>245291537</v>
      </c>
      <c r="AF87" s="1464">
        <f t="shared" si="51"/>
        <v>222351537</v>
      </c>
      <c r="AG87" s="1450"/>
    </row>
    <row r="88" spans="1:33" ht="15.75" customHeight="1" thickTop="1" thickBot="1" x14ac:dyDescent="0.3">
      <c r="A88" s="673"/>
      <c r="B88" s="673"/>
      <c r="C88" s="675"/>
      <c r="D88" s="675"/>
      <c r="E88" s="674"/>
      <c r="F88" s="674"/>
      <c r="G88" s="673"/>
      <c r="H88" s="1475" t="s">
        <v>3175</v>
      </c>
      <c r="I88" s="1464">
        <f>+I89</f>
        <v>647642990</v>
      </c>
      <c r="J88" s="1464">
        <f t="shared" si="51"/>
        <v>253291537</v>
      </c>
      <c r="K88" s="1464">
        <f t="shared" si="51"/>
        <v>245291537</v>
      </c>
      <c r="L88" s="1464">
        <f t="shared" si="51"/>
        <v>222351537</v>
      </c>
      <c r="M88" s="1464">
        <f t="shared" si="51"/>
        <v>0</v>
      </c>
      <c r="N88" s="1464">
        <f t="shared" si="51"/>
        <v>0</v>
      </c>
      <c r="O88" s="1464">
        <f t="shared" si="51"/>
        <v>0</v>
      </c>
      <c r="P88" s="1464">
        <f t="shared" si="51"/>
        <v>0</v>
      </c>
      <c r="Q88" s="1464">
        <f t="shared" si="51"/>
        <v>0</v>
      </c>
      <c r="R88" s="1464">
        <f t="shared" si="51"/>
        <v>0</v>
      </c>
      <c r="S88" s="1464">
        <f t="shared" si="51"/>
        <v>0</v>
      </c>
      <c r="T88" s="1464">
        <f t="shared" si="51"/>
        <v>0</v>
      </c>
      <c r="U88" s="1464">
        <f t="shared" si="51"/>
        <v>0</v>
      </c>
      <c r="V88" s="1464">
        <f t="shared" si="51"/>
        <v>0</v>
      </c>
      <c r="W88" s="1464">
        <f t="shared" si="51"/>
        <v>0</v>
      </c>
      <c r="X88" s="1464">
        <f t="shared" si="51"/>
        <v>0</v>
      </c>
      <c r="Y88" s="1464">
        <f t="shared" si="51"/>
        <v>0</v>
      </c>
      <c r="Z88" s="1464">
        <f t="shared" si="51"/>
        <v>0</v>
      </c>
      <c r="AA88" s="1464">
        <f t="shared" si="51"/>
        <v>0</v>
      </c>
      <c r="AB88" s="1464">
        <f t="shared" si="51"/>
        <v>0</v>
      </c>
      <c r="AC88" s="1464">
        <f t="shared" si="51"/>
        <v>647642990</v>
      </c>
      <c r="AD88" s="1464">
        <f t="shared" si="51"/>
        <v>253291537</v>
      </c>
      <c r="AE88" s="1464">
        <f t="shared" si="51"/>
        <v>245291537</v>
      </c>
      <c r="AF88" s="1464">
        <f t="shared" si="51"/>
        <v>222351537</v>
      </c>
      <c r="AG88" s="1450"/>
    </row>
    <row r="89" spans="1:33" ht="15.75" customHeight="1" thickTop="1" thickBot="1" x14ac:dyDescent="0.3">
      <c r="A89" s="673"/>
      <c r="B89" s="673"/>
      <c r="C89" s="675"/>
      <c r="D89" s="675"/>
      <c r="E89" s="674"/>
      <c r="F89" s="674"/>
      <c r="G89" s="673"/>
      <c r="H89" s="1476" t="s">
        <v>3166</v>
      </c>
      <c r="I89" s="1452">
        <v>647642990</v>
      </c>
      <c r="J89" s="1452">
        <v>253291537</v>
      </c>
      <c r="K89" s="1452">
        <v>245291537</v>
      </c>
      <c r="L89" s="1452">
        <v>222351537</v>
      </c>
      <c r="M89" s="1453"/>
      <c r="N89" s="1453"/>
      <c r="O89" s="1453"/>
      <c r="P89" s="1453"/>
      <c r="Q89" s="1453"/>
      <c r="R89" s="1453"/>
      <c r="S89" s="1453"/>
      <c r="T89" s="1453"/>
      <c r="U89" s="1453"/>
      <c r="V89" s="1453"/>
      <c r="W89" s="1453"/>
      <c r="X89" s="1453"/>
      <c r="Y89" s="1453"/>
      <c r="Z89" s="1453"/>
      <c r="AA89" s="1453"/>
      <c r="AB89" s="1453"/>
      <c r="AC89" s="1453">
        <f>I89+M89+Q89+U89+Y89</f>
        <v>647642990</v>
      </c>
      <c r="AD89" s="1453">
        <f t="shared" ref="AD89:AF89" si="52">J89+N89+R89+V89+Z89</f>
        <v>253291537</v>
      </c>
      <c r="AE89" s="1453">
        <f t="shared" si="52"/>
        <v>245291537</v>
      </c>
      <c r="AF89" s="1453">
        <f t="shared" si="52"/>
        <v>222351537</v>
      </c>
      <c r="AG89" s="1450"/>
    </row>
    <row r="90" spans="1:33" ht="16.5" thickTop="1" thickBot="1" x14ac:dyDescent="0.3">
      <c r="A90" s="673"/>
      <c r="B90" s="673"/>
      <c r="C90" s="675"/>
      <c r="D90" s="675"/>
      <c r="E90" s="674"/>
      <c r="F90" s="674"/>
      <c r="G90" s="674"/>
      <c r="H90" s="1475" t="s">
        <v>3203</v>
      </c>
      <c r="I90" s="1464">
        <f>+I91</f>
        <v>372416663</v>
      </c>
      <c r="J90" s="1464">
        <f t="shared" ref="J90:AF91" si="53">+J91</f>
        <v>306575464</v>
      </c>
      <c r="K90" s="1464">
        <f t="shared" si="53"/>
        <v>289220714</v>
      </c>
      <c r="L90" s="1464">
        <f t="shared" si="53"/>
        <v>265320714</v>
      </c>
      <c r="M90" s="1464">
        <f t="shared" si="53"/>
        <v>0</v>
      </c>
      <c r="N90" s="1464">
        <f t="shared" si="53"/>
        <v>0</v>
      </c>
      <c r="O90" s="1464">
        <f t="shared" si="53"/>
        <v>0</v>
      </c>
      <c r="P90" s="1464">
        <f t="shared" si="53"/>
        <v>0</v>
      </c>
      <c r="Q90" s="1464">
        <f t="shared" si="53"/>
        <v>0</v>
      </c>
      <c r="R90" s="1464">
        <f t="shared" si="53"/>
        <v>0</v>
      </c>
      <c r="S90" s="1464">
        <f t="shared" si="53"/>
        <v>0</v>
      </c>
      <c r="T90" s="1464">
        <f t="shared" si="53"/>
        <v>0</v>
      </c>
      <c r="U90" s="1464">
        <f t="shared" si="53"/>
        <v>0</v>
      </c>
      <c r="V90" s="1464">
        <f t="shared" si="53"/>
        <v>0</v>
      </c>
      <c r="W90" s="1464">
        <f t="shared" si="53"/>
        <v>0</v>
      </c>
      <c r="X90" s="1464">
        <f t="shared" si="53"/>
        <v>0</v>
      </c>
      <c r="Y90" s="1464">
        <f t="shared" si="53"/>
        <v>0</v>
      </c>
      <c r="Z90" s="1464">
        <f t="shared" si="53"/>
        <v>0</v>
      </c>
      <c r="AA90" s="1464">
        <f t="shared" si="53"/>
        <v>0</v>
      </c>
      <c r="AB90" s="1464">
        <f t="shared" si="53"/>
        <v>0</v>
      </c>
      <c r="AC90" s="1464">
        <f t="shared" si="53"/>
        <v>372416663</v>
      </c>
      <c r="AD90" s="1464">
        <f t="shared" si="53"/>
        <v>306575464</v>
      </c>
      <c r="AE90" s="1464">
        <f t="shared" si="53"/>
        <v>289220714</v>
      </c>
      <c r="AF90" s="1464">
        <f t="shared" si="53"/>
        <v>265320714</v>
      </c>
      <c r="AG90" s="1450"/>
    </row>
    <row r="91" spans="1:33" ht="16.5" thickTop="1" thickBot="1" x14ac:dyDescent="0.3">
      <c r="A91" s="673"/>
      <c r="B91" s="673"/>
      <c r="C91" s="675"/>
      <c r="D91" s="675"/>
      <c r="E91" s="674"/>
      <c r="F91" s="674"/>
      <c r="G91" s="674"/>
      <c r="H91" s="1475" t="s">
        <v>3175</v>
      </c>
      <c r="I91" s="1464">
        <f>+I92</f>
        <v>372416663</v>
      </c>
      <c r="J91" s="1464">
        <f t="shared" si="53"/>
        <v>306575464</v>
      </c>
      <c r="K91" s="1464">
        <f t="shared" si="53"/>
        <v>289220714</v>
      </c>
      <c r="L91" s="1464">
        <f t="shared" si="53"/>
        <v>265320714</v>
      </c>
      <c r="M91" s="1464">
        <f t="shared" si="53"/>
        <v>0</v>
      </c>
      <c r="N91" s="1464">
        <f t="shared" si="53"/>
        <v>0</v>
      </c>
      <c r="O91" s="1464">
        <f t="shared" si="53"/>
        <v>0</v>
      </c>
      <c r="P91" s="1464">
        <f t="shared" si="53"/>
        <v>0</v>
      </c>
      <c r="Q91" s="1464">
        <f t="shared" si="53"/>
        <v>0</v>
      </c>
      <c r="R91" s="1464">
        <f t="shared" si="53"/>
        <v>0</v>
      </c>
      <c r="S91" s="1464">
        <f t="shared" si="53"/>
        <v>0</v>
      </c>
      <c r="T91" s="1464">
        <f t="shared" si="53"/>
        <v>0</v>
      </c>
      <c r="U91" s="1464">
        <f t="shared" si="53"/>
        <v>0</v>
      </c>
      <c r="V91" s="1464">
        <f t="shared" si="53"/>
        <v>0</v>
      </c>
      <c r="W91" s="1464">
        <f t="shared" si="53"/>
        <v>0</v>
      </c>
      <c r="X91" s="1464">
        <f t="shared" si="53"/>
        <v>0</v>
      </c>
      <c r="Y91" s="1464">
        <f t="shared" si="53"/>
        <v>0</v>
      </c>
      <c r="Z91" s="1464">
        <f t="shared" si="53"/>
        <v>0</v>
      </c>
      <c r="AA91" s="1464">
        <f t="shared" si="53"/>
        <v>0</v>
      </c>
      <c r="AB91" s="1464">
        <f t="shared" si="53"/>
        <v>0</v>
      </c>
      <c r="AC91" s="1464">
        <f t="shared" si="53"/>
        <v>372416663</v>
      </c>
      <c r="AD91" s="1464">
        <f t="shared" si="53"/>
        <v>306575464</v>
      </c>
      <c r="AE91" s="1464">
        <f t="shared" si="53"/>
        <v>289220714</v>
      </c>
      <c r="AF91" s="1464">
        <f t="shared" si="53"/>
        <v>265320714</v>
      </c>
      <c r="AG91" s="1450"/>
    </row>
    <row r="92" spans="1:33" ht="16.5" thickTop="1" thickBot="1" x14ac:dyDescent="0.3">
      <c r="A92" s="673"/>
      <c r="B92" s="673"/>
      <c r="C92" s="675"/>
      <c r="D92" s="675"/>
      <c r="E92" s="674"/>
      <c r="F92" s="674"/>
      <c r="G92" s="674"/>
      <c r="H92" s="1476" t="s">
        <v>3204</v>
      </c>
      <c r="I92" s="1452">
        <v>372416663</v>
      </c>
      <c r="J92" s="1452">
        <v>306575464</v>
      </c>
      <c r="K92" s="1452">
        <v>289220714</v>
      </c>
      <c r="L92" s="1452">
        <v>265320714</v>
      </c>
      <c r="M92" s="1453"/>
      <c r="N92" s="1453"/>
      <c r="O92" s="1453"/>
      <c r="P92" s="1453"/>
      <c r="Q92" s="1453"/>
      <c r="R92" s="1453"/>
      <c r="S92" s="1453"/>
      <c r="T92" s="1453"/>
      <c r="U92" s="1453"/>
      <c r="V92" s="1453"/>
      <c r="W92" s="1453"/>
      <c r="X92" s="1453"/>
      <c r="Y92" s="1453"/>
      <c r="Z92" s="1453"/>
      <c r="AA92" s="1453"/>
      <c r="AB92" s="1453"/>
      <c r="AC92" s="1453">
        <f>I92+M92+Q92+U92+Y92</f>
        <v>372416663</v>
      </c>
      <c r="AD92" s="1453">
        <f t="shared" ref="AD92:AF92" si="54">J92+N92+R92+V92+Z92</f>
        <v>306575464</v>
      </c>
      <c r="AE92" s="1453">
        <f t="shared" si="54"/>
        <v>289220714</v>
      </c>
      <c r="AF92" s="1453">
        <f t="shared" si="54"/>
        <v>265320714</v>
      </c>
      <c r="AG92" s="1450"/>
    </row>
    <row r="93" spans="1:33" ht="16.5" thickTop="1" thickBot="1" x14ac:dyDescent="0.3">
      <c r="A93" s="673"/>
      <c r="B93" s="673"/>
      <c r="C93" s="675"/>
      <c r="D93" s="675"/>
      <c r="E93" s="674"/>
      <c r="F93" s="674"/>
      <c r="G93" s="674"/>
      <c r="H93" s="1474" t="s">
        <v>3205</v>
      </c>
      <c r="I93" s="1463">
        <f>+I94+I97</f>
        <v>3045797292</v>
      </c>
      <c r="J93" s="1463">
        <f t="shared" ref="J93:AF93" si="55">+J94+J97</f>
        <v>2148031118</v>
      </c>
      <c r="K93" s="1463">
        <f t="shared" si="55"/>
        <v>2075870030.75</v>
      </c>
      <c r="L93" s="1463">
        <f t="shared" si="55"/>
        <v>2061670030.75</v>
      </c>
      <c r="M93" s="1463">
        <f t="shared" si="55"/>
        <v>0</v>
      </c>
      <c r="N93" s="1463">
        <f t="shared" si="55"/>
        <v>0</v>
      </c>
      <c r="O93" s="1463">
        <f t="shared" si="55"/>
        <v>0</v>
      </c>
      <c r="P93" s="1463">
        <f t="shared" si="55"/>
        <v>0</v>
      </c>
      <c r="Q93" s="1463">
        <f t="shared" si="55"/>
        <v>0</v>
      </c>
      <c r="R93" s="1463">
        <f t="shared" si="55"/>
        <v>0</v>
      </c>
      <c r="S93" s="1463">
        <f t="shared" si="55"/>
        <v>0</v>
      </c>
      <c r="T93" s="1463">
        <f t="shared" si="55"/>
        <v>0</v>
      </c>
      <c r="U93" s="1463">
        <f t="shared" si="55"/>
        <v>0</v>
      </c>
      <c r="V93" s="1463">
        <f t="shared" si="55"/>
        <v>0</v>
      </c>
      <c r="W93" s="1463">
        <f t="shared" si="55"/>
        <v>0</v>
      </c>
      <c r="X93" s="1463">
        <f t="shared" si="55"/>
        <v>0</v>
      </c>
      <c r="Y93" s="1463">
        <f t="shared" si="55"/>
        <v>315252635.20999998</v>
      </c>
      <c r="Z93" s="1463">
        <f t="shared" si="55"/>
        <v>312117993</v>
      </c>
      <c r="AA93" s="1463">
        <f t="shared" si="55"/>
        <v>0</v>
      </c>
      <c r="AB93" s="1463">
        <f t="shared" si="55"/>
        <v>0</v>
      </c>
      <c r="AC93" s="1463">
        <f t="shared" si="55"/>
        <v>3361049927.21</v>
      </c>
      <c r="AD93" s="1463">
        <f t="shared" si="55"/>
        <v>2460149111</v>
      </c>
      <c r="AE93" s="1463">
        <f t="shared" si="55"/>
        <v>2075870030.75</v>
      </c>
      <c r="AF93" s="1463">
        <f t="shared" si="55"/>
        <v>2061670030.75</v>
      </c>
      <c r="AG93" s="1450"/>
    </row>
    <row r="94" spans="1:33" ht="16.5" thickTop="1" thickBot="1" x14ac:dyDescent="0.3">
      <c r="A94" s="673"/>
      <c r="B94" s="673"/>
      <c r="C94" s="675"/>
      <c r="D94" s="675"/>
      <c r="E94" s="674"/>
      <c r="F94" s="674"/>
      <c r="G94" s="674"/>
      <c r="H94" s="1475" t="s">
        <v>3197</v>
      </c>
      <c r="I94" s="1464">
        <f>+I95</f>
        <v>2693571767</v>
      </c>
      <c r="J94" s="1464">
        <f t="shared" ref="J94:AF95" si="56">+J95</f>
        <v>1800849586</v>
      </c>
      <c r="K94" s="1464">
        <f t="shared" si="56"/>
        <v>1751521002</v>
      </c>
      <c r="L94" s="1464">
        <f t="shared" si="56"/>
        <v>1745521002</v>
      </c>
      <c r="M94" s="1464">
        <f t="shared" si="56"/>
        <v>0</v>
      </c>
      <c r="N94" s="1464">
        <f t="shared" si="56"/>
        <v>0</v>
      </c>
      <c r="O94" s="1464">
        <f t="shared" si="56"/>
        <v>0</v>
      </c>
      <c r="P94" s="1464">
        <f t="shared" si="56"/>
        <v>0</v>
      </c>
      <c r="Q94" s="1464">
        <f t="shared" si="56"/>
        <v>0</v>
      </c>
      <c r="R94" s="1464">
        <f t="shared" si="56"/>
        <v>0</v>
      </c>
      <c r="S94" s="1464">
        <f t="shared" si="56"/>
        <v>0</v>
      </c>
      <c r="T94" s="1464">
        <f t="shared" si="56"/>
        <v>0</v>
      </c>
      <c r="U94" s="1464">
        <f t="shared" si="56"/>
        <v>0</v>
      </c>
      <c r="V94" s="1464">
        <f t="shared" si="56"/>
        <v>0</v>
      </c>
      <c r="W94" s="1464">
        <f t="shared" si="56"/>
        <v>0</v>
      </c>
      <c r="X94" s="1464">
        <f t="shared" si="56"/>
        <v>0</v>
      </c>
      <c r="Y94" s="1464">
        <f t="shared" si="56"/>
        <v>0</v>
      </c>
      <c r="Z94" s="1464">
        <f t="shared" si="56"/>
        <v>0</v>
      </c>
      <c r="AA94" s="1464">
        <f t="shared" si="56"/>
        <v>0</v>
      </c>
      <c r="AB94" s="1464">
        <f t="shared" si="56"/>
        <v>0</v>
      </c>
      <c r="AC94" s="1464">
        <f t="shared" si="56"/>
        <v>2693571767</v>
      </c>
      <c r="AD94" s="1464">
        <f t="shared" si="56"/>
        <v>1800849586</v>
      </c>
      <c r="AE94" s="1464">
        <f t="shared" si="56"/>
        <v>1751521002</v>
      </c>
      <c r="AF94" s="1464">
        <f t="shared" si="56"/>
        <v>1745521002</v>
      </c>
      <c r="AG94" s="1450"/>
    </row>
    <row r="95" spans="1:33" ht="16.5" thickTop="1" thickBot="1" x14ac:dyDescent="0.3">
      <c r="A95" s="673"/>
      <c r="B95" s="673"/>
      <c r="C95" s="675"/>
      <c r="D95" s="675"/>
      <c r="E95" s="674"/>
      <c r="F95" s="674"/>
      <c r="G95" s="674"/>
      <c r="H95" s="1475" t="s">
        <v>3175</v>
      </c>
      <c r="I95" s="1464">
        <f>+I96</f>
        <v>2693571767</v>
      </c>
      <c r="J95" s="1464">
        <f t="shared" si="56"/>
        <v>1800849586</v>
      </c>
      <c r="K95" s="1464">
        <f t="shared" si="56"/>
        <v>1751521002</v>
      </c>
      <c r="L95" s="1464">
        <f t="shared" si="56"/>
        <v>1745521002</v>
      </c>
      <c r="M95" s="1464">
        <f t="shared" si="56"/>
        <v>0</v>
      </c>
      <c r="N95" s="1464">
        <f t="shared" si="56"/>
        <v>0</v>
      </c>
      <c r="O95" s="1464">
        <f t="shared" si="56"/>
        <v>0</v>
      </c>
      <c r="P95" s="1464">
        <f t="shared" si="56"/>
        <v>0</v>
      </c>
      <c r="Q95" s="1464">
        <f t="shared" si="56"/>
        <v>0</v>
      </c>
      <c r="R95" s="1464">
        <f t="shared" si="56"/>
        <v>0</v>
      </c>
      <c r="S95" s="1464">
        <f t="shared" si="56"/>
        <v>0</v>
      </c>
      <c r="T95" s="1464">
        <f t="shared" si="56"/>
        <v>0</v>
      </c>
      <c r="U95" s="1464">
        <f t="shared" si="56"/>
        <v>0</v>
      </c>
      <c r="V95" s="1464">
        <f t="shared" si="56"/>
        <v>0</v>
      </c>
      <c r="W95" s="1464">
        <f t="shared" si="56"/>
        <v>0</v>
      </c>
      <c r="X95" s="1464">
        <f t="shared" si="56"/>
        <v>0</v>
      </c>
      <c r="Y95" s="1464">
        <f t="shared" si="56"/>
        <v>0</v>
      </c>
      <c r="Z95" s="1464">
        <f t="shared" si="56"/>
        <v>0</v>
      </c>
      <c r="AA95" s="1464">
        <f t="shared" si="56"/>
        <v>0</v>
      </c>
      <c r="AB95" s="1464">
        <f t="shared" si="56"/>
        <v>0</v>
      </c>
      <c r="AC95" s="1464">
        <f t="shared" si="56"/>
        <v>2693571767</v>
      </c>
      <c r="AD95" s="1464">
        <f t="shared" si="56"/>
        <v>1800849586</v>
      </c>
      <c r="AE95" s="1464">
        <f t="shared" si="56"/>
        <v>1751521002</v>
      </c>
      <c r="AF95" s="1464">
        <f t="shared" si="56"/>
        <v>1745521002</v>
      </c>
      <c r="AG95" s="1450"/>
    </row>
    <row r="96" spans="1:33" ht="16.5" thickTop="1" thickBot="1" x14ac:dyDescent="0.3">
      <c r="A96" s="673"/>
      <c r="B96" s="673"/>
      <c r="C96" s="675"/>
      <c r="D96" s="675"/>
      <c r="E96" s="674"/>
      <c r="F96" s="674"/>
      <c r="G96" s="674"/>
      <c r="H96" s="1476" t="s">
        <v>3206</v>
      </c>
      <c r="I96" s="1452">
        <v>2693571767</v>
      </c>
      <c r="J96" s="1452">
        <v>1800849586</v>
      </c>
      <c r="K96" s="1452">
        <v>1751521002</v>
      </c>
      <c r="L96" s="1452">
        <v>1745521002</v>
      </c>
      <c r="M96" s="1453"/>
      <c r="N96" s="1453"/>
      <c r="O96" s="1453"/>
      <c r="P96" s="1453"/>
      <c r="Q96" s="1453"/>
      <c r="R96" s="1453"/>
      <c r="S96" s="1453"/>
      <c r="T96" s="1453"/>
      <c r="U96" s="1453"/>
      <c r="V96" s="1453"/>
      <c r="W96" s="1453"/>
      <c r="X96" s="1453"/>
      <c r="Y96" s="1453"/>
      <c r="Z96" s="1453"/>
      <c r="AA96" s="1453"/>
      <c r="AB96" s="1453"/>
      <c r="AC96" s="1453">
        <f>I96+M96+Q96+U96+Y96</f>
        <v>2693571767</v>
      </c>
      <c r="AD96" s="1453">
        <f t="shared" ref="AD96:AF96" si="57">J96+N96+R96+V96+Z96</f>
        <v>1800849586</v>
      </c>
      <c r="AE96" s="1453">
        <f t="shared" si="57"/>
        <v>1751521002</v>
      </c>
      <c r="AF96" s="1453">
        <f t="shared" si="57"/>
        <v>1745521002</v>
      </c>
      <c r="AG96" s="1450"/>
    </row>
    <row r="97" spans="1:33" ht="16.5" thickTop="1" thickBot="1" x14ac:dyDescent="0.3">
      <c r="A97" s="673"/>
      <c r="B97" s="673"/>
      <c r="C97" s="675"/>
      <c r="D97" s="675"/>
      <c r="E97" s="674"/>
      <c r="F97" s="674"/>
      <c r="G97" s="674"/>
      <c r="H97" s="1475" t="s">
        <v>3194</v>
      </c>
      <c r="I97" s="1464">
        <f>+I98</f>
        <v>352225525</v>
      </c>
      <c r="J97" s="1464">
        <f t="shared" ref="J97:AF98" si="58">+J98</f>
        <v>347181532</v>
      </c>
      <c r="K97" s="1464">
        <f t="shared" si="58"/>
        <v>324349028.75</v>
      </c>
      <c r="L97" s="1464">
        <f t="shared" si="58"/>
        <v>316149028.75</v>
      </c>
      <c r="M97" s="1464">
        <f t="shared" si="58"/>
        <v>0</v>
      </c>
      <c r="N97" s="1464">
        <f t="shared" si="58"/>
        <v>0</v>
      </c>
      <c r="O97" s="1464">
        <f t="shared" si="58"/>
        <v>0</v>
      </c>
      <c r="P97" s="1464">
        <f t="shared" si="58"/>
        <v>0</v>
      </c>
      <c r="Q97" s="1464">
        <f t="shared" si="58"/>
        <v>0</v>
      </c>
      <c r="R97" s="1464">
        <f t="shared" si="58"/>
        <v>0</v>
      </c>
      <c r="S97" s="1464">
        <f t="shared" si="58"/>
        <v>0</v>
      </c>
      <c r="T97" s="1464">
        <f t="shared" si="58"/>
        <v>0</v>
      </c>
      <c r="U97" s="1464">
        <f t="shared" si="58"/>
        <v>0</v>
      </c>
      <c r="V97" s="1464">
        <f t="shared" si="58"/>
        <v>0</v>
      </c>
      <c r="W97" s="1464">
        <f t="shared" si="58"/>
        <v>0</v>
      </c>
      <c r="X97" s="1464">
        <f t="shared" si="58"/>
        <v>0</v>
      </c>
      <c r="Y97" s="1464">
        <f t="shared" si="58"/>
        <v>315252635.20999998</v>
      </c>
      <c r="Z97" s="1464">
        <f t="shared" si="58"/>
        <v>312117993</v>
      </c>
      <c r="AA97" s="1464">
        <f t="shared" si="58"/>
        <v>0</v>
      </c>
      <c r="AB97" s="1464">
        <f t="shared" si="58"/>
        <v>0</v>
      </c>
      <c r="AC97" s="1464">
        <f t="shared" si="58"/>
        <v>667478160.21000004</v>
      </c>
      <c r="AD97" s="1464">
        <f t="shared" si="58"/>
        <v>659299525</v>
      </c>
      <c r="AE97" s="1464">
        <f t="shared" si="58"/>
        <v>324349028.75</v>
      </c>
      <c r="AF97" s="1464">
        <f t="shared" si="58"/>
        <v>316149028.75</v>
      </c>
      <c r="AG97" s="1450"/>
    </row>
    <row r="98" spans="1:33" ht="16.5" thickTop="1" thickBot="1" x14ac:dyDescent="0.3">
      <c r="A98" s="673"/>
      <c r="B98" s="673"/>
      <c r="C98" s="675"/>
      <c r="D98" s="675"/>
      <c r="E98" s="674"/>
      <c r="F98" s="674"/>
      <c r="G98" s="674"/>
      <c r="H98" s="1475" t="s">
        <v>3199</v>
      </c>
      <c r="I98" s="1464">
        <f>+I99</f>
        <v>352225525</v>
      </c>
      <c r="J98" s="1464">
        <f t="shared" si="58"/>
        <v>347181532</v>
      </c>
      <c r="K98" s="1464">
        <f t="shared" si="58"/>
        <v>324349028.75</v>
      </c>
      <c r="L98" s="1464">
        <f t="shared" si="58"/>
        <v>316149028.75</v>
      </c>
      <c r="M98" s="1464">
        <f t="shared" si="58"/>
        <v>0</v>
      </c>
      <c r="N98" s="1464">
        <f t="shared" si="58"/>
        <v>0</v>
      </c>
      <c r="O98" s="1464">
        <f t="shared" si="58"/>
        <v>0</v>
      </c>
      <c r="P98" s="1464">
        <f t="shared" si="58"/>
        <v>0</v>
      </c>
      <c r="Q98" s="1464">
        <f t="shared" si="58"/>
        <v>0</v>
      </c>
      <c r="R98" s="1464">
        <f t="shared" si="58"/>
        <v>0</v>
      </c>
      <c r="S98" s="1464">
        <f t="shared" si="58"/>
        <v>0</v>
      </c>
      <c r="T98" s="1464">
        <f t="shared" si="58"/>
        <v>0</v>
      </c>
      <c r="U98" s="1464">
        <f t="shared" si="58"/>
        <v>0</v>
      </c>
      <c r="V98" s="1464">
        <f t="shared" si="58"/>
        <v>0</v>
      </c>
      <c r="W98" s="1464">
        <f t="shared" si="58"/>
        <v>0</v>
      </c>
      <c r="X98" s="1464">
        <f t="shared" si="58"/>
        <v>0</v>
      </c>
      <c r="Y98" s="1464">
        <f t="shared" si="58"/>
        <v>315252635.20999998</v>
      </c>
      <c r="Z98" s="1464">
        <f t="shared" si="58"/>
        <v>312117993</v>
      </c>
      <c r="AA98" s="1464">
        <f t="shared" si="58"/>
        <v>0</v>
      </c>
      <c r="AB98" s="1464">
        <f t="shared" si="58"/>
        <v>0</v>
      </c>
      <c r="AC98" s="1464">
        <f t="shared" si="58"/>
        <v>667478160.21000004</v>
      </c>
      <c r="AD98" s="1464">
        <f t="shared" si="58"/>
        <v>659299525</v>
      </c>
      <c r="AE98" s="1464">
        <f t="shared" si="58"/>
        <v>324349028.75</v>
      </c>
      <c r="AF98" s="1464">
        <f t="shared" si="58"/>
        <v>316149028.75</v>
      </c>
      <c r="AG98" s="1450"/>
    </row>
    <row r="99" spans="1:33" ht="16.5" thickTop="1" thickBot="1" x14ac:dyDescent="0.3">
      <c r="A99" s="673"/>
      <c r="B99" s="673"/>
      <c r="C99" s="675"/>
      <c r="D99" s="675"/>
      <c r="E99" s="674"/>
      <c r="F99" s="674"/>
      <c r="G99" s="674"/>
      <c r="H99" s="1476" t="s">
        <v>3207</v>
      </c>
      <c r="I99" s="1452">
        <v>352225525</v>
      </c>
      <c r="J99" s="1452">
        <v>347181532</v>
      </c>
      <c r="K99" s="1452">
        <v>324349028.75</v>
      </c>
      <c r="L99" s="1452">
        <v>316149028.75</v>
      </c>
      <c r="M99" s="1465"/>
      <c r="N99" s="1465"/>
      <c r="O99" s="1465"/>
      <c r="P99" s="1465"/>
      <c r="Q99" s="1465"/>
      <c r="R99" s="1465"/>
      <c r="S99" s="1465"/>
      <c r="T99" s="1465"/>
      <c r="U99" s="1465"/>
      <c r="V99" s="1465"/>
      <c r="W99" s="1465"/>
      <c r="X99" s="1465"/>
      <c r="Y99" s="1453">
        <v>315252635.20999998</v>
      </c>
      <c r="Z99" s="1453">
        <v>312117993</v>
      </c>
      <c r="AA99" s="1453">
        <v>0</v>
      </c>
      <c r="AB99" s="1453">
        <v>0</v>
      </c>
      <c r="AC99" s="1465">
        <f t="shared" ref="AC99:AF100" si="59">+I99+M99+Q99+Y99</f>
        <v>667478160.21000004</v>
      </c>
      <c r="AD99" s="1465">
        <f t="shared" si="59"/>
        <v>659299525</v>
      </c>
      <c r="AE99" s="1465">
        <f t="shared" si="59"/>
        <v>324349028.75</v>
      </c>
      <c r="AF99" s="1465">
        <f t="shared" si="59"/>
        <v>316149028.75</v>
      </c>
      <c r="AG99" s="1450"/>
    </row>
    <row r="100" spans="1:33" ht="16.5" thickTop="1" thickBot="1" x14ac:dyDescent="0.3">
      <c r="A100" s="673"/>
      <c r="B100" s="673"/>
      <c r="C100" s="675"/>
      <c r="D100" s="675"/>
      <c r="E100" s="674"/>
      <c r="F100" s="674"/>
      <c r="G100" s="674"/>
      <c r="H100" s="1476"/>
      <c r="I100" s="1452"/>
      <c r="J100" s="1452"/>
      <c r="K100" s="1452"/>
      <c r="L100" s="1452"/>
      <c r="M100" s="1452"/>
      <c r="N100" s="1452"/>
      <c r="O100" s="1452"/>
      <c r="P100" s="1452"/>
      <c r="Q100" s="1452"/>
      <c r="R100" s="1452"/>
      <c r="S100" s="1452"/>
      <c r="T100" s="1452"/>
      <c r="U100" s="1452"/>
      <c r="V100" s="1452"/>
      <c r="W100" s="1452"/>
      <c r="X100" s="1452"/>
      <c r="Y100" s="1452"/>
      <c r="Z100" s="1452"/>
      <c r="AA100" s="1452"/>
      <c r="AB100" s="1452"/>
      <c r="AC100" s="1453">
        <f>I100+M100+Q100+U100+Y100</f>
        <v>0</v>
      </c>
      <c r="AD100" s="1452">
        <f t="shared" si="59"/>
        <v>0</v>
      </c>
      <c r="AE100" s="1452">
        <f t="shared" si="59"/>
        <v>0</v>
      </c>
      <c r="AF100" s="1452">
        <f t="shared" si="59"/>
        <v>0</v>
      </c>
      <c r="AG100" s="1450"/>
    </row>
    <row r="101" spans="1:33" ht="16.5" thickTop="1" thickBot="1" x14ac:dyDescent="0.3">
      <c r="A101" s="691"/>
      <c r="B101" s="691"/>
      <c r="C101" s="692"/>
      <c r="D101" s="692"/>
      <c r="E101" s="692"/>
      <c r="F101" s="692"/>
      <c r="G101" s="692"/>
      <c r="H101" s="1477" t="s">
        <v>1753</v>
      </c>
      <c r="I101" s="1466">
        <f t="shared" ref="I101:AB101" si="60">+I50+I40+I4</f>
        <v>20230858000</v>
      </c>
      <c r="J101" s="1466">
        <f t="shared" si="60"/>
        <v>13486743496.42</v>
      </c>
      <c r="K101" s="1466">
        <f t="shared" si="60"/>
        <v>12141425000.42</v>
      </c>
      <c r="L101" s="1466">
        <f t="shared" si="60"/>
        <v>11427487479.200001</v>
      </c>
      <c r="M101" s="1466">
        <f t="shared" si="60"/>
        <v>3657862000</v>
      </c>
      <c r="N101" s="1466">
        <f t="shared" si="60"/>
        <v>3657854000</v>
      </c>
      <c r="O101" s="1466">
        <f t="shared" si="60"/>
        <v>3592972935.4400001</v>
      </c>
      <c r="P101" s="1466">
        <f t="shared" si="60"/>
        <v>3592972935.4400001</v>
      </c>
      <c r="Q101" s="1466">
        <f t="shared" si="60"/>
        <v>5468668345</v>
      </c>
      <c r="R101" s="1466">
        <f t="shared" si="60"/>
        <v>5463907414</v>
      </c>
      <c r="S101" s="1466">
        <f t="shared" si="60"/>
        <v>1025505594</v>
      </c>
      <c r="T101" s="1466">
        <f t="shared" si="60"/>
        <v>825505594</v>
      </c>
      <c r="U101" s="1466">
        <f t="shared" si="60"/>
        <v>561073148</v>
      </c>
      <c r="V101" s="1466">
        <f t="shared" si="60"/>
        <v>559758559</v>
      </c>
      <c r="W101" s="1466">
        <f t="shared" si="60"/>
        <v>0</v>
      </c>
      <c r="X101" s="1466">
        <f t="shared" si="60"/>
        <v>0</v>
      </c>
      <c r="Y101" s="1466">
        <f t="shared" si="60"/>
        <v>35678578293.170006</v>
      </c>
      <c r="Z101" s="1466">
        <f t="shared" si="60"/>
        <v>26173827542.289997</v>
      </c>
      <c r="AA101" s="1466">
        <f t="shared" si="60"/>
        <v>11482014481.139999</v>
      </c>
      <c r="AB101" s="1466">
        <f t="shared" si="60"/>
        <v>10636975634.959999</v>
      </c>
      <c r="AC101" s="1466">
        <f>+I101+M101+Q101+Y101+U101</f>
        <v>65597039786.170006</v>
      </c>
      <c r="AD101" s="1466">
        <f t="shared" ref="AD101:AF101" si="61">+J101+N101+R101+Z101+V101</f>
        <v>49342091011.709991</v>
      </c>
      <c r="AE101" s="1466">
        <f t="shared" si="61"/>
        <v>28241918011</v>
      </c>
      <c r="AF101" s="1466">
        <f t="shared" si="61"/>
        <v>26482941643.599998</v>
      </c>
      <c r="AG101" s="1450"/>
    </row>
    <row r="102" spans="1:33" ht="15.75" thickTop="1" x14ac:dyDescent="0.25"/>
  </sheetData>
  <mergeCells count="15">
    <mergeCell ref="AG15:AG17"/>
    <mergeCell ref="U2:X2"/>
    <mergeCell ref="Y2:AB2"/>
    <mergeCell ref="H2:H3"/>
    <mergeCell ref="I2:L2"/>
    <mergeCell ref="AC2:AF2"/>
    <mergeCell ref="F2:F3"/>
    <mergeCell ref="G2:G3"/>
    <mergeCell ref="M2:P2"/>
    <mergeCell ref="Q2:T2"/>
    <mergeCell ref="A2:A3"/>
    <mergeCell ref="B2:B3"/>
    <mergeCell ref="C2:C3"/>
    <mergeCell ref="D2:D3"/>
    <mergeCell ref="E2:E3"/>
  </mergeCells>
  <printOptions horizontalCentered="1" verticalCentered="1"/>
  <pageMargins left="0.78740157480314965" right="0.78740157480314965" top="0.98425196850393704" bottom="0.98425196850393704" header="0" footer="0"/>
  <pageSetup paperSize="9" scale="8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7</vt:i4>
      </vt:variant>
    </vt:vector>
  </HeadingPairs>
  <TitlesOfParts>
    <vt:vector size="47" baseType="lpstr">
      <vt:lpstr>Datos Generales</vt:lpstr>
      <vt:lpstr>Anexo 1 Matriz Inf Gestión</vt:lpstr>
      <vt:lpstr>Hoja1</vt:lpstr>
      <vt:lpstr>Anexo 2 Protocolo Inf Gestión</vt:lpstr>
      <vt:lpstr>Informe Ingresos</vt:lpstr>
      <vt:lpstr>PROTOCOLO INGRESOS</vt:lpstr>
      <vt:lpstr>INGRESOS</vt:lpstr>
      <vt:lpstr>Hoja3</vt:lpstr>
      <vt:lpstr>informe Gastos</vt:lpstr>
      <vt:lpstr>Hoja2</vt:lpstr>
      <vt:lpstr>Anexo 3 Matriz IMG</vt:lpstr>
      <vt:lpstr>1POMCAS</vt:lpstr>
      <vt:lpstr>2PORH</vt:lpstr>
      <vt:lpstr>3PSMV</vt:lpstr>
      <vt:lpstr>4UsoAguas</vt:lpstr>
      <vt:lpstr>5PUEAA</vt:lpstr>
      <vt:lpstr>6POMCASejec</vt:lpstr>
      <vt:lpstr>7Clima</vt:lpstr>
      <vt:lpstr>8Suelo</vt:lpstr>
      <vt:lpstr>9RUNAP</vt:lpstr>
      <vt:lpstr>10Paramos</vt:lpstr>
      <vt:lpstr>11Forest</vt:lpstr>
      <vt:lpstr>12PlanesAP</vt:lpstr>
      <vt:lpstr>13Amenaz</vt:lpstr>
      <vt:lpstr>14Invasor</vt:lpstr>
      <vt:lpstr>15Restaura</vt:lpstr>
      <vt:lpstr>16MIZC</vt:lpstr>
      <vt:lpstr>17PGIRS</vt:lpstr>
      <vt:lpstr>18Sector</vt:lpstr>
      <vt:lpstr>19GAU</vt:lpstr>
      <vt:lpstr>20Negoc</vt:lpstr>
      <vt:lpstr>21TiempoT</vt:lpstr>
      <vt:lpstr>22Autor</vt:lpstr>
      <vt:lpstr>23Sanc</vt:lpstr>
      <vt:lpstr>24POT</vt:lpstr>
      <vt:lpstr>25Redes</vt:lpstr>
      <vt:lpstr>26SIAC</vt:lpstr>
      <vt:lpstr>27Educa</vt:lpstr>
      <vt:lpstr>Observa</vt:lpstr>
      <vt:lpstr>Formulas</vt:lpstr>
      <vt:lpstr>'9RUNAP'!_Toc467769476</vt:lpstr>
      <vt:lpstr>'Anexo 1 Matriz Inf Gestión'!Área_de_impresión</vt:lpstr>
      <vt:lpstr>'Anexo 2 Protocolo Inf Gestión'!Área_de_impresión</vt:lpstr>
      <vt:lpstr>Lista_CAR</vt:lpstr>
      <vt:lpstr>REPORTE</vt:lpstr>
      <vt:lpstr>SI</vt:lpstr>
      <vt:lpstr>Vigencias</vt:lpstr>
    </vt:vector>
  </TitlesOfParts>
  <Manager>nortiz@claro.net.co</Manager>
  <Company>Derechos protegidos de autor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Material de Capacitación a las CAR</dc:title>
  <dc:creator>Edwin Giovanny Ortiz R.</dc:creator>
  <cp:keywords>Documento No Oficial</cp:keywords>
  <dc:description>Matriz elaborada por Néstor Ortiz Pérez, Consultor GIZ-MADS en el marco de PROMAC</dc:description>
  <cp:lastModifiedBy>USUARIO 2020</cp:lastModifiedBy>
  <cp:lastPrinted>2016-11-27T02:57:50Z</cp:lastPrinted>
  <dcterms:created xsi:type="dcterms:W3CDTF">2016-11-26T19:57:08Z</dcterms:created>
  <dcterms:modified xsi:type="dcterms:W3CDTF">2022-03-01T00:08:18Z</dcterms:modified>
  <cp:category>Capacitación</cp:category>
  <cp:contentStatus>Preliminar</cp:contentStatus>
</cp:coreProperties>
</file>